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y_inflation_data" sheetId="1" r:id="rId4"/>
    <sheet state="visible" name="supply_inflation_all" sheetId="2" r:id="rId5"/>
    <sheet state="visible" name="eth_metrics" sheetId="3" r:id="rId6"/>
    <sheet state="visible" name="btc_metrics" sheetId="4" r:id="rId7"/>
    <sheet state="visible" name="sol_metrics" sheetId="5" r:id="rId8"/>
    <sheet state="visible" name="avax_metrics" sheetId="6" r:id="rId9"/>
    <sheet state="visible" name="uni_metrics" sheetId="7" r:id="rId10"/>
    <sheet state="visible" name="aave_metrics" sheetId="8" r:id="rId11"/>
    <sheet state="visible" name="crv_metrics" sheetId="9" r:id="rId12"/>
    <sheet state="visible" name="ldo_metrics" sheetId="10" r:id="rId13"/>
    <sheet state="visible" name="mkr_metrics" sheetId="11" r:id="rId14"/>
    <sheet state="visible" name="price_all" sheetId="12" r:id="rId15"/>
    <sheet state="visible" name="supply_all" sheetId="13" r:id="rId16"/>
    <sheet state="visible" name="eth_price" sheetId="14" r:id="rId17"/>
    <sheet state="visible" name="eth_supply" sheetId="15" r:id="rId18"/>
    <sheet state="visible" name="btc_price" sheetId="16" r:id="rId19"/>
    <sheet state="visible" name="btc_supply" sheetId="17" r:id="rId20"/>
    <sheet state="visible" name="sol_price" sheetId="18" r:id="rId21"/>
    <sheet state="visible" name="sol_supply" sheetId="19" r:id="rId22"/>
    <sheet state="visible" name="avax_price" sheetId="20" r:id="rId23"/>
    <sheet state="visible" name="avax_supply" sheetId="21" r:id="rId24"/>
    <sheet state="visible" name="aave_price" sheetId="22" r:id="rId25"/>
    <sheet state="visible" name="aave_supply" sheetId="23" r:id="rId26"/>
    <sheet state="visible" name="uni_price" sheetId="24" r:id="rId27"/>
    <sheet state="visible" name="uni_supply" sheetId="25" r:id="rId28"/>
    <sheet state="visible" name="mkr_price" sheetId="26" r:id="rId29"/>
    <sheet state="visible" name="mkr_supply" sheetId="27" r:id="rId30"/>
    <sheet state="visible" name="crv_price" sheetId="28" r:id="rId31"/>
    <sheet state="visible" name="crv_supply" sheetId="29" r:id="rId32"/>
    <sheet state="visible" name="ldo_price" sheetId="30" r:id="rId33"/>
    <sheet state="visible" name="ldo_supply" sheetId="31" r:id="rId34"/>
    <sheet state="visible" name="Querry_saves" sheetId="32" r:id="rId35"/>
  </sheets>
  <definedNames/>
  <calcPr/>
</workbook>
</file>

<file path=xl/sharedStrings.xml><?xml version="1.0" encoding="utf-8"?>
<sst xmlns="http://schemas.openxmlformats.org/spreadsheetml/2006/main" count="2816" uniqueCount="179">
  <si>
    <t>time</t>
  </si>
  <si>
    <t>price</t>
  </si>
  <si>
    <t>supply</t>
  </si>
  <si>
    <t>token_emmited_per_day</t>
  </si>
  <si>
    <t>dollars_emmited_per_day</t>
  </si>
  <si>
    <t>asset</t>
  </si>
  <si>
    <t>btc_price</t>
  </si>
  <si>
    <t>eth_price</t>
  </si>
  <si>
    <t>sol_price</t>
  </si>
  <si>
    <t>aave_price</t>
  </si>
  <si>
    <t>uni_price</t>
  </si>
  <si>
    <t>mkr_price</t>
  </si>
  <si>
    <t>crv_price</t>
  </si>
  <si>
    <t>ldo_price</t>
  </si>
  <si>
    <t>btc_supply</t>
  </si>
  <si>
    <t>eth_supply</t>
  </si>
  <si>
    <t>sol_supply</t>
  </si>
  <si>
    <t>aave_supply</t>
  </si>
  <si>
    <t>uni_supply</t>
  </si>
  <si>
    <t>mkr_supply</t>
  </si>
  <si>
    <t>crv_supply</t>
  </si>
  <si>
    <t>ldo_supply</t>
  </si>
  <si>
    <t>timestamp</t>
  </si>
  <si>
    <t>open</t>
  </si>
  <si>
    <t>close</t>
  </si>
  <si>
    <t>2022-05-01T00:00:00Z</t>
  </si>
  <si>
    <t>2022-05-02T00:00:00Z</t>
  </si>
  <si>
    <t>2022-05-03T00:00:00Z</t>
  </si>
  <si>
    <t>2022-05-04T00:00:00Z</t>
  </si>
  <si>
    <t>2022-05-05T00:00:00Z</t>
  </si>
  <si>
    <t>2022-05-06T00:00:00Z</t>
  </si>
  <si>
    <t>2022-05-07T00:00:00Z</t>
  </si>
  <si>
    <t>2022-05-08T00:00:00Z</t>
  </si>
  <si>
    <t>2022-05-09T00:00:00Z</t>
  </si>
  <si>
    <t>2022-05-10T00:00:00Z</t>
  </si>
  <si>
    <t>2022-05-11T00:00:00Z</t>
  </si>
  <si>
    <t>2022-05-12T00:00:00Z</t>
  </si>
  <si>
    <t>2022-05-13T00:00:00Z</t>
  </si>
  <si>
    <t>2022-05-14T00:00:00Z</t>
  </si>
  <si>
    <t>2022-05-15T00:00:00Z</t>
  </si>
  <si>
    <t>2022-05-16T00:00:00Z</t>
  </si>
  <si>
    <t>2022-05-17T00:00:00Z</t>
  </si>
  <si>
    <t>2022-05-18T00:00:00Z</t>
  </si>
  <si>
    <t>2022-05-19T00:00:00Z</t>
  </si>
  <si>
    <t>2022-05-20T00:00:00Z</t>
  </si>
  <si>
    <t>2022-05-21T00:00:00Z</t>
  </si>
  <si>
    <t>2022-05-22T00:00:00Z</t>
  </si>
  <si>
    <t>2022-05-23T00:00:00Z</t>
  </si>
  <si>
    <t>2022-05-24T00:00:00Z</t>
  </si>
  <si>
    <t>2022-05-25T00:00:00Z</t>
  </si>
  <si>
    <t>2022-05-26T00:00:00Z</t>
  </si>
  <si>
    <t>2022-05-27T00:00:00Z</t>
  </si>
  <si>
    <t>2022-05-28T00:00:00Z</t>
  </si>
  <si>
    <t>2022-05-29T00:00:00Z</t>
  </si>
  <si>
    <t>2022-05-30T00:00:00Z</t>
  </si>
  <si>
    <t>2022-05-31T00:00:00Z</t>
  </si>
  <si>
    <t>2022-06-01T00:00:00Z</t>
  </si>
  <si>
    <t>2022-06-02T00:00:00Z</t>
  </si>
  <si>
    <t>2022-06-03T00:00:00Z</t>
  </si>
  <si>
    <t>2022-06-04T00:00:00Z</t>
  </si>
  <si>
    <t>2022-06-05T00:00:00Z</t>
  </si>
  <si>
    <t>2022-06-06T00:00:00Z</t>
  </si>
  <si>
    <t>2022-06-07T00:00:00Z</t>
  </si>
  <si>
    <t>2022-06-08T00:00:00Z</t>
  </si>
  <si>
    <t>2022-06-09T00:00:00Z</t>
  </si>
  <si>
    <t>2022-06-10T00:00:00Z</t>
  </si>
  <si>
    <t>2022-06-11T00:00:00Z</t>
  </si>
  <si>
    <t>2022-06-12T00:00:00Z</t>
  </si>
  <si>
    <t>2022-06-13T00:00:00Z</t>
  </si>
  <si>
    <t>2022-06-14T00:00:00Z</t>
  </si>
  <si>
    <t>2022-06-15T00:00:00Z</t>
  </si>
  <si>
    <t>2022-06-16T00:00:00Z</t>
  </si>
  <si>
    <t>2022-06-17T00:00:00Z</t>
  </si>
  <si>
    <t>2022-06-18T00:00:00Z</t>
  </si>
  <si>
    <t>2022-06-19T00:00:00Z</t>
  </si>
  <si>
    <t>2022-06-20T00:00:00Z</t>
  </si>
  <si>
    <t>2022-06-21T00:00:00Z</t>
  </si>
  <si>
    <t>2022-06-22T00:00:00Z</t>
  </si>
  <si>
    <t>2022-06-23T00:00:00Z</t>
  </si>
  <si>
    <t>2022-06-24T00:00:00Z</t>
  </si>
  <si>
    <t>2022-06-25T00:00:00Z</t>
  </si>
  <si>
    <t>2022-06-26T00:00:00Z</t>
  </si>
  <si>
    <t>2022-06-27T00:00:00Z</t>
  </si>
  <si>
    <t>2022-06-28T00:00:00Z</t>
  </si>
  <si>
    <t>2022-06-29T00:00:00Z</t>
  </si>
  <si>
    <t>2022-06-30T00:00:00Z</t>
  </si>
  <si>
    <t>2022-07-01T00:00:00Z</t>
  </si>
  <si>
    <t>2022-07-02T00:00:00Z</t>
  </si>
  <si>
    <t>2022-07-03T00:00:00Z</t>
  </si>
  <si>
    <t>2022-07-04T00:00:00Z</t>
  </si>
  <si>
    <t>2022-07-05T00:00:00Z</t>
  </si>
  <si>
    <t>2022-07-06T00:00:00Z</t>
  </si>
  <si>
    <t>2022-07-07T00:00:00Z</t>
  </si>
  <si>
    <t>2022-07-08T00:00:00Z</t>
  </si>
  <si>
    <t>2022-07-09T00:00:00Z</t>
  </si>
  <si>
    <t>2022-07-10T00:00:00Z</t>
  </si>
  <si>
    <t>2022-07-11T00:00:00Z</t>
  </si>
  <si>
    <t>2022-07-12T00:00:00Z</t>
  </si>
  <si>
    <t>2022-07-13T00:00:00Z</t>
  </si>
  <si>
    <t>2022-07-14T00:00:00Z</t>
  </si>
  <si>
    <t>2022-07-15T00:00:00Z</t>
  </si>
  <si>
    <t>2022-07-16T00:00:00Z</t>
  </si>
  <si>
    <t>2022-07-17T00:00:00Z</t>
  </si>
  <si>
    <t>2022-07-18T00:00:00Z</t>
  </si>
  <si>
    <t>2022-07-19T00:00:00Z</t>
  </si>
  <si>
    <t>2022-07-20T00:00:00Z</t>
  </si>
  <si>
    <t>2022-07-21T00:00:00Z</t>
  </si>
  <si>
    <t>2022-07-22T00:00:00Z</t>
  </si>
  <si>
    <t>2022-07-23T00:00:00Z</t>
  </si>
  <si>
    <t>2022-07-24T00:00:00Z</t>
  </si>
  <si>
    <t>2022-07-25T00:00:00Z</t>
  </si>
  <si>
    <t>2022-07-26T00:00:00Z</t>
  </si>
  <si>
    <t>2022-07-27T00:00:00Z</t>
  </si>
  <si>
    <t>2022-07-28T00:00:00Z</t>
  </si>
  <si>
    <t>2022-07-29T00:00:00Z</t>
  </si>
  <si>
    <t>2022-07-30T00:00:00Z</t>
  </si>
  <si>
    <t>2022-07-31T00:00:00Z</t>
  </si>
  <si>
    <t>2022-08-01T00:00:00Z</t>
  </si>
  <si>
    <t>2022-08-02T00:00:00Z</t>
  </si>
  <si>
    <t>2022-08-03T00:00:00Z</t>
  </si>
  <si>
    <t>2022-08-04T00:00:00Z</t>
  </si>
  <si>
    <t>2022-08-05T00:00:00Z</t>
  </si>
  <si>
    <t>2022-08-06T00:00:00Z</t>
  </si>
  <si>
    <t>2022-08-07T00:00:00Z</t>
  </si>
  <si>
    <t>2022-08-08T00:00:00Z</t>
  </si>
  <si>
    <t>2022-08-09T00:00:00Z</t>
  </si>
  <si>
    <t>2022-08-10T00:00:00Z</t>
  </si>
  <si>
    <t>2022-08-11T00:00:00Z</t>
  </si>
  <si>
    <t>2022-08-12T00:00:00Z</t>
  </si>
  <si>
    <t>2022-08-13T00:00:00Z</t>
  </si>
  <si>
    <t>2022-08-14T00:00:00Z</t>
  </si>
  <si>
    <t>2022-08-15T00:00:00Z</t>
  </si>
  <si>
    <t>2022-08-16T00:00:00Z</t>
  </si>
  <si>
    <t>2022-08-17T00:00:00Z</t>
  </si>
  <si>
    <t>2022-08-18T00:00:00Z</t>
  </si>
  <si>
    <t>2022-08-19T00:00:00Z</t>
  </si>
  <si>
    <t>2022-08-20T00:00:00Z</t>
  </si>
  <si>
    <t>2022-08-21T00:00:00Z</t>
  </si>
  <si>
    <t>2022-08-22T00:00:00Z</t>
  </si>
  <si>
    <t>2022-08-23T00:00:00Z</t>
  </si>
  <si>
    <t>2022-08-24T00:00:00Z</t>
  </si>
  <si>
    <t>2022-08-25T00:00:00Z</t>
  </si>
  <si>
    <t>2022-08-26T00:00:00Z</t>
  </si>
  <si>
    <t>2022-08-27T00:00:00Z</t>
  </si>
  <si>
    <t>2022-08-28T00:00:00Z</t>
  </si>
  <si>
    <t>2022-08-29T00:00:00Z</t>
  </si>
  <si>
    <t>2022-08-30T00:00:00Z</t>
  </si>
  <si>
    <t>2022-08-31T00:00:00Z</t>
  </si>
  <si>
    <t>2022-09-01T00:00:00Z</t>
  </si>
  <si>
    <t>2022-09-02T00:00:00Z</t>
  </si>
  <si>
    <t>2022-09-03T00:00:00Z</t>
  </si>
  <si>
    <t>2022-09-04T00:00:00Z</t>
  </si>
  <si>
    <t>2022-09-05T00:00:00Z</t>
  </si>
  <si>
    <t>2022-09-06T00:00:00Z</t>
  </si>
  <si>
    <t>2022-09-07T00:00:00Z</t>
  </si>
  <si>
    <t>2022-09-08T00:00:00Z</t>
  </si>
  <si>
    <t>2022-09-09T00:00:00Z</t>
  </si>
  <si>
    <t>2022-09-10T00:00:00Z</t>
  </si>
  <si>
    <t>2022-09-11T00:00:00Z</t>
  </si>
  <si>
    <t>2022-09-12T00:00:00Z</t>
  </si>
  <si>
    <t>2022-09-13T00:00:00Z</t>
  </si>
  <si>
    <t>2022-09-14T00:00:00Z</t>
  </si>
  <si>
    <t>2022-09-15T00:00:00Z</t>
  </si>
  <si>
    <t>2022-09-16T00:00:00Z</t>
  </si>
  <si>
    <t>2022-09-17T00:00:00Z</t>
  </si>
  <si>
    <t>2022-09-18T00:00:00Z</t>
  </si>
  <si>
    <t>2022-09-19T00:00:00Z</t>
  </si>
  <si>
    <t>2022-09-20T00:00:00Z</t>
  </si>
  <si>
    <t>2022-09-21T00:00:00Z</t>
  </si>
  <si>
    <t>2022-09-22T00:00:00Z</t>
  </si>
  <si>
    <t>2022-09-23T00:00:00Z</t>
  </si>
  <si>
    <t>2022-09-24T00:00:00Z</t>
  </si>
  <si>
    <t>2022-09-25T00:00:00Z</t>
  </si>
  <si>
    <t>circulating_supply</t>
  </si>
  <si>
    <t>2022-09-26T00:00:00Z</t>
  </si>
  <si>
    <t>Sol Price</t>
  </si>
  <si>
    <t>https://data.messari.io/api/v1/assets/sol/metrics/price/time-series?start=2022-05-01&amp;interval=1d&amp;columns=open%2Cclose&amp;order=ascending&amp;format=csv&amp;timestamp-format=rfc3339</t>
  </si>
  <si>
    <t>Sol Supply</t>
  </si>
  <si>
    <t>https://data.messari.io/api/v1/assets/sol/metrics/sply-circ/time-series?start=2022-05-01&amp;interval=1d&amp;order=ascending&amp;format=csv&amp;timestamp-format=rfc3339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</si>
</sst>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  <scheme val="minor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messari.io/api/v1/assets/sol/metrics/price/time-series?start=2022-05-01&amp;interval=1d&amp;columns=open%2Cclose&amp;order=ascending&amp;format=csv&amp;timestamp-format=rfc3339" TargetMode="External"/><Relationship Id="rId2" Type="http://schemas.openxmlformats.org/officeDocument/2006/relationships/hyperlink" Target="https://data.messari.io/api/v1/assets/sol/metrics/sply-circ/time-series?start=2022-05-01&amp;interval=1d&amp;order=ascending&amp;format=csv&amp;timestamp-format=rfc3339" TargetMode="External"/><Relationship Id="rId3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IFERROR(__xludf.DUMMYFUNCTION("{QUERY(btc_metrics!A:G,""SELECT * WHERE B IS NOT NULL"",0);QUERY(eth_metrics!A:G,""SELECT * WHERE B IS NOT NULL"",0);QUERY(sol_metrics!A:G,""SELECT * WHERE B IS NOT NULL"",0);QUERY(avax_metrics!A:G,""SELECT * WHERE B IS NOT NULL"",0);QUERY(uni_metrics!A:G"&amp;",""SELECT * WHERE B IS NOT NULL"",0);QUERY(aave_metrics!A:G,""SELECT * WHERE B IS NOT NULL"",0);QUERY(crv_metrics!A:G,""SELECT * WHERE B IS NOT NULL"",0);QUERY(mkr_metrics!A:G,""SELECT * WHERE B IS NOT NULL"",0);QUERY(ldo_metrics!A:G,""SELECT * WHERE B IS"&amp;" NOT NULL"",0)}"),"2022-05-01T00:00:00Z")</f>
        <v>2022-05-01T00:00:00Z</v>
      </c>
      <c r="B2" s="3">
        <f>IFERROR(__xludf.DUMMYFUNCTION("""COMPUTED_VALUE"""),38474.808133)</f>
        <v>38474.80813</v>
      </c>
      <c r="C2" s="3">
        <f>IFERROR(__xludf.DUMMYFUNCTION("""COMPUTED_VALUE"""),1.9026893E7)</f>
        <v>19026893</v>
      </c>
      <c r="D2" s="3">
        <f>IFERROR(__xludf.DUMMYFUNCTION("""COMPUTED_VALUE"""),0.0)</f>
        <v>0</v>
      </c>
      <c r="E2" s="3">
        <f>IFERROR(__xludf.DUMMYFUNCTION("""COMPUTED_VALUE"""),0.0)</f>
        <v>0</v>
      </c>
      <c r="F2" s="3" t="str">
        <f>IFERROR(__xludf.DUMMYFUNCTION("""COMPUTED_VALUE"""),"BTC")</f>
        <v>BTC</v>
      </c>
      <c r="G2" s="3"/>
      <c r="I2" s="4"/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IFERROR(__xludf.DUMMYFUNCTION("""COMPUTED_VALUE"""),38518.419234)</f>
        <v>38518.41923</v>
      </c>
      <c r="C3" s="3">
        <f>IFERROR(__xludf.DUMMYFUNCTION("""COMPUTED_VALUE"""),1.9027918E7)</f>
        <v>19027918</v>
      </c>
      <c r="D3" s="3">
        <f>IFERROR(__xludf.DUMMYFUNCTION("""COMPUTED_VALUE"""),1025.0)</f>
        <v>1025</v>
      </c>
      <c r="E3" s="3">
        <f>IFERROR(__xludf.DUMMYFUNCTION("""COMPUTED_VALUE"""),3.948137971485E7)</f>
        <v>39481379.71</v>
      </c>
      <c r="F3" s="3" t="str">
        <f>IFERROR(__xludf.DUMMYFUNCTION("""COMPUTED_VALUE"""),"BTC")</f>
        <v>BTC</v>
      </c>
      <c r="G3" s="3"/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IFERROR(__xludf.DUMMYFUNCTION("""COMPUTED_VALUE"""),37724.773932)</f>
        <v>37724.77393</v>
      </c>
      <c r="C4" s="3">
        <f>IFERROR(__xludf.DUMMYFUNCTION("""COMPUTED_VALUE"""),1.90289E7)</f>
        <v>19028900</v>
      </c>
      <c r="D4" s="3">
        <f>IFERROR(__xludf.DUMMYFUNCTION("""COMPUTED_VALUE"""),982.0)</f>
        <v>982</v>
      </c>
      <c r="E4" s="3">
        <f>IFERROR(__xludf.DUMMYFUNCTION("""COMPUTED_VALUE"""),3.7045728001224E7)</f>
        <v>37045728</v>
      </c>
      <c r="F4" s="3" t="str">
        <f>IFERROR(__xludf.DUMMYFUNCTION("""COMPUTED_VALUE"""),"BTC")</f>
        <v>BTC</v>
      </c>
      <c r="G4" s="3"/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IFERROR(__xludf.DUMMYFUNCTION("""COMPUTED_VALUE"""),39678.473342)</f>
        <v>39678.47334</v>
      </c>
      <c r="C5" s="3">
        <f>IFERROR(__xludf.DUMMYFUNCTION("""COMPUTED_VALUE"""),1.9029856E7)</f>
        <v>19029856</v>
      </c>
      <c r="D5" s="3">
        <f>IFERROR(__xludf.DUMMYFUNCTION("""COMPUTED_VALUE"""),956.0)</f>
        <v>956</v>
      </c>
      <c r="E5" s="3">
        <f>IFERROR(__xludf.DUMMYFUNCTION("""COMPUTED_VALUE"""),3.7932620514952E7)</f>
        <v>37932620.51</v>
      </c>
      <c r="F5" s="3" t="str">
        <f>IFERROR(__xludf.DUMMYFUNCTION("""COMPUTED_VALUE"""),"BTC")</f>
        <v>BTC</v>
      </c>
      <c r="G5" s="3"/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IFERROR(__xludf.DUMMYFUNCTION("""COMPUTED_VALUE"""),36547.03884)</f>
        <v>36547.03884</v>
      </c>
      <c r="C6" s="3">
        <f>IFERROR(__xludf.DUMMYFUNCTION("""COMPUTED_VALUE"""),1.9030793E7)</f>
        <v>19030793</v>
      </c>
      <c r="D6" s="3">
        <f>IFERROR(__xludf.DUMMYFUNCTION("""COMPUTED_VALUE"""),937.0)</f>
        <v>937</v>
      </c>
      <c r="E6" s="3">
        <f>IFERROR(__xludf.DUMMYFUNCTION("""COMPUTED_VALUE"""),3.424457539308E7)</f>
        <v>34244575.39</v>
      </c>
      <c r="F6" s="3" t="str">
        <f>IFERROR(__xludf.DUMMYFUNCTION("""COMPUTED_VALUE"""),"BTC")</f>
        <v>BTC</v>
      </c>
      <c r="G6" s="3"/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IFERROR(__xludf.DUMMYFUNCTION("""COMPUTED_VALUE"""),35997.002496)</f>
        <v>35997.0025</v>
      </c>
      <c r="C7" s="3">
        <f>IFERROR(__xludf.DUMMYFUNCTION("""COMPUTED_VALUE"""),1.9031731E7)</f>
        <v>19031731</v>
      </c>
      <c r="D7" s="3">
        <f>IFERROR(__xludf.DUMMYFUNCTION("""COMPUTED_VALUE"""),938.0)</f>
        <v>938</v>
      </c>
      <c r="E7" s="3">
        <f>IFERROR(__xludf.DUMMYFUNCTION("""COMPUTED_VALUE"""),3.3765188341248E7)</f>
        <v>33765188.34</v>
      </c>
      <c r="F7" s="3" t="str">
        <f>IFERROR(__xludf.DUMMYFUNCTION("""COMPUTED_VALUE"""),"BTC")</f>
        <v>BTC</v>
      </c>
      <c r="G7" s="3"/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IFERROR(__xludf.DUMMYFUNCTION("""COMPUTED_VALUE"""),35450.771743)</f>
        <v>35450.77174</v>
      </c>
      <c r="C8" s="3">
        <f>IFERROR(__xludf.DUMMYFUNCTION("""COMPUTED_VALUE"""),1.9032637E7)</f>
        <v>19032637</v>
      </c>
      <c r="D8" s="3">
        <f>IFERROR(__xludf.DUMMYFUNCTION("""COMPUTED_VALUE"""),906.0)</f>
        <v>906</v>
      </c>
      <c r="E8" s="3">
        <f>IFERROR(__xludf.DUMMYFUNCTION("""COMPUTED_VALUE"""),3.2118399199157998E7)</f>
        <v>32118399.2</v>
      </c>
      <c r="F8" s="3" t="str">
        <f>IFERROR(__xludf.DUMMYFUNCTION("""COMPUTED_VALUE"""),"BTC")</f>
        <v>BTC</v>
      </c>
      <c r="G8" s="3"/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IFERROR(__xludf.DUMMYFUNCTION("""COMPUTED_VALUE"""),34027.021333)</f>
        <v>34027.02133</v>
      </c>
      <c r="C9" s="3">
        <f>IFERROR(__xludf.DUMMYFUNCTION("""COMPUTED_VALUE"""),1.9033587E7)</f>
        <v>19033587</v>
      </c>
      <c r="D9" s="3">
        <f>IFERROR(__xludf.DUMMYFUNCTION("""COMPUTED_VALUE"""),950.0)</f>
        <v>950</v>
      </c>
      <c r="E9" s="3">
        <f>IFERROR(__xludf.DUMMYFUNCTION("""COMPUTED_VALUE"""),3.2325670266349997E7)</f>
        <v>32325670.27</v>
      </c>
      <c r="F9" s="3" t="str">
        <f>IFERROR(__xludf.DUMMYFUNCTION("""COMPUTED_VALUE"""),"BTC")</f>
        <v>BTC</v>
      </c>
      <c r="G9" s="3"/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IFERROR(__xludf.DUMMYFUNCTION("""COMPUTED_VALUE"""),30072.939281)</f>
        <v>30072.93928</v>
      </c>
      <c r="C10" s="3">
        <f>IFERROR(__xludf.DUMMYFUNCTION("""COMPUTED_VALUE"""),1.9034531E7)</f>
        <v>19034531</v>
      </c>
      <c r="D10" s="3">
        <f>IFERROR(__xludf.DUMMYFUNCTION("""COMPUTED_VALUE"""),944.0)</f>
        <v>944</v>
      </c>
      <c r="E10" s="3">
        <f>IFERROR(__xludf.DUMMYFUNCTION("""COMPUTED_VALUE"""),2.8388854681264E7)</f>
        <v>28388854.68</v>
      </c>
      <c r="F10" s="3" t="str">
        <f>IFERROR(__xludf.DUMMYFUNCTION("""COMPUTED_VALUE"""),"BTC")</f>
        <v>BTC</v>
      </c>
      <c r="G10" s="3"/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IFERROR(__xludf.DUMMYFUNCTION("""COMPUTED_VALUE"""),31012.796392)</f>
        <v>31012.79639</v>
      </c>
      <c r="C11" s="3">
        <f>IFERROR(__xludf.DUMMYFUNCTION("""COMPUTED_VALUE"""),1.9035475E7)</f>
        <v>19035475</v>
      </c>
      <c r="D11" s="3">
        <f>IFERROR(__xludf.DUMMYFUNCTION("""COMPUTED_VALUE"""),944.0)</f>
        <v>944</v>
      </c>
      <c r="E11" s="3">
        <f>IFERROR(__xludf.DUMMYFUNCTION("""COMPUTED_VALUE"""),2.9276079794048E7)</f>
        <v>29276079.79</v>
      </c>
      <c r="F11" s="3" t="str">
        <f>IFERROR(__xludf.DUMMYFUNCTION("""COMPUTED_VALUE"""),"BTC")</f>
        <v>BTC</v>
      </c>
      <c r="G11" s="3"/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IFERROR(__xludf.DUMMYFUNCTION("""COMPUTED_VALUE"""),28975.801361)</f>
        <v>28975.80136</v>
      </c>
      <c r="C12" s="3">
        <f>IFERROR(__xludf.DUMMYFUNCTION("""COMPUTED_VALUE"""),1.9036431E7)</f>
        <v>19036431</v>
      </c>
      <c r="D12" s="3">
        <f>IFERROR(__xludf.DUMMYFUNCTION("""COMPUTED_VALUE"""),956.0)</f>
        <v>956</v>
      </c>
      <c r="E12" s="3">
        <f>IFERROR(__xludf.DUMMYFUNCTION("""COMPUTED_VALUE"""),2.7700866101116E7)</f>
        <v>27700866.1</v>
      </c>
      <c r="F12" s="3" t="str">
        <f>IFERROR(__xludf.DUMMYFUNCTION("""COMPUTED_VALUE"""),"BTC")</f>
        <v>BTC</v>
      </c>
      <c r="G12" s="3"/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IFERROR(__xludf.DUMMYFUNCTION("""COMPUTED_VALUE"""),28959.389929)</f>
        <v>28959.38993</v>
      </c>
      <c r="C13" s="3">
        <f>IFERROR(__xludf.DUMMYFUNCTION("""COMPUTED_VALUE"""),1.90373E7)</f>
        <v>19037300</v>
      </c>
      <c r="D13" s="3">
        <f>IFERROR(__xludf.DUMMYFUNCTION("""COMPUTED_VALUE"""),869.0)</f>
        <v>869</v>
      </c>
      <c r="E13" s="3">
        <f>IFERROR(__xludf.DUMMYFUNCTION("""COMPUTED_VALUE"""),2.5165709848301E7)</f>
        <v>25165709.85</v>
      </c>
      <c r="F13" s="3" t="str">
        <f>IFERROR(__xludf.DUMMYFUNCTION("""COMPUTED_VALUE"""),"BTC")</f>
        <v>BTC</v>
      </c>
      <c r="G13" s="3"/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IFERROR(__xludf.DUMMYFUNCTION("""COMPUTED_VALUE"""),29245.757314)</f>
        <v>29245.75731</v>
      </c>
      <c r="C14" s="3">
        <f>IFERROR(__xludf.DUMMYFUNCTION("""COMPUTED_VALUE"""),1.9038212E7)</f>
        <v>19038212</v>
      </c>
      <c r="D14" s="3">
        <f>IFERROR(__xludf.DUMMYFUNCTION("""COMPUTED_VALUE"""),912.0)</f>
        <v>912</v>
      </c>
      <c r="E14" s="3">
        <f>IFERROR(__xludf.DUMMYFUNCTION("""COMPUTED_VALUE"""),2.6672130670367997E7)</f>
        <v>26672130.67</v>
      </c>
      <c r="F14" s="3" t="str">
        <f>IFERROR(__xludf.DUMMYFUNCTION("""COMPUTED_VALUE"""),"BTC")</f>
        <v>BTC</v>
      </c>
      <c r="G14" s="3"/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IFERROR(__xludf.DUMMYFUNCTION("""COMPUTED_VALUE"""),30048.70072)</f>
        <v>30048.70072</v>
      </c>
      <c r="C15" s="3">
        <f>IFERROR(__xludf.DUMMYFUNCTION("""COMPUTED_VALUE"""),1.9039137E7)</f>
        <v>19039137</v>
      </c>
      <c r="D15" s="3">
        <f>IFERROR(__xludf.DUMMYFUNCTION("""COMPUTED_VALUE"""),925.0)</f>
        <v>925</v>
      </c>
      <c r="E15" s="3">
        <f>IFERROR(__xludf.DUMMYFUNCTION("""COMPUTED_VALUE"""),2.7795048166E7)</f>
        <v>27795048.17</v>
      </c>
      <c r="F15" s="3" t="str">
        <f>IFERROR(__xludf.DUMMYFUNCTION("""COMPUTED_VALUE"""),"BTC")</f>
        <v>BTC</v>
      </c>
      <c r="G15" s="3"/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IFERROR(__xludf.DUMMYFUNCTION("""COMPUTED_VALUE"""),31292.530861)</f>
        <v>31292.53086</v>
      </c>
      <c r="C16" s="3">
        <f>IFERROR(__xludf.DUMMYFUNCTION("""COMPUTED_VALUE"""),1.904005E7)</f>
        <v>19040050</v>
      </c>
      <c r="D16" s="3">
        <f>IFERROR(__xludf.DUMMYFUNCTION("""COMPUTED_VALUE"""),913.0)</f>
        <v>913</v>
      </c>
      <c r="E16" s="3">
        <f>IFERROR(__xludf.DUMMYFUNCTION("""COMPUTED_VALUE"""),2.8570080676093E7)</f>
        <v>28570080.68</v>
      </c>
      <c r="F16" s="3" t="str">
        <f>IFERROR(__xludf.DUMMYFUNCTION("""COMPUTED_VALUE"""),"BTC")</f>
        <v>BTC</v>
      </c>
      <c r="G16" s="3"/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IFERROR(__xludf.DUMMYFUNCTION("""COMPUTED_VALUE"""),29832.780715)</f>
        <v>29832.78072</v>
      </c>
      <c r="C17" s="3">
        <f>IFERROR(__xludf.DUMMYFUNCTION("""COMPUTED_VALUE"""),1.9040806E7)</f>
        <v>19040806</v>
      </c>
      <c r="D17" s="3">
        <f>IFERROR(__xludf.DUMMYFUNCTION("""COMPUTED_VALUE"""),756.0)</f>
        <v>756</v>
      </c>
      <c r="E17" s="3">
        <f>IFERROR(__xludf.DUMMYFUNCTION("""COMPUTED_VALUE"""),2.2553582220540002E7)</f>
        <v>22553582.22</v>
      </c>
      <c r="F17" s="3" t="str">
        <f>IFERROR(__xludf.DUMMYFUNCTION("""COMPUTED_VALUE"""),"BTC")</f>
        <v>BTC</v>
      </c>
      <c r="G17" s="3"/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IFERROR(__xludf.DUMMYFUNCTION("""COMPUTED_VALUE"""),30412.489302)</f>
        <v>30412.4893</v>
      </c>
      <c r="C18" s="3">
        <f>IFERROR(__xludf.DUMMYFUNCTION("""COMPUTED_VALUE"""),1.9041787E7)</f>
        <v>19041787</v>
      </c>
      <c r="D18" s="3">
        <f>IFERROR(__xludf.DUMMYFUNCTION("""COMPUTED_VALUE"""),981.0)</f>
        <v>981</v>
      </c>
      <c r="E18" s="3">
        <f>IFERROR(__xludf.DUMMYFUNCTION("""COMPUTED_VALUE"""),2.9834652005262002E7)</f>
        <v>29834652.01</v>
      </c>
      <c r="F18" s="3" t="str">
        <f>IFERROR(__xludf.DUMMYFUNCTION("""COMPUTED_VALUE"""),"BTC")</f>
        <v>BTC</v>
      </c>
      <c r="G18" s="3"/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IFERROR(__xludf.DUMMYFUNCTION("""COMPUTED_VALUE"""),28673.357006)</f>
        <v>28673.35701</v>
      </c>
      <c r="C19" s="3">
        <f>IFERROR(__xludf.DUMMYFUNCTION("""COMPUTED_VALUE"""),1.9042731E7)</f>
        <v>19042731</v>
      </c>
      <c r="D19" s="3">
        <f>IFERROR(__xludf.DUMMYFUNCTION("""COMPUTED_VALUE"""),944.0)</f>
        <v>944</v>
      </c>
      <c r="E19" s="3">
        <f>IFERROR(__xludf.DUMMYFUNCTION("""COMPUTED_VALUE"""),2.7067649013664E7)</f>
        <v>27067649.01</v>
      </c>
      <c r="F19" s="3" t="str">
        <f>IFERROR(__xludf.DUMMYFUNCTION("""COMPUTED_VALUE"""),"BTC")</f>
        <v>BTC</v>
      </c>
      <c r="G19" s="3"/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IFERROR(__xludf.DUMMYFUNCTION("""COMPUTED_VALUE"""),30281.175993)</f>
        <v>30281.17599</v>
      </c>
      <c r="C20" s="3">
        <f>IFERROR(__xludf.DUMMYFUNCTION("""COMPUTED_VALUE"""),1.9043568E7)</f>
        <v>19043568</v>
      </c>
      <c r="D20" s="3">
        <f>IFERROR(__xludf.DUMMYFUNCTION("""COMPUTED_VALUE"""),837.0)</f>
        <v>837</v>
      </c>
      <c r="E20" s="3">
        <f>IFERROR(__xludf.DUMMYFUNCTION("""COMPUTED_VALUE"""),2.5345344306141E7)</f>
        <v>25345344.31</v>
      </c>
      <c r="F20" s="3" t="str">
        <f>IFERROR(__xludf.DUMMYFUNCTION("""COMPUTED_VALUE"""),"BTC")</f>
        <v>BTC</v>
      </c>
      <c r="G20" s="3"/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IFERROR(__xludf.DUMMYFUNCTION("""COMPUTED_VALUE"""),29163.241708)</f>
        <v>29163.24171</v>
      </c>
      <c r="C21" s="3">
        <f>IFERROR(__xludf.DUMMYFUNCTION("""COMPUTED_VALUE"""),1.9044331E7)</f>
        <v>19044331</v>
      </c>
      <c r="D21" s="3">
        <f>IFERROR(__xludf.DUMMYFUNCTION("""COMPUTED_VALUE"""),763.0)</f>
        <v>763</v>
      </c>
      <c r="E21" s="3">
        <f>IFERROR(__xludf.DUMMYFUNCTION("""COMPUTED_VALUE"""),2.2251553423204E7)</f>
        <v>22251553.42</v>
      </c>
      <c r="F21" s="3" t="str">
        <f>IFERROR(__xludf.DUMMYFUNCTION("""COMPUTED_VALUE"""),"BTC")</f>
        <v>BTC</v>
      </c>
      <c r="G21" s="3"/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IFERROR(__xludf.DUMMYFUNCTION("""COMPUTED_VALUE"""),29439.303354)</f>
        <v>29439.30335</v>
      </c>
      <c r="C22" s="3">
        <f>IFERROR(__xludf.DUMMYFUNCTION("""COMPUTED_VALUE"""),1.9045131E7)</f>
        <v>19045131</v>
      </c>
      <c r="D22" s="3">
        <f>IFERROR(__xludf.DUMMYFUNCTION("""COMPUTED_VALUE"""),800.0)</f>
        <v>800</v>
      </c>
      <c r="E22" s="3">
        <f>IFERROR(__xludf.DUMMYFUNCTION("""COMPUTED_VALUE"""),2.3551442683199998E7)</f>
        <v>23551442.68</v>
      </c>
      <c r="F22" s="3" t="str">
        <f>IFERROR(__xludf.DUMMYFUNCTION("""COMPUTED_VALUE"""),"BTC")</f>
        <v>BTC</v>
      </c>
      <c r="G22" s="3"/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IFERROR(__xludf.DUMMYFUNCTION("""COMPUTED_VALUE"""),30259.633249)</f>
        <v>30259.63325</v>
      </c>
      <c r="C23" s="3">
        <f>IFERROR(__xludf.DUMMYFUNCTION("""COMPUTED_VALUE"""),1.9045987E7)</f>
        <v>19045987</v>
      </c>
      <c r="D23" s="3">
        <f>IFERROR(__xludf.DUMMYFUNCTION("""COMPUTED_VALUE"""),856.0)</f>
        <v>856</v>
      </c>
      <c r="E23" s="3">
        <f>IFERROR(__xludf.DUMMYFUNCTION("""COMPUTED_VALUE"""),2.5902246061143998E7)</f>
        <v>25902246.06</v>
      </c>
      <c r="F23" s="3" t="str">
        <f>IFERROR(__xludf.DUMMYFUNCTION("""COMPUTED_VALUE"""),"BTC")</f>
        <v>BTC</v>
      </c>
      <c r="G23" s="3"/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IFERROR(__xludf.DUMMYFUNCTION("""COMPUTED_VALUE"""),29080.601914)</f>
        <v>29080.60191</v>
      </c>
      <c r="C24" s="3">
        <f>IFERROR(__xludf.DUMMYFUNCTION("""COMPUTED_VALUE"""),1.9046768E7)</f>
        <v>19046768</v>
      </c>
      <c r="D24" s="3">
        <f>IFERROR(__xludf.DUMMYFUNCTION("""COMPUTED_VALUE"""),781.0)</f>
        <v>781</v>
      </c>
      <c r="E24" s="3">
        <f>IFERROR(__xludf.DUMMYFUNCTION("""COMPUTED_VALUE"""),2.2711950094834E7)</f>
        <v>22711950.09</v>
      </c>
      <c r="F24" s="3" t="str">
        <f>IFERROR(__xludf.DUMMYFUNCTION("""COMPUTED_VALUE"""),"BTC")</f>
        <v>BTC</v>
      </c>
      <c r="G24" s="3"/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IFERROR(__xludf.DUMMYFUNCTION("""COMPUTED_VALUE"""),29624.359243)</f>
        <v>29624.35924</v>
      </c>
      <c r="C25" s="3">
        <f>IFERROR(__xludf.DUMMYFUNCTION("""COMPUTED_VALUE"""),1.904775E7)</f>
        <v>19047750</v>
      </c>
      <c r="D25" s="3">
        <f>IFERROR(__xludf.DUMMYFUNCTION("""COMPUTED_VALUE"""),982.0)</f>
        <v>982</v>
      </c>
      <c r="E25" s="3">
        <f>IFERROR(__xludf.DUMMYFUNCTION("""COMPUTED_VALUE"""),2.9091120776626E7)</f>
        <v>29091120.78</v>
      </c>
      <c r="F25" s="3" t="str">
        <f>IFERROR(__xludf.DUMMYFUNCTION("""COMPUTED_VALUE"""),"BTC")</f>
        <v>BTC</v>
      </c>
      <c r="G25" s="3"/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IFERROR(__xludf.DUMMYFUNCTION("""COMPUTED_VALUE"""),29511.77479)</f>
        <v>29511.77479</v>
      </c>
      <c r="C26" s="3">
        <f>IFERROR(__xludf.DUMMYFUNCTION("""COMPUTED_VALUE"""),1.9048525E7)</f>
        <v>19048525</v>
      </c>
      <c r="D26" s="3">
        <f>IFERROR(__xludf.DUMMYFUNCTION("""COMPUTED_VALUE"""),775.0)</f>
        <v>775</v>
      </c>
      <c r="E26" s="3">
        <f>IFERROR(__xludf.DUMMYFUNCTION("""COMPUTED_VALUE"""),2.2871625462249998E7)</f>
        <v>22871625.46</v>
      </c>
      <c r="F26" s="3" t="str">
        <f>IFERROR(__xludf.DUMMYFUNCTION("""COMPUTED_VALUE"""),"BTC")</f>
        <v>BTC</v>
      </c>
      <c r="G26" s="3"/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IFERROR(__xludf.DUMMYFUNCTION("""COMPUTED_VALUE"""),29167.964539)</f>
        <v>29167.96454</v>
      </c>
      <c r="C27" s="3">
        <f>IFERROR(__xludf.DUMMYFUNCTION("""COMPUTED_VALUE"""),1.90494E7)</f>
        <v>19049400</v>
      </c>
      <c r="D27" s="3">
        <f>IFERROR(__xludf.DUMMYFUNCTION("""COMPUTED_VALUE"""),875.0)</f>
        <v>875</v>
      </c>
      <c r="E27" s="3">
        <f>IFERROR(__xludf.DUMMYFUNCTION("""COMPUTED_VALUE"""),2.5521968971625E7)</f>
        <v>25521968.97</v>
      </c>
      <c r="F27" s="3" t="str">
        <f>IFERROR(__xludf.DUMMYFUNCTION("""COMPUTED_VALUE"""),"BTC")</f>
        <v>BTC</v>
      </c>
      <c r="G27" s="3"/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IFERROR(__xludf.DUMMYFUNCTION("""COMPUTED_VALUE"""),28597.029821)</f>
        <v>28597.02982</v>
      </c>
      <c r="C28" s="3">
        <f>IFERROR(__xludf.DUMMYFUNCTION("""COMPUTED_VALUE"""),1.905025E7)</f>
        <v>19050250</v>
      </c>
      <c r="D28" s="3">
        <f>IFERROR(__xludf.DUMMYFUNCTION("""COMPUTED_VALUE"""),850.0)</f>
        <v>850</v>
      </c>
      <c r="E28" s="3">
        <f>IFERROR(__xludf.DUMMYFUNCTION("""COMPUTED_VALUE"""),2.430747534785E7)</f>
        <v>24307475.35</v>
      </c>
      <c r="F28" s="3" t="str">
        <f>IFERROR(__xludf.DUMMYFUNCTION("""COMPUTED_VALUE"""),"BTC")</f>
        <v>BTC</v>
      </c>
      <c r="G28" s="3"/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IFERROR(__xludf.DUMMYFUNCTION("""COMPUTED_VALUE"""),29009.301507)</f>
        <v>29009.30151</v>
      </c>
      <c r="C29" s="3">
        <f>IFERROR(__xludf.DUMMYFUNCTION("""COMPUTED_VALUE"""),1.905115E7)</f>
        <v>19051150</v>
      </c>
      <c r="D29" s="3">
        <f>IFERROR(__xludf.DUMMYFUNCTION("""COMPUTED_VALUE"""),900.0)</f>
        <v>900</v>
      </c>
      <c r="E29" s="3">
        <f>IFERROR(__xludf.DUMMYFUNCTION("""COMPUTED_VALUE"""),2.61083713563E7)</f>
        <v>26108371.36</v>
      </c>
      <c r="F29" s="3" t="str">
        <f>IFERROR(__xludf.DUMMYFUNCTION("""COMPUTED_VALUE"""),"BTC")</f>
        <v>BTC</v>
      </c>
      <c r="G29" s="3"/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IFERROR(__xludf.DUMMYFUNCTION("""COMPUTED_VALUE"""),29452.109529)</f>
        <v>29452.10953</v>
      </c>
      <c r="C30" s="3">
        <f>IFERROR(__xludf.DUMMYFUNCTION("""COMPUTED_VALUE"""),1.9052093E7)</f>
        <v>19052093</v>
      </c>
      <c r="D30" s="3">
        <f>IFERROR(__xludf.DUMMYFUNCTION("""COMPUTED_VALUE"""),943.0)</f>
        <v>943</v>
      </c>
      <c r="E30" s="3">
        <f>IFERROR(__xludf.DUMMYFUNCTION("""COMPUTED_VALUE"""),2.7773339285847E7)</f>
        <v>27773339.29</v>
      </c>
      <c r="F30" s="3" t="str">
        <f>IFERROR(__xludf.DUMMYFUNCTION("""COMPUTED_VALUE"""),"BTC")</f>
        <v>BTC</v>
      </c>
      <c r="G30" s="3"/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IFERROR(__xludf.DUMMYFUNCTION("""COMPUTED_VALUE"""),31708.966946)</f>
        <v>31708.96695</v>
      </c>
      <c r="C31" s="3">
        <f>IFERROR(__xludf.DUMMYFUNCTION("""COMPUTED_VALUE"""),1.9053031E7)</f>
        <v>19053031</v>
      </c>
      <c r="D31" s="3">
        <f>IFERROR(__xludf.DUMMYFUNCTION("""COMPUTED_VALUE"""),938.0)</f>
        <v>938</v>
      </c>
      <c r="E31" s="3">
        <f>IFERROR(__xludf.DUMMYFUNCTION("""COMPUTED_VALUE"""),2.9743010995348E7)</f>
        <v>29743011</v>
      </c>
      <c r="F31" s="3" t="str">
        <f>IFERROR(__xludf.DUMMYFUNCTION("""COMPUTED_VALUE"""),"BTC")</f>
        <v>BTC</v>
      </c>
      <c r="G31" s="3"/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IFERROR(__xludf.DUMMYFUNCTION("""COMPUTED_VALUE"""),31771.389376)</f>
        <v>31771.38938</v>
      </c>
      <c r="C32" s="3">
        <f>IFERROR(__xludf.DUMMYFUNCTION("""COMPUTED_VALUE"""),1.9053962E7)</f>
        <v>19053962</v>
      </c>
      <c r="D32" s="3">
        <f>IFERROR(__xludf.DUMMYFUNCTION("""COMPUTED_VALUE"""),931.0)</f>
        <v>931</v>
      </c>
      <c r="E32" s="3">
        <f>IFERROR(__xludf.DUMMYFUNCTION("""COMPUTED_VALUE"""),2.9579163509056E7)</f>
        <v>29579163.51</v>
      </c>
      <c r="F32" s="3" t="str">
        <f>IFERROR(__xludf.DUMMYFUNCTION("""COMPUTED_VALUE"""),"BTC")</f>
        <v>BTC</v>
      </c>
      <c r="G32" s="3"/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IFERROR(__xludf.DUMMYFUNCTION("""COMPUTED_VALUE"""),29788.693905)</f>
        <v>29788.69391</v>
      </c>
      <c r="C33" s="3">
        <f>IFERROR(__xludf.DUMMYFUNCTION("""COMPUTED_VALUE"""),1.9054856E7)</f>
        <v>19054856</v>
      </c>
      <c r="D33" s="3">
        <f>IFERROR(__xludf.DUMMYFUNCTION("""COMPUTED_VALUE"""),894.0)</f>
        <v>894</v>
      </c>
      <c r="E33" s="3">
        <f>IFERROR(__xludf.DUMMYFUNCTION("""COMPUTED_VALUE"""),2.663109235107E7)</f>
        <v>26631092.35</v>
      </c>
      <c r="F33" s="3" t="str">
        <f>IFERROR(__xludf.DUMMYFUNCTION("""COMPUTED_VALUE"""),"BTC")</f>
        <v>BTC</v>
      </c>
      <c r="G33" s="3"/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IFERROR(__xludf.DUMMYFUNCTION("""COMPUTED_VALUE"""),30436.463428)</f>
        <v>30436.46343</v>
      </c>
      <c r="C34" s="3">
        <f>IFERROR(__xludf.DUMMYFUNCTION("""COMPUTED_VALUE"""),1.9055712E7)</f>
        <v>19055712</v>
      </c>
      <c r="D34" s="3">
        <f>IFERROR(__xludf.DUMMYFUNCTION("""COMPUTED_VALUE"""),856.0)</f>
        <v>856</v>
      </c>
      <c r="E34" s="3">
        <f>IFERROR(__xludf.DUMMYFUNCTION("""COMPUTED_VALUE"""),2.6053612694368E7)</f>
        <v>26053612.69</v>
      </c>
      <c r="F34" s="3" t="str">
        <f>IFERROR(__xludf.DUMMYFUNCTION("""COMPUTED_VALUE"""),"BTC")</f>
        <v>BTC</v>
      </c>
      <c r="G34" s="3"/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IFERROR(__xludf.DUMMYFUNCTION("""COMPUTED_VALUE"""),29676.165409)</f>
        <v>29676.16541</v>
      </c>
      <c r="C35" s="3">
        <f>IFERROR(__xludf.DUMMYFUNCTION("""COMPUTED_VALUE"""),1.9056493E7)</f>
        <v>19056493</v>
      </c>
      <c r="D35" s="3">
        <f>IFERROR(__xludf.DUMMYFUNCTION("""COMPUTED_VALUE"""),781.0)</f>
        <v>781</v>
      </c>
      <c r="E35" s="3">
        <f>IFERROR(__xludf.DUMMYFUNCTION("""COMPUTED_VALUE"""),2.3177085184429E7)</f>
        <v>23177085.18</v>
      </c>
      <c r="F35" s="3" t="str">
        <f>IFERROR(__xludf.DUMMYFUNCTION("""COMPUTED_VALUE"""),"BTC")</f>
        <v>BTC</v>
      </c>
      <c r="G35" s="3"/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IFERROR(__xludf.DUMMYFUNCTION("""COMPUTED_VALUE"""),29847.733072)</f>
        <v>29847.73307</v>
      </c>
      <c r="C36" s="3">
        <f>IFERROR(__xludf.DUMMYFUNCTION("""COMPUTED_VALUE"""),1.9057387E7)</f>
        <v>19057387</v>
      </c>
      <c r="D36" s="3">
        <f>IFERROR(__xludf.DUMMYFUNCTION("""COMPUTED_VALUE"""),894.0)</f>
        <v>894</v>
      </c>
      <c r="E36" s="3">
        <f>IFERROR(__xludf.DUMMYFUNCTION("""COMPUTED_VALUE"""),2.6683873366368E7)</f>
        <v>26683873.37</v>
      </c>
      <c r="F36" s="3" t="str">
        <f>IFERROR(__xludf.DUMMYFUNCTION("""COMPUTED_VALUE"""),"BTC")</f>
        <v>BTC</v>
      </c>
      <c r="G36" s="3"/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IFERROR(__xludf.DUMMYFUNCTION("""COMPUTED_VALUE"""),29899.877693)</f>
        <v>29899.87769</v>
      </c>
      <c r="C37" s="3">
        <f>IFERROR(__xludf.DUMMYFUNCTION("""COMPUTED_VALUE"""),1.9058293E7)</f>
        <v>19058293</v>
      </c>
      <c r="D37" s="3">
        <f>IFERROR(__xludf.DUMMYFUNCTION("""COMPUTED_VALUE"""),906.0)</f>
        <v>906</v>
      </c>
      <c r="E37" s="3">
        <f>IFERROR(__xludf.DUMMYFUNCTION("""COMPUTED_VALUE"""),2.7089289189857997E7)</f>
        <v>27089289.19</v>
      </c>
      <c r="F37" s="3" t="str">
        <f>IFERROR(__xludf.DUMMYFUNCTION("""COMPUTED_VALUE"""),"BTC")</f>
        <v>BTC</v>
      </c>
      <c r="G37" s="3"/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IFERROR(__xludf.DUMMYFUNCTION("""COMPUTED_VALUE"""),31350.041508)</f>
        <v>31350.04151</v>
      </c>
      <c r="C38" s="3">
        <f>IFERROR(__xludf.DUMMYFUNCTION("""COMPUTED_VALUE"""),1.9059193E7)</f>
        <v>19059193</v>
      </c>
      <c r="D38" s="3">
        <f>IFERROR(__xludf.DUMMYFUNCTION("""COMPUTED_VALUE"""),900.0)</f>
        <v>900</v>
      </c>
      <c r="E38" s="3">
        <f>IFERROR(__xludf.DUMMYFUNCTION("""COMPUTED_VALUE"""),2.82150373572E7)</f>
        <v>28215037.36</v>
      </c>
      <c r="F38" s="3" t="str">
        <f>IFERROR(__xludf.DUMMYFUNCTION("""COMPUTED_VALUE"""),"BTC")</f>
        <v>BTC</v>
      </c>
      <c r="G38" s="3"/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IFERROR(__xludf.DUMMYFUNCTION("""COMPUTED_VALUE"""),31107.537985)</f>
        <v>31107.53799</v>
      </c>
      <c r="C39" s="3">
        <f>IFERROR(__xludf.DUMMYFUNCTION("""COMPUTED_VALUE"""),1.9060081E7)</f>
        <v>19060081</v>
      </c>
      <c r="D39" s="3">
        <f>IFERROR(__xludf.DUMMYFUNCTION("""COMPUTED_VALUE"""),888.0)</f>
        <v>888</v>
      </c>
      <c r="E39" s="3">
        <f>IFERROR(__xludf.DUMMYFUNCTION("""COMPUTED_VALUE"""),2.762349373068E7)</f>
        <v>27623493.73</v>
      </c>
      <c r="F39" s="3" t="str">
        <f>IFERROR(__xludf.DUMMYFUNCTION("""COMPUTED_VALUE"""),"BTC")</f>
        <v>BTC</v>
      </c>
      <c r="G39" s="3"/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IFERROR(__xludf.DUMMYFUNCTION("""COMPUTED_VALUE"""),30189.674427)</f>
        <v>30189.67443</v>
      </c>
      <c r="C40" s="3">
        <f>IFERROR(__xludf.DUMMYFUNCTION("""COMPUTED_VALUE"""),1.9061106E7)</f>
        <v>19061106</v>
      </c>
      <c r="D40" s="3">
        <f>IFERROR(__xludf.DUMMYFUNCTION("""COMPUTED_VALUE"""),1025.0)</f>
        <v>1025</v>
      </c>
      <c r="E40" s="3">
        <f>IFERROR(__xludf.DUMMYFUNCTION("""COMPUTED_VALUE"""),3.0944416287675E7)</f>
        <v>30944416.29</v>
      </c>
      <c r="F40" s="3" t="str">
        <f>IFERROR(__xludf.DUMMYFUNCTION("""COMPUTED_VALUE"""),"BTC")</f>
        <v>BTC</v>
      </c>
      <c r="G40" s="3"/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IFERROR(__xludf.DUMMYFUNCTION("""COMPUTED_VALUE"""),30076.379892)</f>
        <v>30076.37989</v>
      </c>
      <c r="C41" s="3">
        <f>IFERROR(__xludf.DUMMYFUNCTION("""COMPUTED_VALUE"""),1.9062237E7)</f>
        <v>19062237</v>
      </c>
      <c r="D41" s="3">
        <f>IFERROR(__xludf.DUMMYFUNCTION("""COMPUTED_VALUE"""),1131.0)</f>
        <v>1131</v>
      </c>
      <c r="E41" s="3">
        <f>IFERROR(__xludf.DUMMYFUNCTION("""COMPUTED_VALUE"""),3.4016385657852E7)</f>
        <v>34016385.66</v>
      </c>
      <c r="F41" s="3" t="str">
        <f>IFERROR(__xludf.DUMMYFUNCTION("""COMPUTED_VALUE"""),"BTC")</f>
        <v>BTC</v>
      </c>
      <c r="G41" s="3"/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IFERROR(__xludf.DUMMYFUNCTION("""COMPUTED_VALUE"""),29069.629058)</f>
        <v>29069.62906</v>
      </c>
      <c r="C42" s="3">
        <f>IFERROR(__xludf.DUMMYFUNCTION("""COMPUTED_VALUE"""),1.9063137E7)</f>
        <v>19063137</v>
      </c>
      <c r="D42" s="3">
        <f>IFERROR(__xludf.DUMMYFUNCTION("""COMPUTED_VALUE"""),900.0)</f>
        <v>900</v>
      </c>
      <c r="E42" s="3">
        <f>IFERROR(__xludf.DUMMYFUNCTION("""COMPUTED_VALUE"""),2.61626661522E7)</f>
        <v>26162666.15</v>
      </c>
      <c r="F42" s="3" t="str">
        <f>IFERROR(__xludf.DUMMYFUNCTION("""COMPUTED_VALUE"""),"BTC")</f>
        <v>BTC</v>
      </c>
      <c r="G42" s="3"/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IFERROR(__xludf.DUMMYFUNCTION("""COMPUTED_VALUE"""),28393.12275)</f>
        <v>28393.12275</v>
      </c>
      <c r="C43" s="3">
        <f>IFERROR(__xludf.DUMMYFUNCTION("""COMPUTED_VALUE"""),1.9064075E7)</f>
        <v>19064075</v>
      </c>
      <c r="D43" s="3">
        <f>IFERROR(__xludf.DUMMYFUNCTION("""COMPUTED_VALUE"""),938.0)</f>
        <v>938</v>
      </c>
      <c r="E43" s="3">
        <f>IFERROR(__xludf.DUMMYFUNCTION("""COMPUTED_VALUE"""),2.66327491395E7)</f>
        <v>26632749.14</v>
      </c>
      <c r="F43" s="3" t="str">
        <f>IFERROR(__xludf.DUMMYFUNCTION("""COMPUTED_VALUE"""),"BTC")</f>
        <v>BTC</v>
      </c>
      <c r="G43" s="3"/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IFERROR(__xludf.DUMMYFUNCTION("""COMPUTED_VALUE"""),26553.86776)</f>
        <v>26553.86776</v>
      </c>
      <c r="C44" s="3">
        <f>IFERROR(__xludf.DUMMYFUNCTION("""COMPUTED_VALUE"""),1.9064987E7)</f>
        <v>19064987</v>
      </c>
      <c r="D44" s="3">
        <f>IFERROR(__xludf.DUMMYFUNCTION("""COMPUTED_VALUE"""),912.0)</f>
        <v>912</v>
      </c>
      <c r="E44" s="3">
        <f>IFERROR(__xludf.DUMMYFUNCTION("""COMPUTED_VALUE"""),2.4217127397120003E7)</f>
        <v>24217127.4</v>
      </c>
      <c r="F44" s="3" t="str">
        <f>IFERROR(__xludf.DUMMYFUNCTION("""COMPUTED_VALUE"""),"BTC")</f>
        <v>BTC</v>
      </c>
      <c r="G44" s="3"/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IFERROR(__xludf.DUMMYFUNCTION("""COMPUTED_VALUE"""),22454.299298)</f>
        <v>22454.2993</v>
      </c>
      <c r="C45" s="3">
        <f>IFERROR(__xludf.DUMMYFUNCTION("""COMPUTED_VALUE"""),1.9065843E7)</f>
        <v>19065843</v>
      </c>
      <c r="D45" s="3">
        <f>IFERROR(__xludf.DUMMYFUNCTION("""COMPUTED_VALUE"""),856.0)</f>
        <v>856</v>
      </c>
      <c r="E45" s="3">
        <f>IFERROR(__xludf.DUMMYFUNCTION("""COMPUTED_VALUE"""),1.9220880199088E7)</f>
        <v>19220880.2</v>
      </c>
      <c r="F45" s="3" t="str">
        <f>IFERROR(__xludf.DUMMYFUNCTION("""COMPUTED_VALUE"""),"BTC")</f>
        <v>BTC</v>
      </c>
      <c r="G45" s="3"/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IFERROR(__xludf.DUMMYFUNCTION("""COMPUTED_VALUE"""),22110.001141)</f>
        <v>22110.00114</v>
      </c>
      <c r="C46" s="3">
        <f>IFERROR(__xludf.DUMMYFUNCTION("""COMPUTED_VALUE"""),1.9066681E7)</f>
        <v>19066681</v>
      </c>
      <c r="D46" s="3">
        <f>IFERROR(__xludf.DUMMYFUNCTION("""COMPUTED_VALUE"""),838.0)</f>
        <v>838</v>
      </c>
      <c r="E46" s="3">
        <f>IFERROR(__xludf.DUMMYFUNCTION("""COMPUTED_VALUE"""),1.8528180956158E7)</f>
        <v>18528180.96</v>
      </c>
      <c r="F46" s="3" t="str">
        <f>IFERROR(__xludf.DUMMYFUNCTION("""COMPUTED_VALUE"""),"BTC")</f>
        <v>BTC</v>
      </c>
      <c r="G46" s="3"/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IFERROR(__xludf.DUMMYFUNCTION("""COMPUTED_VALUE"""),22557.775395)</f>
        <v>22557.7754</v>
      </c>
      <c r="C47" s="3">
        <f>IFERROR(__xludf.DUMMYFUNCTION("""COMPUTED_VALUE"""),1.906755E7)</f>
        <v>19067550</v>
      </c>
      <c r="D47" s="3">
        <f>IFERROR(__xludf.DUMMYFUNCTION("""COMPUTED_VALUE"""),869.0)</f>
        <v>869</v>
      </c>
      <c r="E47" s="3">
        <f>IFERROR(__xludf.DUMMYFUNCTION("""COMPUTED_VALUE"""),1.9602706818255E7)</f>
        <v>19602706.82</v>
      </c>
      <c r="F47" s="3" t="str">
        <f>IFERROR(__xludf.DUMMYFUNCTION("""COMPUTED_VALUE"""),"BTC")</f>
        <v>BTC</v>
      </c>
      <c r="G47" s="3"/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IFERROR(__xludf.DUMMYFUNCTION("""COMPUTED_VALUE"""),20370.981748)</f>
        <v>20370.98175</v>
      </c>
      <c r="C48" s="3">
        <f>IFERROR(__xludf.DUMMYFUNCTION("""COMPUTED_VALUE"""),1.9068587E7)</f>
        <v>19068587</v>
      </c>
      <c r="D48" s="3">
        <f>IFERROR(__xludf.DUMMYFUNCTION("""COMPUTED_VALUE"""),1037.0)</f>
        <v>1037</v>
      </c>
      <c r="E48" s="3">
        <f>IFERROR(__xludf.DUMMYFUNCTION("""COMPUTED_VALUE"""),2.1124708072676E7)</f>
        <v>21124708.07</v>
      </c>
      <c r="F48" s="3" t="str">
        <f>IFERROR(__xludf.DUMMYFUNCTION("""COMPUTED_VALUE"""),"BTC")</f>
        <v>BTC</v>
      </c>
      <c r="G48" s="3"/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IFERROR(__xludf.DUMMYFUNCTION("""COMPUTED_VALUE"""),20413.201586)</f>
        <v>20413.20159</v>
      </c>
      <c r="C49" s="3">
        <f>IFERROR(__xludf.DUMMYFUNCTION("""COMPUTED_VALUE"""),1.906935E7)</f>
        <v>19069350</v>
      </c>
      <c r="D49" s="3">
        <f>IFERROR(__xludf.DUMMYFUNCTION("""COMPUTED_VALUE"""),763.0)</f>
        <v>763</v>
      </c>
      <c r="E49" s="3">
        <f>IFERROR(__xludf.DUMMYFUNCTION("""COMPUTED_VALUE"""),1.5575272810118E7)</f>
        <v>15575272.81</v>
      </c>
      <c r="F49" s="3" t="str">
        <f>IFERROR(__xludf.DUMMYFUNCTION("""COMPUTED_VALUE"""),"BTC")</f>
        <v>BTC</v>
      </c>
      <c r="G49" s="3"/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IFERROR(__xludf.DUMMYFUNCTION("""COMPUTED_VALUE"""),18947.075421)</f>
        <v>18947.07542</v>
      </c>
      <c r="C50" s="3">
        <f>IFERROR(__xludf.DUMMYFUNCTION("""COMPUTED_VALUE"""),1.9070018E7)</f>
        <v>19070018</v>
      </c>
      <c r="D50" s="3">
        <f>IFERROR(__xludf.DUMMYFUNCTION("""COMPUTED_VALUE"""),668.0)</f>
        <v>668</v>
      </c>
      <c r="E50" s="3">
        <f>IFERROR(__xludf.DUMMYFUNCTION("""COMPUTED_VALUE"""),1.2656646381228002E7)</f>
        <v>12656646.38</v>
      </c>
      <c r="F50" s="3" t="str">
        <f>IFERROR(__xludf.DUMMYFUNCTION("""COMPUTED_VALUE"""),"BTC")</f>
        <v>BTC</v>
      </c>
      <c r="G50" s="3"/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IFERROR(__xludf.DUMMYFUNCTION("""COMPUTED_VALUE"""),20547.071879)</f>
        <v>20547.07188</v>
      </c>
      <c r="C51" s="3">
        <f>IFERROR(__xludf.DUMMYFUNCTION("""COMPUTED_VALUE"""),1.9070993E7)</f>
        <v>19070993</v>
      </c>
      <c r="D51" s="3">
        <f>IFERROR(__xludf.DUMMYFUNCTION("""COMPUTED_VALUE"""),975.0)</f>
        <v>975</v>
      </c>
      <c r="E51" s="3">
        <f>IFERROR(__xludf.DUMMYFUNCTION("""COMPUTED_VALUE"""),2.0033395082025E7)</f>
        <v>20033395.08</v>
      </c>
      <c r="F51" s="3" t="str">
        <f>IFERROR(__xludf.DUMMYFUNCTION("""COMPUTED_VALUE"""),"BTC")</f>
        <v>BTC</v>
      </c>
      <c r="G51" s="3"/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IFERROR(__xludf.DUMMYFUNCTION("""COMPUTED_VALUE"""),20551.426495)</f>
        <v>20551.4265</v>
      </c>
      <c r="C52" s="3">
        <f>IFERROR(__xludf.DUMMYFUNCTION("""COMPUTED_VALUE"""),1.907185E7)</f>
        <v>19071850</v>
      </c>
      <c r="D52" s="3">
        <f>IFERROR(__xludf.DUMMYFUNCTION("""COMPUTED_VALUE"""),857.0)</f>
        <v>857</v>
      </c>
      <c r="E52" s="3">
        <f>IFERROR(__xludf.DUMMYFUNCTION("""COMPUTED_VALUE"""),1.7612572506215E7)</f>
        <v>17612572.51</v>
      </c>
      <c r="F52" s="3" t="str">
        <f>IFERROR(__xludf.DUMMYFUNCTION("""COMPUTED_VALUE"""),"BTC")</f>
        <v>BTC</v>
      </c>
      <c r="G52" s="3"/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IFERROR(__xludf.DUMMYFUNCTION("""COMPUTED_VALUE"""),20696.526127)</f>
        <v>20696.52613</v>
      </c>
      <c r="C53" s="3">
        <f>IFERROR(__xludf.DUMMYFUNCTION("""COMPUTED_VALUE"""),1.9072662E7)</f>
        <v>19072662</v>
      </c>
      <c r="D53" s="3">
        <f>IFERROR(__xludf.DUMMYFUNCTION("""COMPUTED_VALUE"""),812.0)</f>
        <v>812</v>
      </c>
      <c r="E53" s="3">
        <f>IFERROR(__xludf.DUMMYFUNCTION("""COMPUTED_VALUE"""),1.6805579215124E7)</f>
        <v>16805579.22</v>
      </c>
      <c r="F53" s="3" t="str">
        <f>IFERROR(__xludf.DUMMYFUNCTION("""COMPUTED_VALUE"""),"BTC")</f>
        <v>BTC</v>
      </c>
      <c r="G53" s="3"/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IFERROR(__xludf.DUMMYFUNCTION("""COMPUTED_VALUE"""),19963.620056)</f>
        <v>19963.62006</v>
      </c>
      <c r="C54" s="3">
        <f>IFERROR(__xludf.DUMMYFUNCTION("""COMPUTED_VALUE"""),1.90736E7)</f>
        <v>19073600</v>
      </c>
      <c r="D54" s="3">
        <f>IFERROR(__xludf.DUMMYFUNCTION("""COMPUTED_VALUE"""),938.0)</f>
        <v>938</v>
      </c>
      <c r="E54" s="3">
        <f>IFERROR(__xludf.DUMMYFUNCTION("""COMPUTED_VALUE"""),1.8725875612528E7)</f>
        <v>18725875.61</v>
      </c>
      <c r="F54" s="3" t="str">
        <f>IFERROR(__xludf.DUMMYFUNCTION("""COMPUTED_VALUE"""),"BTC")</f>
        <v>BTC</v>
      </c>
      <c r="G54" s="3"/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IFERROR(__xludf.DUMMYFUNCTION("""COMPUTED_VALUE"""),21089.983764)</f>
        <v>21089.98376</v>
      </c>
      <c r="C55" s="3">
        <f>IFERROR(__xludf.DUMMYFUNCTION("""COMPUTED_VALUE"""),1.9074375E7)</f>
        <v>19074375</v>
      </c>
      <c r="D55" s="3">
        <f>IFERROR(__xludf.DUMMYFUNCTION("""COMPUTED_VALUE"""),775.0)</f>
        <v>775</v>
      </c>
      <c r="E55" s="3">
        <f>IFERROR(__xludf.DUMMYFUNCTION("""COMPUTED_VALUE"""),1.6344737417100001E7)</f>
        <v>16344737.42</v>
      </c>
      <c r="F55" s="3" t="str">
        <f>IFERROR(__xludf.DUMMYFUNCTION("""COMPUTED_VALUE"""),"BTC")</f>
        <v>BTC</v>
      </c>
      <c r="G55" s="3"/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IFERROR(__xludf.DUMMYFUNCTION("""COMPUTED_VALUE"""),21112.96488)</f>
        <v>21112.96488</v>
      </c>
      <c r="C56" s="3">
        <f>IFERROR(__xludf.DUMMYFUNCTION("""COMPUTED_VALUE"""),1.9075325E7)</f>
        <v>19075325</v>
      </c>
      <c r="D56" s="3">
        <f>IFERROR(__xludf.DUMMYFUNCTION("""COMPUTED_VALUE"""),950.0)</f>
        <v>950</v>
      </c>
      <c r="E56" s="3">
        <f>IFERROR(__xludf.DUMMYFUNCTION("""COMPUTED_VALUE"""),2.0057316636E7)</f>
        <v>20057316.64</v>
      </c>
      <c r="F56" s="3" t="str">
        <f>IFERROR(__xludf.DUMMYFUNCTION("""COMPUTED_VALUE"""),"BTC")</f>
        <v>BTC</v>
      </c>
      <c r="G56" s="3"/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IFERROR(__xludf.DUMMYFUNCTION("""COMPUTED_VALUE"""),21479.437446)</f>
        <v>21479.43745</v>
      </c>
      <c r="C57" s="3">
        <f>IFERROR(__xludf.DUMMYFUNCTION("""COMPUTED_VALUE"""),1.9076162E7)</f>
        <v>19076162</v>
      </c>
      <c r="D57" s="3">
        <f>IFERROR(__xludf.DUMMYFUNCTION("""COMPUTED_VALUE"""),837.0)</f>
        <v>837</v>
      </c>
      <c r="E57" s="3">
        <f>IFERROR(__xludf.DUMMYFUNCTION("""COMPUTED_VALUE"""),1.7978289142302E7)</f>
        <v>17978289.14</v>
      </c>
      <c r="F57" s="3" t="str">
        <f>IFERROR(__xludf.DUMMYFUNCTION("""COMPUTED_VALUE"""),"BTC")</f>
        <v>BTC</v>
      </c>
      <c r="G57" s="3"/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IFERROR(__xludf.DUMMYFUNCTION("""COMPUTED_VALUE"""),21028.08688)</f>
        <v>21028.08688</v>
      </c>
      <c r="C58" s="3">
        <f>IFERROR(__xludf.DUMMYFUNCTION("""COMPUTED_VALUE"""),1.90771E7)</f>
        <v>19077100</v>
      </c>
      <c r="D58" s="3">
        <f>IFERROR(__xludf.DUMMYFUNCTION("""COMPUTED_VALUE"""),938.0)</f>
        <v>938</v>
      </c>
      <c r="E58" s="3">
        <f>IFERROR(__xludf.DUMMYFUNCTION("""COMPUTED_VALUE"""),1.972434549344E7)</f>
        <v>19724345.49</v>
      </c>
      <c r="F58" s="3" t="str">
        <f>IFERROR(__xludf.DUMMYFUNCTION("""COMPUTED_VALUE"""),"BTC")</f>
        <v>BTC</v>
      </c>
      <c r="G58" s="3"/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IFERROR(__xludf.DUMMYFUNCTION("""COMPUTED_VALUE"""),20719.11019)</f>
        <v>20719.11019</v>
      </c>
      <c r="C59" s="3">
        <f>IFERROR(__xludf.DUMMYFUNCTION("""COMPUTED_VALUE"""),1.9077962E7)</f>
        <v>19077962</v>
      </c>
      <c r="D59" s="3">
        <f>IFERROR(__xludf.DUMMYFUNCTION("""COMPUTED_VALUE"""),862.0)</f>
        <v>862</v>
      </c>
      <c r="E59" s="3">
        <f>IFERROR(__xludf.DUMMYFUNCTION("""COMPUTED_VALUE"""),1.785987298378E7)</f>
        <v>17859872.98</v>
      </c>
      <c r="F59" s="3" t="str">
        <f>IFERROR(__xludf.DUMMYFUNCTION("""COMPUTED_VALUE"""),"BTC")</f>
        <v>BTC</v>
      </c>
      <c r="G59" s="3"/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IFERROR(__xludf.DUMMYFUNCTION("""COMPUTED_VALUE"""),20256.414987)</f>
        <v>20256.41499</v>
      </c>
      <c r="C60" s="3">
        <f>IFERROR(__xludf.DUMMYFUNCTION("""COMPUTED_VALUE"""),1.9078743E7)</f>
        <v>19078743</v>
      </c>
      <c r="D60" s="3">
        <f>IFERROR(__xludf.DUMMYFUNCTION("""COMPUTED_VALUE"""),781.0)</f>
        <v>781</v>
      </c>
      <c r="E60" s="3">
        <f>IFERROR(__xludf.DUMMYFUNCTION("""COMPUTED_VALUE"""),1.5820260104847E7)</f>
        <v>15820260.1</v>
      </c>
      <c r="F60" s="3" t="str">
        <f>IFERROR(__xludf.DUMMYFUNCTION("""COMPUTED_VALUE"""),"BTC")</f>
        <v>BTC</v>
      </c>
      <c r="G60" s="3"/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IFERROR(__xludf.DUMMYFUNCTION("""COMPUTED_VALUE"""),20096.416033)</f>
        <v>20096.41603</v>
      </c>
      <c r="C61" s="3">
        <f>IFERROR(__xludf.DUMMYFUNCTION("""COMPUTED_VALUE"""),1.9079737E7)</f>
        <v>19079737</v>
      </c>
      <c r="D61" s="3">
        <f>IFERROR(__xludf.DUMMYFUNCTION("""COMPUTED_VALUE"""),994.0)</f>
        <v>994</v>
      </c>
      <c r="E61" s="3">
        <f>IFERROR(__xludf.DUMMYFUNCTION("""COMPUTED_VALUE"""),1.9975837536802E7)</f>
        <v>19975837.54</v>
      </c>
      <c r="F61" s="3" t="str">
        <f>IFERROR(__xludf.DUMMYFUNCTION("""COMPUTED_VALUE"""),"BTC")</f>
        <v>BTC</v>
      </c>
      <c r="G61" s="3"/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IFERROR(__xludf.DUMMYFUNCTION("""COMPUTED_VALUE"""),19944.730424)</f>
        <v>19944.73042</v>
      </c>
      <c r="C62" s="3">
        <f>IFERROR(__xludf.DUMMYFUNCTION("""COMPUTED_VALUE"""),1.9080662E7)</f>
        <v>19080662</v>
      </c>
      <c r="D62" s="3">
        <f>IFERROR(__xludf.DUMMYFUNCTION("""COMPUTED_VALUE"""),925.0)</f>
        <v>925</v>
      </c>
      <c r="E62" s="3">
        <f>IFERROR(__xludf.DUMMYFUNCTION("""COMPUTED_VALUE"""),1.84488756422E7)</f>
        <v>18448875.64</v>
      </c>
      <c r="F62" s="3" t="str">
        <f>IFERROR(__xludf.DUMMYFUNCTION("""COMPUTED_VALUE"""),"BTC")</f>
        <v>BTC</v>
      </c>
      <c r="G62" s="3"/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IFERROR(__xludf.DUMMYFUNCTION("""COMPUTED_VALUE"""),19252.146475)</f>
        <v>19252.14648</v>
      </c>
      <c r="C63" s="3">
        <f>IFERROR(__xludf.DUMMYFUNCTION("""COMPUTED_VALUE"""),1.90817E7)</f>
        <v>19081700</v>
      </c>
      <c r="D63" s="3">
        <f>IFERROR(__xludf.DUMMYFUNCTION("""COMPUTED_VALUE"""),1038.0)</f>
        <v>1038</v>
      </c>
      <c r="E63" s="3">
        <f>IFERROR(__xludf.DUMMYFUNCTION("""COMPUTED_VALUE"""),1.9983728041050002E7)</f>
        <v>19983728.04</v>
      </c>
      <c r="F63" s="3" t="str">
        <f>IFERROR(__xludf.DUMMYFUNCTION("""COMPUTED_VALUE"""),"BTC")</f>
        <v>BTC</v>
      </c>
      <c r="G63" s="3"/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IFERROR(__xludf.DUMMYFUNCTION("""COMPUTED_VALUE"""),19224.058542)</f>
        <v>19224.05854</v>
      </c>
      <c r="C64" s="3">
        <f>IFERROR(__xludf.DUMMYFUNCTION("""COMPUTED_VALUE"""),1.9082587E7)</f>
        <v>19082587</v>
      </c>
      <c r="D64" s="3">
        <f>IFERROR(__xludf.DUMMYFUNCTION("""COMPUTED_VALUE"""),887.0)</f>
        <v>887</v>
      </c>
      <c r="E64" s="3">
        <f>IFERROR(__xludf.DUMMYFUNCTION("""COMPUTED_VALUE"""),1.7051739926753998E7)</f>
        <v>17051739.93</v>
      </c>
      <c r="F64" s="3" t="str">
        <f>IFERROR(__xludf.DUMMYFUNCTION("""COMPUTED_VALUE"""),"BTC")</f>
        <v>BTC</v>
      </c>
      <c r="G64" s="3"/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IFERROR(__xludf.DUMMYFUNCTION("""COMPUTED_VALUE"""),19291.954943)</f>
        <v>19291.95494</v>
      </c>
      <c r="C65" s="3">
        <f>IFERROR(__xludf.DUMMYFUNCTION("""COMPUTED_VALUE"""),1.9083443E7)</f>
        <v>19083443</v>
      </c>
      <c r="D65" s="3">
        <f>IFERROR(__xludf.DUMMYFUNCTION("""COMPUTED_VALUE"""),856.0)</f>
        <v>856</v>
      </c>
      <c r="E65" s="3">
        <f>IFERROR(__xludf.DUMMYFUNCTION("""COMPUTED_VALUE"""),1.6513913431208001E7)</f>
        <v>16513913.43</v>
      </c>
      <c r="F65" s="3" t="str">
        <f>IFERROR(__xludf.DUMMYFUNCTION("""COMPUTED_VALUE"""),"BTC")</f>
        <v>BTC</v>
      </c>
      <c r="G65" s="3"/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IFERROR(__xludf.DUMMYFUNCTION("""COMPUTED_VALUE"""),20211.885516)</f>
        <v>20211.88552</v>
      </c>
      <c r="C66" s="3">
        <f>IFERROR(__xludf.DUMMYFUNCTION("""COMPUTED_VALUE"""),1.9084375E7)</f>
        <v>19084375</v>
      </c>
      <c r="D66" s="3">
        <f>IFERROR(__xludf.DUMMYFUNCTION("""COMPUTED_VALUE"""),932.0)</f>
        <v>932</v>
      </c>
      <c r="E66" s="3">
        <f>IFERROR(__xludf.DUMMYFUNCTION("""COMPUTED_VALUE"""),1.8837477300912E7)</f>
        <v>18837477.3</v>
      </c>
      <c r="F66" s="3" t="str">
        <f>IFERROR(__xludf.DUMMYFUNCTION("""COMPUTED_VALUE"""),"BTC")</f>
        <v>BTC</v>
      </c>
      <c r="G66" s="3"/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IFERROR(__xludf.DUMMYFUNCTION("""COMPUTED_VALUE"""),20159.349158)</f>
        <v>20159.34916</v>
      </c>
      <c r="C67" s="3">
        <f>IFERROR(__xludf.DUMMYFUNCTION("""COMPUTED_VALUE"""),1.9085293E7)</f>
        <v>19085293</v>
      </c>
      <c r="D67" s="3">
        <f>IFERROR(__xludf.DUMMYFUNCTION("""COMPUTED_VALUE"""),918.0)</f>
        <v>918</v>
      </c>
      <c r="E67" s="3">
        <f>IFERROR(__xludf.DUMMYFUNCTION("""COMPUTED_VALUE"""),1.8506282527044002E7)</f>
        <v>18506282.53</v>
      </c>
      <c r="F67" s="3" t="str">
        <f>IFERROR(__xludf.DUMMYFUNCTION("""COMPUTED_VALUE"""),"BTC")</f>
        <v>BTC</v>
      </c>
      <c r="G67" s="3"/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IFERROR(__xludf.DUMMYFUNCTION("""COMPUTED_VALUE"""),20544.630589)</f>
        <v>20544.63059</v>
      </c>
      <c r="C68" s="3">
        <f>IFERROR(__xludf.DUMMYFUNCTION("""COMPUTED_VALUE"""),1.9086062E7)</f>
        <v>19086062</v>
      </c>
      <c r="D68" s="3">
        <f>IFERROR(__xludf.DUMMYFUNCTION("""COMPUTED_VALUE"""),769.0)</f>
        <v>769</v>
      </c>
      <c r="E68" s="3">
        <f>IFERROR(__xludf.DUMMYFUNCTION("""COMPUTED_VALUE"""),1.5798820922941001E7)</f>
        <v>15798820.92</v>
      </c>
      <c r="F68" s="3" t="str">
        <f>IFERROR(__xludf.DUMMYFUNCTION("""COMPUTED_VALUE"""),"BTC")</f>
        <v>BTC</v>
      </c>
      <c r="G68" s="3"/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IFERROR(__xludf.DUMMYFUNCTION("""COMPUTED_VALUE"""),21612.685158)</f>
        <v>21612.68516</v>
      </c>
      <c r="C69" s="3">
        <f>IFERROR(__xludf.DUMMYFUNCTION("""COMPUTED_VALUE"""),1.9086831E7)</f>
        <v>19086831</v>
      </c>
      <c r="D69" s="3">
        <f>IFERROR(__xludf.DUMMYFUNCTION("""COMPUTED_VALUE"""),769.0)</f>
        <v>769</v>
      </c>
      <c r="E69" s="3">
        <f>IFERROR(__xludf.DUMMYFUNCTION("""COMPUTED_VALUE"""),1.6620154886502E7)</f>
        <v>16620154.89</v>
      </c>
      <c r="F69" s="3" t="str">
        <f>IFERROR(__xludf.DUMMYFUNCTION("""COMPUTED_VALUE"""),"BTC")</f>
        <v>BTC</v>
      </c>
      <c r="G69" s="3"/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IFERROR(__xludf.DUMMYFUNCTION("""COMPUTED_VALUE"""),21588.881649)</f>
        <v>21588.88165</v>
      </c>
      <c r="C70" s="3">
        <f>IFERROR(__xludf.DUMMYFUNCTION("""COMPUTED_VALUE"""),1.90878E7)</f>
        <v>19087800</v>
      </c>
      <c r="D70" s="3">
        <f>IFERROR(__xludf.DUMMYFUNCTION("""COMPUTED_VALUE"""),969.0)</f>
        <v>969</v>
      </c>
      <c r="E70" s="3">
        <f>IFERROR(__xludf.DUMMYFUNCTION("""COMPUTED_VALUE"""),2.0919626317881E7)</f>
        <v>20919626.32</v>
      </c>
      <c r="F70" s="3" t="str">
        <f>IFERROR(__xludf.DUMMYFUNCTION("""COMPUTED_VALUE"""),"BTC")</f>
        <v>BTC</v>
      </c>
      <c r="G70" s="3"/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IFERROR(__xludf.DUMMYFUNCTION("""COMPUTED_VALUE"""),21581.403251)</f>
        <v>21581.40325</v>
      </c>
      <c r="C71" s="3">
        <f>IFERROR(__xludf.DUMMYFUNCTION("""COMPUTED_VALUE"""),1.908875E7)</f>
        <v>19088750</v>
      </c>
      <c r="D71" s="3">
        <f>IFERROR(__xludf.DUMMYFUNCTION("""COMPUTED_VALUE"""),950.0)</f>
        <v>950</v>
      </c>
      <c r="E71" s="3">
        <f>IFERROR(__xludf.DUMMYFUNCTION("""COMPUTED_VALUE"""),2.050233308845E7)</f>
        <v>20502333.09</v>
      </c>
      <c r="F71" s="3" t="str">
        <f>IFERROR(__xludf.DUMMYFUNCTION("""COMPUTED_VALUE"""),"BTC")</f>
        <v>BTC</v>
      </c>
      <c r="G71" s="3"/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IFERROR(__xludf.DUMMYFUNCTION("""COMPUTED_VALUE"""),20849.061868)</f>
        <v>20849.06187</v>
      </c>
      <c r="C72" s="3">
        <f>IFERROR(__xludf.DUMMYFUNCTION("""COMPUTED_VALUE"""),1.9089537E7)</f>
        <v>19089537</v>
      </c>
      <c r="D72" s="3">
        <f>IFERROR(__xludf.DUMMYFUNCTION("""COMPUTED_VALUE"""),787.0)</f>
        <v>787</v>
      </c>
      <c r="E72" s="3">
        <f>IFERROR(__xludf.DUMMYFUNCTION("""COMPUTED_VALUE"""),1.6408211690116001E7)</f>
        <v>16408211.69</v>
      </c>
      <c r="F72" s="3" t="str">
        <f>IFERROR(__xludf.DUMMYFUNCTION("""COMPUTED_VALUE"""),"BTC")</f>
        <v>BTC</v>
      </c>
      <c r="G72" s="3"/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IFERROR(__xludf.DUMMYFUNCTION("""COMPUTED_VALUE"""),19945.553951)</f>
        <v>19945.55395</v>
      </c>
      <c r="C73" s="3">
        <f>IFERROR(__xludf.DUMMYFUNCTION("""COMPUTED_VALUE"""),1.9090556E7)</f>
        <v>19090556</v>
      </c>
      <c r="D73" s="3">
        <f>IFERROR(__xludf.DUMMYFUNCTION("""COMPUTED_VALUE"""),1019.0)</f>
        <v>1019</v>
      </c>
      <c r="E73" s="3">
        <f>IFERROR(__xludf.DUMMYFUNCTION("""COMPUTED_VALUE"""),2.0324519476069003E7)</f>
        <v>20324519.48</v>
      </c>
      <c r="F73" s="3" t="str">
        <f>IFERROR(__xludf.DUMMYFUNCTION("""COMPUTED_VALUE"""),"BTC")</f>
        <v>BTC</v>
      </c>
      <c r="G73" s="3"/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IFERROR(__xludf.DUMMYFUNCTION("""COMPUTED_VALUE"""),19311.500765)</f>
        <v>19311.50077</v>
      </c>
      <c r="C74" s="3">
        <f>IFERROR(__xludf.DUMMYFUNCTION("""COMPUTED_VALUE"""),1.9091318E7)</f>
        <v>19091318</v>
      </c>
      <c r="D74" s="3">
        <f>IFERROR(__xludf.DUMMYFUNCTION("""COMPUTED_VALUE"""),762.0)</f>
        <v>762</v>
      </c>
      <c r="E74" s="3">
        <f>IFERROR(__xludf.DUMMYFUNCTION("""COMPUTED_VALUE"""),1.471536358293E7)</f>
        <v>14715363.58</v>
      </c>
      <c r="F74" s="3" t="str">
        <f>IFERROR(__xludf.DUMMYFUNCTION("""COMPUTED_VALUE"""),"BTC")</f>
        <v>BTC</v>
      </c>
      <c r="G74" s="3"/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IFERROR(__xludf.DUMMYFUNCTION("""COMPUTED_VALUE"""),20223.657383)</f>
        <v>20223.65738</v>
      </c>
      <c r="C75" s="3">
        <f>IFERROR(__xludf.DUMMYFUNCTION("""COMPUTED_VALUE"""),1.9092237E7)</f>
        <v>19092237</v>
      </c>
      <c r="D75" s="3">
        <f>IFERROR(__xludf.DUMMYFUNCTION("""COMPUTED_VALUE"""),919.0)</f>
        <v>919</v>
      </c>
      <c r="E75" s="3">
        <f>IFERROR(__xludf.DUMMYFUNCTION("""COMPUTED_VALUE"""),1.8585541134977E7)</f>
        <v>18585541.13</v>
      </c>
      <c r="F75" s="3" t="str">
        <f>IFERROR(__xludf.DUMMYFUNCTION("""COMPUTED_VALUE"""),"BTC")</f>
        <v>BTC</v>
      </c>
      <c r="G75" s="3"/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IFERROR(__xludf.DUMMYFUNCTION("""COMPUTED_VALUE"""),20574.456765)</f>
        <v>20574.45677</v>
      </c>
      <c r="C76" s="3">
        <f>IFERROR(__xludf.DUMMYFUNCTION("""COMPUTED_VALUE"""),1.9092956E7)</f>
        <v>19092956</v>
      </c>
      <c r="D76" s="3">
        <f>IFERROR(__xludf.DUMMYFUNCTION("""COMPUTED_VALUE"""),719.0)</f>
        <v>719</v>
      </c>
      <c r="E76" s="3">
        <f>IFERROR(__xludf.DUMMYFUNCTION("""COMPUTED_VALUE"""),1.4793034414035E7)</f>
        <v>14793034.41</v>
      </c>
      <c r="F76" s="3" t="str">
        <f>IFERROR(__xludf.DUMMYFUNCTION("""COMPUTED_VALUE"""),"BTC")</f>
        <v>BTC</v>
      </c>
      <c r="G76" s="3"/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IFERROR(__xludf.DUMMYFUNCTION("""COMPUTED_VALUE"""),20819.9152)</f>
        <v>20819.9152</v>
      </c>
      <c r="C77" s="3">
        <f>IFERROR(__xludf.DUMMYFUNCTION("""COMPUTED_VALUE"""),1.9093693E7)</f>
        <v>19093693</v>
      </c>
      <c r="D77" s="3">
        <f>IFERROR(__xludf.DUMMYFUNCTION("""COMPUTED_VALUE"""),737.0)</f>
        <v>737</v>
      </c>
      <c r="E77" s="3">
        <f>IFERROR(__xludf.DUMMYFUNCTION("""COMPUTED_VALUE"""),1.53442775024E7)</f>
        <v>15344277.5</v>
      </c>
      <c r="F77" s="3" t="str">
        <f>IFERROR(__xludf.DUMMYFUNCTION("""COMPUTED_VALUE"""),"BTC")</f>
        <v>BTC</v>
      </c>
      <c r="G77" s="3"/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IFERROR(__xludf.DUMMYFUNCTION("""COMPUTED_VALUE"""),21191.602982)</f>
        <v>21191.60298</v>
      </c>
      <c r="C78" s="3">
        <f>IFERROR(__xludf.DUMMYFUNCTION("""COMPUTED_VALUE"""),1.9094593E7)</f>
        <v>19094593</v>
      </c>
      <c r="D78" s="3">
        <f>IFERROR(__xludf.DUMMYFUNCTION("""COMPUTED_VALUE"""),900.0)</f>
        <v>900</v>
      </c>
      <c r="E78" s="3">
        <f>IFERROR(__xludf.DUMMYFUNCTION("""COMPUTED_VALUE"""),1.90724426838E7)</f>
        <v>19072442.68</v>
      </c>
      <c r="F78" s="3" t="str">
        <f>IFERROR(__xludf.DUMMYFUNCTION("""COMPUTED_VALUE"""),"BTC")</f>
        <v>BTC</v>
      </c>
      <c r="G78" s="3"/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IFERROR(__xludf.DUMMYFUNCTION("""COMPUTED_VALUE"""),20792.178173)</f>
        <v>20792.17817</v>
      </c>
      <c r="C79" s="3">
        <f>IFERROR(__xludf.DUMMYFUNCTION("""COMPUTED_VALUE"""),1.90955E7)</f>
        <v>19095500</v>
      </c>
      <c r="D79" s="3">
        <f>IFERROR(__xludf.DUMMYFUNCTION("""COMPUTED_VALUE"""),907.0)</f>
        <v>907</v>
      </c>
      <c r="E79" s="3">
        <f>IFERROR(__xludf.DUMMYFUNCTION("""COMPUTED_VALUE"""),1.8858505602911E7)</f>
        <v>18858505.6</v>
      </c>
      <c r="F79" s="3" t="str">
        <f>IFERROR(__xludf.DUMMYFUNCTION("""COMPUTED_VALUE"""),"BTC")</f>
        <v>BTC</v>
      </c>
      <c r="G79" s="3"/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IFERROR(__xludf.DUMMYFUNCTION("""COMPUTED_VALUE"""),22436.613216)</f>
        <v>22436.61322</v>
      </c>
      <c r="C80" s="3">
        <f>IFERROR(__xludf.DUMMYFUNCTION("""COMPUTED_VALUE"""),1.9096287E7)</f>
        <v>19096287</v>
      </c>
      <c r="D80" s="3">
        <f>IFERROR(__xludf.DUMMYFUNCTION("""COMPUTED_VALUE"""),787.0)</f>
        <v>787</v>
      </c>
      <c r="E80" s="3">
        <f>IFERROR(__xludf.DUMMYFUNCTION("""COMPUTED_VALUE"""),1.7657614600992E7)</f>
        <v>17657614.6</v>
      </c>
      <c r="F80" s="3" t="str">
        <f>IFERROR(__xludf.DUMMYFUNCTION("""COMPUTED_VALUE"""),"BTC")</f>
        <v>BTC</v>
      </c>
      <c r="G80" s="3"/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IFERROR(__xludf.DUMMYFUNCTION("""COMPUTED_VALUE"""),23397.463138)</f>
        <v>23397.46314</v>
      </c>
      <c r="C81" s="3">
        <f>IFERROR(__xludf.DUMMYFUNCTION("""COMPUTED_VALUE"""),1.9097131E7)</f>
        <v>19097131</v>
      </c>
      <c r="D81" s="3">
        <f>IFERROR(__xludf.DUMMYFUNCTION("""COMPUTED_VALUE"""),844.0)</f>
        <v>844</v>
      </c>
      <c r="E81" s="3">
        <f>IFERROR(__xludf.DUMMYFUNCTION("""COMPUTED_VALUE"""),1.9747458888472E7)</f>
        <v>19747458.89</v>
      </c>
      <c r="F81" s="3" t="str">
        <f>IFERROR(__xludf.DUMMYFUNCTION("""COMPUTED_VALUE"""),"BTC")</f>
        <v>BTC</v>
      </c>
      <c r="G81" s="3"/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IFERROR(__xludf.DUMMYFUNCTION("""COMPUTED_VALUE"""),23224.022774)</f>
        <v>23224.02277</v>
      </c>
      <c r="C82" s="3">
        <f>IFERROR(__xludf.DUMMYFUNCTION("""COMPUTED_VALUE"""),1.9097975E7)</f>
        <v>19097975</v>
      </c>
      <c r="D82" s="3">
        <f>IFERROR(__xludf.DUMMYFUNCTION("""COMPUTED_VALUE"""),844.0)</f>
        <v>844</v>
      </c>
      <c r="E82" s="3">
        <f>IFERROR(__xludf.DUMMYFUNCTION("""COMPUTED_VALUE"""),1.9601075221256E7)</f>
        <v>19601075.22</v>
      </c>
      <c r="F82" s="3" t="str">
        <f>IFERROR(__xludf.DUMMYFUNCTION("""COMPUTED_VALUE"""),"BTC")</f>
        <v>BTC</v>
      </c>
      <c r="G82" s="3"/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IFERROR(__xludf.DUMMYFUNCTION("""COMPUTED_VALUE"""),23151.70478)</f>
        <v>23151.70478</v>
      </c>
      <c r="C83" s="3">
        <f>IFERROR(__xludf.DUMMYFUNCTION("""COMPUTED_VALUE"""),1.9098737E7)</f>
        <v>19098737</v>
      </c>
      <c r="D83" s="3">
        <f>IFERROR(__xludf.DUMMYFUNCTION("""COMPUTED_VALUE"""),762.0)</f>
        <v>762</v>
      </c>
      <c r="E83" s="3">
        <f>IFERROR(__xludf.DUMMYFUNCTION("""COMPUTED_VALUE"""),1.764159904236E7)</f>
        <v>17641599.04</v>
      </c>
      <c r="F83" s="3" t="str">
        <f>IFERROR(__xludf.DUMMYFUNCTION("""COMPUTED_VALUE"""),"BTC")</f>
        <v>BTC</v>
      </c>
      <c r="G83" s="3"/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IFERROR(__xludf.DUMMYFUNCTION("""COMPUTED_VALUE"""),22684.635948)</f>
        <v>22684.63595</v>
      </c>
      <c r="C84" s="3">
        <f>IFERROR(__xludf.DUMMYFUNCTION("""COMPUTED_VALUE"""),1.9099612E7)</f>
        <v>19099612</v>
      </c>
      <c r="D84" s="3">
        <f>IFERROR(__xludf.DUMMYFUNCTION("""COMPUTED_VALUE"""),875.0)</f>
        <v>875</v>
      </c>
      <c r="E84" s="3">
        <f>IFERROR(__xludf.DUMMYFUNCTION("""COMPUTED_VALUE"""),1.98490564545E7)</f>
        <v>19849056.45</v>
      </c>
      <c r="F84" s="3" t="str">
        <f>IFERROR(__xludf.DUMMYFUNCTION("""COMPUTED_VALUE"""),"BTC")</f>
        <v>BTC</v>
      </c>
      <c r="G84" s="3"/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IFERROR(__xludf.DUMMYFUNCTION("""COMPUTED_VALUE"""),22450.664718)</f>
        <v>22450.66472</v>
      </c>
      <c r="C85" s="3">
        <f>IFERROR(__xludf.DUMMYFUNCTION("""COMPUTED_VALUE"""),1.9100437E7)</f>
        <v>19100437</v>
      </c>
      <c r="D85" s="3">
        <f>IFERROR(__xludf.DUMMYFUNCTION("""COMPUTED_VALUE"""),825.0)</f>
        <v>825</v>
      </c>
      <c r="E85" s="3">
        <f>IFERROR(__xludf.DUMMYFUNCTION("""COMPUTED_VALUE"""),1.852179839235E7)</f>
        <v>18521798.39</v>
      </c>
      <c r="F85" s="3" t="str">
        <f>IFERROR(__xludf.DUMMYFUNCTION("""COMPUTED_VALUE"""),"BTC")</f>
        <v>BTC</v>
      </c>
      <c r="G85" s="3"/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IFERROR(__xludf.DUMMYFUNCTION("""COMPUTED_VALUE"""),22583.43794)</f>
        <v>22583.43794</v>
      </c>
      <c r="C86" s="3">
        <f>IFERROR(__xludf.DUMMYFUNCTION("""COMPUTED_VALUE"""),1.9101406E7)</f>
        <v>19101406</v>
      </c>
      <c r="D86" s="3">
        <f>IFERROR(__xludf.DUMMYFUNCTION("""COMPUTED_VALUE"""),969.0)</f>
        <v>969</v>
      </c>
      <c r="E86" s="3">
        <f>IFERROR(__xludf.DUMMYFUNCTION("""COMPUTED_VALUE"""),2.188335136386E7)</f>
        <v>21883351.36</v>
      </c>
      <c r="F86" s="3" t="str">
        <f>IFERROR(__xludf.DUMMYFUNCTION("""COMPUTED_VALUE"""),"BTC")</f>
        <v>BTC</v>
      </c>
      <c r="G86" s="3"/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IFERROR(__xludf.DUMMYFUNCTION("""COMPUTED_VALUE"""),21307.303433)</f>
        <v>21307.30343</v>
      </c>
      <c r="C87" s="3">
        <f>IFERROR(__xludf.DUMMYFUNCTION("""COMPUTED_VALUE"""),1.9102381E7)</f>
        <v>19102381</v>
      </c>
      <c r="D87" s="3">
        <f>IFERROR(__xludf.DUMMYFUNCTION("""COMPUTED_VALUE"""),975.0)</f>
        <v>975</v>
      </c>
      <c r="E87" s="3">
        <f>IFERROR(__xludf.DUMMYFUNCTION("""COMPUTED_VALUE"""),2.0774620847175002E7)</f>
        <v>20774620.85</v>
      </c>
      <c r="F87" s="3" t="str">
        <f>IFERROR(__xludf.DUMMYFUNCTION("""COMPUTED_VALUE"""),"BTC")</f>
        <v>BTC</v>
      </c>
      <c r="G87" s="3"/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IFERROR(__xludf.DUMMYFUNCTION("""COMPUTED_VALUE"""),21257.260059)</f>
        <v>21257.26006</v>
      </c>
      <c r="C88" s="3">
        <f>IFERROR(__xludf.DUMMYFUNCTION("""COMPUTED_VALUE"""),1.9103287E7)</f>
        <v>19103287</v>
      </c>
      <c r="D88" s="3">
        <f>IFERROR(__xludf.DUMMYFUNCTION("""COMPUTED_VALUE"""),906.0)</f>
        <v>906</v>
      </c>
      <c r="E88" s="3">
        <f>IFERROR(__xludf.DUMMYFUNCTION("""COMPUTED_VALUE"""),1.9259077613454E7)</f>
        <v>19259077.61</v>
      </c>
      <c r="F88" s="3" t="str">
        <f>IFERROR(__xludf.DUMMYFUNCTION("""COMPUTED_VALUE"""),"BTC")</f>
        <v>BTC</v>
      </c>
      <c r="G88" s="3"/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IFERROR(__xludf.DUMMYFUNCTION("""COMPUTED_VALUE"""),23006.555701)</f>
        <v>23006.5557</v>
      </c>
      <c r="C89" s="3">
        <f>IFERROR(__xludf.DUMMYFUNCTION("""COMPUTED_VALUE"""),1.9104275E7)</f>
        <v>19104275</v>
      </c>
      <c r="D89" s="3">
        <f>IFERROR(__xludf.DUMMYFUNCTION("""COMPUTED_VALUE"""),988.0)</f>
        <v>988</v>
      </c>
      <c r="E89" s="3">
        <f>IFERROR(__xludf.DUMMYFUNCTION("""COMPUTED_VALUE"""),2.2730477032588E7)</f>
        <v>22730477.03</v>
      </c>
      <c r="F89" s="3" t="str">
        <f>IFERROR(__xludf.DUMMYFUNCTION("""COMPUTED_VALUE"""),"BTC")</f>
        <v>BTC</v>
      </c>
      <c r="G89" s="3"/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IFERROR(__xludf.DUMMYFUNCTION("""COMPUTED_VALUE"""),23850.084964)</f>
        <v>23850.08496</v>
      </c>
      <c r="C90" s="3">
        <f>IFERROR(__xludf.DUMMYFUNCTION("""COMPUTED_VALUE"""),1.9105343E7)</f>
        <v>19105343</v>
      </c>
      <c r="D90" s="3">
        <f>IFERROR(__xludf.DUMMYFUNCTION("""COMPUTED_VALUE"""),1068.0)</f>
        <v>1068</v>
      </c>
      <c r="E90" s="3">
        <f>IFERROR(__xludf.DUMMYFUNCTION("""COMPUTED_VALUE"""),2.5471890741552003E7)</f>
        <v>25471890.74</v>
      </c>
      <c r="F90" s="3" t="str">
        <f>IFERROR(__xludf.DUMMYFUNCTION("""COMPUTED_VALUE"""),"BTC")</f>
        <v>BTC</v>
      </c>
      <c r="G90" s="3"/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IFERROR(__xludf.DUMMYFUNCTION("""COMPUTED_VALUE"""),23777.310145)</f>
        <v>23777.31015</v>
      </c>
      <c r="C91" s="3">
        <f>IFERROR(__xludf.DUMMYFUNCTION("""COMPUTED_VALUE"""),1.9106187E7)</f>
        <v>19106187</v>
      </c>
      <c r="D91" s="3">
        <f>IFERROR(__xludf.DUMMYFUNCTION("""COMPUTED_VALUE"""),844.0)</f>
        <v>844</v>
      </c>
      <c r="E91" s="3">
        <f>IFERROR(__xludf.DUMMYFUNCTION("""COMPUTED_VALUE"""),2.006804976238E7)</f>
        <v>20068049.76</v>
      </c>
      <c r="F91" s="3" t="str">
        <f>IFERROR(__xludf.DUMMYFUNCTION("""COMPUTED_VALUE"""),"BTC")</f>
        <v>BTC</v>
      </c>
      <c r="G91" s="3"/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IFERROR(__xludf.DUMMYFUNCTION("""COMPUTED_VALUE"""),23644.722864)</f>
        <v>23644.72286</v>
      </c>
      <c r="C92" s="3">
        <f>IFERROR(__xludf.DUMMYFUNCTION("""COMPUTED_VALUE"""),1.91071E7)</f>
        <v>19107100</v>
      </c>
      <c r="D92" s="3">
        <f>IFERROR(__xludf.DUMMYFUNCTION("""COMPUTED_VALUE"""),913.0)</f>
        <v>913</v>
      </c>
      <c r="E92" s="3">
        <f>IFERROR(__xludf.DUMMYFUNCTION("""COMPUTED_VALUE"""),2.1587631974832E7)</f>
        <v>21587631.97</v>
      </c>
      <c r="F92" s="3" t="str">
        <f>IFERROR(__xludf.DUMMYFUNCTION("""COMPUTED_VALUE"""),"BTC")</f>
        <v>BTC</v>
      </c>
      <c r="G92" s="3"/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IFERROR(__xludf.DUMMYFUNCTION("""COMPUTED_VALUE"""),23312.841916)</f>
        <v>23312.84192</v>
      </c>
      <c r="C93" s="3">
        <f>IFERROR(__xludf.DUMMYFUNCTION("""COMPUTED_VALUE"""),1.9107912E7)</f>
        <v>19107912</v>
      </c>
      <c r="D93" s="3">
        <f>IFERROR(__xludf.DUMMYFUNCTION("""COMPUTED_VALUE"""),812.0)</f>
        <v>812</v>
      </c>
      <c r="E93" s="3">
        <f>IFERROR(__xludf.DUMMYFUNCTION("""COMPUTED_VALUE"""),1.8930027635792002E7)</f>
        <v>18930027.64</v>
      </c>
      <c r="F93" s="3" t="str">
        <f>IFERROR(__xludf.DUMMYFUNCTION("""COMPUTED_VALUE"""),"BTC")</f>
        <v>BTC</v>
      </c>
      <c r="G93" s="3"/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IFERROR(__xludf.DUMMYFUNCTION("""COMPUTED_VALUE"""),23240.537234)</f>
        <v>23240.53723</v>
      </c>
      <c r="C94" s="3">
        <f>IFERROR(__xludf.DUMMYFUNCTION("""COMPUTED_VALUE"""),1.9108843E7)</f>
        <v>19108843</v>
      </c>
      <c r="D94" s="3">
        <f>IFERROR(__xludf.DUMMYFUNCTION("""COMPUTED_VALUE"""),931.0)</f>
        <v>931</v>
      </c>
      <c r="E94" s="3">
        <f>IFERROR(__xludf.DUMMYFUNCTION("""COMPUTED_VALUE"""),2.1636940164854E7)</f>
        <v>21636940.16</v>
      </c>
      <c r="F94" s="3" t="str">
        <f>IFERROR(__xludf.DUMMYFUNCTION("""COMPUTED_VALUE"""),"BTC")</f>
        <v>BTC</v>
      </c>
      <c r="G94" s="3"/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IFERROR(__xludf.DUMMYFUNCTION("""COMPUTED_VALUE"""),22990.541091)</f>
        <v>22990.54109</v>
      </c>
      <c r="C95" s="3">
        <f>IFERROR(__xludf.DUMMYFUNCTION("""COMPUTED_VALUE"""),1.91097E7)</f>
        <v>19109700</v>
      </c>
      <c r="D95" s="3">
        <f>IFERROR(__xludf.DUMMYFUNCTION("""COMPUTED_VALUE"""),857.0)</f>
        <v>857</v>
      </c>
      <c r="E95" s="3">
        <f>IFERROR(__xludf.DUMMYFUNCTION("""COMPUTED_VALUE"""),1.9702893714987E7)</f>
        <v>19702893.71</v>
      </c>
      <c r="F95" s="3" t="str">
        <f>IFERROR(__xludf.DUMMYFUNCTION("""COMPUTED_VALUE"""),"BTC")</f>
        <v>BTC</v>
      </c>
      <c r="G95" s="3"/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IFERROR(__xludf.DUMMYFUNCTION("""COMPUTED_VALUE"""),22845.872932)</f>
        <v>22845.87293</v>
      </c>
      <c r="C96" s="3">
        <f>IFERROR(__xludf.DUMMYFUNCTION("""COMPUTED_VALUE"""),1.9110706E7)</f>
        <v>19110706</v>
      </c>
      <c r="D96" s="3">
        <f>IFERROR(__xludf.DUMMYFUNCTION("""COMPUTED_VALUE"""),1006.0)</f>
        <v>1006</v>
      </c>
      <c r="E96" s="3">
        <f>IFERROR(__xludf.DUMMYFUNCTION("""COMPUTED_VALUE"""),2.2982948169591997E7)</f>
        <v>22982948.17</v>
      </c>
      <c r="F96" s="3" t="str">
        <f>IFERROR(__xludf.DUMMYFUNCTION("""COMPUTED_VALUE"""),"BTC")</f>
        <v>BTC</v>
      </c>
      <c r="G96" s="3"/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IFERROR(__xludf.DUMMYFUNCTION("""COMPUTED_VALUE"""),22643.400408)</f>
        <v>22643.40041</v>
      </c>
      <c r="C97" s="3">
        <f>IFERROR(__xludf.DUMMYFUNCTION("""COMPUTED_VALUE"""),1.91116E7)</f>
        <v>19111600</v>
      </c>
      <c r="D97" s="3">
        <f>IFERROR(__xludf.DUMMYFUNCTION("""COMPUTED_VALUE"""),894.0)</f>
        <v>894</v>
      </c>
      <c r="E97" s="3">
        <f>IFERROR(__xludf.DUMMYFUNCTION("""COMPUTED_VALUE"""),2.0243199964752E7)</f>
        <v>20243199.96</v>
      </c>
      <c r="F97" s="3" t="str">
        <f>IFERROR(__xludf.DUMMYFUNCTION("""COMPUTED_VALUE"""),"BTC")</f>
        <v>BTC</v>
      </c>
      <c r="G97" s="3"/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IFERROR(__xludf.DUMMYFUNCTION("""COMPUTED_VALUE"""),23262.616745)</f>
        <v>23262.61675</v>
      </c>
      <c r="C98" s="3">
        <f>IFERROR(__xludf.DUMMYFUNCTION("""COMPUTED_VALUE"""),1.9112431E7)</f>
        <v>19112431</v>
      </c>
      <c r="D98" s="3">
        <f>IFERROR(__xludf.DUMMYFUNCTION("""COMPUTED_VALUE"""),831.0)</f>
        <v>831</v>
      </c>
      <c r="E98" s="3">
        <f>IFERROR(__xludf.DUMMYFUNCTION("""COMPUTED_VALUE"""),1.9331234515095E7)</f>
        <v>19331234.52</v>
      </c>
      <c r="F98" s="3" t="str">
        <f>IFERROR(__xludf.DUMMYFUNCTION("""COMPUTED_VALUE"""),"BTC")</f>
        <v>BTC</v>
      </c>
      <c r="G98" s="3"/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IFERROR(__xludf.DUMMYFUNCTION("""COMPUTED_VALUE"""),22973.781987)</f>
        <v>22973.78199</v>
      </c>
      <c r="C99" s="3">
        <f>IFERROR(__xludf.DUMMYFUNCTION("""COMPUTED_VALUE"""),1.9113368E7)</f>
        <v>19113368</v>
      </c>
      <c r="D99" s="3">
        <f>IFERROR(__xludf.DUMMYFUNCTION("""COMPUTED_VALUE"""),937.0)</f>
        <v>937</v>
      </c>
      <c r="E99" s="3">
        <f>IFERROR(__xludf.DUMMYFUNCTION("""COMPUTED_VALUE"""),2.1526433721819E7)</f>
        <v>21526433.72</v>
      </c>
      <c r="F99" s="3" t="str">
        <f>IFERROR(__xludf.DUMMYFUNCTION("""COMPUTED_VALUE"""),"BTC")</f>
        <v>BTC</v>
      </c>
      <c r="G99" s="3"/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IFERROR(__xludf.DUMMYFUNCTION("""COMPUTED_VALUE"""),23102.37199)</f>
        <v>23102.37199</v>
      </c>
      <c r="C100" s="3">
        <f>IFERROR(__xludf.DUMMYFUNCTION("""COMPUTED_VALUE"""),1.9114362E7)</f>
        <v>19114362</v>
      </c>
      <c r="D100" s="3">
        <f>IFERROR(__xludf.DUMMYFUNCTION("""COMPUTED_VALUE"""),994.0)</f>
        <v>994</v>
      </c>
      <c r="E100" s="3">
        <f>IFERROR(__xludf.DUMMYFUNCTION("""COMPUTED_VALUE"""),2.296375775806E7)</f>
        <v>22963757.76</v>
      </c>
      <c r="F100" s="3" t="str">
        <f>IFERROR(__xludf.DUMMYFUNCTION("""COMPUTED_VALUE"""),"BTC")</f>
        <v>BTC</v>
      </c>
      <c r="G100" s="3"/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IFERROR(__xludf.DUMMYFUNCTION("""COMPUTED_VALUE"""),23842.148177)</f>
        <v>23842.14818</v>
      </c>
      <c r="C101" s="3">
        <f>IFERROR(__xludf.DUMMYFUNCTION("""COMPUTED_VALUE"""),1.9115337E7)</f>
        <v>19115337</v>
      </c>
      <c r="D101" s="3">
        <f>IFERROR(__xludf.DUMMYFUNCTION("""COMPUTED_VALUE"""),975.0)</f>
        <v>975</v>
      </c>
      <c r="E101" s="3">
        <f>IFERROR(__xludf.DUMMYFUNCTION("""COMPUTED_VALUE"""),2.3246094472574998E7)</f>
        <v>23246094.47</v>
      </c>
      <c r="F101" s="3" t="str">
        <f>IFERROR(__xludf.DUMMYFUNCTION("""COMPUTED_VALUE"""),"BTC")</f>
        <v>BTC</v>
      </c>
      <c r="G101" s="3"/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IFERROR(__xludf.DUMMYFUNCTION("""COMPUTED_VALUE"""),23166.048734)</f>
        <v>23166.04873</v>
      </c>
      <c r="C102" s="3">
        <f>IFERROR(__xludf.DUMMYFUNCTION("""COMPUTED_VALUE"""),1.9116268E7)</f>
        <v>19116268</v>
      </c>
      <c r="D102" s="3">
        <f>IFERROR(__xludf.DUMMYFUNCTION("""COMPUTED_VALUE"""),931.0)</f>
        <v>931</v>
      </c>
      <c r="E102" s="3">
        <f>IFERROR(__xludf.DUMMYFUNCTION("""COMPUTED_VALUE"""),2.1567591371354E7)</f>
        <v>21567591.37</v>
      </c>
      <c r="F102" s="3" t="str">
        <f>IFERROR(__xludf.DUMMYFUNCTION("""COMPUTED_VALUE"""),"BTC")</f>
        <v>BTC</v>
      </c>
      <c r="G102" s="3"/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IFERROR(__xludf.DUMMYFUNCTION("""COMPUTED_VALUE"""),23980.242857)</f>
        <v>23980.24286</v>
      </c>
      <c r="C103" s="3">
        <f>IFERROR(__xludf.DUMMYFUNCTION("""COMPUTED_VALUE"""),1.9117125E7)</f>
        <v>19117125</v>
      </c>
      <c r="D103" s="3">
        <f>IFERROR(__xludf.DUMMYFUNCTION("""COMPUTED_VALUE"""),857.0)</f>
        <v>857</v>
      </c>
      <c r="E103" s="3">
        <f>IFERROR(__xludf.DUMMYFUNCTION("""COMPUTED_VALUE"""),2.0551068128449E7)</f>
        <v>20551068.13</v>
      </c>
      <c r="F103" s="3" t="str">
        <f>IFERROR(__xludf.DUMMYFUNCTION("""COMPUTED_VALUE"""),"BTC")</f>
        <v>BTC</v>
      </c>
      <c r="G103" s="3"/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IFERROR(__xludf.DUMMYFUNCTION("""COMPUTED_VALUE"""),23942.829898)</f>
        <v>23942.8299</v>
      </c>
      <c r="C104" s="3">
        <f>IFERROR(__xludf.DUMMYFUNCTION("""COMPUTED_VALUE"""),1.9118112E7)</f>
        <v>19118112</v>
      </c>
      <c r="D104" s="3">
        <f>IFERROR(__xludf.DUMMYFUNCTION("""COMPUTED_VALUE"""),987.0)</f>
        <v>987</v>
      </c>
      <c r="E104" s="3">
        <f>IFERROR(__xludf.DUMMYFUNCTION("""COMPUTED_VALUE"""),2.3631573109326E7)</f>
        <v>23631573.11</v>
      </c>
      <c r="F104" s="3" t="str">
        <f>IFERROR(__xludf.DUMMYFUNCTION("""COMPUTED_VALUE"""),"BTC")</f>
        <v>BTC</v>
      </c>
      <c r="G104" s="3"/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IFERROR(__xludf.DUMMYFUNCTION("""COMPUTED_VALUE"""),24401.968129)</f>
        <v>24401.96813</v>
      </c>
      <c r="C105" s="3">
        <f>IFERROR(__xludf.DUMMYFUNCTION("""COMPUTED_VALUE"""),1.9118962E7)</f>
        <v>19118962</v>
      </c>
      <c r="D105" s="3">
        <f>IFERROR(__xludf.DUMMYFUNCTION("""COMPUTED_VALUE"""),850.0)</f>
        <v>850</v>
      </c>
      <c r="E105" s="3">
        <f>IFERROR(__xludf.DUMMYFUNCTION("""COMPUTED_VALUE"""),2.074167290965E7)</f>
        <v>20741672.91</v>
      </c>
      <c r="F105" s="3" t="str">
        <f>IFERROR(__xludf.DUMMYFUNCTION("""COMPUTED_VALUE"""),"BTC")</f>
        <v>BTC</v>
      </c>
      <c r="G105" s="3"/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IFERROR(__xludf.DUMMYFUNCTION("""COMPUTED_VALUE"""),24426.699277)</f>
        <v>24426.69928</v>
      </c>
      <c r="C106" s="3">
        <f>IFERROR(__xludf.DUMMYFUNCTION("""COMPUTED_VALUE"""),1.9119875E7)</f>
        <v>19119875</v>
      </c>
      <c r="D106" s="3">
        <f>IFERROR(__xludf.DUMMYFUNCTION("""COMPUTED_VALUE"""),913.0)</f>
        <v>913</v>
      </c>
      <c r="E106" s="3">
        <f>IFERROR(__xludf.DUMMYFUNCTION("""COMPUTED_VALUE"""),2.2301576439900998E7)</f>
        <v>22301576.44</v>
      </c>
      <c r="F106" s="3" t="str">
        <f>IFERROR(__xludf.DUMMYFUNCTION("""COMPUTED_VALUE"""),"BTC")</f>
        <v>BTC</v>
      </c>
      <c r="G106" s="3"/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IFERROR(__xludf.DUMMYFUNCTION("""COMPUTED_VALUE"""),24325.99791)</f>
        <v>24325.99791</v>
      </c>
      <c r="C107" s="3">
        <f>IFERROR(__xludf.DUMMYFUNCTION("""COMPUTED_VALUE"""),1.9120781E7)</f>
        <v>19120781</v>
      </c>
      <c r="D107" s="3">
        <f>IFERROR(__xludf.DUMMYFUNCTION("""COMPUTED_VALUE"""),906.0)</f>
        <v>906</v>
      </c>
      <c r="E107" s="3">
        <f>IFERROR(__xludf.DUMMYFUNCTION("""COMPUTED_VALUE"""),2.2039354106459998E7)</f>
        <v>22039354.11</v>
      </c>
      <c r="F107" s="3" t="str">
        <f>IFERROR(__xludf.DUMMYFUNCTION("""COMPUTED_VALUE"""),"BTC")</f>
        <v>BTC</v>
      </c>
      <c r="G107" s="3"/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IFERROR(__xludf.DUMMYFUNCTION("""COMPUTED_VALUE"""),24108.539752)</f>
        <v>24108.53975</v>
      </c>
      <c r="C108" s="3">
        <f>IFERROR(__xludf.DUMMYFUNCTION("""COMPUTED_VALUE"""),1.9121593E7)</f>
        <v>19121593</v>
      </c>
      <c r="D108" s="3">
        <f>IFERROR(__xludf.DUMMYFUNCTION("""COMPUTED_VALUE"""),812.0)</f>
        <v>812</v>
      </c>
      <c r="E108" s="3">
        <f>IFERROR(__xludf.DUMMYFUNCTION("""COMPUTED_VALUE"""),1.9576134278624002E7)</f>
        <v>19576134.28</v>
      </c>
      <c r="F108" s="3" t="str">
        <f>IFERROR(__xludf.DUMMYFUNCTION("""COMPUTED_VALUE"""),"BTC")</f>
        <v>BTC</v>
      </c>
      <c r="G108" s="3"/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IFERROR(__xludf.DUMMYFUNCTION("""COMPUTED_VALUE"""),23817.467814)</f>
        <v>23817.46781</v>
      </c>
      <c r="C109" s="3">
        <f>IFERROR(__xludf.DUMMYFUNCTION("""COMPUTED_VALUE"""),1.9122531E7)</f>
        <v>19122531</v>
      </c>
      <c r="D109" s="3">
        <f>IFERROR(__xludf.DUMMYFUNCTION("""COMPUTED_VALUE"""),938.0)</f>
        <v>938</v>
      </c>
      <c r="E109" s="3">
        <f>IFERROR(__xludf.DUMMYFUNCTION("""COMPUTED_VALUE"""),2.2340784809531998E7)</f>
        <v>22340784.81</v>
      </c>
      <c r="F109" s="3" t="str">
        <f>IFERROR(__xludf.DUMMYFUNCTION("""COMPUTED_VALUE"""),"BTC")</f>
        <v>BTC</v>
      </c>
      <c r="G109" s="3"/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IFERROR(__xludf.DUMMYFUNCTION("""COMPUTED_VALUE"""),23340.597372)</f>
        <v>23340.59737</v>
      </c>
      <c r="C110" s="3">
        <f>IFERROR(__xludf.DUMMYFUNCTION("""COMPUTED_VALUE"""),1.9123443E7)</f>
        <v>19123443</v>
      </c>
      <c r="D110" s="3">
        <f>IFERROR(__xludf.DUMMYFUNCTION("""COMPUTED_VALUE"""),912.0)</f>
        <v>912</v>
      </c>
      <c r="E110" s="3">
        <f>IFERROR(__xludf.DUMMYFUNCTION("""COMPUTED_VALUE"""),2.1286624803264E7)</f>
        <v>21286624.8</v>
      </c>
      <c r="F110" s="3" t="str">
        <f>IFERROR(__xludf.DUMMYFUNCTION("""COMPUTED_VALUE"""),"BTC")</f>
        <v>BTC</v>
      </c>
      <c r="G110" s="3"/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IFERROR(__xludf.DUMMYFUNCTION("""COMPUTED_VALUE"""),23196.928125)</f>
        <v>23196.92813</v>
      </c>
      <c r="C111" s="3">
        <f>IFERROR(__xludf.DUMMYFUNCTION("""COMPUTED_VALUE"""),1.9124256E7)</f>
        <v>19124256</v>
      </c>
      <c r="D111" s="3">
        <f>IFERROR(__xludf.DUMMYFUNCTION("""COMPUTED_VALUE"""),813.0)</f>
        <v>813</v>
      </c>
      <c r="E111" s="3">
        <f>IFERROR(__xludf.DUMMYFUNCTION("""COMPUTED_VALUE"""),1.8859102565624997E7)</f>
        <v>18859102.57</v>
      </c>
      <c r="F111" s="3" t="str">
        <f>IFERROR(__xludf.DUMMYFUNCTION("""COMPUTED_VALUE"""),"BTC")</f>
        <v>BTC</v>
      </c>
      <c r="G111" s="3"/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IFERROR(__xludf.DUMMYFUNCTION("""COMPUTED_VALUE"""),20835.422976)</f>
        <v>20835.42298</v>
      </c>
      <c r="C112" s="3">
        <f>IFERROR(__xludf.DUMMYFUNCTION("""COMPUTED_VALUE"""),1.9125156E7)</f>
        <v>19125156</v>
      </c>
      <c r="D112" s="3">
        <f>IFERROR(__xludf.DUMMYFUNCTION("""COMPUTED_VALUE"""),900.0)</f>
        <v>900</v>
      </c>
      <c r="E112" s="3">
        <f>IFERROR(__xludf.DUMMYFUNCTION("""COMPUTED_VALUE"""),1.8751880678400002E7)</f>
        <v>18751880.68</v>
      </c>
      <c r="F112" s="3" t="str">
        <f>IFERROR(__xludf.DUMMYFUNCTION("""COMPUTED_VALUE"""),"BTC")</f>
        <v>BTC</v>
      </c>
      <c r="G112" s="3"/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IFERROR(__xludf.DUMMYFUNCTION("""COMPUTED_VALUE"""),21144.533557)</f>
        <v>21144.53356</v>
      </c>
      <c r="C113" s="3">
        <f>IFERROR(__xludf.DUMMYFUNCTION("""COMPUTED_VALUE"""),1.912625E7)</f>
        <v>19126250</v>
      </c>
      <c r="D113" s="3">
        <f>IFERROR(__xludf.DUMMYFUNCTION("""COMPUTED_VALUE"""),1094.0)</f>
        <v>1094</v>
      </c>
      <c r="E113" s="3">
        <f>IFERROR(__xludf.DUMMYFUNCTION("""COMPUTED_VALUE"""),2.3132119711358E7)</f>
        <v>23132119.71</v>
      </c>
      <c r="F113" s="3" t="str">
        <f>IFERROR(__xludf.DUMMYFUNCTION("""COMPUTED_VALUE"""),"BTC")</f>
        <v>BTC</v>
      </c>
      <c r="G113" s="3"/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IFERROR(__xludf.DUMMYFUNCTION("""COMPUTED_VALUE"""),21515.581984)</f>
        <v>21515.58198</v>
      </c>
      <c r="C114" s="3">
        <f>IFERROR(__xludf.DUMMYFUNCTION("""COMPUTED_VALUE"""),1.9127231E7)</f>
        <v>19127231</v>
      </c>
      <c r="D114" s="3">
        <f>IFERROR(__xludf.DUMMYFUNCTION("""COMPUTED_VALUE"""),981.0)</f>
        <v>981</v>
      </c>
      <c r="E114" s="3">
        <f>IFERROR(__xludf.DUMMYFUNCTION("""COMPUTED_VALUE"""),2.1106785926304E7)</f>
        <v>21106785.93</v>
      </c>
      <c r="F114" s="3" t="str">
        <f>IFERROR(__xludf.DUMMYFUNCTION("""COMPUTED_VALUE"""),"BTC")</f>
        <v>BTC</v>
      </c>
      <c r="G114" s="3"/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IFERROR(__xludf.DUMMYFUNCTION("""COMPUTED_VALUE"""),21396.504099)</f>
        <v>21396.5041</v>
      </c>
      <c r="C115" s="3">
        <f>IFERROR(__xludf.DUMMYFUNCTION("""COMPUTED_VALUE"""),1.9128093E7)</f>
        <v>19128093</v>
      </c>
      <c r="D115" s="3">
        <f>IFERROR(__xludf.DUMMYFUNCTION("""COMPUTED_VALUE"""),862.0)</f>
        <v>862</v>
      </c>
      <c r="E115" s="3">
        <f>IFERROR(__xludf.DUMMYFUNCTION("""COMPUTED_VALUE"""),1.8443786533338003E7)</f>
        <v>18443786.53</v>
      </c>
      <c r="F115" s="3" t="str">
        <f>IFERROR(__xludf.DUMMYFUNCTION("""COMPUTED_VALUE"""),"BTC")</f>
        <v>BTC</v>
      </c>
      <c r="G115" s="3"/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IFERROR(__xludf.DUMMYFUNCTION("""COMPUTED_VALUE"""),21527.111864)</f>
        <v>21527.11186</v>
      </c>
      <c r="C116" s="3">
        <f>IFERROR(__xludf.DUMMYFUNCTION("""COMPUTED_VALUE"""),1.9129018E7)</f>
        <v>19129018</v>
      </c>
      <c r="D116" s="3">
        <f>IFERROR(__xludf.DUMMYFUNCTION("""COMPUTED_VALUE"""),925.0)</f>
        <v>925</v>
      </c>
      <c r="E116" s="3">
        <f>IFERROR(__xludf.DUMMYFUNCTION("""COMPUTED_VALUE"""),1.99125784742E7)</f>
        <v>19912578.47</v>
      </c>
      <c r="F116" s="3" t="str">
        <f>IFERROR(__xludf.DUMMYFUNCTION("""COMPUTED_VALUE"""),"BTC")</f>
        <v>BTC</v>
      </c>
      <c r="G116" s="3"/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IFERROR(__xludf.DUMMYFUNCTION("""COMPUTED_VALUE"""),21368.268756)</f>
        <v>21368.26876</v>
      </c>
      <c r="C117" s="3">
        <f>IFERROR(__xludf.DUMMYFUNCTION("""COMPUTED_VALUE"""),1.9130043E7)</f>
        <v>19130043</v>
      </c>
      <c r="D117" s="3">
        <f>IFERROR(__xludf.DUMMYFUNCTION("""COMPUTED_VALUE"""),1025.0)</f>
        <v>1025</v>
      </c>
      <c r="E117" s="3">
        <f>IFERROR(__xludf.DUMMYFUNCTION("""COMPUTED_VALUE"""),2.19024754749E7)</f>
        <v>21902475.47</v>
      </c>
      <c r="F117" s="3" t="str">
        <f>IFERROR(__xludf.DUMMYFUNCTION("""COMPUTED_VALUE"""),"BTC")</f>
        <v>BTC</v>
      </c>
      <c r="G117" s="3"/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IFERROR(__xludf.DUMMYFUNCTION("""COMPUTED_VALUE"""),21559.892958)</f>
        <v>21559.89296</v>
      </c>
      <c r="C118" s="3">
        <f>IFERROR(__xludf.DUMMYFUNCTION("""COMPUTED_VALUE"""),1.9131018E7)</f>
        <v>19131018</v>
      </c>
      <c r="D118" s="3">
        <f>IFERROR(__xludf.DUMMYFUNCTION("""COMPUTED_VALUE"""),975.0)</f>
        <v>975</v>
      </c>
      <c r="E118" s="3">
        <f>IFERROR(__xludf.DUMMYFUNCTION("""COMPUTED_VALUE"""),2.102089563405E7)</f>
        <v>21020895.63</v>
      </c>
      <c r="F118" s="3" t="str">
        <f>IFERROR(__xludf.DUMMYFUNCTION("""COMPUTED_VALUE"""),"BTC")</f>
        <v>BTC</v>
      </c>
      <c r="G118" s="3"/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IFERROR(__xludf.DUMMYFUNCTION("""COMPUTED_VALUE"""),20239.819987)</f>
        <v>20239.81999</v>
      </c>
      <c r="C119" s="3">
        <f>IFERROR(__xludf.DUMMYFUNCTION("""COMPUTED_VALUE"""),1.9131968E7)</f>
        <v>19131968</v>
      </c>
      <c r="D119" s="3">
        <f>IFERROR(__xludf.DUMMYFUNCTION("""COMPUTED_VALUE"""),950.0)</f>
        <v>950</v>
      </c>
      <c r="E119" s="3">
        <f>IFERROR(__xludf.DUMMYFUNCTION("""COMPUTED_VALUE"""),1.922782898765E7)</f>
        <v>19227828.99</v>
      </c>
      <c r="F119" s="3" t="str">
        <f>IFERROR(__xludf.DUMMYFUNCTION("""COMPUTED_VALUE"""),"BTC")</f>
        <v>BTC</v>
      </c>
      <c r="G119" s="3"/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IFERROR(__xludf.DUMMYFUNCTION("""COMPUTED_VALUE"""),20037.687199)</f>
        <v>20037.6872</v>
      </c>
      <c r="C120" s="3">
        <f>IFERROR(__xludf.DUMMYFUNCTION("""COMPUTED_VALUE"""),1.9133062E7)</f>
        <v>19133062</v>
      </c>
      <c r="D120" s="3">
        <f>IFERROR(__xludf.DUMMYFUNCTION("""COMPUTED_VALUE"""),1094.0)</f>
        <v>1094</v>
      </c>
      <c r="E120" s="3">
        <f>IFERROR(__xludf.DUMMYFUNCTION("""COMPUTED_VALUE"""),2.1921229795706E7)</f>
        <v>21921229.8</v>
      </c>
      <c r="F120" s="3" t="str">
        <f>IFERROR(__xludf.DUMMYFUNCTION("""COMPUTED_VALUE"""),"BTC")</f>
        <v>BTC</v>
      </c>
      <c r="G120" s="3"/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IFERROR(__xludf.DUMMYFUNCTION("""COMPUTED_VALUE"""),19561.801928)</f>
        <v>19561.80193</v>
      </c>
      <c r="C121" s="3">
        <f>IFERROR(__xludf.DUMMYFUNCTION("""COMPUTED_VALUE"""),1.9133993E7)</f>
        <v>19133993</v>
      </c>
      <c r="D121" s="3">
        <f>IFERROR(__xludf.DUMMYFUNCTION("""COMPUTED_VALUE"""),931.0)</f>
        <v>931</v>
      </c>
      <c r="E121" s="3">
        <f>IFERROR(__xludf.DUMMYFUNCTION("""COMPUTED_VALUE"""),1.8212037594968002E7)</f>
        <v>18212037.59</v>
      </c>
      <c r="F121" s="3" t="str">
        <f>IFERROR(__xludf.DUMMYFUNCTION("""COMPUTED_VALUE"""),"BTC")</f>
        <v>BTC</v>
      </c>
      <c r="G121" s="3"/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IFERROR(__xludf.DUMMYFUNCTION("""COMPUTED_VALUE"""),20287.538918)</f>
        <v>20287.53892</v>
      </c>
      <c r="C122" s="3">
        <f>IFERROR(__xludf.DUMMYFUNCTION("""COMPUTED_VALUE"""),1.9134981E7)</f>
        <v>19134981</v>
      </c>
      <c r="D122" s="3">
        <f>IFERROR(__xludf.DUMMYFUNCTION("""COMPUTED_VALUE"""),988.0)</f>
        <v>988</v>
      </c>
      <c r="E122" s="3">
        <f>IFERROR(__xludf.DUMMYFUNCTION("""COMPUTED_VALUE"""),2.0044088450983997E7)</f>
        <v>20044088.45</v>
      </c>
      <c r="F122" s="3" t="str">
        <f>IFERROR(__xludf.DUMMYFUNCTION("""COMPUTED_VALUE"""),"BTC")</f>
        <v>BTC</v>
      </c>
      <c r="G122" s="3"/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IFERROR(__xludf.DUMMYFUNCTION("""COMPUTED_VALUE"""),19812.860731)</f>
        <v>19812.86073</v>
      </c>
      <c r="C123" s="3">
        <f>IFERROR(__xludf.DUMMYFUNCTION("""COMPUTED_VALUE"""),1.9135981E7)</f>
        <v>19135981</v>
      </c>
      <c r="D123" s="3">
        <f>IFERROR(__xludf.DUMMYFUNCTION("""COMPUTED_VALUE"""),1000.0)</f>
        <v>1000</v>
      </c>
      <c r="E123" s="3">
        <f>IFERROR(__xludf.DUMMYFUNCTION("""COMPUTED_VALUE"""),1.9812860731000002E7)</f>
        <v>19812860.73</v>
      </c>
      <c r="F123" s="3" t="str">
        <f>IFERROR(__xludf.DUMMYFUNCTION("""COMPUTED_VALUE"""),"BTC")</f>
        <v>BTC</v>
      </c>
      <c r="G123" s="3"/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IFERROR(__xludf.DUMMYFUNCTION("""COMPUTED_VALUE"""),20048.706857)</f>
        <v>20048.70686</v>
      </c>
      <c r="C124" s="3">
        <f>IFERROR(__xludf.DUMMYFUNCTION("""COMPUTED_VALUE"""),1.9136956E7)</f>
        <v>19136956</v>
      </c>
      <c r="D124" s="3">
        <f>IFERROR(__xludf.DUMMYFUNCTION("""COMPUTED_VALUE"""),975.0)</f>
        <v>975</v>
      </c>
      <c r="E124" s="3">
        <f>IFERROR(__xludf.DUMMYFUNCTION("""COMPUTED_VALUE"""),1.9547489185575E7)</f>
        <v>19547489.19</v>
      </c>
      <c r="F124" s="3" t="str">
        <f>IFERROR(__xludf.DUMMYFUNCTION("""COMPUTED_VALUE"""),"BTC")</f>
        <v>BTC</v>
      </c>
      <c r="G124" s="3"/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IFERROR(__xludf.DUMMYFUNCTION("""COMPUTED_VALUE"""),20133.27263)</f>
        <v>20133.27263</v>
      </c>
      <c r="C125" s="3">
        <f>IFERROR(__xludf.DUMMYFUNCTION("""COMPUTED_VALUE"""),1.9137887E7)</f>
        <v>19137887</v>
      </c>
      <c r="D125" s="3">
        <f>IFERROR(__xludf.DUMMYFUNCTION("""COMPUTED_VALUE"""),931.0)</f>
        <v>931</v>
      </c>
      <c r="E125" s="3">
        <f>IFERROR(__xludf.DUMMYFUNCTION("""COMPUTED_VALUE"""),1.874407681853E7)</f>
        <v>18744076.82</v>
      </c>
      <c r="F125" s="3" t="str">
        <f>IFERROR(__xludf.DUMMYFUNCTION("""COMPUTED_VALUE"""),"BTC")</f>
        <v>BTC</v>
      </c>
      <c r="G125" s="3"/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IFERROR(__xludf.DUMMYFUNCTION("""COMPUTED_VALUE"""),19963.009923)</f>
        <v>19963.00992</v>
      </c>
      <c r="C126" s="3">
        <f>IFERROR(__xludf.DUMMYFUNCTION("""COMPUTED_VALUE"""),1.913875E7)</f>
        <v>19138750</v>
      </c>
      <c r="D126" s="3">
        <f>IFERROR(__xludf.DUMMYFUNCTION("""COMPUTED_VALUE"""),863.0)</f>
        <v>863</v>
      </c>
      <c r="E126" s="3">
        <f>IFERROR(__xludf.DUMMYFUNCTION("""COMPUTED_VALUE"""),1.7228077563549E7)</f>
        <v>17228077.56</v>
      </c>
      <c r="F126" s="3" t="str">
        <f>IFERROR(__xludf.DUMMYFUNCTION("""COMPUTED_VALUE"""),"BTC")</f>
        <v>BTC</v>
      </c>
      <c r="G126" s="3"/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IFERROR(__xludf.DUMMYFUNCTION("""COMPUTED_VALUE"""),19832.543867)</f>
        <v>19832.54387</v>
      </c>
      <c r="C127" s="3">
        <f>IFERROR(__xludf.DUMMYFUNCTION("""COMPUTED_VALUE"""),1.9139575E7)</f>
        <v>19139575</v>
      </c>
      <c r="D127" s="3">
        <f>IFERROR(__xludf.DUMMYFUNCTION("""COMPUTED_VALUE"""),825.0)</f>
        <v>825</v>
      </c>
      <c r="E127" s="3">
        <f>IFERROR(__xludf.DUMMYFUNCTION("""COMPUTED_VALUE"""),1.6361848690275E7)</f>
        <v>16361848.69</v>
      </c>
      <c r="F127" s="3" t="str">
        <f>IFERROR(__xludf.DUMMYFUNCTION("""COMPUTED_VALUE"""),"BTC")</f>
        <v>BTC</v>
      </c>
      <c r="G127" s="3"/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IFERROR(__xludf.DUMMYFUNCTION("""COMPUTED_VALUE"""),20002.35343)</f>
        <v>20002.35343</v>
      </c>
      <c r="C128" s="3">
        <f>IFERROR(__xludf.DUMMYFUNCTION("""COMPUTED_VALUE"""),1.9140468E7)</f>
        <v>19140468</v>
      </c>
      <c r="D128" s="3">
        <f>IFERROR(__xludf.DUMMYFUNCTION("""COMPUTED_VALUE"""),893.0)</f>
        <v>893</v>
      </c>
      <c r="E128" s="3">
        <f>IFERROR(__xludf.DUMMYFUNCTION("""COMPUTED_VALUE"""),1.786210161299E7)</f>
        <v>17862101.61</v>
      </c>
      <c r="F128" s="3" t="str">
        <f>IFERROR(__xludf.DUMMYFUNCTION("""COMPUTED_VALUE"""),"BTC")</f>
        <v>BTC</v>
      </c>
      <c r="G128" s="3"/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IFERROR(__xludf.DUMMYFUNCTION("""COMPUTED_VALUE"""),19795.217371)</f>
        <v>19795.21737</v>
      </c>
      <c r="C129" s="3">
        <f>IFERROR(__xludf.DUMMYFUNCTION("""COMPUTED_VALUE"""),1.9141543E7)</f>
        <v>19141543</v>
      </c>
      <c r="D129" s="3">
        <f>IFERROR(__xludf.DUMMYFUNCTION("""COMPUTED_VALUE"""),1075.0)</f>
        <v>1075</v>
      </c>
      <c r="E129" s="3">
        <f>IFERROR(__xludf.DUMMYFUNCTION("""COMPUTED_VALUE"""),2.1279858673825E7)</f>
        <v>21279858.67</v>
      </c>
      <c r="F129" s="3" t="str">
        <f>IFERROR(__xludf.DUMMYFUNCTION("""COMPUTED_VALUE"""),"BTC")</f>
        <v>BTC</v>
      </c>
      <c r="G129" s="3"/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IFERROR(__xludf.DUMMYFUNCTION("""COMPUTED_VALUE"""),18789.980758)</f>
        <v>18789.98076</v>
      </c>
      <c r="C130" s="3">
        <f>IFERROR(__xludf.DUMMYFUNCTION("""COMPUTED_VALUE"""),1.9142493E7)</f>
        <v>19142493</v>
      </c>
      <c r="D130" s="3">
        <f>IFERROR(__xludf.DUMMYFUNCTION("""COMPUTED_VALUE"""),950.0)</f>
        <v>950</v>
      </c>
      <c r="E130" s="3">
        <f>IFERROR(__xludf.DUMMYFUNCTION("""COMPUTED_VALUE"""),1.78504817201E7)</f>
        <v>17850481.72</v>
      </c>
      <c r="F130" s="3" t="str">
        <f>IFERROR(__xludf.DUMMYFUNCTION("""COMPUTED_VALUE"""),"BTC")</f>
        <v>BTC</v>
      </c>
      <c r="G130" s="3"/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IFERROR(__xludf.DUMMYFUNCTION("""COMPUTED_VALUE"""),19293.938783)</f>
        <v>19293.93878</v>
      </c>
      <c r="C131" s="3">
        <f>IFERROR(__xludf.DUMMYFUNCTION("""COMPUTED_VALUE"""),1.9143381E7)</f>
        <v>19143381</v>
      </c>
      <c r="D131" s="3">
        <f>IFERROR(__xludf.DUMMYFUNCTION("""COMPUTED_VALUE"""),888.0)</f>
        <v>888</v>
      </c>
      <c r="E131" s="3">
        <f>IFERROR(__xludf.DUMMYFUNCTION("""COMPUTED_VALUE"""),1.7133017639304E7)</f>
        <v>17133017.64</v>
      </c>
      <c r="F131" s="3" t="str">
        <f>IFERROR(__xludf.DUMMYFUNCTION("""COMPUTED_VALUE"""),"BTC")</f>
        <v>BTC</v>
      </c>
      <c r="G131" s="3"/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IFERROR(__xludf.DUMMYFUNCTION("""COMPUTED_VALUE"""),19324.607989)</f>
        <v>19324.60799</v>
      </c>
      <c r="C132" s="3">
        <f>IFERROR(__xludf.DUMMYFUNCTION("""COMPUTED_VALUE"""),1.9144287E7)</f>
        <v>19144287</v>
      </c>
      <c r="D132" s="3">
        <f>IFERROR(__xludf.DUMMYFUNCTION("""COMPUTED_VALUE"""),906.0)</f>
        <v>906</v>
      </c>
      <c r="E132" s="3">
        <f>IFERROR(__xludf.DUMMYFUNCTION("""COMPUTED_VALUE"""),1.7508094838034E7)</f>
        <v>17508094.84</v>
      </c>
      <c r="F132" s="3" t="str">
        <f>IFERROR(__xludf.DUMMYFUNCTION("""COMPUTED_VALUE"""),"BTC")</f>
        <v>BTC</v>
      </c>
      <c r="G132" s="3"/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IFERROR(__xludf.DUMMYFUNCTION("""COMPUTED_VALUE"""),21365.704256)</f>
        <v>21365.70426</v>
      </c>
      <c r="C133" s="3">
        <f>IFERROR(__xludf.DUMMYFUNCTION("""COMPUTED_VALUE"""),1.9145106E7)</f>
        <v>19145106</v>
      </c>
      <c r="D133" s="3">
        <f>IFERROR(__xludf.DUMMYFUNCTION("""COMPUTED_VALUE"""),819.0)</f>
        <v>819</v>
      </c>
      <c r="E133" s="3">
        <f>IFERROR(__xludf.DUMMYFUNCTION("""COMPUTED_VALUE"""),1.7498511785664E7)</f>
        <v>17498511.79</v>
      </c>
      <c r="F133" s="3" t="str">
        <f>IFERROR(__xludf.DUMMYFUNCTION("""COMPUTED_VALUE"""),"BTC")</f>
        <v>BTC</v>
      </c>
      <c r="G133" s="3"/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IFERROR(__xludf.DUMMYFUNCTION("""COMPUTED_VALUE"""),21653.760149)</f>
        <v>21653.76015</v>
      </c>
      <c r="C134" s="3">
        <f>IFERROR(__xludf.DUMMYFUNCTION("""COMPUTED_VALUE"""),1.9146012E7)</f>
        <v>19146012</v>
      </c>
      <c r="D134" s="3">
        <f>IFERROR(__xludf.DUMMYFUNCTION("""COMPUTED_VALUE"""),906.0)</f>
        <v>906</v>
      </c>
      <c r="E134" s="3">
        <f>IFERROR(__xludf.DUMMYFUNCTION("""COMPUTED_VALUE"""),1.9618306694994003E7)</f>
        <v>19618306.69</v>
      </c>
      <c r="F134" s="3" t="str">
        <f>IFERROR(__xludf.DUMMYFUNCTION("""COMPUTED_VALUE"""),"BTC")</f>
        <v>BTC</v>
      </c>
      <c r="G134" s="3"/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IFERROR(__xludf.DUMMYFUNCTION("""COMPUTED_VALUE"""),21811.996291)</f>
        <v>21811.99629</v>
      </c>
      <c r="C135" s="3">
        <f>IFERROR(__xludf.DUMMYFUNCTION("""COMPUTED_VALUE"""),1.9147012E7)</f>
        <v>19147012</v>
      </c>
      <c r="D135" s="3">
        <f>IFERROR(__xludf.DUMMYFUNCTION("""COMPUTED_VALUE"""),1000.0)</f>
        <v>1000</v>
      </c>
      <c r="E135" s="3">
        <f>IFERROR(__xludf.DUMMYFUNCTION("""COMPUTED_VALUE"""),2.1811996291E7)</f>
        <v>21811996.29</v>
      </c>
      <c r="F135" s="3" t="str">
        <f>IFERROR(__xludf.DUMMYFUNCTION("""COMPUTED_VALUE"""),"BTC")</f>
        <v>BTC</v>
      </c>
      <c r="G135" s="3"/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IFERROR(__xludf.DUMMYFUNCTION("""COMPUTED_VALUE"""),22408.398452)</f>
        <v>22408.39845</v>
      </c>
      <c r="C136" s="3">
        <f>IFERROR(__xludf.DUMMYFUNCTION("""COMPUTED_VALUE"""),1.9148118E7)</f>
        <v>19148118</v>
      </c>
      <c r="D136" s="3">
        <f>IFERROR(__xludf.DUMMYFUNCTION("""COMPUTED_VALUE"""),1106.0)</f>
        <v>1106</v>
      </c>
      <c r="E136" s="3">
        <f>IFERROR(__xludf.DUMMYFUNCTION("""COMPUTED_VALUE"""),2.4783688687912002E7)</f>
        <v>24783688.69</v>
      </c>
      <c r="F136" s="3" t="str">
        <f>IFERROR(__xludf.DUMMYFUNCTION("""COMPUTED_VALUE"""),"BTC")</f>
        <v>BTC</v>
      </c>
      <c r="G136" s="3"/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IFERROR(__xludf.DUMMYFUNCTION("""COMPUTED_VALUE"""),20174.420634)</f>
        <v>20174.42063</v>
      </c>
      <c r="C137" s="3">
        <f>IFERROR(__xludf.DUMMYFUNCTION("""COMPUTED_VALUE"""),1.91491E7)</f>
        <v>19149100</v>
      </c>
      <c r="D137" s="3">
        <f>IFERROR(__xludf.DUMMYFUNCTION("""COMPUTED_VALUE"""),982.0)</f>
        <v>982</v>
      </c>
      <c r="E137" s="3">
        <f>IFERROR(__xludf.DUMMYFUNCTION("""COMPUTED_VALUE"""),1.9811281062588E7)</f>
        <v>19811281.06</v>
      </c>
      <c r="F137" s="3" t="str">
        <f>IFERROR(__xludf.DUMMYFUNCTION("""COMPUTED_VALUE"""),"BTC")</f>
        <v>BTC</v>
      </c>
      <c r="G137" s="3"/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IFERROR(__xludf.DUMMYFUNCTION("""COMPUTED_VALUE"""),20229.930361)</f>
        <v>20229.93036</v>
      </c>
      <c r="C138" s="3">
        <f>IFERROR(__xludf.DUMMYFUNCTION("""COMPUTED_VALUE"""),1.9149981E7)</f>
        <v>19149981</v>
      </c>
      <c r="D138" s="3">
        <f>IFERROR(__xludf.DUMMYFUNCTION("""COMPUTED_VALUE"""),881.0)</f>
        <v>881</v>
      </c>
      <c r="E138" s="3">
        <f>IFERROR(__xludf.DUMMYFUNCTION("""COMPUTED_VALUE"""),1.7822568648041E7)</f>
        <v>17822568.65</v>
      </c>
      <c r="F138" s="3" t="str">
        <f>IFERROR(__xludf.DUMMYFUNCTION("""COMPUTED_VALUE"""),"BTC")</f>
        <v>BTC</v>
      </c>
      <c r="G138" s="3"/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IFERROR(__xludf.DUMMYFUNCTION("""COMPUTED_VALUE"""),19699.733299)</f>
        <v>19699.7333</v>
      </c>
      <c r="C139" s="3">
        <f>IFERROR(__xludf.DUMMYFUNCTION("""COMPUTED_VALUE"""),1.9150743E7)</f>
        <v>19150743</v>
      </c>
      <c r="D139" s="3">
        <f>IFERROR(__xludf.DUMMYFUNCTION("""COMPUTED_VALUE"""),762.0)</f>
        <v>762</v>
      </c>
      <c r="E139" s="3">
        <f>IFERROR(__xludf.DUMMYFUNCTION("""COMPUTED_VALUE"""),1.5011196773838E7)</f>
        <v>15011196.77</v>
      </c>
      <c r="F139" s="3" t="str">
        <f>IFERROR(__xludf.DUMMYFUNCTION("""COMPUTED_VALUE"""),"BTC")</f>
        <v>BTC</v>
      </c>
      <c r="G139" s="3"/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IFERROR(__xludf.DUMMYFUNCTION("""COMPUTED_VALUE"""),19802.653694)</f>
        <v>19802.65369</v>
      </c>
      <c r="C140" s="3">
        <f>IFERROR(__xludf.DUMMYFUNCTION("""COMPUTED_VALUE"""),1.9151681E7)</f>
        <v>19151681</v>
      </c>
      <c r="D140" s="3">
        <f>IFERROR(__xludf.DUMMYFUNCTION("""COMPUTED_VALUE"""),938.0)</f>
        <v>938</v>
      </c>
      <c r="E140" s="3">
        <f>IFERROR(__xludf.DUMMYFUNCTION("""COMPUTED_VALUE"""),1.8574889164972E7)</f>
        <v>18574889.16</v>
      </c>
      <c r="F140" s="3" t="str">
        <f>IFERROR(__xludf.DUMMYFUNCTION("""COMPUTED_VALUE"""),"BTC")</f>
        <v>BTC</v>
      </c>
      <c r="G140" s="3"/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IFERROR(__xludf.DUMMYFUNCTION("""COMPUTED_VALUE"""),20077.097755)</f>
        <v>20077.09776</v>
      </c>
      <c r="C141" s="3">
        <f>IFERROR(__xludf.DUMMYFUNCTION("""COMPUTED_VALUE"""),1.9152437E7)</f>
        <v>19152437</v>
      </c>
      <c r="D141" s="3">
        <f>IFERROR(__xludf.DUMMYFUNCTION("""COMPUTED_VALUE"""),756.0)</f>
        <v>756</v>
      </c>
      <c r="E141" s="3">
        <f>IFERROR(__xludf.DUMMYFUNCTION("""COMPUTED_VALUE"""),1.5178285902779998E7)</f>
        <v>15178285.9</v>
      </c>
      <c r="F141" s="3" t="str">
        <f>IFERROR(__xludf.DUMMYFUNCTION("""COMPUTED_VALUE"""),"BTC")</f>
        <v>BTC</v>
      </c>
      <c r="G141" s="3"/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IFERROR(__xludf.DUMMYFUNCTION("""COMPUTED_VALUE"""),19417.642511)</f>
        <v>19417.64251</v>
      </c>
      <c r="C142" s="3">
        <f>IFERROR(__xludf.DUMMYFUNCTION("""COMPUTED_VALUE"""),1.9153487E7)</f>
        <v>19153487</v>
      </c>
      <c r="D142" s="3">
        <f>IFERROR(__xludf.DUMMYFUNCTION("""COMPUTED_VALUE"""),1050.0)</f>
        <v>1050</v>
      </c>
      <c r="E142" s="3">
        <f>IFERROR(__xludf.DUMMYFUNCTION("""COMPUTED_VALUE"""),2.0388524636549998E7)</f>
        <v>20388524.64</v>
      </c>
      <c r="F142" s="3" t="str">
        <f>IFERROR(__xludf.DUMMYFUNCTION("""COMPUTED_VALUE"""),"BTC")</f>
        <v>BTC</v>
      </c>
      <c r="G142" s="3"/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IFERROR(__xludf.DUMMYFUNCTION("""COMPUTED_VALUE"""),19539.306484)</f>
        <v>19539.30648</v>
      </c>
      <c r="C143" s="3">
        <f>IFERROR(__xludf.DUMMYFUNCTION("""COMPUTED_VALUE"""),1.9154475E7)</f>
        <v>19154475</v>
      </c>
      <c r="D143" s="3">
        <f>IFERROR(__xludf.DUMMYFUNCTION("""COMPUTED_VALUE"""),988.0)</f>
        <v>988</v>
      </c>
      <c r="E143" s="3">
        <f>IFERROR(__xludf.DUMMYFUNCTION("""COMPUTED_VALUE"""),1.9304834806192E7)</f>
        <v>19304834.81</v>
      </c>
      <c r="F143" s="3" t="str">
        <f>IFERROR(__xludf.DUMMYFUNCTION("""COMPUTED_VALUE"""),"BTC")</f>
        <v>BTC</v>
      </c>
      <c r="G143" s="3"/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IFERROR(__xludf.DUMMYFUNCTION("""COMPUTED_VALUE"""),18875.418495)</f>
        <v>18875.4185</v>
      </c>
      <c r="C144" s="3">
        <f>IFERROR(__xludf.DUMMYFUNCTION("""COMPUTED_VALUE"""),1.9155293E7)</f>
        <v>19155293</v>
      </c>
      <c r="D144" s="3">
        <f>IFERROR(__xludf.DUMMYFUNCTION("""COMPUTED_VALUE"""),818.0)</f>
        <v>818</v>
      </c>
      <c r="E144" s="3">
        <f>IFERROR(__xludf.DUMMYFUNCTION("""COMPUTED_VALUE"""),1.544009232891E7)</f>
        <v>15440092.33</v>
      </c>
      <c r="F144" s="3" t="str">
        <f>IFERROR(__xludf.DUMMYFUNCTION("""COMPUTED_VALUE"""),"BTC")</f>
        <v>BTC</v>
      </c>
      <c r="G144" s="3"/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IFERROR(__xludf.DUMMYFUNCTION("""COMPUTED_VALUE"""),18460.623307)</f>
        <v>18460.62331</v>
      </c>
      <c r="C145" s="3">
        <f>IFERROR(__xludf.DUMMYFUNCTION("""COMPUTED_VALUE"""),1.9156237E7)</f>
        <v>19156237</v>
      </c>
      <c r="D145" s="3">
        <f>IFERROR(__xludf.DUMMYFUNCTION("""COMPUTED_VALUE"""),944.0)</f>
        <v>944</v>
      </c>
      <c r="E145" s="3">
        <f>IFERROR(__xludf.DUMMYFUNCTION("""COMPUTED_VALUE"""),1.7426828401808E7)</f>
        <v>17426828.4</v>
      </c>
      <c r="F145" s="3" t="str">
        <f>IFERROR(__xludf.DUMMYFUNCTION("""COMPUTED_VALUE"""),"BTC")</f>
        <v>BTC</v>
      </c>
      <c r="G145" s="3"/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IFERROR(__xludf.DUMMYFUNCTION("""COMPUTED_VALUE"""),19395.519989)</f>
        <v>19395.51999</v>
      </c>
      <c r="C146" s="3">
        <f>IFERROR(__xludf.DUMMYFUNCTION("""COMPUTED_VALUE"""),1.9157125E7)</f>
        <v>19157125</v>
      </c>
      <c r="D146" s="3">
        <f>IFERROR(__xludf.DUMMYFUNCTION("""COMPUTED_VALUE"""),888.0)</f>
        <v>888</v>
      </c>
      <c r="E146" s="3">
        <f>IFERROR(__xludf.DUMMYFUNCTION("""COMPUTED_VALUE"""),1.7223221750232E7)</f>
        <v>17223221.75</v>
      </c>
      <c r="F146" s="3" t="str">
        <f>IFERROR(__xludf.DUMMYFUNCTION("""COMPUTED_VALUE"""),"BTC")</f>
        <v>BTC</v>
      </c>
      <c r="G146" s="3"/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IFERROR(__xludf.DUMMYFUNCTION("""COMPUTED_VALUE"""),19290.05845)</f>
        <v>19290.05845</v>
      </c>
      <c r="C147" s="3">
        <f>IFERROR(__xludf.DUMMYFUNCTION("""COMPUTED_VALUE"""),1.9157956E7)</f>
        <v>19157956</v>
      </c>
      <c r="D147" s="3">
        <f>IFERROR(__xludf.DUMMYFUNCTION("""COMPUTED_VALUE"""),831.0)</f>
        <v>831</v>
      </c>
      <c r="E147" s="3">
        <f>IFERROR(__xludf.DUMMYFUNCTION("""COMPUTED_VALUE"""),1.603003857195E7)</f>
        <v>16030038.57</v>
      </c>
      <c r="F147" s="3" t="str">
        <f>IFERROR(__xludf.DUMMYFUNCTION("""COMPUTED_VALUE"""),"BTC")</f>
        <v>BTC</v>
      </c>
      <c r="G147" s="3"/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IFERROR(__xludf.DUMMYFUNCTION("""COMPUTED_VALUE"""),18924.18215)</f>
        <v>18924.18215</v>
      </c>
      <c r="C148" s="3">
        <f>IFERROR(__xludf.DUMMYFUNCTION("""COMPUTED_VALUE"""),1.9158768E7)</f>
        <v>19158768</v>
      </c>
      <c r="D148" s="3">
        <f>IFERROR(__xludf.DUMMYFUNCTION("""COMPUTED_VALUE"""),812.0)</f>
        <v>812</v>
      </c>
      <c r="E148" s="3">
        <f>IFERROR(__xludf.DUMMYFUNCTION("""COMPUTED_VALUE"""),1.53664359058E7)</f>
        <v>15366435.91</v>
      </c>
      <c r="F148" s="3" t="str">
        <f>IFERROR(__xludf.DUMMYFUNCTION("""COMPUTED_VALUE"""),"BTC")</f>
        <v>BTC</v>
      </c>
      <c r="G148" s="3"/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IFERROR(__xludf.DUMMYFUNCTION("""COMPUTED_VALUE"""),18802.882431)</f>
        <v>18802.88243</v>
      </c>
      <c r="C149" s="3">
        <f>IFERROR(__xludf.DUMMYFUNCTION("""COMPUTED_VALUE"""),1.915965E7)</f>
        <v>19159650</v>
      </c>
      <c r="D149" s="3">
        <f>IFERROR(__xludf.DUMMYFUNCTION("""COMPUTED_VALUE"""),882.0)</f>
        <v>882</v>
      </c>
      <c r="E149" s="3">
        <f>IFERROR(__xludf.DUMMYFUNCTION("""COMPUTED_VALUE"""),1.6584142304142002E7)</f>
        <v>16584142.3</v>
      </c>
      <c r="F149" s="3" t="str">
        <f>IFERROR(__xludf.DUMMYFUNCTION("""COMPUTED_VALUE"""),"BTC")</f>
        <v>BTC</v>
      </c>
      <c r="G149" s="3"/>
    </row>
    <row r="150">
      <c r="A150" s="3" t="str">
        <f>IFERROR(__xludf.DUMMYFUNCTION("""COMPUTED_VALUE"""),"2022-05-01T00:00:00Z")</f>
        <v>2022-05-01T00:00:00Z</v>
      </c>
      <c r="B150" s="3">
        <f>IFERROR(__xludf.DUMMYFUNCTION("""COMPUTED_VALUE"""),2726.085184)</f>
        <v>2726.085184</v>
      </c>
      <c r="C150" s="3">
        <f>IFERROR(__xludf.DUMMYFUNCTION("""COMPUTED_VALUE"""),1.205945631865E8)</f>
        <v>120594563.2</v>
      </c>
      <c r="D150" s="3">
        <f>IFERROR(__xludf.DUMMYFUNCTION("""COMPUTED_VALUE"""),0.0)</f>
        <v>0</v>
      </c>
      <c r="E150" s="3">
        <f>IFERROR(__xludf.DUMMYFUNCTION("""COMPUTED_VALUE"""),0.0)</f>
        <v>0</v>
      </c>
      <c r="F150" s="3" t="str">
        <f>IFERROR(__xludf.DUMMYFUNCTION("""COMPUTED_VALUE"""),"ETH")</f>
        <v>ETH</v>
      </c>
      <c r="G150" s="3"/>
    </row>
    <row r="151">
      <c r="A151" s="3" t="str">
        <f>IFERROR(__xludf.DUMMYFUNCTION("""COMPUTED_VALUE"""),"2022-05-02T00:00:00Z")</f>
        <v>2022-05-02T00:00:00Z</v>
      </c>
      <c r="B151" s="3">
        <f>IFERROR(__xludf.DUMMYFUNCTION("""COMPUTED_VALUE"""),2824.95294)</f>
        <v>2824.95294</v>
      </c>
      <c r="C151" s="3">
        <f>IFERROR(__xludf.DUMMYFUNCTION("""COMPUTED_VALUE"""),1.20607954874E8)</f>
        <v>120607954.9</v>
      </c>
      <c r="D151" s="3">
        <f>IFERROR(__xludf.DUMMYFUNCTION("""COMPUTED_VALUE"""),13391.6875)</f>
        <v>13391.6875</v>
      </c>
      <c r="E151" s="3">
        <f>IFERROR(__xludf.DUMMYFUNCTION("""COMPUTED_VALUE"""),3.783088697468625E7)</f>
        <v>37830886.97</v>
      </c>
      <c r="F151" s="3" t="str">
        <f>IFERROR(__xludf.DUMMYFUNCTION("""COMPUTED_VALUE"""),"ETH")</f>
        <v>ETH</v>
      </c>
      <c r="G151" s="3"/>
    </row>
    <row r="152">
      <c r="A152" s="3" t="str">
        <f>IFERROR(__xludf.DUMMYFUNCTION("""COMPUTED_VALUE"""),"2022-05-03T00:00:00Z")</f>
        <v>2022-05-03T00:00:00Z</v>
      </c>
      <c r="B152" s="3">
        <f>IFERROR(__xludf.DUMMYFUNCTION("""COMPUTED_VALUE"""),2856.216929)</f>
        <v>2856.216929</v>
      </c>
      <c r="C152" s="3">
        <f>IFERROR(__xludf.DUMMYFUNCTION("""COMPUTED_VALUE"""),1.206211748115E8)</f>
        <v>120621174.8</v>
      </c>
      <c r="D152" s="3">
        <f>IFERROR(__xludf.DUMMYFUNCTION("""COMPUTED_VALUE"""),13219.9375)</f>
        <v>13219.9375</v>
      </c>
      <c r="E152" s="3">
        <f>IFERROR(__xludf.DUMMYFUNCTION("""COMPUTED_VALUE"""),3.775900928782194E7)</f>
        <v>37759009.29</v>
      </c>
      <c r="F152" s="3" t="str">
        <f>IFERROR(__xludf.DUMMYFUNCTION("""COMPUTED_VALUE"""),"ETH")</f>
        <v>ETH</v>
      </c>
      <c r="G152" s="3"/>
    </row>
    <row r="153">
      <c r="A153" s="3" t="str">
        <f>IFERROR(__xludf.DUMMYFUNCTION("""COMPUTED_VALUE"""),"2022-05-04T00:00:00Z")</f>
        <v>2022-05-04T00:00:00Z</v>
      </c>
      <c r="B153" s="3">
        <f>IFERROR(__xludf.DUMMYFUNCTION("""COMPUTED_VALUE"""),2780.836879)</f>
        <v>2780.836879</v>
      </c>
      <c r="C153" s="3">
        <f>IFERROR(__xludf.DUMMYFUNCTION("""COMPUTED_VALUE"""),1.20634544874E8)</f>
        <v>120634544.9</v>
      </c>
      <c r="D153" s="3">
        <f>IFERROR(__xludf.DUMMYFUNCTION("""COMPUTED_VALUE"""),13370.0625)</f>
        <v>13370.0625</v>
      </c>
      <c r="E153" s="3">
        <f>IFERROR(__xludf.DUMMYFUNCTION("""COMPUTED_VALUE"""),3.7179962874534935E7)</f>
        <v>37179962.87</v>
      </c>
      <c r="F153" s="3" t="str">
        <f>IFERROR(__xludf.DUMMYFUNCTION("""COMPUTED_VALUE"""),"ETH")</f>
        <v>ETH</v>
      </c>
      <c r="G153" s="3"/>
    </row>
    <row r="154">
      <c r="A154" s="3" t="str">
        <f>IFERROR(__xludf.DUMMYFUNCTION("""COMPUTED_VALUE"""),"2022-05-05T00:00:00Z")</f>
        <v>2022-05-05T00:00:00Z</v>
      </c>
      <c r="B154" s="3">
        <f>IFERROR(__xludf.DUMMYFUNCTION("""COMPUTED_VALUE"""),2940.170177)</f>
        <v>2940.170177</v>
      </c>
      <c r="C154" s="3">
        <f>IFERROR(__xludf.DUMMYFUNCTION("""COMPUTED_VALUE"""),1.206476778115E8)</f>
        <v>120647677.8</v>
      </c>
      <c r="D154" s="3">
        <f>IFERROR(__xludf.DUMMYFUNCTION("""COMPUTED_VALUE"""),13132.9375)</f>
        <v>13132.9375</v>
      </c>
      <c r="E154" s="3">
        <f>IFERROR(__xludf.DUMMYFUNCTION("""COMPUTED_VALUE"""),3.861307117390494E7)</f>
        <v>38613071.17</v>
      </c>
      <c r="F154" s="3" t="str">
        <f>IFERROR(__xludf.DUMMYFUNCTION("""COMPUTED_VALUE"""),"ETH")</f>
        <v>ETH</v>
      </c>
      <c r="G154" s="3"/>
    </row>
    <row r="155">
      <c r="A155" s="3" t="str">
        <f>IFERROR(__xludf.DUMMYFUNCTION("""COMPUTED_VALUE"""),"2022-05-06T00:00:00Z")</f>
        <v>2022-05-06T00:00:00Z</v>
      </c>
      <c r="B155" s="3">
        <f>IFERROR(__xludf.DUMMYFUNCTION("""COMPUTED_VALUE"""),2747.552793)</f>
        <v>2747.552793</v>
      </c>
      <c r="C155" s="3">
        <f>IFERROR(__xludf.DUMMYFUNCTION("""COMPUTED_VALUE"""),1.20660870499E8)</f>
        <v>120660870.5</v>
      </c>
      <c r="D155" s="3">
        <f>IFERROR(__xludf.DUMMYFUNCTION("""COMPUTED_VALUE"""),13192.6875)</f>
        <v>13192.6875</v>
      </c>
      <c r="E155" s="3">
        <f>IFERROR(__xludf.DUMMYFUNCTION("""COMPUTED_VALUE"""),3.6247605387801185E7)</f>
        <v>36247605.39</v>
      </c>
      <c r="F155" s="3" t="str">
        <f>IFERROR(__xludf.DUMMYFUNCTION("""COMPUTED_VALUE"""),"ETH")</f>
        <v>ETH</v>
      </c>
      <c r="G155" s="3"/>
    </row>
    <row r="156">
      <c r="A156" s="3" t="str">
        <f>IFERROR(__xludf.DUMMYFUNCTION("""COMPUTED_VALUE"""),"2022-05-07T00:00:00Z")</f>
        <v>2022-05-07T00:00:00Z</v>
      </c>
      <c r="B156" s="3">
        <f>IFERROR(__xludf.DUMMYFUNCTION("""COMPUTED_VALUE"""),2691.845625)</f>
        <v>2691.845625</v>
      </c>
      <c r="C156" s="3">
        <f>IFERROR(__xludf.DUMMYFUNCTION("""COMPUTED_VALUE"""),1.20674081999E8)</f>
        <v>120674082</v>
      </c>
      <c r="D156" s="3">
        <f>IFERROR(__xludf.DUMMYFUNCTION("""COMPUTED_VALUE"""),13211.5)</f>
        <v>13211.5</v>
      </c>
      <c r="E156" s="3">
        <f>IFERROR(__xludf.DUMMYFUNCTION("""COMPUTED_VALUE"""),3.55633184746875E7)</f>
        <v>35563318.47</v>
      </c>
      <c r="F156" s="3" t="str">
        <f>IFERROR(__xludf.DUMMYFUNCTION("""COMPUTED_VALUE"""),"ETH")</f>
        <v>ETH</v>
      </c>
      <c r="G156" s="3"/>
    </row>
    <row r="157">
      <c r="A157" s="3" t="str">
        <f>IFERROR(__xludf.DUMMYFUNCTION("""COMPUTED_VALUE"""),"2022-05-08T00:00:00Z")</f>
        <v>2022-05-08T00:00:00Z</v>
      </c>
      <c r="B157" s="3">
        <f>IFERROR(__xludf.DUMMYFUNCTION("""COMPUTED_VALUE"""),2634.91257)</f>
        <v>2634.91257</v>
      </c>
      <c r="C157" s="3">
        <f>IFERROR(__xludf.DUMMYFUNCTION("""COMPUTED_VALUE"""),1.206873133115E8)</f>
        <v>120687313.3</v>
      </c>
      <c r="D157" s="3">
        <f>IFERROR(__xludf.DUMMYFUNCTION("""COMPUTED_VALUE"""),13231.3125)</f>
        <v>13231.3125</v>
      </c>
      <c r="E157" s="3">
        <f>IFERROR(__xludf.DUMMYFUNCTION("""COMPUTED_VALUE"""),3.4863351623848125E7)</f>
        <v>34863351.62</v>
      </c>
      <c r="F157" s="3" t="str">
        <f>IFERROR(__xludf.DUMMYFUNCTION("""COMPUTED_VALUE"""),"ETH")</f>
        <v>ETH</v>
      </c>
      <c r="G157" s="3"/>
    </row>
    <row r="158">
      <c r="A158" s="3" t="str">
        <f>IFERROR(__xludf.DUMMYFUNCTION("""COMPUTED_VALUE"""),"2022-05-09T00:00:00Z")</f>
        <v>2022-05-09T00:00:00Z</v>
      </c>
      <c r="B158" s="3">
        <f>IFERROR(__xludf.DUMMYFUNCTION("""COMPUTED_VALUE"""),2519.05337)</f>
        <v>2519.05337</v>
      </c>
      <c r="C158" s="3">
        <f>IFERROR(__xludf.DUMMYFUNCTION("""COMPUTED_VALUE"""),1.207006439365E8)</f>
        <v>120700643.9</v>
      </c>
      <c r="D158" s="3">
        <f>IFERROR(__xludf.DUMMYFUNCTION("""COMPUTED_VALUE"""),13330.625)</f>
        <v>13330.625</v>
      </c>
      <c r="E158" s="3">
        <f>IFERROR(__xludf.DUMMYFUNCTION("""COMPUTED_VALUE"""),3.358055583045625E7)</f>
        <v>33580555.83</v>
      </c>
      <c r="F158" s="3" t="str">
        <f>IFERROR(__xludf.DUMMYFUNCTION("""COMPUTED_VALUE"""),"ETH")</f>
        <v>ETH</v>
      </c>
      <c r="G158" s="3"/>
    </row>
    <row r="159">
      <c r="A159" s="3" t="str">
        <f>IFERROR(__xludf.DUMMYFUNCTION("""COMPUTED_VALUE"""),"2022-05-10T00:00:00Z")</f>
        <v>2022-05-10T00:00:00Z</v>
      </c>
      <c r="B159" s="3">
        <f>IFERROR(__xludf.DUMMYFUNCTION("""COMPUTED_VALUE"""),2227.956716)</f>
        <v>2227.956716</v>
      </c>
      <c r="C159" s="3">
        <f>IFERROR(__xludf.DUMMYFUNCTION("""COMPUTED_VALUE"""),1.207137464365E8)</f>
        <v>120713746.4</v>
      </c>
      <c r="D159" s="3">
        <f>IFERROR(__xludf.DUMMYFUNCTION("""COMPUTED_VALUE"""),13102.5)</f>
        <v>13102.5</v>
      </c>
      <c r="E159" s="3">
        <f>IFERROR(__xludf.DUMMYFUNCTION("""COMPUTED_VALUE"""),2.9191802871390004E7)</f>
        <v>29191802.87</v>
      </c>
      <c r="F159" s="3" t="str">
        <f>IFERROR(__xludf.DUMMYFUNCTION("""COMPUTED_VALUE"""),"ETH")</f>
        <v>ETH</v>
      </c>
      <c r="G159" s="3"/>
    </row>
    <row r="160">
      <c r="A160" s="3" t="str">
        <f>IFERROR(__xludf.DUMMYFUNCTION("""COMPUTED_VALUE"""),"2022-05-11T00:00:00Z")</f>
        <v>2022-05-11T00:00:00Z</v>
      </c>
      <c r="B160" s="3">
        <f>IFERROR(__xludf.DUMMYFUNCTION("""COMPUTED_VALUE"""),2341.227498)</f>
        <v>2341.227498</v>
      </c>
      <c r="C160" s="3">
        <f>IFERROR(__xludf.DUMMYFUNCTION("""COMPUTED_VALUE"""),1.207269569365E8)</f>
        <v>120726956.9</v>
      </c>
      <c r="D160" s="3">
        <f>IFERROR(__xludf.DUMMYFUNCTION("""COMPUTED_VALUE"""),13210.5)</f>
        <v>13210.5</v>
      </c>
      <c r="E160" s="3">
        <f>IFERROR(__xludf.DUMMYFUNCTION("""COMPUTED_VALUE"""),3.0928785862329002E7)</f>
        <v>30928785.86</v>
      </c>
      <c r="F160" s="3" t="str">
        <f>IFERROR(__xludf.DUMMYFUNCTION("""COMPUTED_VALUE"""),"ETH")</f>
        <v>ETH</v>
      </c>
      <c r="G160" s="3"/>
    </row>
    <row r="161">
      <c r="A161" s="3" t="str">
        <f>IFERROR(__xludf.DUMMYFUNCTION("""COMPUTED_VALUE"""),"2022-05-12T00:00:00Z")</f>
        <v>2022-05-12T00:00:00Z</v>
      </c>
      <c r="B161" s="3">
        <f>IFERROR(__xludf.DUMMYFUNCTION("""COMPUTED_VALUE"""),2076.812833)</f>
        <v>2076.812833</v>
      </c>
      <c r="C161" s="3">
        <f>IFERROR(__xludf.DUMMYFUNCTION("""COMPUTED_VALUE"""),1.207402584365E8)</f>
        <v>120740258.4</v>
      </c>
      <c r="D161" s="3">
        <f>IFERROR(__xludf.DUMMYFUNCTION("""COMPUTED_VALUE"""),13301.5)</f>
        <v>13301.5</v>
      </c>
      <c r="E161" s="3">
        <f>IFERROR(__xludf.DUMMYFUNCTION("""COMPUTED_VALUE"""),2.7624725898149498E7)</f>
        <v>27624725.9</v>
      </c>
      <c r="F161" s="3" t="str">
        <f>IFERROR(__xludf.DUMMYFUNCTION("""COMPUTED_VALUE"""),"ETH")</f>
        <v>ETH</v>
      </c>
      <c r="G161" s="3"/>
    </row>
    <row r="162">
      <c r="A162" s="3" t="str">
        <f>IFERROR(__xludf.DUMMYFUNCTION("""COMPUTED_VALUE"""),"2022-05-13T00:00:00Z")</f>
        <v>2022-05-13T00:00:00Z</v>
      </c>
      <c r="B162" s="3">
        <f>IFERROR(__xludf.DUMMYFUNCTION("""COMPUTED_VALUE"""),1954.181681)</f>
        <v>1954.181681</v>
      </c>
      <c r="C162" s="3">
        <f>IFERROR(__xludf.DUMMYFUNCTION("""COMPUTED_VALUE"""),1.207533685615E8)</f>
        <v>120753368.6</v>
      </c>
      <c r="D162" s="3">
        <f>IFERROR(__xludf.DUMMYFUNCTION("""COMPUTED_VALUE"""),13110.125)</f>
        <v>13110.125</v>
      </c>
      <c r="E162" s="3">
        <f>IFERROR(__xludf.DUMMYFUNCTION("""COMPUTED_VALUE"""),2.5619566110620126E7)</f>
        <v>25619566.11</v>
      </c>
      <c r="F162" s="3" t="str">
        <f>IFERROR(__xludf.DUMMYFUNCTION("""COMPUTED_VALUE"""),"ETH")</f>
        <v>ETH</v>
      </c>
      <c r="G162" s="3"/>
    </row>
    <row r="163">
      <c r="A163" s="3" t="str">
        <f>IFERROR(__xludf.DUMMYFUNCTION("""COMPUTED_VALUE"""),"2022-05-14T00:00:00Z")</f>
        <v>2022-05-14T00:00:00Z</v>
      </c>
      <c r="B163" s="3">
        <f>IFERROR(__xludf.DUMMYFUNCTION("""COMPUTED_VALUE"""),2006.196794)</f>
        <v>2006.196794</v>
      </c>
      <c r="C163" s="3">
        <f>IFERROR(__xludf.DUMMYFUNCTION("""COMPUTED_VALUE"""),1.207667391865E8)</f>
        <v>120766739.2</v>
      </c>
      <c r="D163" s="3">
        <f>IFERROR(__xludf.DUMMYFUNCTION("""COMPUTED_VALUE"""),13370.625)</f>
        <v>13370.625</v>
      </c>
      <c r="E163" s="3">
        <f>IFERROR(__xludf.DUMMYFUNCTION("""COMPUTED_VALUE"""),2.682410500877625E7)</f>
        <v>26824105.01</v>
      </c>
      <c r="F163" s="3" t="str">
        <f>IFERROR(__xludf.DUMMYFUNCTION("""COMPUTED_VALUE"""),"ETH")</f>
        <v>ETH</v>
      </c>
      <c r="G163" s="3"/>
    </row>
    <row r="164">
      <c r="A164" s="3" t="str">
        <f>IFERROR(__xludf.DUMMYFUNCTION("""COMPUTED_VALUE"""),"2022-05-15T00:00:00Z")</f>
        <v>2022-05-15T00:00:00Z</v>
      </c>
      <c r="B164" s="3">
        <f>IFERROR(__xludf.DUMMYFUNCTION("""COMPUTED_VALUE"""),2053.6366)</f>
        <v>2053.6366</v>
      </c>
      <c r="C164" s="3">
        <f>IFERROR(__xludf.DUMMYFUNCTION("""COMPUTED_VALUE"""),1.20779757749E8)</f>
        <v>120779757.7</v>
      </c>
      <c r="D164" s="3">
        <f>IFERROR(__xludf.DUMMYFUNCTION("""COMPUTED_VALUE"""),13018.5625)</f>
        <v>13018.5625</v>
      </c>
      <c r="E164" s="3">
        <f>IFERROR(__xludf.DUMMYFUNCTION("""COMPUTED_VALUE"""),2.67353964293875E7)</f>
        <v>26735396.43</v>
      </c>
      <c r="F164" s="3" t="str">
        <f>IFERROR(__xludf.DUMMYFUNCTION("""COMPUTED_VALUE"""),"ETH")</f>
        <v>ETH</v>
      </c>
      <c r="G164" s="3"/>
    </row>
    <row r="165">
      <c r="A165" s="3" t="str">
        <f>IFERROR(__xludf.DUMMYFUNCTION("""COMPUTED_VALUE"""),"2022-05-16T00:00:00Z")</f>
        <v>2022-05-16T00:00:00Z</v>
      </c>
      <c r="B165" s="3">
        <f>IFERROR(__xludf.DUMMYFUNCTION("""COMPUTED_VALUE"""),2142.663402)</f>
        <v>2142.663402</v>
      </c>
      <c r="C165" s="3">
        <f>IFERROR(__xludf.DUMMYFUNCTION("""COMPUTED_VALUE"""),1.20793055374E8)</f>
        <v>120793055.4</v>
      </c>
      <c r="D165" s="3">
        <f>IFERROR(__xludf.DUMMYFUNCTION("""COMPUTED_VALUE"""),13297.625)</f>
        <v>13297.625</v>
      </c>
      <c r="E165" s="3">
        <f>IFERROR(__xludf.DUMMYFUNCTION("""COMPUTED_VALUE"""),2.849233442102025E7)</f>
        <v>28492334.42</v>
      </c>
      <c r="F165" s="3" t="str">
        <f>IFERROR(__xludf.DUMMYFUNCTION("""COMPUTED_VALUE"""),"ETH")</f>
        <v>ETH</v>
      </c>
      <c r="G165" s="3"/>
    </row>
    <row r="166">
      <c r="A166" s="3" t="str">
        <f>IFERROR(__xludf.DUMMYFUNCTION("""COMPUTED_VALUE"""),"2022-05-17T00:00:00Z")</f>
        <v>2022-05-17T00:00:00Z</v>
      </c>
      <c r="B166" s="3">
        <f>IFERROR(__xludf.DUMMYFUNCTION("""COMPUTED_VALUE"""),2021.279565)</f>
        <v>2021.279565</v>
      </c>
      <c r="C166" s="3">
        <f>IFERROR(__xludf.DUMMYFUNCTION("""COMPUTED_VALUE"""),1.20806222749E8)</f>
        <v>120806222.7</v>
      </c>
      <c r="D166" s="3">
        <f>IFERROR(__xludf.DUMMYFUNCTION("""COMPUTED_VALUE"""),13167.375)</f>
        <v>13167.375</v>
      </c>
      <c r="E166" s="3">
        <f>IFERROR(__xludf.DUMMYFUNCTION("""COMPUTED_VALUE"""),2.6614946012191877E7)</f>
        <v>26614946.01</v>
      </c>
      <c r="F166" s="3" t="str">
        <f>IFERROR(__xludf.DUMMYFUNCTION("""COMPUTED_VALUE"""),"ETH")</f>
        <v>ETH</v>
      </c>
      <c r="G166" s="3"/>
    </row>
    <row r="167">
      <c r="A167" s="3" t="str">
        <f>IFERROR(__xludf.DUMMYFUNCTION("""COMPUTED_VALUE"""),"2022-05-18T00:00:00Z")</f>
        <v>2022-05-18T00:00:00Z</v>
      </c>
      <c r="B167" s="3">
        <f>IFERROR(__xludf.DUMMYFUNCTION("""COMPUTED_VALUE"""),2087.966866)</f>
        <v>2087.966866</v>
      </c>
      <c r="C167" s="3">
        <f>IFERROR(__xludf.DUMMYFUNCTION("""COMPUTED_VALUE"""),1.20819479624E8)</f>
        <v>120819479.6</v>
      </c>
      <c r="D167" s="3">
        <f>IFERROR(__xludf.DUMMYFUNCTION("""COMPUTED_VALUE"""),13256.875)</f>
        <v>13256.875</v>
      </c>
      <c r="E167" s="3">
        <f>IFERROR(__xludf.DUMMYFUNCTION("""COMPUTED_VALUE"""),2.767991574670375E7)</f>
        <v>27679915.75</v>
      </c>
      <c r="F167" s="3" t="str">
        <f>IFERROR(__xludf.DUMMYFUNCTION("""COMPUTED_VALUE"""),"ETH")</f>
        <v>ETH</v>
      </c>
      <c r="G167" s="3"/>
    </row>
    <row r="168">
      <c r="A168" s="3" t="str">
        <f>IFERROR(__xludf.DUMMYFUNCTION("""COMPUTED_VALUE"""),"2022-05-19T00:00:00Z")</f>
        <v>2022-05-19T00:00:00Z</v>
      </c>
      <c r="B168" s="3">
        <f>IFERROR(__xludf.DUMMYFUNCTION("""COMPUTED_VALUE"""),1913.050302)</f>
        <v>1913.050302</v>
      </c>
      <c r="C168" s="3">
        <f>IFERROR(__xludf.DUMMYFUNCTION("""COMPUTED_VALUE"""),1.20832757624E8)</f>
        <v>120832757.6</v>
      </c>
      <c r="D168" s="3">
        <f>IFERROR(__xludf.DUMMYFUNCTION("""COMPUTED_VALUE"""),13278.0)</f>
        <v>13278</v>
      </c>
      <c r="E168" s="3">
        <f>IFERROR(__xludf.DUMMYFUNCTION("""COMPUTED_VALUE"""),2.5401481909956E7)</f>
        <v>25401481.91</v>
      </c>
      <c r="F168" s="3" t="str">
        <f>IFERROR(__xludf.DUMMYFUNCTION("""COMPUTED_VALUE"""),"ETH")</f>
        <v>ETH</v>
      </c>
      <c r="G168" s="3"/>
    </row>
    <row r="169">
      <c r="A169" s="3" t="str">
        <f>IFERROR(__xludf.DUMMYFUNCTION("""COMPUTED_VALUE"""),"2022-05-20T00:00:00Z")</f>
        <v>2022-05-20T00:00:00Z</v>
      </c>
      <c r="B169" s="3">
        <f>IFERROR(__xludf.DUMMYFUNCTION("""COMPUTED_VALUE"""),2016.952653)</f>
        <v>2016.952653</v>
      </c>
      <c r="C169" s="3">
        <f>IFERROR(__xludf.DUMMYFUNCTION("""COMPUTED_VALUE"""),1.208455558115E8)</f>
        <v>120845555.8</v>
      </c>
      <c r="D169" s="3">
        <f>IFERROR(__xludf.DUMMYFUNCTION("""COMPUTED_VALUE"""),12798.1875)</f>
        <v>12798.1875</v>
      </c>
      <c r="E169" s="3">
        <f>IFERROR(__xludf.DUMMYFUNCTION("""COMPUTED_VALUE"""),2.581333823171644E7)</f>
        <v>25813338.23</v>
      </c>
      <c r="F169" s="3" t="str">
        <f>IFERROR(__xludf.DUMMYFUNCTION("""COMPUTED_VALUE"""),"ETH")</f>
        <v>ETH</v>
      </c>
      <c r="G169" s="3"/>
    </row>
    <row r="170">
      <c r="A170" s="3" t="str">
        <f>IFERROR(__xludf.DUMMYFUNCTION("""COMPUTED_VALUE"""),"2022-05-21T00:00:00Z")</f>
        <v>2022-05-21T00:00:00Z</v>
      </c>
      <c r="B170" s="3">
        <f>IFERROR(__xludf.DUMMYFUNCTION("""COMPUTED_VALUE"""),1956.668407)</f>
        <v>1956.668407</v>
      </c>
      <c r="C170" s="3">
        <f>IFERROR(__xludf.DUMMYFUNCTION("""COMPUTED_VALUE"""),1.208584165615E8)</f>
        <v>120858416.6</v>
      </c>
      <c r="D170" s="3">
        <f>IFERROR(__xludf.DUMMYFUNCTION("""COMPUTED_VALUE"""),12860.75)</f>
        <v>12860.75</v>
      </c>
      <c r="E170" s="3">
        <f>IFERROR(__xludf.DUMMYFUNCTION("""COMPUTED_VALUE"""),2.5164223215325247E7)</f>
        <v>25164223.22</v>
      </c>
      <c r="F170" s="3" t="str">
        <f>IFERROR(__xludf.DUMMYFUNCTION("""COMPUTED_VALUE"""),"ETH")</f>
        <v>ETH</v>
      </c>
      <c r="G170" s="3"/>
    </row>
    <row r="171">
      <c r="A171" s="3" t="str">
        <f>IFERROR(__xludf.DUMMYFUNCTION("""COMPUTED_VALUE"""),"2022-05-22T00:00:00Z")</f>
        <v>2022-05-22T00:00:00Z</v>
      </c>
      <c r="B171" s="3">
        <f>IFERROR(__xludf.DUMMYFUNCTION("""COMPUTED_VALUE"""),1972.557944)</f>
        <v>1972.557944</v>
      </c>
      <c r="C171" s="3">
        <f>IFERROR(__xludf.DUMMYFUNCTION("""COMPUTED_VALUE"""),1.208712695615E8)</f>
        <v>120871269.6</v>
      </c>
      <c r="D171" s="3">
        <f>IFERROR(__xludf.DUMMYFUNCTION("""COMPUTED_VALUE"""),12853.0)</f>
        <v>12853</v>
      </c>
      <c r="E171" s="3">
        <f>IFERROR(__xludf.DUMMYFUNCTION("""COMPUTED_VALUE"""),2.5353287254232E7)</f>
        <v>25353287.25</v>
      </c>
      <c r="F171" s="3" t="str">
        <f>IFERROR(__xludf.DUMMYFUNCTION("""COMPUTED_VALUE"""),"ETH")</f>
        <v>ETH</v>
      </c>
      <c r="G171" s="3"/>
    </row>
    <row r="172">
      <c r="A172" s="3" t="str">
        <f>IFERROR(__xludf.DUMMYFUNCTION("""COMPUTED_VALUE"""),"2022-05-23T00:00:00Z")</f>
        <v>2022-05-23T00:00:00Z</v>
      </c>
      <c r="B172" s="3">
        <f>IFERROR(__xludf.DUMMYFUNCTION("""COMPUTED_VALUE"""),2040.481354)</f>
        <v>2040.481354</v>
      </c>
      <c r="C172" s="3">
        <f>IFERROR(__xludf.DUMMYFUNCTION("""COMPUTED_VALUE"""),1.208841323115E8)</f>
        <v>120884132.3</v>
      </c>
      <c r="D172" s="3">
        <f>IFERROR(__xludf.DUMMYFUNCTION("""COMPUTED_VALUE"""),12862.75)</f>
        <v>12862.75</v>
      </c>
      <c r="E172" s="3">
        <f>IFERROR(__xludf.DUMMYFUNCTION("""COMPUTED_VALUE"""),2.62462015361635E7)</f>
        <v>26246201.54</v>
      </c>
      <c r="F172" s="3" t="str">
        <f>IFERROR(__xludf.DUMMYFUNCTION("""COMPUTED_VALUE"""),"ETH")</f>
        <v>ETH</v>
      </c>
      <c r="G172" s="3"/>
    </row>
    <row r="173">
      <c r="A173" s="3" t="str">
        <f>IFERROR(__xludf.DUMMYFUNCTION("""COMPUTED_VALUE"""),"2022-05-24T00:00:00Z")</f>
        <v>2022-05-24T00:00:00Z</v>
      </c>
      <c r="B173" s="3">
        <f>IFERROR(__xludf.DUMMYFUNCTION("""COMPUTED_VALUE"""),1971.310984)</f>
        <v>1971.310984</v>
      </c>
      <c r="C173" s="3">
        <f>IFERROR(__xludf.DUMMYFUNCTION("""COMPUTED_VALUE"""),1.208970743115E8)</f>
        <v>120897074.3</v>
      </c>
      <c r="D173" s="3">
        <f>IFERROR(__xludf.DUMMYFUNCTION("""COMPUTED_VALUE"""),12942.0)</f>
        <v>12942</v>
      </c>
      <c r="E173" s="3">
        <f>IFERROR(__xludf.DUMMYFUNCTION("""COMPUTED_VALUE"""),2.5512706754928E7)</f>
        <v>25512706.75</v>
      </c>
      <c r="F173" s="3" t="str">
        <f>IFERROR(__xludf.DUMMYFUNCTION("""COMPUTED_VALUE"""),"ETH")</f>
        <v>ETH</v>
      </c>
      <c r="G173" s="3"/>
    </row>
    <row r="174">
      <c r="A174" s="3" t="str">
        <f>IFERROR(__xludf.DUMMYFUNCTION("""COMPUTED_VALUE"""),"2022-05-25T00:00:00Z")</f>
        <v>2022-05-25T00:00:00Z</v>
      </c>
      <c r="B174" s="3">
        <f>IFERROR(__xludf.DUMMYFUNCTION("""COMPUTED_VALUE"""),1977.234532)</f>
        <v>1977.234532</v>
      </c>
      <c r="C174" s="3">
        <f>IFERROR(__xludf.DUMMYFUNCTION("""COMPUTED_VALUE"""),1.20909903999E8)</f>
        <v>120909904</v>
      </c>
      <c r="D174" s="3">
        <f>IFERROR(__xludf.DUMMYFUNCTION("""COMPUTED_VALUE"""),12829.6875)</f>
        <v>12829.6875</v>
      </c>
      <c r="E174" s="3">
        <f>IFERROR(__xludf.DUMMYFUNCTION("""COMPUTED_VALUE"""),2.536730115976875E7)</f>
        <v>25367301.16</v>
      </c>
      <c r="F174" s="3" t="str">
        <f>IFERROR(__xludf.DUMMYFUNCTION("""COMPUTED_VALUE"""),"ETH")</f>
        <v>ETH</v>
      </c>
      <c r="G174" s="3"/>
    </row>
    <row r="175">
      <c r="A175" s="3" t="str">
        <f>IFERROR(__xludf.DUMMYFUNCTION("""COMPUTED_VALUE"""),"2022-05-26T00:00:00Z")</f>
        <v>2022-05-26T00:00:00Z</v>
      </c>
      <c r="B175" s="3">
        <f>IFERROR(__xludf.DUMMYFUNCTION("""COMPUTED_VALUE"""),1940.318059)</f>
        <v>1940.318059</v>
      </c>
      <c r="C175" s="3">
        <f>IFERROR(__xludf.DUMMYFUNCTION("""COMPUTED_VALUE"""),1.20922857999E8)</f>
        <v>120922858</v>
      </c>
      <c r="D175" s="3">
        <f>IFERROR(__xludf.DUMMYFUNCTION("""COMPUTED_VALUE"""),12954.0)</f>
        <v>12954</v>
      </c>
      <c r="E175" s="3">
        <f>IFERROR(__xludf.DUMMYFUNCTION("""COMPUTED_VALUE"""),2.5134880136285998E7)</f>
        <v>25134880.14</v>
      </c>
      <c r="F175" s="3" t="str">
        <f>IFERROR(__xludf.DUMMYFUNCTION("""COMPUTED_VALUE"""),"ETH")</f>
        <v>ETH</v>
      </c>
      <c r="G175" s="3"/>
    </row>
    <row r="176">
      <c r="A176" s="3" t="str">
        <f>IFERROR(__xludf.DUMMYFUNCTION("""COMPUTED_VALUE"""),"2022-05-27T00:00:00Z")</f>
        <v>2022-05-27T00:00:00Z</v>
      </c>
      <c r="B176" s="3">
        <f>IFERROR(__xludf.DUMMYFUNCTION("""COMPUTED_VALUE"""),1790.309723)</f>
        <v>1790.309723</v>
      </c>
      <c r="C176" s="3">
        <f>IFERROR(__xludf.DUMMYFUNCTION("""COMPUTED_VALUE"""),1.20935665624E8)</f>
        <v>120935665.6</v>
      </c>
      <c r="D176" s="3">
        <f>IFERROR(__xludf.DUMMYFUNCTION("""COMPUTED_VALUE"""),12807.625)</f>
        <v>12807.625</v>
      </c>
      <c r="E176" s="3">
        <f>IFERROR(__xludf.DUMMYFUNCTION("""COMPUTED_VALUE"""),2.2929615566037875E7)</f>
        <v>22929615.57</v>
      </c>
      <c r="F176" s="3" t="str">
        <f>IFERROR(__xludf.DUMMYFUNCTION("""COMPUTED_VALUE"""),"ETH")</f>
        <v>ETH</v>
      </c>
      <c r="G176" s="3"/>
    </row>
    <row r="177">
      <c r="A177" s="3" t="str">
        <f>IFERROR(__xludf.DUMMYFUNCTION("""COMPUTED_VALUE"""),"2022-05-28T00:00:00Z")</f>
        <v>2022-05-28T00:00:00Z</v>
      </c>
      <c r="B177" s="3">
        <f>IFERROR(__xludf.DUMMYFUNCTION("""COMPUTED_VALUE"""),1725.462226)</f>
        <v>1725.462226</v>
      </c>
      <c r="C177" s="3">
        <f>IFERROR(__xludf.DUMMYFUNCTION("""COMPUTED_VALUE"""),1.209486384365E8)</f>
        <v>120948638.4</v>
      </c>
      <c r="D177" s="3">
        <f>IFERROR(__xludf.DUMMYFUNCTION("""COMPUTED_VALUE"""),12972.8125)</f>
        <v>12972.8125</v>
      </c>
      <c r="E177" s="3">
        <f>IFERROR(__xludf.DUMMYFUNCTION("""COMPUTED_VALUE"""),2.2384097933730625E7)</f>
        <v>22384097.93</v>
      </c>
      <c r="F177" s="3" t="str">
        <f>IFERROR(__xludf.DUMMYFUNCTION("""COMPUTED_VALUE"""),"ETH")</f>
        <v>ETH</v>
      </c>
      <c r="G177" s="3"/>
    </row>
    <row r="178">
      <c r="A178" s="3" t="str">
        <f>IFERROR(__xludf.DUMMYFUNCTION("""COMPUTED_VALUE"""),"2022-05-29T00:00:00Z")</f>
        <v>2022-05-29T00:00:00Z</v>
      </c>
      <c r="B178" s="3">
        <f>IFERROR(__xludf.DUMMYFUNCTION("""COMPUTED_VALUE"""),1790.896078)</f>
        <v>1790.896078</v>
      </c>
      <c r="C178" s="3">
        <f>IFERROR(__xludf.DUMMYFUNCTION("""COMPUTED_VALUE"""),1.209615156865E8)</f>
        <v>120961515.7</v>
      </c>
      <c r="D178" s="3">
        <f>IFERROR(__xludf.DUMMYFUNCTION("""COMPUTED_VALUE"""),12877.25)</f>
        <v>12877.25</v>
      </c>
      <c r="E178" s="3">
        <f>IFERROR(__xludf.DUMMYFUNCTION("""COMPUTED_VALUE"""),2.30618165204255E7)</f>
        <v>23061816.52</v>
      </c>
      <c r="F178" s="3" t="str">
        <f>IFERROR(__xludf.DUMMYFUNCTION("""COMPUTED_VALUE"""),"ETH")</f>
        <v>ETH</v>
      </c>
      <c r="G178" s="3"/>
    </row>
    <row r="179">
      <c r="A179" s="3" t="str">
        <f>IFERROR(__xludf.DUMMYFUNCTION("""COMPUTED_VALUE"""),"2022-05-30T00:00:00Z")</f>
        <v>2022-05-30T00:00:00Z</v>
      </c>
      <c r="B179" s="3">
        <f>IFERROR(__xludf.DUMMYFUNCTION("""COMPUTED_VALUE"""),1812.714869)</f>
        <v>1812.714869</v>
      </c>
      <c r="C179" s="3">
        <f>IFERROR(__xludf.DUMMYFUNCTION("""COMPUTED_VALUE"""),1.209744000615E8)</f>
        <v>120974400.1</v>
      </c>
      <c r="D179" s="3">
        <f>IFERROR(__xludf.DUMMYFUNCTION("""COMPUTED_VALUE"""),12884.375)</f>
        <v>12884.375</v>
      </c>
      <c r="E179" s="3">
        <f>IFERROR(__xludf.DUMMYFUNCTION("""COMPUTED_VALUE"""),2.3355698140271872E7)</f>
        <v>23355698.14</v>
      </c>
      <c r="F179" s="3" t="str">
        <f>IFERROR(__xludf.DUMMYFUNCTION("""COMPUTED_VALUE"""),"ETH")</f>
        <v>ETH</v>
      </c>
      <c r="G179" s="3"/>
    </row>
    <row r="180">
      <c r="A180" s="3" t="str">
        <f>IFERROR(__xludf.DUMMYFUNCTION("""COMPUTED_VALUE"""),"2022-05-31T00:00:00Z")</f>
        <v>2022-05-31T00:00:00Z</v>
      </c>
      <c r="B180" s="3">
        <f>IFERROR(__xludf.DUMMYFUNCTION("""COMPUTED_VALUE"""),1996.563513)</f>
        <v>1996.563513</v>
      </c>
      <c r="C180" s="3">
        <f>IFERROR(__xludf.DUMMYFUNCTION("""COMPUTED_VALUE"""),1.209872555615E8)</f>
        <v>120987255.6</v>
      </c>
      <c r="D180" s="3">
        <f>IFERROR(__xludf.DUMMYFUNCTION("""COMPUTED_VALUE"""),12855.5)</f>
        <v>12855.5</v>
      </c>
      <c r="E180" s="3">
        <f>IFERROR(__xludf.DUMMYFUNCTION("""COMPUTED_VALUE"""),2.56668222413715E7)</f>
        <v>25666822.24</v>
      </c>
      <c r="F180" s="3" t="str">
        <f>IFERROR(__xludf.DUMMYFUNCTION("""COMPUTED_VALUE"""),"ETH")</f>
        <v>ETH</v>
      </c>
      <c r="G180" s="3"/>
    </row>
    <row r="181">
      <c r="A181" s="3" t="str">
        <f>IFERROR(__xludf.DUMMYFUNCTION("""COMPUTED_VALUE"""),"2022-06-01T00:00:00Z")</f>
        <v>2022-06-01T00:00:00Z</v>
      </c>
      <c r="B181" s="3">
        <f>IFERROR(__xludf.DUMMYFUNCTION("""COMPUTED_VALUE"""),1940.436137)</f>
        <v>1940.436137</v>
      </c>
      <c r="C181" s="3">
        <f>IFERROR(__xludf.DUMMYFUNCTION("""COMPUTED_VALUE"""),1.210000684365E8)</f>
        <v>121000068.4</v>
      </c>
      <c r="D181" s="3">
        <f>IFERROR(__xludf.DUMMYFUNCTION("""COMPUTED_VALUE"""),12812.875)</f>
        <v>12812.875</v>
      </c>
      <c r="E181" s="3">
        <f>IFERROR(__xludf.DUMMYFUNCTION("""COMPUTED_VALUE"""),2.4862565668863874E7)</f>
        <v>24862565.67</v>
      </c>
      <c r="F181" s="3" t="str">
        <f>IFERROR(__xludf.DUMMYFUNCTION("""COMPUTED_VALUE"""),"ETH")</f>
        <v>ETH</v>
      </c>
      <c r="G181" s="3"/>
    </row>
    <row r="182">
      <c r="A182" s="3" t="str">
        <f>IFERROR(__xludf.DUMMYFUNCTION("""COMPUTED_VALUE"""),"2022-06-02T00:00:00Z")</f>
        <v>2022-06-02T00:00:00Z</v>
      </c>
      <c r="B182" s="3">
        <f>IFERROR(__xludf.DUMMYFUNCTION("""COMPUTED_VALUE"""),1816.84699)</f>
        <v>1816.84699</v>
      </c>
      <c r="C182" s="3">
        <f>IFERROR(__xludf.DUMMYFUNCTION("""COMPUTED_VALUE"""),1.21012928499E8)</f>
        <v>121012928.5</v>
      </c>
      <c r="D182" s="3">
        <f>IFERROR(__xludf.DUMMYFUNCTION("""COMPUTED_VALUE"""),12860.0625)</f>
        <v>12860.0625</v>
      </c>
      <c r="E182" s="3">
        <f>IFERROR(__xludf.DUMMYFUNCTION("""COMPUTED_VALUE"""),2.3364765844336875E7)</f>
        <v>23364765.84</v>
      </c>
      <c r="F182" s="3" t="str">
        <f>IFERROR(__xludf.DUMMYFUNCTION("""COMPUTED_VALUE"""),"ETH")</f>
        <v>ETH</v>
      </c>
      <c r="G182" s="3"/>
    </row>
    <row r="183">
      <c r="A183" s="3" t="str">
        <f>IFERROR(__xludf.DUMMYFUNCTION("""COMPUTED_VALUE"""),"2022-06-03T00:00:00Z")</f>
        <v>2022-06-03T00:00:00Z</v>
      </c>
      <c r="B183" s="3">
        <f>IFERROR(__xludf.DUMMYFUNCTION("""COMPUTED_VALUE"""),1832.654399)</f>
        <v>1832.654399</v>
      </c>
      <c r="C183" s="3">
        <f>IFERROR(__xludf.DUMMYFUNCTION("""COMPUTED_VALUE"""),1.210257980615E8)</f>
        <v>121025798.1</v>
      </c>
      <c r="D183" s="3">
        <f>IFERROR(__xludf.DUMMYFUNCTION("""COMPUTED_VALUE"""),12869.5625)</f>
        <v>12869.5625</v>
      </c>
      <c r="E183" s="3">
        <f>IFERROR(__xludf.DUMMYFUNCTION("""COMPUTED_VALUE"""),2.3585460328830436E7)</f>
        <v>23585460.33</v>
      </c>
      <c r="F183" s="3" t="str">
        <f>IFERROR(__xludf.DUMMYFUNCTION("""COMPUTED_VALUE"""),"ETH")</f>
        <v>ETH</v>
      </c>
      <c r="G183" s="3"/>
    </row>
    <row r="184">
      <c r="A184" s="3" t="str">
        <f>IFERROR(__xludf.DUMMYFUNCTION("""COMPUTED_VALUE"""),"2022-06-04T00:00:00Z")</f>
        <v>2022-06-04T00:00:00Z</v>
      </c>
      <c r="B184" s="3">
        <f>IFERROR(__xludf.DUMMYFUNCTION("""COMPUTED_VALUE"""),1773.519807)</f>
        <v>1773.519807</v>
      </c>
      <c r="C184" s="3">
        <f>IFERROR(__xludf.DUMMYFUNCTION("""COMPUTED_VALUE"""),1.21038693999E8)</f>
        <v>121038694</v>
      </c>
      <c r="D184" s="3">
        <f>IFERROR(__xludf.DUMMYFUNCTION("""COMPUTED_VALUE"""),12895.9375)</f>
        <v>12895.9375</v>
      </c>
      <c r="E184" s="3">
        <f>IFERROR(__xludf.DUMMYFUNCTION("""COMPUTED_VALUE"""),2.287120058608406E7)</f>
        <v>22871200.59</v>
      </c>
      <c r="F184" s="3" t="str">
        <f>IFERROR(__xludf.DUMMYFUNCTION("""COMPUTED_VALUE"""),"ETH")</f>
        <v>ETH</v>
      </c>
      <c r="G184" s="3"/>
    </row>
    <row r="185">
      <c r="A185" s="3" t="str">
        <f>IFERROR(__xludf.DUMMYFUNCTION("""COMPUTED_VALUE"""),"2022-06-05T00:00:00Z")</f>
        <v>2022-06-05T00:00:00Z</v>
      </c>
      <c r="B185" s="3">
        <f>IFERROR(__xludf.DUMMYFUNCTION("""COMPUTED_VALUE"""),1803.646978)</f>
        <v>1803.646978</v>
      </c>
      <c r="C185" s="3">
        <f>IFERROR(__xludf.DUMMYFUNCTION("""COMPUTED_VALUE"""),1.21051040624E8)</f>
        <v>121051040.6</v>
      </c>
      <c r="D185" s="3">
        <f>IFERROR(__xludf.DUMMYFUNCTION("""COMPUTED_VALUE"""),12346.625)</f>
        <v>12346.625</v>
      </c>
      <c r="E185" s="3">
        <f>IFERROR(__xludf.DUMMYFUNCTION("""COMPUTED_VALUE"""),2.2268952869749248E7)</f>
        <v>22268952.87</v>
      </c>
      <c r="F185" s="3" t="str">
        <f>IFERROR(__xludf.DUMMYFUNCTION("""COMPUTED_VALUE"""),"ETH")</f>
        <v>ETH</v>
      </c>
      <c r="G185" s="3"/>
    </row>
    <row r="186">
      <c r="A186" s="3" t="str">
        <f>IFERROR(__xludf.DUMMYFUNCTION("""COMPUTED_VALUE"""),"2022-06-06T00:00:00Z")</f>
        <v>2022-06-06T00:00:00Z</v>
      </c>
      <c r="B186" s="3">
        <f>IFERROR(__xludf.DUMMYFUNCTION("""COMPUTED_VALUE"""),1804.777612)</f>
        <v>1804.777612</v>
      </c>
      <c r="C186" s="3">
        <f>IFERROR(__xludf.DUMMYFUNCTION("""COMPUTED_VALUE"""),1.210633856865E8)</f>
        <v>121063385.7</v>
      </c>
      <c r="D186" s="3">
        <f>IFERROR(__xludf.DUMMYFUNCTION("""COMPUTED_VALUE"""),12345.0625)</f>
        <v>12345.0625</v>
      </c>
      <c r="E186" s="3">
        <f>IFERROR(__xludf.DUMMYFUNCTION("""COMPUTED_VALUE"""),2.228009241874075E7)</f>
        <v>22280092.42</v>
      </c>
      <c r="F186" s="3" t="str">
        <f>IFERROR(__xludf.DUMMYFUNCTION("""COMPUTED_VALUE"""),"ETH")</f>
        <v>ETH</v>
      </c>
      <c r="G186" s="3"/>
    </row>
    <row r="187">
      <c r="A187" s="3" t="str">
        <f>IFERROR(__xludf.DUMMYFUNCTION("""COMPUTED_VALUE"""),"2022-06-07T00:00:00Z")</f>
        <v>2022-06-07T00:00:00Z</v>
      </c>
      <c r="B187" s="3">
        <f>IFERROR(__xludf.DUMMYFUNCTION("""COMPUTED_VALUE"""),1858.261725)</f>
        <v>1858.261725</v>
      </c>
      <c r="C187" s="3">
        <f>IFERROR(__xludf.DUMMYFUNCTION("""COMPUTED_VALUE"""),1.21075610124E8)</f>
        <v>121075610.1</v>
      </c>
      <c r="D187" s="3">
        <f>IFERROR(__xludf.DUMMYFUNCTION("""COMPUTED_VALUE"""),12224.4375)</f>
        <v>12224.4375</v>
      </c>
      <c r="E187" s="3">
        <f>IFERROR(__xludf.DUMMYFUNCTION("""COMPUTED_VALUE"""),2.2716204315904688E7)</f>
        <v>22716204.32</v>
      </c>
      <c r="F187" s="3" t="str">
        <f>IFERROR(__xludf.DUMMYFUNCTION("""COMPUTED_VALUE"""),"ETH")</f>
        <v>ETH</v>
      </c>
      <c r="G187" s="3"/>
    </row>
    <row r="188">
      <c r="A188" s="3" t="str">
        <f>IFERROR(__xludf.DUMMYFUNCTION("""COMPUTED_VALUE"""),"2022-06-08T00:00:00Z")</f>
        <v>2022-06-08T00:00:00Z</v>
      </c>
      <c r="B188" s="3">
        <f>IFERROR(__xludf.DUMMYFUNCTION("""COMPUTED_VALUE"""),1812.039766)</f>
        <v>1812.039766</v>
      </c>
      <c r="C188" s="3">
        <f>IFERROR(__xludf.DUMMYFUNCTION("""COMPUTED_VALUE"""),1.210879654365E8)</f>
        <v>121087965.4</v>
      </c>
      <c r="D188" s="3">
        <f>IFERROR(__xludf.DUMMYFUNCTION("""COMPUTED_VALUE"""),12355.3125)</f>
        <v>12355.3125</v>
      </c>
      <c r="E188" s="3">
        <f>IFERROR(__xludf.DUMMYFUNCTION("""COMPUTED_VALUE"""),2.2388317571356878E7)</f>
        <v>22388317.57</v>
      </c>
      <c r="F188" s="3" t="str">
        <f>IFERROR(__xludf.DUMMYFUNCTION("""COMPUTED_VALUE"""),"ETH")</f>
        <v>ETH</v>
      </c>
      <c r="G188" s="3"/>
    </row>
    <row r="189">
      <c r="A189" s="3" t="str">
        <f>IFERROR(__xludf.DUMMYFUNCTION("""COMPUTED_VALUE"""),"2022-06-09T00:00:00Z")</f>
        <v>2022-06-09T00:00:00Z</v>
      </c>
      <c r="B189" s="3">
        <f>IFERROR(__xludf.DUMMYFUNCTION("""COMPUTED_VALUE"""),1790.736107)</f>
        <v>1790.736107</v>
      </c>
      <c r="C189" s="3">
        <f>IFERROR(__xludf.DUMMYFUNCTION("""COMPUTED_VALUE"""),1.211002800615E8)</f>
        <v>121100280.1</v>
      </c>
      <c r="D189" s="3">
        <f>IFERROR(__xludf.DUMMYFUNCTION("""COMPUTED_VALUE"""),12314.625)</f>
        <v>12314.625</v>
      </c>
      <c r="E189" s="3">
        <f>IFERROR(__xludf.DUMMYFUNCTION("""COMPUTED_VALUE"""),2.2052243631664876E7)</f>
        <v>22052243.63</v>
      </c>
      <c r="F189" s="3" t="str">
        <f>IFERROR(__xludf.DUMMYFUNCTION("""COMPUTED_VALUE"""),"ETH")</f>
        <v>ETH</v>
      </c>
      <c r="G189" s="3"/>
    </row>
    <row r="190">
      <c r="A190" s="3" t="str">
        <f>IFERROR(__xludf.DUMMYFUNCTION("""COMPUTED_VALUE"""),"2022-06-10T00:00:00Z")</f>
        <v>2022-06-10T00:00:00Z</v>
      </c>
      <c r="B190" s="3">
        <f>IFERROR(__xludf.DUMMYFUNCTION("""COMPUTED_VALUE"""),1786.328856)</f>
        <v>1786.328856</v>
      </c>
      <c r="C190" s="3">
        <f>IFERROR(__xludf.DUMMYFUNCTION("""COMPUTED_VALUE"""),1.21112430749E8)</f>
        <v>121112430.7</v>
      </c>
      <c r="D190" s="3">
        <f>IFERROR(__xludf.DUMMYFUNCTION("""COMPUTED_VALUE"""),12150.6875)</f>
        <v>12150.6875</v>
      </c>
      <c r="E190" s="3">
        <f>IFERROR(__xludf.DUMMYFUNCTION("""COMPUTED_VALUE"""),2.1705123701488502E7)</f>
        <v>21705123.7</v>
      </c>
      <c r="F190" s="3" t="str">
        <f>IFERROR(__xludf.DUMMYFUNCTION("""COMPUTED_VALUE"""),"ETH")</f>
        <v>ETH</v>
      </c>
      <c r="G190" s="3"/>
    </row>
    <row r="191">
      <c r="A191" s="3" t="str">
        <f>IFERROR(__xludf.DUMMYFUNCTION("""COMPUTED_VALUE"""),"2022-06-11T00:00:00Z")</f>
        <v>2022-06-11T00:00:00Z</v>
      </c>
      <c r="B191" s="3">
        <f>IFERROR(__xludf.DUMMYFUNCTION("""COMPUTED_VALUE"""),1661.421355)</f>
        <v>1661.421355</v>
      </c>
      <c r="C191" s="3">
        <f>IFERROR(__xludf.DUMMYFUNCTION("""COMPUTED_VALUE"""),1.211246626865E8)</f>
        <v>121124662.7</v>
      </c>
      <c r="D191" s="3">
        <f>IFERROR(__xludf.DUMMYFUNCTION("""COMPUTED_VALUE"""),12231.9375)</f>
        <v>12231.9375</v>
      </c>
      <c r="E191" s="3">
        <f>IFERROR(__xludf.DUMMYFUNCTION("""COMPUTED_VALUE"""),2.032240217552531E7)</f>
        <v>20322402.18</v>
      </c>
      <c r="F191" s="3" t="str">
        <f>IFERROR(__xludf.DUMMYFUNCTION("""COMPUTED_VALUE"""),"ETH")</f>
        <v>ETH</v>
      </c>
      <c r="G191" s="3"/>
    </row>
    <row r="192">
      <c r="A192" s="3" t="str">
        <f>IFERROR(__xludf.DUMMYFUNCTION("""COMPUTED_VALUE"""),"2022-06-12T00:00:00Z")</f>
        <v>2022-06-12T00:00:00Z</v>
      </c>
      <c r="B192" s="3">
        <f>IFERROR(__xludf.DUMMYFUNCTION("""COMPUTED_VALUE"""),1531.104694)</f>
        <v>1531.104694</v>
      </c>
      <c r="C192" s="3">
        <f>IFERROR(__xludf.DUMMYFUNCTION("""COMPUTED_VALUE"""),1.21137036499E8)</f>
        <v>121137036.5</v>
      </c>
      <c r="D192" s="3">
        <f>IFERROR(__xludf.DUMMYFUNCTION("""COMPUTED_VALUE"""),12373.8125)</f>
        <v>12373.8125</v>
      </c>
      <c r="E192" s="3">
        <f>IFERROR(__xludf.DUMMYFUNCTION("""COMPUTED_VALUE"""),1.8945602401425876E7)</f>
        <v>18945602.4</v>
      </c>
      <c r="F192" s="3" t="str">
        <f>IFERROR(__xludf.DUMMYFUNCTION("""COMPUTED_VALUE"""),"ETH")</f>
        <v>ETH</v>
      </c>
      <c r="G192" s="3"/>
    </row>
    <row r="193">
      <c r="A193" s="3" t="str">
        <f>IFERROR(__xludf.DUMMYFUNCTION("""COMPUTED_VALUE"""),"2022-06-13T00:00:00Z")</f>
        <v>2022-06-13T00:00:00Z</v>
      </c>
      <c r="B193" s="3">
        <f>IFERROR(__xludf.DUMMYFUNCTION("""COMPUTED_VALUE"""),1433.782545)</f>
        <v>1433.782545</v>
      </c>
      <c r="C193" s="3">
        <f>IFERROR(__xludf.DUMMYFUNCTION("""COMPUTED_VALUE"""),1.211492723115E8)</f>
        <v>121149272.3</v>
      </c>
      <c r="D193" s="3">
        <f>IFERROR(__xludf.DUMMYFUNCTION("""COMPUTED_VALUE"""),12235.8125)</f>
        <v>12235.8125</v>
      </c>
      <c r="E193" s="3">
        <f>IFERROR(__xludf.DUMMYFUNCTION("""COMPUTED_VALUE"""),1.7543494386392813E7)</f>
        <v>17543494.39</v>
      </c>
      <c r="F193" s="3" t="str">
        <f>IFERROR(__xludf.DUMMYFUNCTION("""COMPUTED_VALUE"""),"ETH")</f>
        <v>ETH</v>
      </c>
      <c r="G193" s="3"/>
    </row>
    <row r="194">
      <c r="A194" s="3" t="str">
        <f>IFERROR(__xludf.DUMMYFUNCTION("""COMPUTED_VALUE"""),"2022-06-14T00:00:00Z")</f>
        <v>2022-06-14T00:00:00Z</v>
      </c>
      <c r="B194" s="3">
        <f>IFERROR(__xludf.DUMMYFUNCTION("""COMPUTED_VALUE"""),1207.446724)</f>
        <v>1207.446724</v>
      </c>
      <c r="C194" s="3">
        <f>IFERROR(__xludf.DUMMYFUNCTION("""COMPUTED_VALUE"""),1.21161456499E8)</f>
        <v>121161456.5</v>
      </c>
      <c r="D194" s="3">
        <f>IFERROR(__xludf.DUMMYFUNCTION("""COMPUTED_VALUE"""),12184.1875)</f>
        <v>12184.1875</v>
      </c>
      <c r="E194" s="3">
        <f>IFERROR(__xludf.DUMMYFUNCTION("""COMPUTED_VALUE"""),1.471175728147675E7)</f>
        <v>14711757.28</v>
      </c>
      <c r="F194" s="3" t="str">
        <f>IFERROR(__xludf.DUMMYFUNCTION("""COMPUTED_VALUE"""),"ETH")</f>
        <v>ETH</v>
      </c>
      <c r="G194" s="3"/>
    </row>
    <row r="195">
      <c r="A195" s="3" t="str">
        <f>IFERROR(__xludf.DUMMYFUNCTION("""COMPUTED_VALUE"""),"2022-06-15T00:00:00Z")</f>
        <v>2022-06-15T00:00:00Z</v>
      </c>
      <c r="B195" s="3">
        <f>IFERROR(__xludf.DUMMYFUNCTION("""COMPUTED_VALUE"""),1208.795428)</f>
        <v>1208.795428</v>
      </c>
      <c r="C195" s="3">
        <f>IFERROR(__xludf.DUMMYFUNCTION("""COMPUTED_VALUE"""),1.211736408115E8)</f>
        <v>121173640.8</v>
      </c>
      <c r="D195" s="3">
        <f>IFERROR(__xludf.DUMMYFUNCTION("""COMPUTED_VALUE"""),12184.3125)</f>
        <v>12184.3125</v>
      </c>
      <c r="E195" s="3">
        <f>IFERROR(__xludf.DUMMYFUNCTION("""COMPUTED_VALUE"""),1.4728341243323248E7)</f>
        <v>14728341.24</v>
      </c>
      <c r="F195" s="3" t="str">
        <f>IFERROR(__xludf.DUMMYFUNCTION("""COMPUTED_VALUE"""),"ETH")</f>
        <v>ETH</v>
      </c>
      <c r="G195" s="3"/>
    </row>
    <row r="196">
      <c r="A196" s="3" t="str">
        <f>IFERROR(__xludf.DUMMYFUNCTION("""COMPUTED_VALUE"""),"2022-06-16T00:00:00Z")</f>
        <v>2022-06-16T00:00:00Z</v>
      </c>
      <c r="B196" s="3">
        <f>IFERROR(__xludf.DUMMYFUNCTION("""COMPUTED_VALUE"""),1236.322434)</f>
        <v>1236.322434</v>
      </c>
      <c r="C196" s="3">
        <f>IFERROR(__xludf.DUMMYFUNCTION("""COMPUTED_VALUE"""),1.211857030615E8)</f>
        <v>121185703.1</v>
      </c>
      <c r="D196" s="3">
        <f>IFERROR(__xludf.DUMMYFUNCTION("""COMPUTED_VALUE"""),12062.25)</f>
        <v>12062.25</v>
      </c>
      <c r="E196" s="3">
        <f>IFERROR(__xludf.DUMMYFUNCTION("""COMPUTED_VALUE"""),1.49128302795165E7)</f>
        <v>14912830.28</v>
      </c>
      <c r="F196" s="3" t="str">
        <f>IFERROR(__xludf.DUMMYFUNCTION("""COMPUTED_VALUE"""),"ETH")</f>
        <v>ETH</v>
      </c>
      <c r="G196" s="3"/>
    </row>
    <row r="197">
      <c r="A197" s="3" t="str">
        <f>IFERROR(__xludf.DUMMYFUNCTION("""COMPUTED_VALUE"""),"2022-06-17T00:00:00Z")</f>
        <v>2022-06-17T00:00:00Z</v>
      </c>
      <c r="B197" s="3">
        <f>IFERROR(__xludf.DUMMYFUNCTION("""COMPUTED_VALUE"""),1067.933684)</f>
        <v>1067.933684</v>
      </c>
      <c r="C197" s="3">
        <f>IFERROR(__xludf.DUMMYFUNCTION("""COMPUTED_VALUE"""),1.211979254365E8)</f>
        <v>121197925.4</v>
      </c>
      <c r="D197" s="3">
        <f>IFERROR(__xludf.DUMMYFUNCTION("""COMPUTED_VALUE"""),12222.375)</f>
        <v>12222.375</v>
      </c>
      <c r="E197" s="3">
        <f>IFERROR(__xludf.DUMMYFUNCTION("""COMPUTED_VALUE"""),1.30526859609795E7)</f>
        <v>13052685.96</v>
      </c>
      <c r="F197" s="3" t="str">
        <f>IFERROR(__xludf.DUMMYFUNCTION("""COMPUTED_VALUE"""),"ETH")</f>
        <v>ETH</v>
      </c>
      <c r="G197" s="3"/>
    </row>
    <row r="198">
      <c r="A198" s="3" t="str">
        <f>IFERROR(__xludf.DUMMYFUNCTION("""COMPUTED_VALUE"""),"2022-06-18T00:00:00Z")</f>
        <v>2022-06-18T00:00:00Z</v>
      </c>
      <c r="B198" s="3">
        <f>IFERROR(__xludf.DUMMYFUNCTION("""COMPUTED_VALUE"""),1085.019601)</f>
        <v>1085.019601</v>
      </c>
      <c r="C198" s="3">
        <f>IFERROR(__xludf.DUMMYFUNCTION("""COMPUTED_VALUE"""),1.21210176499E8)</f>
        <v>121210176.5</v>
      </c>
      <c r="D198" s="3">
        <f>IFERROR(__xludf.DUMMYFUNCTION("""COMPUTED_VALUE"""),12251.0625)</f>
        <v>12251.0625</v>
      </c>
      <c r="E198" s="3">
        <f>IFERROR(__xludf.DUMMYFUNCTION("""COMPUTED_VALUE"""),1.3292642945576062E7)</f>
        <v>13292642.95</v>
      </c>
      <c r="F198" s="3" t="str">
        <f>IFERROR(__xludf.DUMMYFUNCTION("""COMPUTED_VALUE"""),"ETH")</f>
        <v>ETH</v>
      </c>
      <c r="G198" s="3"/>
    </row>
    <row r="199">
      <c r="A199" s="3" t="str">
        <f>IFERROR(__xludf.DUMMYFUNCTION("""COMPUTED_VALUE"""),"2022-06-19T00:00:00Z")</f>
        <v>2022-06-19T00:00:00Z</v>
      </c>
      <c r="B199" s="3">
        <f>IFERROR(__xludf.DUMMYFUNCTION("""COMPUTED_VALUE"""),993.697714)</f>
        <v>993.697714</v>
      </c>
      <c r="C199" s="3">
        <f>IFERROR(__xludf.DUMMYFUNCTION("""COMPUTED_VALUE"""),1.212223986865E8)</f>
        <v>121222398.7</v>
      </c>
      <c r="D199" s="3">
        <f>IFERROR(__xludf.DUMMYFUNCTION("""COMPUTED_VALUE"""),12222.1875)</f>
        <v>12222.1875</v>
      </c>
      <c r="E199" s="3">
        <f>IFERROR(__xludf.DUMMYFUNCTION("""COMPUTED_VALUE"""),1.2145159778829375E7)</f>
        <v>12145159.78</v>
      </c>
      <c r="F199" s="3" t="str">
        <f>IFERROR(__xludf.DUMMYFUNCTION("""COMPUTED_VALUE"""),"ETH")</f>
        <v>ETH</v>
      </c>
      <c r="G199" s="3"/>
    </row>
    <row r="200">
      <c r="A200" s="3" t="str">
        <f>IFERROR(__xludf.DUMMYFUNCTION("""COMPUTED_VALUE"""),"2022-06-20T00:00:00Z")</f>
        <v>2022-06-20T00:00:00Z</v>
      </c>
      <c r="B200" s="3">
        <f>IFERROR(__xludf.DUMMYFUNCTION("""COMPUTED_VALUE"""),1125.778885)</f>
        <v>1125.778885</v>
      </c>
      <c r="C200" s="3">
        <f>IFERROR(__xludf.DUMMYFUNCTION("""COMPUTED_VALUE"""),1.21234453874E8)</f>
        <v>121234453.9</v>
      </c>
      <c r="D200" s="3">
        <f>IFERROR(__xludf.DUMMYFUNCTION("""COMPUTED_VALUE"""),12055.1875)</f>
        <v>12055.1875</v>
      </c>
      <c r="E200" s="3">
        <f>IFERROR(__xludf.DUMMYFUNCTION("""COMPUTED_VALUE"""),1.3571475542215938E7)</f>
        <v>13571475.54</v>
      </c>
      <c r="F200" s="3" t="str">
        <f>IFERROR(__xludf.DUMMYFUNCTION("""COMPUTED_VALUE"""),"ETH")</f>
        <v>ETH</v>
      </c>
      <c r="G200" s="3"/>
    </row>
    <row r="201">
      <c r="A201" s="3" t="str">
        <f>IFERROR(__xludf.DUMMYFUNCTION("""COMPUTED_VALUE"""),"2022-06-21T00:00:00Z")</f>
        <v>2022-06-21T00:00:00Z</v>
      </c>
      <c r="B201" s="3">
        <f>IFERROR(__xludf.DUMMYFUNCTION("""COMPUTED_VALUE"""),1126.900833)</f>
        <v>1126.900833</v>
      </c>
      <c r="C201" s="3">
        <f>IFERROR(__xludf.DUMMYFUNCTION("""COMPUTED_VALUE"""),1.212466571865E8)</f>
        <v>121246657.2</v>
      </c>
      <c r="D201" s="3">
        <f>IFERROR(__xludf.DUMMYFUNCTION("""COMPUTED_VALUE"""),12203.3125)</f>
        <v>12203.3125</v>
      </c>
      <c r="E201" s="3">
        <f>IFERROR(__xludf.DUMMYFUNCTION("""COMPUTED_VALUE"""),1.3751923021609312E7)</f>
        <v>13751923.02</v>
      </c>
      <c r="F201" s="3" t="str">
        <f>IFERROR(__xludf.DUMMYFUNCTION("""COMPUTED_VALUE"""),"ETH")</f>
        <v>ETH</v>
      </c>
      <c r="G201" s="3"/>
    </row>
    <row r="202">
      <c r="A202" s="3" t="str">
        <f>IFERROR(__xludf.DUMMYFUNCTION("""COMPUTED_VALUE"""),"2022-06-22T00:00:00Z")</f>
        <v>2022-06-22T00:00:00Z</v>
      </c>
      <c r="B202" s="3">
        <f>IFERROR(__xludf.DUMMYFUNCTION("""COMPUTED_VALUE"""),1124.351454)</f>
        <v>1124.351454</v>
      </c>
      <c r="C202" s="3">
        <f>IFERROR(__xludf.DUMMYFUNCTION("""COMPUTED_VALUE"""),1.212581720615E8)</f>
        <v>121258172.1</v>
      </c>
      <c r="D202" s="3">
        <f>IFERROR(__xludf.DUMMYFUNCTION("""COMPUTED_VALUE"""),11514.875)</f>
        <v>11514.875</v>
      </c>
      <c r="E202" s="3">
        <f>IFERROR(__xludf.DUMMYFUNCTION("""COMPUTED_VALUE"""),1.2946766448878251E7)</f>
        <v>12946766.45</v>
      </c>
      <c r="F202" s="3" t="str">
        <f>IFERROR(__xludf.DUMMYFUNCTION("""COMPUTED_VALUE"""),"ETH")</f>
        <v>ETH</v>
      </c>
      <c r="G202" s="3"/>
    </row>
    <row r="203">
      <c r="A203" s="3" t="str">
        <f>IFERROR(__xludf.DUMMYFUNCTION("""COMPUTED_VALUE"""),"2022-06-23T00:00:00Z")</f>
        <v>2022-06-23T00:00:00Z</v>
      </c>
      <c r="B203" s="3">
        <f>IFERROR(__xludf.DUMMYFUNCTION("""COMPUTED_VALUE"""),1049.023815)</f>
        <v>1049.023815</v>
      </c>
      <c r="C203" s="3">
        <f>IFERROR(__xludf.DUMMYFUNCTION("""COMPUTED_VALUE"""),1.212693108115E8)</f>
        <v>121269310.8</v>
      </c>
      <c r="D203" s="3">
        <f>IFERROR(__xludf.DUMMYFUNCTION("""COMPUTED_VALUE"""),11138.75)</f>
        <v>11138.75</v>
      </c>
      <c r="E203" s="3">
        <f>IFERROR(__xludf.DUMMYFUNCTION("""COMPUTED_VALUE"""),1.168481401933125E7)</f>
        <v>11684814.02</v>
      </c>
      <c r="F203" s="3" t="str">
        <f>IFERROR(__xludf.DUMMYFUNCTION("""COMPUTED_VALUE"""),"ETH")</f>
        <v>ETH</v>
      </c>
      <c r="G203" s="3"/>
    </row>
    <row r="204">
      <c r="A204" s="3" t="str">
        <f>IFERROR(__xludf.DUMMYFUNCTION("""COMPUTED_VALUE"""),"2022-06-24T00:00:00Z")</f>
        <v>2022-06-24T00:00:00Z</v>
      </c>
      <c r="B204" s="3">
        <f>IFERROR(__xludf.DUMMYFUNCTION("""COMPUTED_VALUE"""),1143.576413)</f>
        <v>1143.576413</v>
      </c>
      <c r="C204" s="3">
        <f>IFERROR(__xludf.DUMMYFUNCTION("""COMPUTED_VALUE"""),1.21280384624E8)</f>
        <v>121280384.6</v>
      </c>
      <c r="D204" s="3">
        <f>IFERROR(__xludf.DUMMYFUNCTION("""COMPUTED_VALUE"""),11073.8125)</f>
        <v>11073.8125</v>
      </c>
      <c r="E204" s="3">
        <f>IFERROR(__xludf.DUMMYFUNCTION("""COMPUTED_VALUE"""),1.2663750776984563E7)</f>
        <v>12663750.78</v>
      </c>
      <c r="F204" s="3" t="str">
        <f>IFERROR(__xludf.DUMMYFUNCTION("""COMPUTED_VALUE"""),"ETH")</f>
        <v>ETH</v>
      </c>
      <c r="G204" s="3"/>
    </row>
    <row r="205">
      <c r="A205" s="3" t="str">
        <f>IFERROR(__xludf.DUMMYFUNCTION("""COMPUTED_VALUE"""),"2022-06-25T00:00:00Z")</f>
        <v>2022-06-25T00:00:00Z</v>
      </c>
      <c r="B205" s="3">
        <f>IFERROR(__xludf.DUMMYFUNCTION("""COMPUTED_VALUE"""),1221.46879)</f>
        <v>1221.46879</v>
      </c>
      <c r="C205" s="3">
        <f>IFERROR(__xludf.DUMMYFUNCTION("""COMPUTED_VALUE"""),1.21291590624E8)</f>
        <v>121291590.6</v>
      </c>
      <c r="D205" s="3">
        <f>IFERROR(__xludf.DUMMYFUNCTION("""COMPUTED_VALUE"""),11206.0)</f>
        <v>11206</v>
      </c>
      <c r="E205" s="3">
        <f>IFERROR(__xludf.DUMMYFUNCTION("""COMPUTED_VALUE"""),1.3687779260739999E7)</f>
        <v>13687779.26</v>
      </c>
      <c r="F205" s="3" t="str">
        <f>IFERROR(__xludf.DUMMYFUNCTION("""COMPUTED_VALUE"""),"ETH")</f>
        <v>ETH</v>
      </c>
      <c r="G205" s="3"/>
    </row>
    <row r="206">
      <c r="A206" s="3" t="str">
        <f>IFERROR(__xludf.DUMMYFUNCTION("""COMPUTED_VALUE"""),"2022-06-26T00:00:00Z")</f>
        <v>2022-06-26T00:00:00Z</v>
      </c>
      <c r="B206" s="3">
        <f>IFERROR(__xludf.DUMMYFUNCTION("""COMPUTED_VALUE"""),1241.475753)</f>
        <v>1241.475753</v>
      </c>
      <c r="C206" s="3">
        <f>IFERROR(__xludf.DUMMYFUNCTION("""COMPUTED_VALUE"""),1.213027649365E8)</f>
        <v>121302764.9</v>
      </c>
      <c r="D206" s="3">
        <f>IFERROR(__xludf.DUMMYFUNCTION("""COMPUTED_VALUE"""),11174.3125)</f>
        <v>11174.3125</v>
      </c>
      <c r="E206" s="3">
        <f>IFERROR(__xludf.DUMMYFUNCTION("""COMPUTED_VALUE"""),1.3872638025194813E7)</f>
        <v>13872638.03</v>
      </c>
      <c r="F206" s="3" t="str">
        <f>IFERROR(__xludf.DUMMYFUNCTION("""COMPUTED_VALUE"""),"ETH")</f>
        <v>ETH</v>
      </c>
      <c r="G206" s="3"/>
    </row>
    <row r="207">
      <c r="A207" s="3" t="str">
        <f>IFERROR(__xludf.DUMMYFUNCTION("""COMPUTED_VALUE"""),"2022-06-27T00:00:00Z")</f>
        <v>2022-06-27T00:00:00Z</v>
      </c>
      <c r="B207" s="3">
        <f>IFERROR(__xludf.DUMMYFUNCTION("""COMPUTED_VALUE"""),1196.723957)</f>
        <v>1196.723957</v>
      </c>
      <c r="C207" s="3">
        <f>IFERROR(__xludf.DUMMYFUNCTION("""COMPUTED_VALUE"""),1.21313866999E8)</f>
        <v>121313867</v>
      </c>
      <c r="D207" s="3">
        <f>IFERROR(__xludf.DUMMYFUNCTION("""COMPUTED_VALUE"""),11102.0625)</f>
        <v>11102.0625</v>
      </c>
      <c r="E207" s="3">
        <f>IFERROR(__xludf.DUMMYFUNCTION("""COMPUTED_VALUE"""),1.3286104165861312E7)</f>
        <v>13286104.17</v>
      </c>
      <c r="F207" s="3" t="str">
        <f>IFERROR(__xludf.DUMMYFUNCTION("""COMPUTED_VALUE"""),"ETH")</f>
        <v>ETH</v>
      </c>
      <c r="G207" s="3"/>
    </row>
    <row r="208">
      <c r="A208" s="3" t="str">
        <f>IFERROR(__xludf.DUMMYFUNCTION("""COMPUTED_VALUE"""),"2022-06-28T00:00:00Z")</f>
        <v>2022-06-28T00:00:00Z</v>
      </c>
      <c r="B208" s="3">
        <f>IFERROR(__xludf.DUMMYFUNCTION("""COMPUTED_VALUE"""),1191.173331)</f>
        <v>1191.173331</v>
      </c>
      <c r="C208" s="3">
        <f>IFERROR(__xludf.DUMMYFUNCTION("""COMPUTED_VALUE"""),1.21325065249E8)</f>
        <v>121325065.2</v>
      </c>
      <c r="D208" s="3">
        <f>IFERROR(__xludf.DUMMYFUNCTION("""COMPUTED_VALUE"""),11198.25)</f>
        <v>11198.25</v>
      </c>
      <c r="E208" s="3">
        <f>IFERROR(__xludf.DUMMYFUNCTION("""COMPUTED_VALUE"""),1.333905675387075E7)</f>
        <v>13339056.75</v>
      </c>
      <c r="F208" s="3" t="str">
        <f>IFERROR(__xludf.DUMMYFUNCTION("""COMPUTED_VALUE"""),"ETH")</f>
        <v>ETH</v>
      </c>
      <c r="G208" s="3"/>
    </row>
    <row r="209">
      <c r="A209" s="3" t="str">
        <f>IFERROR(__xludf.DUMMYFUNCTION("""COMPUTED_VALUE"""),"2022-06-29T00:00:00Z")</f>
        <v>2022-06-29T00:00:00Z</v>
      </c>
      <c r="B209" s="3">
        <f>IFERROR(__xludf.DUMMYFUNCTION("""COMPUTED_VALUE"""),1142.30519)</f>
        <v>1142.30519</v>
      </c>
      <c r="C209" s="3">
        <f>IFERROR(__xludf.DUMMYFUNCTION("""COMPUTED_VALUE"""),1.21336160124E8)</f>
        <v>121336160.1</v>
      </c>
      <c r="D209" s="3">
        <f>IFERROR(__xludf.DUMMYFUNCTION("""COMPUTED_VALUE"""),11094.875)</f>
        <v>11094.875</v>
      </c>
      <c r="E209" s="3">
        <f>IFERROR(__xludf.DUMMYFUNCTION("""COMPUTED_VALUE"""),1.267373329490125E7)</f>
        <v>12673733.29</v>
      </c>
      <c r="F209" s="3" t="str">
        <f>IFERROR(__xludf.DUMMYFUNCTION("""COMPUTED_VALUE"""),"ETH")</f>
        <v>ETH</v>
      </c>
      <c r="G209" s="3"/>
    </row>
    <row r="210">
      <c r="A210" s="3" t="str">
        <f>IFERROR(__xludf.DUMMYFUNCTION("""COMPUTED_VALUE"""),"2022-06-30T00:00:00Z")</f>
        <v>2022-06-30T00:00:00Z</v>
      </c>
      <c r="B210" s="3">
        <f>IFERROR(__xludf.DUMMYFUNCTION("""COMPUTED_VALUE"""),1098.892355)</f>
        <v>1098.892355</v>
      </c>
      <c r="C210" s="3">
        <f>IFERROR(__xludf.DUMMYFUNCTION("""COMPUTED_VALUE"""),1.21347228124E8)</f>
        <v>121347228.1</v>
      </c>
      <c r="D210" s="3">
        <f>IFERROR(__xludf.DUMMYFUNCTION("""COMPUTED_VALUE"""),11068.0)</f>
        <v>11068</v>
      </c>
      <c r="E210" s="3">
        <f>IFERROR(__xludf.DUMMYFUNCTION("""COMPUTED_VALUE"""),1.216254058514E7)</f>
        <v>12162540.59</v>
      </c>
      <c r="F210" s="3" t="str">
        <f>IFERROR(__xludf.DUMMYFUNCTION("""COMPUTED_VALUE"""),"ETH")</f>
        <v>ETH</v>
      </c>
      <c r="G210" s="3"/>
    </row>
    <row r="211">
      <c r="A211" s="3" t="str">
        <f>IFERROR(__xludf.DUMMYFUNCTION("""COMPUTED_VALUE"""),"2022-07-01T00:00:00Z")</f>
        <v>2022-07-01T00:00:00Z</v>
      </c>
      <c r="B211" s="3">
        <f>IFERROR(__xludf.DUMMYFUNCTION("""COMPUTED_VALUE"""),1069.566257)</f>
        <v>1069.566257</v>
      </c>
      <c r="C211" s="3">
        <f>IFERROR(__xludf.DUMMYFUNCTION("""COMPUTED_VALUE"""),1.213589996865E8)</f>
        <v>121358999.7</v>
      </c>
      <c r="D211" s="3">
        <f>IFERROR(__xludf.DUMMYFUNCTION("""COMPUTED_VALUE"""),11771.5625)</f>
        <v>11771.5625</v>
      </c>
      <c r="E211" s="3">
        <f>IFERROR(__xludf.DUMMYFUNCTION("""COMPUTED_VALUE"""),1.2590466042166563E7)</f>
        <v>12590466.04</v>
      </c>
      <c r="F211" s="3" t="str">
        <f>IFERROR(__xludf.DUMMYFUNCTION("""COMPUTED_VALUE"""),"ETH")</f>
        <v>ETH</v>
      </c>
      <c r="G211" s="3"/>
    </row>
    <row r="212">
      <c r="A212" s="3" t="str">
        <f>IFERROR(__xludf.DUMMYFUNCTION("""COMPUTED_VALUE"""),"2022-07-02T00:00:00Z")</f>
        <v>2022-07-02T00:00:00Z</v>
      </c>
      <c r="B212" s="3">
        <f>IFERROR(__xludf.DUMMYFUNCTION("""COMPUTED_VALUE"""),1058.421834)</f>
        <v>1058.421834</v>
      </c>
      <c r="C212" s="3">
        <f>IFERROR(__xludf.DUMMYFUNCTION("""COMPUTED_VALUE"""),1.213723515615E8)</f>
        <v>121372351.6</v>
      </c>
      <c r="D212" s="3">
        <f>IFERROR(__xludf.DUMMYFUNCTION("""COMPUTED_VALUE"""),13351.875)</f>
        <v>13351.875</v>
      </c>
      <c r="E212" s="3">
        <f>IFERROR(__xludf.DUMMYFUNCTION("""COMPUTED_VALUE"""),1.413191602483875E7)</f>
        <v>14131916.02</v>
      </c>
      <c r="F212" s="3" t="str">
        <f>IFERROR(__xludf.DUMMYFUNCTION("""COMPUTED_VALUE"""),"ETH")</f>
        <v>ETH</v>
      </c>
      <c r="G212" s="3"/>
    </row>
    <row r="213">
      <c r="A213" s="3" t="str">
        <f>IFERROR(__xludf.DUMMYFUNCTION("""COMPUTED_VALUE"""),"2022-07-03T00:00:00Z")</f>
        <v>2022-07-03T00:00:00Z</v>
      </c>
      <c r="B213" s="3">
        <f>IFERROR(__xludf.DUMMYFUNCTION("""COMPUTED_VALUE"""),1065.663291)</f>
        <v>1065.663291</v>
      </c>
      <c r="C213" s="3">
        <f>IFERROR(__xludf.DUMMYFUNCTION("""COMPUTED_VALUE"""),1.213860401865E8)</f>
        <v>121386040.2</v>
      </c>
      <c r="D213" s="3">
        <f>IFERROR(__xludf.DUMMYFUNCTION("""COMPUTED_VALUE"""),13688.625)</f>
        <v>13688.625</v>
      </c>
      <c r="E213" s="3">
        <f>IFERROR(__xludf.DUMMYFUNCTION("""COMPUTED_VALUE"""),1.4587465166764876E7)</f>
        <v>14587465.17</v>
      </c>
      <c r="F213" s="3" t="str">
        <f>IFERROR(__xludf.DUMMYFUNCTION("""COMPUTED_VALUE"""),"ETH")</f>
        <v>ETH</v>
      </c>
      <c r="G213" s="3"/>
    </row>
    <row r="214">
      <c r="A214" s="3" t="str">
        <f>IFERROR(__xludf.DUMMYFUNCTION("""COMPUTED_VALUE"""),"2022-07-04T00:00:00Z")</f>
        <v>2022-07-04T00:00:00Z</v>
      </c>
      <c r="B214" s="3">
        <f>IFERROR(__xludf.DUMMYFUNCTION("""COMPUTED_VALUE"""),1072.918241)</f>
        <v>1072.918241</v>
      </c>
      <c r="C214" s="3">
        <f>IFERROR(__xludf.DUMMYFUNCTION("""COMPUTED_VALUE"""),1.21399635249E8)</f>
        <v>121399635.2</v>
      </c>
      <c r="D214" s="3">
        <f>IFERROR(__xludf.DUMMYFUNCTION("""COMPUTED_VALUE"""),13595.0625)</f>
        <v>13595.0625</v>
      </c>
      <c r="E214" s="3">
        <f>IFERROR(__xludf.DUMMYFUNCTION("""COMPUTED_VALUE"""),1.4586390543785064E7)</f>
        <v>14586390.54</v>
      </c>
      <c r="F214" s="3" t="str">
        <f>IFERROR(__xludf.DUMMYFUNCTION("""COMPUTED_VALUE"""),"ETH")</f>
        <v>ETH</v>
      </c>
      <c r="G214" s="3"/>
    </row>
    <row r="215">
      <c r="A215" s="3" t="str">
        <f>IFERROR(__xludf.DUMMYFUNCTION("""COMPUTED_VALUE"""),"2022-07-05T00:00:00Z")</f>
        <v>2022-07-05T00:00:00Z</v>
      </c>
      <c r="B215" s="3">
        <f>IFERROR(__xludf.DUMMYFUNCTION("""COMPUTED_VALUE"""),1149.731816)</f>
        <v>1149.731816</v>
      </c>
      <c r="C215" s="3">
        <f>IFERROR(__xludf.DUMMYFUNCTION("""COMPUTED_VALUE"""),1.21413221624E8)</f>
        <v>121413221.6</v>
      </c>
      <c r="D215" s="3">
        <f>IFERROR(__xludf.DUMMYFUNCTION("""COMPUTED_VALUE"""),13586.375)</f>
        <v>13586.375</v>
      </c>
      <c r="E215" s="3">
        <f>IFERROR(__xludf.DUMMYFUNCTION("""COMPUTED_VALUE"""),1.5620687601607E7)</f>
        <v>15620687.6</v>
      </c>
      <c r="F215" s="3" t="str">
        <f>IFERROR(__xludf.DUMMYFUNCTION("""COMPUTED_VALUE"""),"ETH")</f>
        <v>ETH</v>
      </c>
      <c r="G215" s="3"/>
    </row>
    <row r="216">
      <c r="A216" s="3" t="str">
        <f>IFERROR(__xludf.DUMMYFUNCTION("""COMPUTED_VALUE"""),"2022-07-06T00:00:00Z")</f>
        <v>2022-07-06T00:00:00Z</v>
      </c>
      <c r="B216" s="3">
        <f>IFERROR(__xludf.DUMMYFUNCTION("""COMPUTED_VALUE"""),1131.403557)</f>
        <v>1131.403557</v>
      </c>
      <c r="C216" s="3">
        <f>IFERROR(__xludf.DUMMYFUNCTION("""COMPUTED_VALUE"""),1.214267643115E8)</f>
        <v>121426764.3</v>
      </c>
      <c r="D216" s="3">
        <f>IFERROR(__xludf.DUMMYFUNCTION("""COMPUTED_VALUE"""),13542.6875)</f>
        <v>13542.6875</v>
      </c>
      <c r="E216" s="3">
        <f>IFERROR(__xludf.DUMMYFUNCTION("""COMPUTED_VALUE"""),1.5322244808839438E7)</f>
        <v>15322244.81</v>
      </c>
      <c r="F216" s="3" t="str">
        <f>IFERROR(__xludf.DUMMYFUNCTION("""COMPUTED_VALUE"""),"ETH")</f>
        <v>ETH</v>
      </c>
      <c r="G216" s="3"/>
    </row>
    <row r="217">
      <c r="A217" s="3" t="str">
        <f>IFERROR(__xludf.DUMMYFUNCTION("""COMPUTED_VALUE"""),"2022-07-07T00:00:00Z")</f>
        <v>2022-07-07T00:00:00Z</v>
      </c>
      <c r="B217" s="3">
        <f>IFERROR(__xludf.DUMMYFUNCTION("""COMPUTED_VALUE"""),1185.475647)</f>
        <v>1185.475647</v>
      </c>
      <c r="C217" s="3">
        <f>IFERROR(__xludf.DUMMYFUNCTION("""COMPUTED_VALUE"""),1.214403329365E8)</f>
        <v>121440332.9</v>
      </c>
      <c r="D217" s="3">
        <f>IFERROR(__xludf.DUMMYFUNCTION("""COMPUTED_VALUE"""),13568.625)</f>
        <v>13568.625</v>
      </c>
      <c r="E217" s="3">
        <f>IFERROR(__xludf.DUMMYFUNCTION("""COMPUTED_VALUE"""),1.6085274500775374E7)</f>
        <v>16085274.5</v>
      </c>
      <c r="F217" s="3" t="str">
        <f>IFERROR(__xludf.DUMMYFUNCTION("""COMPUTED_VALUE"""),"ETH")</f>
        <v>ETH</v>
      </c>
      <c r="G217" s="3"/>
    </row>
    <row r="218">
      <c r="A218" s="3" t="str">
        <f>IFERROR(__xludf.DUMMYFUNCTION("""COMPUTED_VALUE"""),"2022-07-08T00:00:00Z")</f>
        <v>2022-07-08T00:00:00Z</v>
      </c>
      <c r="B218" s="3">
        <f>IFERROR(__xludf.DUMMYFUNCTION("""COMPUTED_VALUE"""),1236.981738)</f>
        <v>1236.981738</v>
      </c>
      <c r="C218" s="3">
        <f>IFERROR(__xludf.DUMMYFUNCTION("""COMPUTED_VALUE"""),1.214537220615E8)</f>
        <v>121453722.1</v>
      </c>
      <c r="D218" s="3">
        <f>IFERROR(__xludf.DUMMYFUNCTION("""COMPUTED_VALUE"""),13389.125)</f>
        <v>13389.125</v>
      </c>
      <c r="E218" s="3">
        <f>IFERROR(__xludf.DUMMYFUNCTION("""COMPUTED_VALUE"""),1.656210311279925E7)</f>
        <v>16562103.11</v>
      </c>
      <c r="F218" s="3" t="str">
        <f>IFERROR(__xludf.DUMMYFUNCTION("""COMPUTED_VALUE"""),"ETH")</f>
        <v>ETH</v>
      </c>
      <c r="G218" s="3"/>
    </row>
    <row r="219">
      <c r="A219" s="3" t="str">
        <f>IFERROR(__xludf.DUMMYFUNCTION("""COMPUTED_VALUE"""),"2022-07-09T00:00:00Z")</f>
        <v>2022-07-09T00:00:00Z</v>
      </c>
      <c r="B219" s="3">
        <f>IFERROR(__xludf.DUMMYFUNCTION("""COMPUTED_VALUE"""),1213.257471)</f>
        <v>1213.257471</v>
      </c>
      <c r="C219" s="3">
        <f>IFERROR(__xludf.DUMMYFUNCTION("""COMPUTED_VALUE"""),1.214674434365E8)</f>
        <v>121467443.4</v>
      </c>
      <c r="D219" s="3">
        <f>IFERROR(__xludf.DUMMYFUNCTION("""COMPUTED_VALUE"""),13721.375)</f>
        <v>13721.375</v>
      </c>
      <c r="E219" s="3">
        <f>IFERROR(__xludf.DUMMYFUNCTION("""COMPUTED_VALUE"""),1.6647560731142623E7)</f>
        <v>16647560.73</v>
      </c>
      <c r="F219" s="3" t="str">
        <f>IFERROR(__xludf.DUMMYFUNCTION("""COMPUTED_VALUE"""),"ETH")</f>
        <v>ETH</v>
      </c>
      <c r="G219" s="3"/>
    </row>
    <row r="220">
      <c r="A220" s="3" t="str">
        <f>IFERROR(__xludf.DUMMYFUNCTION("""COMPUTED_VALUE"""),"2022-07-10T00:00:00Z")</f>
        <v>2022-07-10T00:00:00Z</v>
      </c>
      <c r="B220" s="3">
        <f>IFERROR(__xludf.DUMMYFUNCTION("""COMPUTED_VALUE"""),1216.416525)</f>
        <v>1216.416525</v>
      </c>
      <c r="C220" s="3">
        <f>IFERROR(__xludf.DUMMYFUNCTION("""COMPUTED_VALUE"""),1.214807908115E8)</f>
        <v>121480790.8</v>
      </c>
      <c r="D220" s="3">
        <f>IFERROR(__xludf.DUMMYFUNCTION("""COMPUTED_VALUE"""),13347.375)</f>
        <v>13347.375</v>
      </c>
      <c r="E220" s="3">
        <f>IFERROR(__xludf.DUMMYFUNCTION("""COMPUTED_VALUE"""),1.6235967515371876E7)</f>
        <v>16235967.52</v>
      </c>
      <c r="F220" s="3" t="str">
        <f>IFERROR(__xludf.DUMMYFUNCTION("""COMPUTED_VALUE"""),"ETH")</f>
        <v>ETH</v>
      </c>
      <c r="G220" s="3"/>
    </row>
    <row r="221">
      <c r="A221" s="3" t="str">
        <f>IFERROR(__xludf.DUMMYFUNCTION("""COMPUTED_VALUE"""),"2022-07-11T00:00:00Z")</f>
        <v>2022-07-11T00:00:00Z</v>
      </c>
      <c r="B221" s="3">
        <f>IFERROR(__xludf.DUMMYFUNCTION("""COMPUTED_VALUE"""),1167.566741)</f>
        <v>1167.566741</v>
      </c>
      <c r="C221" s="3">
        <f>IFERROR(__xludf.DUMMYFUNCTION("""COMPUTED_VALUE"""),1.21494294249E8)</f>
        <v>121494294.2</v>
      </c>
      <c r="D221" s="3">
        <f>IFERROR(__xludf.DUMMYFUNCTION("""COMPUTED_VALUE"""),13503.4375)</f>
        <v>13503.4375</v>
      </c>
      <c r="E221" s="3">
        <f>IFERROR(__xludf.DUMMYFUNCTION("""COMPUTED_VALUE"""),1.5766164514172189E7)</f>
        <v>15766164.51</v>
      </c>
      <c r="F221" s="3" t="str">
        <f>IFERROR(__xludf.DUMMYFUNCTION("""COMPUTED_VALUE"""),"ETH")</f>
        <v>ETH</v>
      </c>
      <c r="G221" s="3"/>
    </row>
    <row r="222">
      <c r="A222" s="3" t="str">
        <f>IFERROR(__xludf.DUMMYFUNCTION("""COMPUTED_VALUE"""),"2022-07-12T00:00:00Z")</f>
        <v>2022-07-12T00:00:00Z</v>
      </c>
      <c r="B222" s="3">
        <f>IFERROR(__xludf.DUMMYFUNCTION("""COMPUTED_VALUE"""),1095.325757)</f>
        <v>1095.325757</v>
      </c>
      <c r="C222" s="3">
        <f>IFERROR(__xludf.DUMMYFUNCTION("""COMPUTED_VALUE"""),1.21507817749E8)</f>
        <v>121507817.7</v>
      </c>
      <c r="D222" s="3">
        <f>IFERROR(__xludf.DUMMYFUNCTION("""COMPUTED_VALUE"""),13523.5)</f>
        <v>13523.5</v>
      </c>
      <c r="E222" s="3">
        <f>IFERROR(__xludf.DUMMYFUNCTION("""COMPUTED_VALUE"""),1.48126378747895E7)</f>
        <v>14812637.87</v>
      </c>
      <c r="F222" s="3" t="str">
        <f>IFERROR(__xludf.DUMMYFUNCTION("""COMPUTED_VALUE"""),"ETH")</f>
        <v>ETH</v>
      </c>
      <c r="G222" s="3"/>
    </row>
    <row r="223">
      <c r="A223" s="3" t="str">
        <f>IFERROR(__xludf.DUMMYFUNCTION("""COMPUTED_VALUE"""),"2022-07-13T00:00:00Z")</f>
        <v>2022-07-13T00:00:00Z</v>
      </c>
      <c r="B223" s="3">
        <f>IFERROR(__xludf.DUMMYFUNCTION("""COMPUTED_VALUE"""),1037.541899)</f>
        <v>1037.541899</v>
      </c>
      <c r="C223" s="3">
        <f>IFERROR(__xludf.DUMMYFUNCTION("""COMPUTED_VALUE"""),1.21521472499E8)</f>
        <v>121521472.5</v>
      </c>
      <c r="D223" s="3">
        <f>IFERROR(__xludf.DUMMYFUNCTION("""COMPUTED_VALUE"""),13654.75)</f>
        <v>13654.75</v>
      </c>
      <c r="E223" s="3">
        <f>IFERROR(__xludf.DUMMYFUNCTION("""COMPUTED_VALUE"""),1.416737524537025E7)</f>
        <v>14167375.25</v>
      </c>
      <c r="F223" s="3" t="str">
        <f>IFERROR(__xludf.DUMMYFUNCTION("""COMPUTED_VALUE"""),"ETH")</f>
        <v>ETH</v>
      </c>
      <c r="G223" s="3"/>
    </row>
    <row r="224">
      <c r="A224" s="3" t="str">
        <f>IFERROR(__xludf.DUMMYFUNCTION("""COMPUTED_VALUE"""),"2022-07-14T00:00:00Z")</f>
        <v>2022-07-14T00:00:00Z</v>
      </c>
      <c r="B224" s="3">
        <f>IFERROR(__xludf.DUMMYFUNCTION("""COMPUTED_VALUE"""),1114.189456)</f>
        <v>1114.189456</v>
      </c>
      <c r="C224" s="3">
        <f>IFERROR(__xludf.DUMMYFUNCTION("""COMPUTED_VALUE"""),1.215336664365E8)</f>
        <v>121533666.4</v>
      </c>
      <c r="D224" s="3">
        <f>IFERROR(__xludf.DUMMYFUNCTION("""COMPUTED_VALUE"""),12193.9375)</f>
        <v>12193.9375</v>
      </c>
      <c r="E224" s="3">
        <f>IFERROR(__xludf.DUMMYFUNCTION("""COMPUTED_VALUE"""),1.3586356589623E7)</f>
        <v>13586356.59</v>
      </c>
      <c r="F224" s="3" t="str">
        <f>IFERROR(__xludf.DUMMYFUNCTION("""COMPUTED_VALUE"""),"ETH")</f>
        <v>ETH</v>
      </c>
      <c r="G224" s="3"/>
    </row>
    <row r="225">
      <c r="A225" s="3" t="str">
        <f>IFERROR(__xludf.DUMMYFUNCTION("""COMPUTED_VALUE"""),"2022-07-15T00:00:00Z")</f>
        <v>2022-07-15T00:00:00Z</v>
      </c>
      <c r="B225" s="3">
        <f>IFERROR(__xludf.DUMMYFUNCTION("""COMPUTED_VALUE"""),1192.488217)</f>
        <v>1192.488217</v>
      </c>
      <c r="C225" s="3">
        <f>IFERROR(__xludf.DUMMYFUNCTION("""COMPUTED_VALUE"""),1.21548426374E8)</f>
        <v>121548426.4</v>
      </c>
      <c r="D225" s="3">
        <f>IFERROR(__xludf.DUMMYFUNCTION("""COMPUTED_VALUE"""),14759.9375)</f>
        <v>14759.9375</v>
      </c>
      <c r="E225" s="3">
        <f>IFERROR(__xludf.DUMMYFUNCTION("""COMPUTED_VALUE"""),1.7601051552406438E7)</f>
        <v>17601051.55</v>
      </c>
      <c r="F225" s="3" t="str">
        <f>IFERROR(__xludf.DUMMYFUNCTION("""COMPUTED_VALUE"""),"ETH")</f>
        <v>ETH</v>
      </c>
      <c r="G225" s="3"/>
    </row>
    <row r="226">
      <c r="A226" s="3" t="str">
        <f>IFERROR(__xludf.DUMMYFUNCTION("""COMPUTED_VALUE"""),"2022-07-16T00:00:00Z")</f>
        <v>2022-07-16T00:00:00Z</v>
      </c>
      <c r="B226" s="3">
        <f>IFERROR(__xludf.DUMMYFUNCTION("""COMPUTED_VALUE"""),1231.010096)</f>
        <v>1231.010096</v>
      </c>
      <c r="C226" s="3">
        <f>IFERROR(__xludf.DUMMYFUNCTION("""COMPUTED_VALUE"""),1.215619518115E8)</f>
        <v>121561951.8</v>
      </c>
      <c r="D226" s="3">
        <f>IFERROR(__xludf.DUMMYFUNCTION("""COMPUTED_VALUE"""),13525.4375)</f>
        <v>13525.4375</v>
      </c>
      <c r="E226" s="3">
        <f>IFERROR(__xludf.DUMMYFUNCTION("""COMPUTED_VALUE"""),1.6649950115317E7)</f>
        <v>16649950.12</v>
      </c>
      <c r="F226" s="3" t="str">
        <f>IFERROR(__xludf.DUMMYFUNCTION("""COMPUTED_VALUE"""),"ETH")</f>
        <v>ETH</v>
      </c>
      <c r="G226" s="3"/>
    </row>
    <row r="227">
      <c r="A227" s="3" t="str">
        <f>IFERROR(__xludf.DUMMYFUNCTION("""COMPUTED_VALUE"""),"2022-07-17T00:00:00Z")</f>
        <v>2022-07-17T00:00:00Z</v>
      </c>
      <c r="B227" s="3">
        <f>IFERROR(__xludf.DUMMYFUNCTION("""COMPUTED_VALUE"""),1355.656882)</f>
        <v>1355.656882</v>
      </c>
      <c r="C227" s="3">
        <f>IFERROR(__xludf.DUMMYFUNCTION("""COMPUTED_VALUE"""),1.215754829365E8)</f>
        <v>121575482.9</v>
      </c>
      <c r="D227" s="3">
        <f>IFERROR(__xludf.DUMMYFUNCTION("""COMPUTED_VALUE"""),13531.125)</f>
        <v>13531.125</v>
      </c>
      <c r="E227" s="3">
        <f>IFERROR(__xludf.DUMMYFUNCTION("""COMPUTED_VALUE"""),1.834356272745225E7)</f>
        <v>18343562.73</v>
      </c>
      <c r="F227" s="3" t="str">
        <f>IFERROR(__xludf.DUMMYFUNCTION("""COMPUTED_VALUE"""),"ETH")</f>
        <v>ETH</v>
      </c>
      <c r="G227" s="3"/>
    </row>
    <row r="228">
      <c r="A228" s="3" t="str">
        <f>IFERROR(__xludf.DUMMYFUNCTION("""COMPUTED_VALUE"""),"2022-07-18T00:00:00Z")</f>
        <v>2022-07-18T00:00:00Z</v>
      </c>
      <c r="B228" s="3">
        <f>IFERROR(__xludf.DUMMYFUNCTION("""COMPUTED_VALUE"""),1338.098367)</f>
        <v>1338.098367</v>
      </c>
      <c r="C228" s="3">
        <f>IFERROR(__xludf.DUMMYFUNCTION("""COMPUTED_VALUE"""),1.21588820999E8)</f>
        <v>121588821</v>
      </c>
      <c r="D228" s="3">
        <f>IFERROR(__xludf.DUMMYFUNCTION("""COMPUTED_VALUE"""),13338.0625)</f>
        <v>13338.0625</v>
      </c>
      <c r="E228" s="3">
        <f>IFERROR(__xludf.DUMMYFUNCTION("""COMPUTED_VALUE"""),1.7847639650193937E7)</f>
        <v>17847639.65</v>
      </c>
      <c r="F228" s="3" t="str">
        <f>IFERROR(__xludf.DUMMYFUNCTION("""COMPUTED_VALUE"""),"ETH")</f>
        <v>ETH</v>
      </c>
      <c r="G228" s="3"/>
    </row>
    <row r="229">
      <c r="A229" s="3" t="str">
        <f>IFERROR(__xludf.DUMMYFUNCTION("""COMPUTED_VALUE"""),"2022-07-19T00:00:00Z")</f>
        <v>2022-07-19T00:00:00Z</v>
      </c>
      <c r="B229" s="3">
        <f>IFERROR(__xludf.DUMMYFUNCTION("""COMPUTED_VALUE"""),1580.82875)</f>
        <v>1580.82875</v>
      </c>
      <c r="C229" s="3">
        <f>IFERROR(__xludf.DUMMYFUNCTION("""COMPUTED_VALUE"""),1.21602448874E8)</f>
        <v>121602448.9</v>
      </c>
      <c r="D229" s="3">
        <f>IFERROR(__xludf.DUMMYFUNCTION("""COMPUTED_VALUE"""),13627.875)</f>
        <v>13627.875</v>
      </c>
      <c r="E229" s="3">
        <f>IFERROR(__xludf.DUMMYFUNCTION("""COMPUTED_VALUE"""),2.154333660140625E7)</f>
        <v>21543336.6</v>
      </c>
      <c r="F229" s="3" t="str">
        <f>IFERROR(__xludf.DUMMYFUNCTION("""COMPUTED_VALUE"""),"ETH")</f>
        <v>ETH</v>
      </c>
      <c r="G229" s="3"/>
    </row>
    <row r="230">
      <c r="A230" s="3" t="str">
        <f>IFERROR(__xludf.DUMMYFUNCTION("""COMPUTED_VALUE"""),"2022-07-20T00:00:00Z")</f>
        <v>2022-07-20T00:00:00Z</v>
      </c>
      <c r="B230" s="3">
        <f>IFERROR(__xludf.DUMMYFUNCTION("""COMPUTED_VALUE"""),1542.496673)</f>
        <v>1542.496673</v>
      </c>
      <c r="C230" s="3">
        <f>IFERROR(__xludf.DUMMYFUNCTION("""COMPUTED_VALUE"""),1.21616092874E8)</f>
        <v>121616092.9</v>
      </c>
      <c r="D230" s="3">
        <f>IFERROR(__xludf.DUMMYFUNCTION("""COMPUTED_VALUE"""),13644.0)</f>
        <v>13644</v>
      </c>
      <c r="E230" s="3">
        <f>IFERROR(__xludf.DUMMYFUNCTION("""COMPUTED_VALUE"""),2.1045824606412E7)</f>
        <v>21045824.61</v>
      </c>
      <c r="F230" s="3" t="str">
        <f>IFERROR(__xludf.DUMMYFUNCTION("""COMPUTED_VALUE"""),"ETH")</f>
        <v>ETH</v>
      </c>
      <c r="G230" s="3"/>
    </row>
    <row r="231">
      <c r="A231" s="3" t="str">
        <f>IFERROR(__xludf.DUMMYFUNCTION("""COMPUTED_VALUE"""),"2022-07-21T00:00:00Z")</f>
        <v>2022-07-21T00:00:00Z</v>
      </c>
      <c r="B231" s="3">
        <f>IFERROR(__xludf.DUMMYFUNCTION("""COMPUTED_VALUE"""),1521.624521)</f>
        <v>1521.624521</v>
      </c>
      <c r="C231" s="3">
        <f>IFERROR(__xludf.DUMMYFUNCTION("""COMPUTED_VALUE"""),1.21629513249E8)</f>
        <v>121629513.2</v>
      </c>
      <c r="D231" s="3">
        <f>IFERROR(__xludf.DUMMYFUNCTION("""COMPUTED_VALUE"""),13420.375)</f>
        <v>13420.375</v>
      </c>
      <c r="E231" s="3">
        <f>IFERROR(__xludf.DUMMYFUNCTION("""COMPUTED_VALUE"""),2.0420771681015376E7)</f>
        <v>20420771.68</v>
      </c>
      <c r="F231" s="3" t="str">
        <f>IFERROR(__xludf.DUMMYFUNCTION("""COMPUTED_VALUE"""),"ETH")</f>
        <v>ETH</v>
      </c>
      <c r="G231" s="3"/>
    </row>
    <row r="232">
      <c r="A232" s="3" t="str">
        <f>IFERROR(__xludf.DUMMYFUNCTION("""COMPUTED_VALUE"""),"2022-07-22T00:00:00Z")</f>
        <v>2022-07-22T00:00:00Z</v>
      </c>
      <c r="B232" s="3">
        <f>IFERROR(__xludf.DUMMYFUNCTION("""COMPUTED_VALUE"""),1575.265469)</f>
        <v>1575.265469</v>
      </c>
      <c r="C232" s="3">
        <f>IFERROR(__xludf.DUMMYFUNCTION("""COMPUTED_VALUE"""),1.21643128374E8)</f>
        <v>121643128.4</v>
      </c>
      <c r="D232" s="3">
        <f>IFERROR(__xludf.DUMMYFUNCTION("""COMPUTED_VALUE"""),13615.125)</f>
        <v>13615.125</v>
      </c>
      <c r="E232" s="3">
        <f>IFERROR(__xludf.DUMMYFUNCTION("""COMPUTED_VALUE"""),2.1447436268618625E7)</f>
        <v>21447436.27</v>
      </c>
      <c r="F232" s="3" t="str">
        <f>IFERROR(__xludf.DUMMYFUNCTION("""COMPUTED_VALUE"""),"ETH")</f>
        <v>ETH</v>
      </c>
      <c r="G232" s="3"/>
    </row>
    <row r="233">
      <c r="A233" s="3" t="str">
        <f>IFERROR(__xludf.DUMMYFUNCTION("""COMPUTED_VALUE"""),"2022-07-23T00:00:00Z")</f>
        <v>2022-07-23T00:00:00Z</v>
      </c>
      <c r="B233" s="3">
        <f>IFERROR(__xludf.DUMMYFUNCTION("""COMPUTED_VALUE"""),1535.380278)</f>
        <v>1535.380278</v>
      </c>
      <c r="C233" s="3">
        <f>IFERROR(__xludf.DUMMYFUNCTION("""COMPUTED_VALUE"""),1.21656657374E8)</f>
        <v>121656657.4</v>
      </c>
      <c r="D233" s="3">
        <f>IFERROR(__xludf.DUMMYFUNCTION("""COMPUTED_VALUE"""),13529.0)</f>
        <v>13529</v>
      </c>
      <c r="E233" s="3">
        <f>IFERROR(__xludf.DUMMYFUNCTION("""COMPUTED_VALUE"""),2.0772159781062E7)</f>
        <v>20772159.78</v>
      </c>
      <c r="F233" s="3" t="str">
        <f>IFERROR(__xludf.DUMMYFUNCTION("""COMPUTED_VALUE"""),"ETH")</f>
        <v>ETH</v>
      </c>
      <c r="G233" s="3"/>
    </row>
    <row r="234">
      <c r="A234" s="3" t="str">
        <f>IFERROR(__xludf.DUMMYFUNCTION("""COMPUTED_VALUE"""),"2022-07-24T00:00:00Z")</f>
        <v>2022-07-24T00:00:00Z</v>
      </c>
      <c r="B234" s="3">
        <f>IFERROR(__xludf.DUMMYFUNCTION("""COMPUTED_VALUE"""),1546.930733)</f>
        <v>1546.930733</v>
      </c>
      <c r="C234" s="3">
        <f>IFERROR(__xludf.DUMMYFUNCTION("""COMPUTED_VALUE"""),1.21670300499E8)</f>
        <v>121670300.5</v>
      </c>
      <c r="D234" s="3">
        <f>IFERROR(__xludf.DUMMYFUNCTION("""COMPUTED_VALUE"""),13643.125)</f>
        <v>13643.125</v>
      </c>
      <c r="E234" s="3">
        <f>IFERROR(__xludf.DUMMYFUNCTION("""COMPUTED_VALUE"""),2.1104969356660623E7)</f>
        <v>21104969.36</v>
      </c>
      <c r="F234" s="3" t="str">
        <f>IFERROR(__xludf.DUMMYFUNCTION("""COMPUTED_VALUE"""),"ETH")</f>
        <v>ETH</v>
      </c>
      <c r="G234" s="3"/>
    </row>
    <row r="235">
      <c r="A235" s="3" t="str">
        <f>IFERROR(__xludf.DUMMYFUNCTION("""COMPUTED_VALUE"""),"2022-07-25T00:00:00Z")</f>
        <v>2022-07-25T00:00:00Z</v>
      </c>
      <c r="B235" s="3">
        <f>IFERROR(__xludf.DUMMYFUNCTION("""COMPUTED_VALUE"""),1597.798685)</f>
        <v>1597.798685</v>
      </c>
      <c r="C235" s="3">
        <f>IFERROR(__xludf.DUMMYFUNCTION("""COMPUTED_VALUE"""),1.21683671999E8)</f>
        <v>121683672</v>
      </c>
      <c r="D235" s="3">
        <f>IFERROR(__xludf.DUMMYFUNCTION("""COMPUTED_VALUE"""),13371.5)</f>
        <v>13371.5</v>
      </c>
      <c r="E235" s="3">
        <f>IFERROR(__xludf.DUMMYFUNCTION("""COMPUTED_VALUE"""),2.13649651164775E7)</f>
        <v>21364965.12</v>
      </c>
      <c r="F235" s="3" t="str">
        <f>IFERROR(__xludf.DUMMYFUNCTION("""COMPUTED_VALUE"""),"ETH")</f>
        <v>ETH</v>
      </c>
      <c r="G235" s="3"/>
    </row>
    <row r="236">
      <c r="A236" s="3" t="str">
        <f>IFERROR(__xludf.DUMMYFUNCTION("""COMPUTED_VALUE"""),"2022-07-26T00:00:00Z")</f>
        <v>2022-07-26T00:00:00Z</v>
      </c>
      <c r="B236" s="3">
        <f>IFERROR(__xludf.DUMMYFUNCTION("""COMPUTED_VALUE"""),1440.472152)</f>
        <v>1440.472152</v>
      </c>
      <c r="C236" s="3">
        <f>IFERROR(__xludf.DUMMYFUNCTION("""COMPUTED_VALUE"""),1.21697017124E8)</f>
        <v>121697017.1</v>
      </c>
      <c r="D236" s="3">
        <f>IFERROR(__xludf.DUMMYFUNCTION("""COMPUTED_VALUE"""),13345.125)</f>
        <v>13345.125</v>
      </c>
      <c r="E236" s="3">
        <f>IFERROR(__xludf.DUMMYFUNCTION("""COMPUTED_VALUE"""),1.9223280927459E7)</f>
        <v>19223280.93</v>
      </c>
      <c r="F236" s="3" t="str">
        <f>IFERROR(__xludf.DUMMYFUNCTION("""COMPUTED_VALUE"""),"ETH")</f>
        <v>ETH</v>
      </c>
      <c r="G236" s="3"/>
    </row>
    <row r="237">
      <c r="A237" s="3" t="str">
        <f>IFERROR(__xludf.DUMMYFUNCTION("""COMPUTED_VALUE"""),"2022-07-27T00:00:00Z")</f>
        <v>2022-07-27T00:00:00Z</v>
      </c>
      <c r="B237" s="3">
        <f>IFERROR(__xludf.DUMMYFUNCTION("""COMPUTED_VALUE"""),1449.390574)</f>
        <v>1449.390574</v>
      </c>
      <c r="C237" s="3">
        <f>IFERROR(__xludf.DUMMYFUNCTION("""COMPUTED_VALUE"""),1.21710489124E8)</f>
        <v>121710489.1</v>
      </c>
      <c r="D237" s="3">
        <f>IFERROR(__xludf.DUMMYFUNCTION("""COMPUTED_VALUE"""),13472.0)</f>
        <v>13472</v>
      </c>
      <c r="E237" s="3">
        <f>IFERROR(__xludf.DUMMYFUNCTION("""COMPUTED_VALUE"""),1.9526189812928E7)</f>
        <v>19526189.81</v>
      </c>
      <c r="F237" s="3" t="str">
        <f>IFERROR(__xludf.DUMMYFUNCTION("""COMPUTED_VALUE"""),"ETH")</f>
        <v>ETH</v>
      </c>
      <c r="G237" s="3"/>
    </row>
    <row r="238">
      <c r="A238" s="3" t="str">
        <f>IFERROR(__xludf.DUMMYFUNCTION("""COMPUTED_VALUE"""),"2022-07-28T00:00:00Z")</f>
        <v>2022-07-28T00:00:00Z</v>
      </c>
      <c r="B238" s="3">
        <f>IFERROR(__xludf.DUMMYFUNCTION("""COMPUTED_VALUE"""),1639.197877)</f>
        <v>1639.197877</v>
      </c>
      <c r="C238" s="3">
        <f>IFERROR(__xludf.DUMMYFUNCTION("""COMPUTED_VALUE"""),1.21724019374E8)</f>
        <v>121724019.4</v>
      </c>
      <c r="D238" s="3">
        <f>IFERROR(__xludf.DUMMYFUNCTION("""COMPUTED_VALUE"""),13530.25)</f>
        <v>13530.25</v>
      </c>
      <c r="E238" s="3">
        <f>IFERROR(__xludf.DUMMYFUNCTION("""COMPUTED_VALUE"""),2.217875707527925E7)</f>
        <v>22178757.08</v>
      </c>
      <c r="F238" s="3" t="str">
        <f>IFERROR(__xludf.DUMMYFUNCTION("""COMPUTED_VALUE"""),"ETH")</f>
        <v>ETH</v>
      </c>
      <c r="G238" s="3"/>
    </row>
    <row r="239">
      <c r="A239" s="3" t="str">
        <f>IFERROR(__xludf.DUMMYFUNCTION("""COMPUTED_VALUE"""),"2022-07-29T00:00:00Z")</f>
        <v>2022-07-29T00:00:00Z</v>
      </c>
      <c r="B239" s="3">
        <f>IFERROR(__xludf.DUMMYFUNCTION("""COMPUTED_VALUE"""),1727.041713)</f>
        <v>1727.041713</v>
      </c>
      <c r="C239" s="3">
        <f>IFERROR(__xludf.DUMMYFUNCTION("""COMPUTED_VALUE"""),1.21735327999E8)</f>
        <v>121735328</v>
      </c>
      <c r="D239" s="3">
        <f>IFERROR(__xludf.DUMMYFUNCTION("""COMPUTED_VALUE"""),11308.625)</f>
        <v>11308.625</v>
      </c>
      <c r="E239" s="3">
        <f>IFERROR(__xludf.DUMMYFUNCTION("""COMPUTED_VALUE"""),1.9530467091674626E7)</f>
        <v>19530467.09</v>
      </c>
      <c r="F239" s="3" t="str">
        <f>IFERROR(__xludf.DUMMYFUNCTION("""COMPUTED_VALUE"""),"ETH")</f>
        <v>ETH</v>
      </c>
      <c r="G239" s="3"/>
    </row>
    <row r="240">
      <c r="A240" s="3" t="str">
        <f>IFERROR(__xludf.DUMMYFUNCTION("""COMPUTED_VALUE"""),"2022-07-30T00:00:00Z")</f>
        <v>2022-07-30T00:00:00Z</v>
      </c>
      <c r="B240" s="3">
        <f>IFERROR(__xludf.DUMMYFUNCTION("""COMPUTED_VALUE"""),1722.518435)</f>
        <v>1722.518435</v>
      </c>
      <c r="C240" s="3">
        <f>IFERROR(__xludf.DUMMYFUNCTION("""COMPUTED_VALUE"""),1.217509870615E8)</f>
        <v>121750987.1</v>
      </c>
      <c r="D240" s="3">
        <f>IFERROR(__xludf.DUMMYFUNCTION("""COMPUTED_VALUE"""),15659.0625)</f>
        <v>15659.0625</v>
      </c>
      <c r="E240" s="3">
        <f>IFERROR(__xludf.DUMMYFUNCTION("""COMPUTED_VALUE"""),2.6973023831067186E7)</f>
        <v>26973023.83</v>
      </c>
      <c r="F240" s="3" t="str">
        <f>IFERROR(__xludf.DUMMYFUNCTION("""COMPUTED_VALUE"""),"ETH")</f>
        <v>ETH</v>
      </c>
      <c r="G240" s="3"/>
    </row>
    <row r="241">
      <c r="A241" s="3" t="str">
        <f>IFERROR(__xludf.DUMMYFUNCTION("""COMPUTED_VALUE"""),"2022-07-31T00:00:00Z")</f>
        <v>2022-07-31T00:00:00Z</v>
      </c>
      <c r="B241" s="3">
        <f>IFERROR(__xludf.DUMMYFUNCTION("""COMPUTED_VALUE"""),1697.25136)</f>
        <v>1697.25136</v>
      </c>
      <c r="C241" s="3">
        <f>IFERROR(__xludf.DUMMYFUNCTION("""COMPUTED_VALUE"""),1.217644379365E8)</f>
        <v>121764437.9</v>
      </c>
      <c r="D241" s="3">
        <f>IFERROR(__xludf.DUMMYFUNCTION("""COMPUTED_VALUE"""),13450.875)</f>
        <v>13450.875</v>
      </c>
      <c r="E241" s="3">
        <f>IFERROR(__xludf.DUMMYFUNCTION("""COMPUTED_VALUE"""),2.282951588694E7)</f>
        <v>22829515.89</v>
      </c>
      <c r="F241" s="3" t="str">
        <f>IFERROR(__xludf.DUMMYFUNCTION("""COMPUTED_VALUE"""),"ETH")</f>
        <v>ETH</v>
      </c>
      <c r="G241" s="3"/>
    </row>
    <row r="242">
      <c r="A242" s="3" t="str">
        <f>IFERROR(__xludf.DUMMYFUNCTION("""COMPUTED_VALUE"""),"2022-08-01T00:00:00Z")</f>
        <v>2022-08-01T00:00:00Z</v>
      </c>
      <c r="B242" s="3">
        <f>IFERROR(__xludf.DUMMYFUNCTION("""COMPUTED_VALUE"""),1679.23631)</f>
        <v>1679.23631</v>
      </c>
      <c r="C242" s="3">
        <f>IFERROR(__xludf.DUMMYFUNCTION("""COMPUTED_VALUE"""),1.217779445615E8)</f>
        <v>121777944.6</v>
      </c>
      <c r="D242" s="3">
        <f>IFERROR(__xludf.DUMMYFUNCTION("""COMPUTED_VALUE"""),13506.625)</f>
        <v>13506.625</v>
      </c>
      <c r="E242" s="3">
        <f>IFERROR(__xludf.DUMMYFUNCTION("""COMPUTED_VALUE"""),2.268081512555375E7)</f>
        <v>22680815.13</v>
      </c>
      <c r="F242" s="3" t="str">
        <f>IFERROR(__xludf.DUMMYFUNCTION("""COMPUTED_VALUE"""),"ETH")</f>
        <v>ETH</v>
      </c>
      <c r="G242" s="3"/>
    </row>
    <row r="243">
      <c r="A243" s="3" t="str">
        <f>IFERROR(__xludf.DUMMYFUNCTION("""COMPUTED_VALUE"""),"2022-08-02T00:00:00Z")</f>
        <v>2022-08-02T00:00:00Z</v>
      </c>
      <c r="B243" s="3">
        <f>IFERROR(__xludf.DUMMYFUNCTION("""COMPUTED_VALUE"""),1628.808581)</f>
        <v>1628.808581</v>
      </c>
      <c r="C243" s="3">
        <f>IFERROR(__xludf.DUMMYFUNCTION("""COMPUTED_VALUE"""),1.217913971865E8)</f>
        <v>121791397.2</v>
      </c>
      <c r="D243" s="3">
        <f>IFERROR(__xludf.DUMMYFUNCTION("""COMPUTED_VALUE"""),13452.625)</f>
        <v>13452.625</v>
      </c>
      <c r="E243" s="3">
        <f>IFERROR(__xludf.DUMMYFUNCTION("""COMPUTED_VALUE"""),2.1911751036975127E7)</f>
        <v>21911751.04</v>
      </c>
      <c r="F243" s="3" t="str">
        <f>IFERROR(__xludf.DUMMYFUNCTION("""COMPUTED_VALUE"""),"ETH")</f>
        <v>ETH</v>
      </c>
      <c r="G243" s="3"/>
    </row>
    <row r="244">
      <c r="A244" s="3" t="str">
        <f>IFERROR(__xludf.DUMMYFUNCTION("""COMPUTED_VALUE"""),"2022-08-03T00:00:00Z")</f>
        <v>2022-08-03T00:00:00Z</v>
      </c>
      <c r="B244" s="3">
        <f>IFERROR(__xludf.DUMMYFUNCTION("""COMPUTED_VALUE"""),1631.25256)</f>
        <v>1631.25256</v>
      </c>
      <c r="C244" s="3">
        <f>IFERROR(__xludf.DUMMYFUNCTION("""COMPUTED_VALUE"""),1.21804929374E8)</f>
        <v>121804929.4</v>
      </c>
      <c r="D244" s="3">
        <f>IFERROR(__xludf.DUMMYFUNCTION("""COMPUTED_VALUE"""),13532.1875)</f>
        <v>13532.1875</v>
      </c>
      <c r="E244" s="3">
        <f>IFERROR(__xludf.DUMMYFUNCTION("""COMPUTED_VALUE"""),2.2074415501775E7)</f>
        <v>22074415.5</v>
      </c>
      <c r="F244" s="3" t="str">
        <f>IFERROR(__xludf.DUMMYFUNCTION("""COMPUTED_VALUE"""),"ETH")</f>
        <v>ETH</v>
      </c>
      <c r="G244" s="3"/>
    </row>
    <row r="245">
      <c r="A245" s="3" t="str">
        <f>IFERROR(__xludf.DUMMYFUNCTION("""COMPUTED_VALUE"""),"2022-08-04T00:00:00Z")</f>
        <v>2022-08-04T00:00:00Z</v>
      </c>
      <c r="B245" s="3">
        <f>IFERROR(__xludf.DUMMYFUNCTION("""COMPUTED_VALUE"""),1619.707089)</f>
        <v>1619.707089</v>
      </c>
      <c r="C245" s="3">
        <f>IFERROR(__xludf.DUMMYFUNCTION("""COMPUTED_VALUE"""),1.218182974365E8)</f>
        <v>121818297.4</v>
      </c>
      <c r="D245" s="3">
        <f>IFERROR(__xludf.DUMMYFUNCTION("""COMPUTED_VALUE"""),13368.0625)</f>
        <v>13368.0625</v>
      </c>
      <c r="E245" s="3">
        <f>IFERROR(__xludf.DUMMYFUNCTION("""COMPUTED_VALUE"""),2.1652345597445063E7)</f>
        <v>21652345.6</v>
      </c>
      <c r="F245" s="3" t="str">
        <f>IFERROR(__xludf.DUMMYFUNCTION("""COMPUTED_VALUE"""),"ETH")</f>
        <v>ETH</v>
      </c>
      <c r="G245" s="3"/>
    </row>
    <row r="246">
      <c r="A246" s="3" t="str">
        <f>IFERROR(__xludf.DUMMYFUNCTION("""COMPUTED_VALUE"""),"2022-08-05T00:00:00Z")</f>
        <v>2022-08-05T00:00:00Z</v>
      </c>
      <c r="B246" s="3">
        <f>IFERROR(__xludf.DUMMYFUNCTION("""COMPUTED_VALUE"""),1607.061603)</f>
        <v>1607.061603</v>
      </c>
      <c r="C246" s="3">
        <f>IFERROR(__xludf.DUMMYFUNCTION("""COMPUTED_VALUE"""),1.21831680249E8)</f>
        <v>121831680.2</v>
      </c>
      <c r="D246" s="3">
        <f>IFERROR(__xludf.DUMMYFUNCTION("""COMPUTED_VALUE"""),13382.8125)</f>
        <v>13382.8125</v>
      </c>
      <c r="E246" s="3">
        <f>IFERROR(__xludf.DUMMYFUNCTION("""COMPUTED_VALUE"""),2.150700410889844E7)</f>
        <v>21507004.11</v>
      </c>
      <c r="F246" s="3" t="str">
        <f>IFERROR(__xludf.DUMMYFUNCTION("""COMPUTED_VALUE"""),"ETH")</f>
        <v>ETH</v>
      </c>
      <c r="G246" s="3"/>
    </row>
    <row r="247">
      <c r="A247" s="3" t="str">
        <f>IFERROR(__xludf.DUMMYFUNCTION("""COMPUTED_VALUE"""),"2022-08-06T00:00:00Z")</f>
        <v>2022-08-06T00:00:00Z</v>
      </c>
      <c r="B247" s="3">
        <f>IFERROR(__xludf.DUMMYFUNCTION("""COMPUTED_VALUE"""),1730.561515)</f>
        <v>1730.561515</v>
      </c>
      <c r="C247" s="3">
        <f>IFERROR(__xludf.DUMMYFUNCTION("""COMPUTED_VALUE"""),1.21845295374E8)</f>
        <v>121845295.4</v>
      </c>
      <c r="D247" s="3">
        <f>IFERROR(__xludf.DUMMYFUNCTION("""COMPUTED_VALUE"""),13615.125)</f>
        <v>13615.125</v>
      </c>
      <c r="E247" s="3">
        <f>IFERROR(__xludf.DUMMYFUNCTION("""COMPUTED_VALUE"""),2.3561811346914377E7)</f>
        <v>23561811.35</v>
      </c>
      <c r="F247" s="3" t="str">
        <f>IFERROR(__xludf.DUMMYFUNCTION("""COMPUTED_VALUE"""),"ETH")</f>
        <v>ETH</v>
      </c>
      <c r="G247" s="3"/>
    </row>
    <row r="248">
      <c r="A248" s="3" t="str">
        <f>IFERROR(__xludf.DUMMYFUNCTION("""COMPUTED_VALUE"""),"2022-08-07T00:00:00Z")</f>
        <v>2022-08-07T00:00:00Z</v>
      </c>
      <c r="B248" s="3">
        <f>IFERROR(__xludf.DUMMYFUNCTION("""COMPUTED_VALUE"""),1691.447338)</f>
        <v>1691.447338</v>
      </c>
      <c r="C248" s="3">
        <f>IFERROR(__xludf.DUMMYFUNCTION("""COMPUTED_VALUE"""),1.21858727624E8)</f>
        <v>121858727.6</v>
      </c>
      <c r="D248" s="3">
        <f>IFERROR(__xludf.DUMMYFUNCTION("""COMPUTED_VALUE"""),13432.25)</f>
        <v>13432.25</v>
      </c>
      <c r="E248" s="3">
        <f>IFERROR(__xludf.DUMMYFUNCTION("""COMPUTED_VALUE"""),2.2719943505850498E7)</f>
        <v>22719943.51</v>
      </c>
      <c r="F248" s="3" t="str">
        <f>IFERROR(__xludf.DUMMYFUNCTION("""COMPUTED_VALUE"""),"ETH")</f>
        <v>ETH</v>
      </c>
      <c r="G248" s="3"/>
    </row>
    <row r="249">
      <c r="A249" s="3" t="str">
        <f>IFERROR(__xludf.DUMMYFUNCTION("""COMPUTED_VALUE"""),"2022-08-08T00:00:00Z")</f>
        <v>2022-08-08T00:00:00Z</v>
      </c>
      <c r="B249" s="3">
        <f>IFERROR(__xludf.DUMMYFUNCTION("""COMPUTED_VALUE"""),1700.539855)</f>
        <v>1700.539855</v>
      </c>
      <c r="C249" s="3">
        <f>IFERROR(__xludf.DUMMYFUNCTION("""COMPUTED_VALUE"""),1.21872196749E8)</f>
        <v>121872196.7</v>
      </c>
      <c r="D249" s="3">
        <f>IFERROR(__xludf.DUMMYFUNCTION("""COMPUTED_VALUE"""),13469.125)</f>
        <v>13469.125</v>
      </c>
      <c r="E249" s="3">
        <f>IFERROR(__xludf.DUMMYFUNCTION("""COMPUTED_VALUE"""),2.2904783874476876E7)</f>
        <v>22904783.87</v>
      </c>
      <c r="F249" s="3" t="str">
        <f>IFERROR(__xludf.DUMMYFUNCTION("""COMPUTED_VALUE"""),"ETH")</f>
        <v>ETH</v>
      </c>
      <c r="G249" s="3"/>
    </row>
    <row r="250">
      <c r="A250" s="3" t="str">
        <f>IFERROR(__xludf.DUMMYFUNCTION("""COMPUTED_VALUE"""),"2022-08-09T00:00:00Z")</f>
        <v>2022-08-09T00:00:00Z</v>
      </c>
      <c r="B250" s="3">
        <f>IFERROR(__xludf.DUMMYFUNCTION("""COMPUTED_VALUE"""),1777.071254)</f>
        <v>1777.071254</v>
      </c>
      <c r="C250" s="3">
        <f>IFERROR(__xludf.DUMMYFUNCTION("""COMPUTED_VALUE"""),1.21885552374E8)</f>
        <v>121885552.4</v>
      </c>
      <c r="D250" s="3">
        <f>IFERROR(__xludf.DUMMYFUNCTION("""COMPUTED_VALUE"""),13355.625)</f>
        <v>13355.625</v>
      </c>
      <c r="E250" s="3">
        <f>IFERROR(__xludf.DUMMYFUNCTION("""COMPUTED_VALUE"""),2.373389726670375E7)</f>
        <v>23733897.27</v>
      </c>
      <c r="F250" s="3" t="str">
        <f>IFERROR(__xludf.DUMMYFUNCTION("""COMPUTED_VALUE"""),"ETH")</f>
        <v>ETH</v>
      </c>
      <c r="G250" s="3"/>
    </row>
    <row r="251">
      <c r="A251" s="3" t="str">
        <f>IFERROR(__xludf.DUMMYFUNCTION("""COMPUTED_VALUE"""),"2022-08-10T00:00:00Z")</f>
        <v>2022-08-10T00:00:00Z</v>
      </c>
      <c r="B251" s="3">
        <f>IFERROR(__xludf.DUMMYFUNCTION("""COMPUTED_VALUE"""),1700.850174)</f>
        <v>1700.850174</v>
      </c>
      <c r="C251" s="3">
        <f>IFERROR(__xludf.DUMMYFUNCTION("""COMPUTED_VALUE"""),1.21898991874E8)</f>
        <v>121898991.9</v>
      </c>
      <c r="D251" s="3">
        <f>IFERROR(__xludf.DUMMYFUNCTION("""COMPUTED_VALUE"""),13439.5)</f>
        <v>13439.5</v>
      </c>
      <c r="E251" s="3">
        <f>IFERROR(__xludf.DUMMYFUNCTION("""COMPUTED_VALUE"""),2.2858575913473E7)</f>
        <v>22858575.91</v>
      </c>
      <c r="F251" s="3" t="str">
        <f>IFERROR(__xludf.DUMMYFUNCTION("""COMPUTED_VALUE"""),"ETH")</f>
        <v>ETH</v>
      </c>
      <c r="G251" s="3"/>
    </row>
    <row r="252">
      <c r="A252" s="3" t="str">
        <f>IFERROR(__xludf.DUMMYFUNCTION("""COMPUTED_VALUE"""),"2022-08-11T00:00:00Z")</f>
        <v>2022-08-11T00:00:00Z</v>
      </c>
      <c r="B252" s="3">
        <f>IFERROR(__xludf.DUMMYFUNCTION("""COMPUTED_VALUE"""),1855.691904)</f>
        <v>1855.691904</v>
      </c>
      <c r="C252" s="3">
        <f>IFERROR(__xludf.DUMMYFUNCTION("""COMPUTED_VALUE"""),1.21912215249E8)</f>
        <v>121912215.2</v>
      </c>
      <c r="D252" s="3">
        <f>IFERROR(__xludf.DUMMYFUNCTION("""COMPUTED_VALUE"""),13223.375)</f>
        <v>13223.375</v>
      </c>
      <c r="E252" s="3">
        <f>IFERROR(__xludf.DUMMYFUNCTION("""COMPUTED_VALUE"""),2.4538509931056E7)</f>
        <v>24538509.93</v>
      </c>
      <c r="F252" s="3" t="str">
        <f>IFERROR(__xludf.DUMMYFUNCTION("""COMPUTED_VALUE"""),"ETH")</f>
        <v>ETH</v>
      </c>
      <c r="G252" s="3"/>
    </row>
    <row r="253">
      <c r="A253" s="3" t="str">
        <f>IFERROR(__xludf.DUMMYFUNCTION("""COMPUTED_VALUE"""),"2022-08-12T00:00:00Z")</f>
        <v>2022-08-12T00:00:00Z</v>
      </c>
      <c r="B253" s="3">
        <f>IFERROR(__xludf.DUMMYFUNCTION("""COMPUTED_VALUE"""),1881.820674)</f>
        <v>1881.820674</v>
      </c>
      <c r="C253" s="3">
        <f>IFERROR(__xludf.DUMMYFUNCTION("""COMPUTED_VALUE"""),1.21925475624E8)</f>
        <v>121925475.6</v>
      </c>
      <c r="D253" s="3">
        <f>IFERROR(__xludf.DUMMYFUNCTION("""COMPUTED_VALUE"""),13260.375)</f>
        <v>13260.375</v>
      </c>
      <c r="E253" s="3">
        <f>IFERROR(__xludf.DUMMYFUNCTION("""COMPUTED_VALUE"""),2.495364781999275E7)</f>
        <v>24953647.82</v>
      </c>
      <c r="F253" s="3" t="str">
        <f>IFERROR(__xludf.DUMMYFUNCTION("""COMPUTED_VALUE"""),"ETH")</f>
        <v>ETH</v>
      </c>
      <c r="G253" s="3"/>
    </row>
    <row r="254">
      <c r="A254" s="3" t="str">
        <f>IFERROR(__xludf.DUMMYFUNCTION("""COMPUTED_VALUE"""),"2022-08-13T00:00:00Z")</f>
        <v>2022-08-13T00:00:00Z</v>
      </c>
      <c r="B254" s="3">
        <f>IFERROR(__xludf.DUMMYFUNCTION("""COMPUTED_VALUE"""),1955.87313)</f>
        <v>1955.87313</v>
      </c>
      <c r="C254" s="3">
        <f>IFERROR(__xludf.DUMMYFUNCTION("""COMPUTED_VALUE"""),1.219387579365E8)</f>
        <v>121938757.9</v>
      </c>
      <c r="D254" s="3">
        <f>IFERROR(__xludf.DUMMYFUNCTION("""COMPUTED_VALUE"""),13282.3125)</f>
        <v>13282.3125</v>
      </c>
      <c r="E254" s="3">
        <f>IFERROR(__xludf.DUMMYFUNCTION("""COMPUTED_VALUE"""),2.5978518123013124E7)</f>
        <v>25978518.12</v>
      </c>
      <c r="F254" s="3" t="str">
        <f>IFERROR(__xludf.DUMMYFUNCTION("""COMPUTED_VALUE"""),"ETH")</f>
        <v>ETH</v>
      </c>
      <c r="G254" s="3"/>
    </row>
    <row r="255">
      <c r="A255" s="3" t="str">
        <f>IFERROR(__xludf.DUMMYFUNCTION("""COMPUTED_VALUE"""),"2022-08-14T00:00:00Z")</f>
        <v>2022-08-14T00:00:00Z</v>
      </c>
      <c r="B255" s="3">
        <f>IFERROR(__xludf.DUMMYFUNCTION("""COMPUTED_VALUE"""),1983.94942)</f>
        <v>1983.94942</v>
      </c>
      <c r="C255" s="3">
        <f>IFERROR(__xludf.DUMMYFUNCTION("""COMPUTED_VALUE"""),1.219520475615E8)</f>
        <v>121952047.6</v>
      </c>
      <c r="D255" s="3">
        <f>IFERROR(__xludf.DUMMYFUNCTION("""COMPUTED_VALUE"""),13289.625)</f>
        <v>13289.625</v>
      </c>
      <c r="E255" s="3">
        <f>IFERROR(__xludf.DUMMYFUNCTION("""COMPUTED_VALUE"""),2.6365943810767498E7)</f>
        <v>26365943.81</v>
      </c>
      <c r="F255" s="3" t="str">
        <f>IFERROR(__xludf.DUMMYFUNCTION("""COMPUTED_VALUE"""),"ETH")</f>
        <v>ETH</v>
      </c>
      <c r="G255" s="3"/>
    </row>
    <row r="256">
      <c r="A256" s="3" t="str">
        <f>IFERROR(__xludf.DUMMYFUNCTION("""COMPUTED_VALUE"""),"2022-08-15T00:00:00Z")</f>
        <v>2022-08-15T00:00:00Z</v>
      </c>
      <c r="B256" s="3">
        <f>IFERROR(__xludf.DUMMYFUNCTION("""COMPUTED_VALUE"""),1935.668782)</f>
        <v>1935.668782</v>
      </c>
      <c r="C256" s="3">
        <f>IFERROR(__xludf.DUMMYFUNCTION("""COMPUTED_VALUE"""),1.219654183115E8)</f>
        <v>121965418.3</v>
      </c>
      <c r="D256" s="3">
        <f>IFERROR(__xludf.DUMMYFUNCTION("""COMPUTED_VALUE"""),13370.75)</f>
        <v>13370.75</v>
      </c>
      <c r="E256" s="3">
        <f>IFERROR(__xludf.DUMMYFUNCTION("""COMPUTED_VALUE"""),2.58813433669265E7)</f>
        <v>25881343.37</v>
      </c>
      <c r="F256" s="3" t="str">
        <f>IFERROR(__xludf.DUMMYFUNCTION("""COMPUTED_VALUE"""),"ETH")</f>
        <v>ETH</v>
      </c>
      <c r="G256" s="3"/>
    </row>
    <row r="257">
      <c r="A257" s="3" t="str">
        <f>IFERROR(__xludf.DUMMYFUNCTION("""COMPUTED_VALUE"""),"2022-08-16T00:00:00Z")</f>
        <v>2022-08-16T00:00:00Z</v>
      </c>
      <c r="B257" s="3">
        <f>IFERROR(__xludf.DUMMYFUNCTION("""COMPUTED_VALUE"""),1899.501111)</f>
        <v>1899.501111</v>
      </c>
      <c r="C257" s="3">
        <f>IFERROR(__xludf.DUMMYFUNCTION("""COMPUTED_VALUE"""),1.219785254365E8)</f>
        <v>121978525.4</v>
      </c>
      <c r="D257" s="3">
        <f>IFERROR(__xludf.DUMMYFUNCTION("""COMPUTED_VALUE"""),13107.125)</f>
        <v>13107.125</v>
      </c>
      <c r="E257" s="3">
        <f>IFERROR(__xludf.DUMMYFUNCTION("""COMPUTED_VALUE"""),2.4896998499515876E7)</f>
        <v>24896998.5</v>
      </c>
      <c r="F257" s="3" t="str">
        <f>IFERROR(__xludf.DUMMYFUNCTION("""COMPUTED_VALUE"""),"ETH")</f>
        <v>ETH</v>
      </c>
      <c r="G257" s="3"/>
    </row>
    <row r="258">
      <c r="A258" s="3" t="str">
        <f>IFERROR(__xludf.DUMMYFUNCTION("""COMPUTED_VALUE"""),"2022-08-17T00:00:00Z")</f>
        <v>2022-08-17T00:00:00Z</v>
      </c>
      <c r="B258" s="3">
        <f>IFERROR(__xludf.DUMMYFUNCTION("""COMPUTED_VALUE"""),1877.001195)</f>
        <v>1877.001195</v>
      </c>
      <c r="C258" s="3">
        <f>IFERROR(__xludf.DUMMYFUNCTION("""COMPUTED_VALUE"""),1.21991912124E8)</f>
        <v>121991912.1</v>
      </c>
      <c r="D258" s="3">
        <f>IFERROR(__xludf.DUMMYFUNCTION("""COMPUTED_VALUE"""),13386.6875)</f>
        <v>13386.6875</v>
      </c>
      <c r="E258" s="3">
        <f>IFERROR(__xludf.DUMMYFUNCTION("""COMPUTED_VALUE"""),2.512682843459156E7)</f>
        <v>25126828.43</v>
      </c>
      <c r="F258" s="3" t="str">
        <f>IFERROR(__xludf.DUMMYFUNCTION("""COMPUTED_VALUE"""),"ETH")</f>
        <v>ETH</v>
      </c>
      <c r="G258" s="3"/>
    </row>
    <row r="259">
      <c r="A259" s="3" t="str">
        <f>IFERROR(__xludf.DUMMYFUNCTION("""COMPUTED_VALUE"""),"2022-08-18T00:00:00Z")</f>
        <v>2022-08-18T00:00:00Z</v>
      </c>
      <c r="B259" s="3">
        <f>IFERROR(__xludf.DUMMYFUNCTION("""COMPUTED_VALUE"""),1834.275353)</f>
        <v>1834.275353</v>
      </c>
      <c r="C259" s="3">
        <f>IFERROR(__xludf.DUMMYFUNCTION("""COMPUTED_VALUE"""),1.22005065124E8)</f>
        <v>122005065.1</v>
      </c>
      <c r="D259" s="3">
        <f>IFERROR(__xludf.DUMMYFUNCTION("""COMPUTED_VALUE"""),13153.0)</f>
        <v>13153</v>
      </c>
      <c r="E259" s="3">
        <f>IFERROR(__xludf.DUMMYFUNCTION("""COMPUTED_VALUE"""),2.4126223718009E7)</f>
        <v>24126223.72</v>
      </c>
      <c r="F259" s="3" t="str">
        <f>IFERROR(__xludf.DUMMYFUNCTION("""COMPUTED_VALUE"""),"ETH")</f>
        <v>ETH</v>
      </c>
      <c r="G259" s="3"/>
    </row>
    <row r="260">
      <c r="A260" s="3" t="str">
        <f>IFERROR(__xludf.DUMMYFUNCTION("""COMPUTED_VALUE"""),"2022-08-19T00:00:00Z")</f>
        <v>2022-08-19T00:00:00Z</v>
      </c>
      <c r="B260" s="3">
        <f>IFERROR(__xludf.DUMMYFUNCTION("""COMPUTED_VALUE"""),1846.508019)</f>
        <v>1846.508019</v>
      </c>
      <c r="C260" s="3">
        <f>IFERROR(__xludf.DUMMYFUNCTION("""COMPUTED_VALUE"""),1.22018279374E8)</f>
        <v>122018279.4</v>
      </c>
      <c r="D260" s="3">
        <f>IFERROR(__xludf.DUMMYFUNCTION("""COMPUTED_VALUE"""),13214.25)</f>
        <v>13214.25</v>
      </c>
      <c r="E260" s="3">
        <f>IFERROR(__xludf.DUMMYFUNCTION("""COMPUTED_VALUE"""),2.440021859007075E7)</f>
        <v>24400218.59</v>
      </c>
      <c r="F260" s="3" t="str">
        <f>IFERROR(__xludf.DUMMYFUNCTION("""COMPUTED_VALUE"""),"ETH")</f>
        <v>ETH</v>
      </c>
      <c r="G260" s="3"/>
    </row>
    <row r="261">
      <c r="A261" s="3" t="str">
        <f>IFERROR(__xludf.DUMMYFUNCTION("""COMPUTED_VALUE"""),"2022-08-20T00:00:00Z")</f>
        <v>2022-08-20T00:00:00Z</v>
      </c>
      <c r="B261" s="3">
        <f>IFERROR(__xludf.DUMMYFUNCTION("""COMPUTED_VALUE"""),1608.939858)</f>
        <v>1608.939858</v>
      </c>
      <c r="C261" s="3">
        <f>IFERROR(__xludf.DUMMYFUNCTION("""COMPUTED_VALUE"""),1.22031473749E8)</f>
        <v>122031473.7</v>
      </c>
      <c r="D261" s="3">
        <f>IFERROR(__xludf.DUMMYFUNCTION("""COMPUTED_VALUE"""),13194.375)</f>
        <v>13194.375</v>
      </c>
      <c r="E261" s="3">
        <f>IFERROR(__xludf.DUMMYFUNCTION("""COMPUTED_VALUE"""),2.122895583889875E7)</f>
        <v>21228955.84</v>
      </c>
      <c r="F261" s="3" t="str">
        <f>IFERROR(__xludf.DUMMYFUNCTION("""COMPUTED_VALUE"""),"ETH")</f>
        <v>ETH</v>
      </c>
      <c r="G261" s="3"/>
    </row>
    <row r="262">
      <c r="A262" s="3" t="str">
        <f>IFERROR(__xludf.DUMMYFUNCTION("""COMPUTED_VALUE"""),"2022-08-21T00:00:00Z")</f>
        <v>2022-08-21T00:00:00Z</v>
      </c>
      <c r="B262" s="3">
        <f>IFERROR(__xludf.DUMMYFUNCTION("""COMPUTED_VALUE"""),1576.148689)</f>
        <v>1576.148689</v>
      </c>
      <c r="C262" s="3">
        <f>IFERROR(__xludf.DUMMYFUNCTION("""COMPUTED_VALUE"""),1.220447804365E8)</f>
        <v>122044780.4</v>
      </c>
      <c r="D262" s="3">
        <f>IFERROR(__xludf.DUMMYFUNCTION("""COMPUTED_VALUE"""),13306.6875)</f>
        <v>13306.6875</v>
      </c>
      <c r="E262" s="3">
        <f>IFERROR(__xludf.DUMMYFUNCTION("""COMPUTED_VALUE"""),2.097331805805769E7)</f>
        <v>20973318.06</v>
      </c>
      <c r="F262" s="3" t="str">
        <f>IFERROR(__xludf.DUMMYFUNCTION("""COMPUTED_VALUE"""),"ETH")</f>
        <v>ETH</v>
      </c>
      <c r="G262" s="3"/>
    </row>
    <row r="263">
      <c r="A263" s="3" t="str">
        <f>IFERROR(__xludf.DUMMYFUNCTION("""COMPUTED_VALUE"""),"2022-08-22T00:00:00Z")</f>
        <v>2022-08-22T00:00:00Z</v>
      </c>
      <c r="B263" s="3">
        <f>IFERROR(__xludf.DUMMYFUNCTION("""COMPUTED_VALUE"""),1618.028499)</f>
        <v>1618.028499</v>
      </c>
      <c r="C263" s="3">
        <f>IFERROR(__xludf.DUMMYFUNCTION("""COMPUTED_VALUE"""),1.22058088249E8)</f>
        <v>122058088.2</v>
      </c>
      <c r="D263" s="3">
        <f>IFERROR(__xludf.DUMMYFUNCTION("""COMPUTED_VALUE"""),13307.8125)</f>
        <v>13307.8125</v>
      </c>
      <c r="E263" s="3">
        <f>IFERROR(__xludf.DUMMYFUNCTION("""COMPUTED_VALUE"""),2.1532419884348437E7)</f>
        <v>21532419.88</v>
      </c>
      <c r="F263" s="3" t="str">
        <f>IFERROR(__xludf.DUMMYFUNCTION("""COMPUTED_VALUE"""),"ETH")</f>
        <v>ETH</v>
      </c>
      <c r="G263" s="3"/>
    </row>
    <row r="264">
      <c r="A264" s="3" t="str">
        <f>IFERROR(__xludf.DUMMYFUNCTION("""COMPUTED_VALUE"""),"2022-08-23T00:00:00Z")</f>
        <v>2022-08-23T00:00:00Z</v>
      </c>
      <c r="B264" s="3">
        <f>IFERROR(__xludf.DUMMYFUNCTION("""COMPUTED_VALUE"""),1624.689747)</f>
        <v>1624.689747</v>
      </c>
      <c r="C264" s="3">
        <f>IFERROR(__xludf.DUMMYFUNCTION("""COMPUTED_VALUE"""),1.220712971865E8)</f>
        <v>122071297.2</v>
      </c>
      <c r="D264" s="3">
        <f>IFERROR(__xludf.DUMMYFUNCTION("""COMPUTED_VALUE"""),13208.9375)</f>
        <v>13208.9375</v>
      </c>
      <c r="E264" s="3">
        <f>IFERROR(__xludf.DUMMYFUNCTION("""COMPUTED_VALUE"""),2.1460425325013813E7)</f>
        <v>21460425.33</v>
      </c>
      <c r="F264" s="3" t="str">
        <f>IFERROR(__xludf.DUMMYFUNCTION("""COMPUTED_VALUE"""),"ETH")</f>
        <v>ETH</v>
      </c>
      <c r="G264" s="3"/>
    </row>
    <row r="265">
      <c r="A265" s="3" t="str">
        <f>IFERROR(__xludf.DUMMYFUNCTION("""COMPUTED_VALUE"""),"2022-08-24T00:00:00Z")</f>
        <v>2022-08-24T00:00:00Z</v>
      </c>
      <c r="B265" s="3">
        <f>IFERROR(__xludf.DUMMYFUNCTION("""COMPUTED_VALUE"""),1665.545474)</f>
        <v>1665.545474</v>
      </c>
      <c r="C265" s="3">
        <f>IFERROR(__xludf.DUMMYFUNCTION("""COMPUTED_VALUE"""),1.22084696374E8)</f>
        <v>122084696.4</v>
      </c>
      <c r="D265" s="3">
        <f>IFERROR(__xludf.DUMMYFUNCTION("""COMPUTED_VALUE"""),13399.1875)</f>
        <v>13399.1875</v>
      </c>
      <c r="E265" s="3">
        <f>IFERROR(__xludf.DUMMYFUNCTION("""COMPUTED_VALUE"""),2.2316956095902376E7)</f>
        <v>22316956.1</v>
      </c>
      <c r="F265" s="3" t="str">
        <f>IFERROR(__xludf.DUMMYFUNCTION("""COMPUTED_VALUE"""),"ETH")</f>
        <v>ETH</v>
      </c>
      <c r="G265" s="3"/>
    </row>
    <row r="266">
      <c r="A266" s="3" t="str">
        <f>IFERROR(__xludf.DUMMYFUNCTION("""COMPUTED_VALUE"""),"2022-08-25T00:00:00Z")</f>
        <v>2022-08-25T00:00:00Z</v>
      </c>
      <c r="B266" s="3">
        <f>IFERROR(__xludf.DUMMYFUNCTION("""COMPUTED_VALUE"""),1656.520432)</f>
        <v>1656.520432</v>
      </c>
      <c r="C266" s="3">
        <f>IFERROR(__xludf.DUMMYFUNCTION("""COMPUTED_VALUE"""),1.220978149365E8)</f>
        <v>122097814.9</v>
      </c>
      <c r="D266" s="3">
        <f>IFERROR(__xludf.DUMMYFUNCTION("""COMPUTED_VALUE"""),13118.5625)</f>
        <v>13118.5625</v>
      </c>
      <c r="E266" s="3">
        <f>IFERROR(__xludf.DUMMYFUNCTION("""COMPUTED_VALUE"""),2.1731166819719E7)</f>
        <v>21731166.82</v>
      </c>
      <c r="F266" s="3" t="str">
        <f>IFERROR(__xludf.DUMMYFUNCTION("""COMPUTED_VALUE"""),"ETH")</f>
        <v>ETH</v>
      </c>
      <c r="G266" s="3"/>
    </row>
    <row r="267">
      <c r="A267" s="3" t="str">
        <f>IFERROR(__xludf.DUMMYFUNCTION("""COMPUTED_VALUE"""),"2022-08-26T00:00:00Z")</f>
        <v>2022-08-26T00:00:00Z</v>
      </c>
      <c r="B267" s="3">
        <f>IFERROR(__xludf.DUMMYFUNCTION("""COMPUTED_VALUE"""),1694.993422)</f>
        <v>1694.993422</v>
      </c>
      <c r="C267" s="3">
        <f>IFERROR(__xludf.DUMMYFUNCTION("""COMPUTED_VALUE"""),1.221106884365E8)</f>
        <v>122110688.4</v>
      </c>
      <c r="D267" s="3">
        <f>IFERROR(__xludf.DUMMYFUNCTION("""COMPUTED_VALUE"""),12873.5)</f>
        <v>12873.5</v>
      </c>
      <c r="E267" s="3">
        <f>IFERROR(__xludf.DUMMYFUNCTION("""COMPUTED_VALUE"""),2.1820497818117E7)</f>
        <v>21820497.82</v>
      </c>
      <c r="F267" s="3" t="str">
        <f>IFERROR(__xludf.DUMMYFUNCTION("""COMPUTED_VALUE"""),"ETH")</f>
        <v>ETH</v>
      </c>
      <c r="G267" s="3"/>
    </row>
    <row r="268">
      <c r="A268" s="3" t="str">
        <f>IFERROR(__xludf.DUMMYFUNCTION("""COMPUTED_VALUE"""),"2022-08-27T00:00:00Z")</f>
        <v>2022-08-27T00:00:00Z</v>
      </c>
      <c r="B268" s="3">
        <f>IFERROR(__xludf.DUMMYFUNCTION("""COMPUTED_VALUE"""),1507.982561)</f>
        <v>1507.982561</v>
      </c>
      <c r="C268" s="3">
        <f>IFERROR(__xludf.DUMMYFUNCTION("""COMPUTED_VALUE"""),1.22123849499E8)</f>
        <v>122123849.5</v>
      </c>
      <c r="D268" s="3">
        <f>IFERROR(__xludf.DUMMYFUNCTION("""COMPUTED_VALUE"""),13161.0625)</f>
        <v>13161.0625</v>
      </c>
      <c r="E268" s="3">
        <f>IFERROR(__xludf.DUMMYFUNCTION("""COMPUTED_VALUE"""),1.9846652734231062E7)</f>
        <v>19846652.73</v>
      </c>
      <c r="F268" s="3" t="str">
        <f>IFERROR(__xludf.DUMMYFUNCTION("""COMPUTED_VALUE"""),"ETH")</f>
        <v>ETH</v>
      </c>
      <c r="G268" s="3"/>
    </row>
    <row r="269">
      <c r="A269" s="3" t="str">
        <f>IFERROR(__xludf.DUMMYFUNCTION("""COMPUTED_VALUE"""),"2022-08-28T00:00:00Z")</f>
        <v>2022-08-28T00:00:00Z</v>
      </c>
      <c r="B269" s="3">
        <f>IFERROR(__xludf.DUMMYFUNCTION("""COMPUTED_VALUE"""),1492.311312)</f>
        <v>1492.311312</v>
      </c>
      <c r="C269" s="3">
        <f>IFERROR(__xludf.DUMMYFUNCTION("""COMPUTED_VALUE"""),1.22136903999E8)</f>
        <v>122136904</v>
      </c>
      <c r="D269" s="3">
        <f>IFERROR(__xludf.DUMMYFUNCTION("""COMPUTED_VALUE"""),13054.5)</f>
        <v>13054.5</v>
      </c>
      <c r="E269" s="3">
        <f>IFERROR(__xludf.DUMMYFUNCTION("""COMPUTED_VALUE"""),1.9481378022504E7)</f>
        <v>19481378.02</v>
      </c>
      <c r="F269" s="3" t="str">
        <f>IFERROR(__xludf.DUMMYFUNCTION("""COMPUTED_VALUE"""),"ETH")</f>
        <v>ETH</v>
      </c>
      <c r="G269" s="3"/>
    </row>
    <row r="270">
      <c r="A270" s="3" t="str">
        <f>IFERROR(__xludf.DUMMYFUNCTION("""COMPUTED_VALUE"""),"2022-08-29T00:00:00Z")</f>
        <v>2022-08-29T00:00:00Z</v>
      </c>
      <c r="B270" s="3">
        <f>IFERROR(__xludf.DUMMYFUNCTION("""COMPUTED_VALUE"""),1427.004358)</f>
        <v>1427.004358</v>
      </c>
      <c r="C270" s="3">
        <f>IFERROR(__xludf.DUMMYFUNCTION("""COMPUTED_VALUE"""),1.22149970749E8)</f>
        <v>122149970.7</v>
      </c>
      <c r="D270" s="3">
        <f>IFERROR(__xludf.DUMMYFUNCTION("""COMPUTED_VALUE"""),13066.75)</f>
        <v>13066.75</v>
      </c>
      <c r="E270" s="3">
        <f>IFERROR(__xludf.DUMMYFUNCTION("""COMPUTED_VALUE"""),1.86463091948965E7)</f>
        <v>18646309.19</v>
      </c>
      <c r="F270" s="3" t="str">
        <f>IFERROR(__xludf.DUMMYFUNCTION("""COMPUTED_VALUE"""),"ETH")</f>
        <v>ETH</v>
      </c>
      <c r="G270" s="3"/>
    </row>
    <row r="271">
      <c r="A271" s="3" t="str">
        <f>IFERROR(__xludf.DUMMYFUNCTION("""COMPUTED_VALUE"""),"2022-08-30T00:00:00Z")</f>
        <v>2022-08-30T00:00:00Z</v>
      </c>
      <c r="B271" s="3">
        <f>IFERROR(__xludf.DUMMYFUNCTION("""COMPUTED_VALUE"""),1551.822573)</f>
        <v>1551.822573</v>
      </c>
      <c r="C271" s="3">
        <f>IFERROR(__xludf.DUMMYFUNCTION("""COMPUTED_VALUE"""),1.221620325615E8)</f>
        <v>122162032.6</v>
      </c>
      <c r="D271" s="3">
        <f>IFERROR(__xludf.DUMMYFUNCTION("""COMPUTED_VALUE"""),12061.8125)</f>
        <v>12061.8125</v>
      </c>
      <c r="E271" s="3">
        <f>IFERROR(__xludf.DUMMYFUNCTION("""COMPUTED_VALUE"""),1.871779290879356E7)</f>
        <v>18717792.91</v>
      </c>
      <c r="F271" s="3" t="str">
        <f>IFERROR(__xludf.DUMMYFUNCTION("""COMPUTED_VALUE"""),"ETH")</f>
        <v>ETH</v>
      </c>
      <c r="G271" s="3"/>
    </row>
    <row r="272">
      <c r="A272" s="3" t="str">
        <f>IFERROR(__xludf.DUMMYFUNCTION("""COMPUTED_VALUE"""),"2022-08-31T00:00:00Z")</f>
        <v>2022-08-31T00:00:00Z</v>
      </c>
      <c r="B272" s="3">
        <f>IFERROR(__xludf.DUMMYFUNCTION("""COMPUTED_VALUE"""),1524.773815)</f>
        <v>1524.773815</v>
      </c>
      <c r="C272" s="3">
        <f>IFERROR(__xludf.DUMMYFUNCTION("""COMPUTED_VALUE"""),1.22176132374E8)</f>
        <v>122176132.4</v>
      </c>
      <c r="D272" s="3">
        <f>IFERROR(__xludf.DUMMYFUNCTION("""COMPUTED_VALUE"""),14099.8125)</f>
        <v>14099.8125</v>
      </c>
      <c r="E272" s="3">
        <f>IFERROR(__xludf.DUMMYFUNCTION("""COMPUTED_VALUE"""),2.1499024896409687E7)</f>
        <v>21499024.9</v>
      </c>
      <c r="F272" s="3" t="str">
        <f>IFERROR(__xludf.DUMMYFUNCTION("""COMPUTED_VALUE"""),"ETH")</f>
        <v>ETH</v>
      </c>
      <c r="G272" s="3"/>
    </row>
    <row r="273">
      <c r="A273" s="3" t="str">
        <f>IFERROR(__xludf.DUMMYFUNCTION("""COMPUTED_VALUE"""),"2022-09-01T00:00:00Z")</f>
        <v>2022-09-01T00:00:00Z</v>
      </c>
      <c r="B273" s="3">
        <f>IFERROR(__xludf.DUMMYFUNCTION("""COMPUTED_VALUE"""),1553.983552)</f>
        <v>1553.983552</v>
      </c>
      <c r="C273" s="3">
        <f>IFERROR(__xludf.DUMMYFUNCTION("""COMPUTED_VALUE"""),1.22189245374E8)</f>
        <v>122189245.4</v>
      </c>
      <c r="D273" s="3">
        <f>IFERROR(__xludf.DUMMYFUNCTION("""COMPUTED_VALUE"""),13113.0)</f>
        <v>13113</v>
      </c>
      <c r="E273" s="3">
        <f>IFERROR(__xludf.DUMMYFUNCTION("""COMPUTED_VALUE"""),2.0377386317376E7)</f>
        <v>20377386.32</v>
      </c>
      <c r="F273" s="3" t="str">
        <f>IFERROR(__xludf.DUMMYFUNCTION("""COMPUTED_VALUE"""),"ETH")</f>
        <v>ETH</v>
      </c>
      <c r="G273" s="3"/>
    </row>
    <row r="274">
      <c r="A274" s="3" t="str">
        <f>IFERROR(__xludf.DUMMYFUNCTION("""COMPUTED_VALUE"""),"2022-09-02T00:00:00Z")</f>
        <v>2022-09-02T00:00:00Z</v>
      </c>
      <c r="B274" s="3">
        <f>IFERROR(__xludf.DUMMYFUNCTION("""COMPUTED_VALUE"""),1585.902543)</f>
        <v>1585.902543</v>
      </c>
      <c r="C274" s="3">
        <f>IFERROR(__xludf.DUMMYFUNCTION("""COMPUTED_VALUE"""),1.222023008115E8)</f>
        <v>122202300.8</v>
      </c>
      <c r="D274" s="3">
        <f>IFERROR(__xludf.DUMMYFUNCTION("""COMPUTED_VALUE"""),13055.4375)</f>
        <v>13055.4375</v>
      </c>
      <c r="E274" s="3">
        <f>IFERROR(__xludf.DUMMYFUNCTION("""COMPUTED_VALUE"""),2.0704651531227563E7)</f>
        <v>20704651.53</v>
      </c>
      <c r="F274" s="3" t="str">
        <f>IFERROR(__xludf.DUMMYFUNCTION("""COMPUTED_VALUE"""),"ETH")</f>
        <v>ETH</v>
      </c>
      <c r="G274" s="3"/>
    </row>
    <row r="275">
      <c r="A275" s="3" t="str">
        <f>IFERROR(__xludf.DUMMYFUNCTION("""COMPUTED_VALUE"""),"2022-09-03T00:00:00Z")</f>
        <v>2022-09-03T00:00:00Z</v>
      </c>
      <c r="B275" s="3">
        <f>IFERROR(__xludf.DUMMYFUNCTION("""COMPUTED_VALUE"""),1575.335525)</f>
        <v>1575.335525</v>
      </c>
      <c r="C275" s="3">
        <f>IFERROR(__xludf.DUMMYFUNCTION("""COMPUTED_VALUE"""),1.22215466999E8)</f>
        <v>122215467</v>
      </c>
      <c r="D275" s="3">
        <f>IFERROR(__xludf.DUMMYFUNCTION("""COMPUTED_VALUE"""),13166.1875)</f>
        <v>13166.1875</v>
      </c>
      <c r="E275" s="3">
        <f>IFERROR(__xludf.DUMMYFUNCTION("""COMPUTED_VALUE"""),2.0741162897560935E7)</f>
        <v>20741162.9</v>
      </c>
      <c r="F275" s="3" t="str">
        <f>IFERROR(__xludf.DUMMYFUNCTION("""COMPUTED_VALUE"""),"ETH")</f>
        <v>ETH</v>
      </c>
      <c r="G275" s="3"/>
    </row>
    <row r="276">
      <c r="A276" s="3" t="str">
        <f>IFERROR(__xludf.DUMMYFUNCTION("""COMPUTED_VALUE"""),"2022-09-04T00:00:00Z")</f>
        <v>2022-09-04T00:00:00Z</v>
      </c>
      <c r="B276" s="3">
        <f>IFERROR(__xludf.DUMMYFUNCTION("""COMPUTED_VALUE"""),1557.439166)</f>
        <v>1557.439166</v>
      </c>
      <c r="C276" s="3">
        <f>IFERROR(__xludf.DUMMYFUNCTION("""COMPUTED_VALUE"""),1.222284448115E8)</f>
        <v>122228444.8</v>
      </c>
      <c r="D276" s="3">
        <f>IFERROR(__xludf.DUMMYFUNCTION("""COMPUTED_VALUE"""),12977.8125)</f>
        <v>12977.8125</v>
      </c>
      <c r="E276" s="3">
        <f>IFERROR(__xludf.DUMMYFUNCTION("""COMPUTED_VALUE"""),2.0212153476504374E7)</f>
        <v>20212153.48</v>
      </c>
      <c r="F276" s="3" t="str">
        <f>IFERROR(__xludf.DUMMYFUNCTION("""COMPUTED_VALUE"""),"ETH")</f>
        <v>ETH</v>
      </c>
      <c r="G276" s="3"/>
    </row>
    <row r="277">
      <c r="A277" s="3" t="str">
        <f>IFERROR(__xludf.DUMMYFUNCTION("""COMPUTED_VALUE"""),"2022-09-05T00:00:00Z")</f>
        <v>2022-09-05T00:00:00Z</v>
      </c>
      <c r="B277" s="3">
        <f>IFERROR(__xludf.DUMMYFUNCTION("""COMPUTED_VALUE"""),1579.110999)</f>
        <v>1579.110999</v>
      </c>
      <c r="C277" s="3">
        <f>IFERROR(__xludf.DUMMYFUNCTION("""COMPUTED_VALUE"""),1.222415651865E8)</f>
        <v>122241565.2</v>
      </c>
      <c r="D277" s="3">
        <f>IFERROR(__xludf.DUMMYFUNCTION("""COMPUTED_VALUE"""),13120.375)</f>
        <v>13120.375</v>
      </c>
      <c r="E277" s="3">
        <f>IFERROR(__xludf.DUMMYFUNCTION("""COMPUTED_VALUE"""),2.0718528473504625E7)</f>
        <v>20718528.47</v>
      </c>
      <c r="F277" s="3" t="str">
        <f>IFERROR(__xludf.DUMMYFUNCTION("""COMPUTED_VALUE"""),"ETH")</f>
        <v>ETH</v>
      </c>
      <c r="G277" s="3"/>
    </row>
    <row r="278">
      <c r="A278" s="3" t="str">
        <f>IFERROR(__xludf.DUMMYFUNCTION("""COMPUTED_VALUE"""),"2022-09-06T00:00:00Z")</f>
        <v>2022-09-06T00:00:00Z</v>
      </c>
      <c r="B278" s="3">
        <f>IFERROR(__xludf.DUMMYFUNCTION("""COMPUTED_VALUE"""),1617.890692)</f>
        <v>1617.890692</v>
      </c>
      <c r="C278" s="3">
        <f>IFERROR(__xludf.DUMMYFUNCTION("""COMPUTED_VALUE"""),1.22254497999E8)</f>
        <v>122254498</v>
      </c>
      <c r="D278" s="3">
        <f>IFERROR(__xludf.DUMMYFUNCTION("""COMPUTED_VALUE"""),12932.8125)</f>
        <v>12932.8125</v>
      </c>
      <c r="E278" s="3">
        <f>IFERROR(__xludf.DUMMYFUNCTION("""COMPUTED_VALUE"""),2.092387696513125E7)</f>
        <v>20923876.97</v>
      </c>
      <c r="F278" s="3" t="str">
        <f>IFERROR(__xludf.DUMMYFUNCTION("""COMPUTED_VALUE"""),"ETH")</f>
        <v>ETH</v>
      </c>
      <c r="G278" s="3"/>
    </row>
    <row r="279">
      <c r="A279" s="3" t="str">
        <f>IFERROR(__xludf.DUMMYFUNCTION("""COMPUTED_VALUE"""),"2022-09-07T00:00:00Z")</f>
        <v>2022-09-07T00:00:00Z</v>
      </c>
      <c r="B279" s="3">
        <f>IFERROR(__xludf.DUMMYFUNCTION("""COMPUTED_VALUE"""),1558.804746)</f>
        <v>1558.804746</v>
      </c>
      <c r="C279" s="3">
        <f>IFERROR(__xludf.DUMMYFUNCTION("""COMPUTED_VALUE"""),1.222665316865E8)</f>
        <v>122266531.7</v>
      </c>
      <c r="D279" s="3">
        <f>IFERROR(__xludf.DUMMYFUNCTION("""COMPUTED_VALUE"""),12033.6875)</f>
        <v>12033.6875</v>
      </c>
      <c r="E279" s="3">
        <f>IFERROR(__xludf.DUMMYFUNCTION("""COMPUTED_VALUE"""),1.8758169186880875E7)</f>
        <v>18758169.19</v>
      </c>
      <c r="F279" s="3" t="str">
        <f>IFERROR(__xludf.DUMMYFUNCTION("""COMPUTED_VALUE"""),"ETH")</f>
        <v>ETH</v>
      </c>
      <c r="G279" s="3"/>
    </row>
    <row r="280">
      <c r="A280" s="3" t="str">
        <f>IFERROR(__xludf.DUMMYFUNCTION("""COMPUTED_VALUE"""),"2022-09-08T00:00:00Z")</f>
        <v>2022-09-08T00:00:00Z</v>
      </c>
      <c r="B280" s="3">
        <f>IFERROR(__xludf.DUMMYFUNCTION("""COMPUTED_VALUE"""),1629.855355)</f>
        <v>1629.855355</v>
      </c>
      <c r="C280" s="3">
        <f>IFERROR(__xludf.DUMMYFUNCTION("""COMPUTED_VALUE"""),1.22280570499E8)</f>
        <v>122280570.5</v>
      </c>
      <c r="D280" s="3">
        <f>IFERROR(__xludf.DUMMYFUNCTION("""COMPUTED_VALUE"""),14038.8125)</f>
        <v>14038.8125</v>
      </c>
      <c r="E280" s="3">
        <f>IFERROR(__xludf.DUMMYFUNCTION("""COMPUTED_VALUE"""),2.2881233730965935E7)</f>
        <v>22881233.73</v>
      </c>
      <c r="F280" s="3" t="str">
        <f>IFERROR(__xludf.DUMMYFUNCTION("""COMPUTED_VALUE"""),"ETH")</f>
        <v>ETH</v>
      </c>
      <c r="G280" s="3"/>
    </row>
    <row r="281">
      <c r="A281" s="3" t="str">
        <f>IFERROR(__xludf.DUMMYFUNCTION("""COMPUTED_VALUE"""),"2022-09-09T00:00:00Z")</f>
        <v>2022-09-09T00:00:00Z</v>
      </c>
      <c r="B281" s="3">
        <f>IFERROR(__xludf.DUMMYFUNCTION("""COMPUTED_VALUE"""),1635.527319)</f>
        <v>1635.527319</v>
      </c>
      <c r="C281" s="3">
        <f>IFERROR(__xludf.DUMMYFUNCTION("""COMPUTED_VALUE"""),1.222936475615E8)</f>
        <v>122293647.6</v>
      </c>
      <c r="D281" s="3">
        <f>IFERROR(__xludf.DUMMYFUNCTION("""COMPUTED_VALUE"""),13077.0625)</f>
        <v>13077.0625</v>
      </c>
      <c r="E281" s="3">
        <f>IFERROR(__xludf.DUMMYFUNCTION("""COMPUTED_VALUE"""),2.1387892971020438E7)</f>
        <v>21387892.97</v>
      </c>
      <c r="F281" s="3" t="str">
        <f>IFERROR(__xludf.DUMMYFUNCTION("""COMPUTED_VALUE"""),"ETH")</f>
        <v>ETH</v>
      </c>
      <c r="G281" s="3"/>
    </row>
    <row r="282">
      <c r="A282" s="3" t="str">
        <f>IFERROR(__xludf.DUMMYFUNCTION("""COMPUTED_VALUE"""),"2022-09-10T00:00:00Z")</f>
        <v>2022-09-10T00:00:00Z</v>
      </c>
      <c r="B282" s="3">
        <f>IFERROR(__xludf.DUMMYFUNCTION("""COMPUTED_VALUE"""),1718.862165)</f>
        <v>1718.862165</v>
      </c>
      <c r="C282" s="3">
        <f>IFERROR(__xludf.DUMMYFUNCTION("""COMPUTED_VALUE"""),1.223064031865E8)</f>
        <v>122306403.2</v>
      </c>
      <c r="D282" s="3">
        <f>IFERROR(__xludf.DUMMYFUNCTION("""COMPUTED_VALUE"""),12755.625)</f>
        <v>12755.625</v>
      </c>
      <c r="E282" s="3">
        <f>IFERROR(__xludf.DUMMYFUNCTION("""COMPUTED_VALUE"""),2.1925161203428127E7)</f>
        <v>21925161.2</v>
      </c>
      <c r="F282" s="3" t="str">
        <f>IFERROR(__xludf.DUMMYFUNCTION("""COMPUTED_VALUE"""),"ETH")</f>
        <v>ETH</v>
      </c>
      <c r="G282" s="3"/>
    </row>
    <row r="283">
      <c r="A283" s="3" t="str">
        <f>IFERROR(__xludf.DUMMYFUNCTION("""COMPUTED_VALUE"""),"2022-09-11T00:00:00Z")</f>
        <v>2022-09-11T00:00:00Z</v>
      </c>
      <c r="B283" s="3">
        <f>IFERROR(__xludf.DUMMYFUNCTION("""COMPUTED_VALUE"""),1774.8769)</f>
        <v>1774.8769</v>
      </c>
      <c r="C283" s="3">
        <f>IFERROR(__xludf.DUMMYFUNCTION("""COMPUTED_VALUE"""),1.22319015999E8)</f>
        <v>122319016</v>
      </c>
      <c r="D283" s="3">
        <f>IFERROR(__xludf.DUMMYFUNCTION("""COMPUTED_VALUE"""),12612.8125)</f>
        <v>12612.8125</v>
      </c>
      <c r="E283" s="3">
        <f>IFERROR(__xludf.DUMMYFUNCTION("""COMPUTED_VALUE"""),2.238618955028125E7)</f>
        <v>22386189.55</v>
      </c>
      <c r="F283" s="3" t="str">
        <f>IFERROR(__xludf.DUMMYFUNCTION("""COMPUTED_VALUE"""),"ETH")</f>
        <v>ETH</v>
      </c>
      <c r="G283" s="3"/>
    </row>
    <row r="284">
      <c r="A284" s="3" t="str">
        <f>IFERROR(__xludf.DUMMYFUNCTION("""COMPUTED_VALUE"""),"2022-09-12T00:00:00Z")</f>
        <v>2022-09-12T00:00:00Z</v>
      </c>
      <c r="B284" s="3">
        <f>IFERROR(__xludf.DUMMYFUNCTION("""COMPUTED_VALUE"""),1766.718859)</f>
        <v>1766.718859</v>
      </c>
      <c r="C284" s="3">
        <f>IFERROR(__xludf.DUMMYFUNCTION("""COMPUTED_VALUE"""),1.223316593115E8)</f>
        <v>122331659.3</v>
      </c>
      <c r="D284" s="3">
        <f>IFERROR(__xludf.DUMMYFUNCTION("""COMPUTED_VALUE"""),12643.3125)</f>
        <v>12643.3125</v>
      </c>
      <c r="E284" s="3">
        <f>IFERROR(__xludf.DUMMYFUNCTION("""COMPUTED_VALUE"""),2.2337178633980438E7)</f>
        <v>22337178.63</v>
      </c>
      <c r="F284" s="3" t="str">
        <f>IFERROR(__xludf.DUMMYFUNCTION("""COMPUTED_VALUE"""),"ETH")</f>
        <v>ETH</v>
      </c>
      <c r="G284" s="3"/>
    </row>
    <row r="285">
      <c r="A285" s="3" t="str">
        <f>IFERROR(__xludf.DUMMYFUNCTION("""COMPUTED_VALUE"""),"2022-09-13T00:00:00Z")</f>
        <v>2022-09-13T00:00:00Z</v>
      </c>
      <c r="B285" s="3">
        <f>IFERROR(__xludf.DUMMYFUNCTION("""COMPUTED_VALUE"""),1716.670272)</f>
        <v>1716.670272</v>
      </c>
      <c r="C285" s="3">
        <f>IFERROR(__xludf.DUMMYFUNCTION("""COMPUTED_VALUE"""),1.223443974365E8)</f>
        <v>122344397.4</v>
      </c>
      <c r="D285" s="3">
        <f>IFERROR(__xludf.DUMMYFUNCTION("""COMPUTED_VALUE"""),12738.125)</f>
        <v>12738.125</v>
      </c>
      <c r="E285" s="3">
        <f>IFERROR(__xludf.DUMMYFUNCTION("""COMPUTED_VALUE"""),2.186716050852E7)</f>
        <v>21867160.51</v>
      </c>
      <c r="F285" s="3" t="str">
        <f>IFERROR(__xludf.DUMMYFUNCTION("""COMPUTED_VALUE"""),"ETH")</f>
        <v>ETH</v>
      </c>
      <c r="G285" s="3"/>
    </row>
    <row r="286">
      <c r="A286" s="3" t="str">
        <f>IFERROR(__xludf.DUMMYFUNCTION("""COMPUTED_VALUE"""),"2022-09-14T00:00:00Z")</f>
        <v>2022-09-14T00:00:00Z</v>
      </c>
      <c r="B286" s="3">
        <f>IFERROR(__xludf.DUMMYFUNCTION("""COMPUTED_VALUE"""),1574.28213)</f>
        <v>1574.28213</v>
      </c>
      <c r="C286" s="3">
        <f>IFERROR(__xludf.DUMMYFUNCTION("""COMPUTED_VALUE"""),1.223570946865E8)</f>
        <v>122357094.7</v>
      </c>
      <c r="D286" s="3">
        <f>IFERROR(__xludf.DUMMYFUNCTION("""COMPUTED_VALUE"""),12697.25)</f>
        <v>12697.25</v>
      </c>
      <c r="E286" s="3">
        <f>IFERROR(__xludf.DUMMYFUNCTION("""COMPUTED_VALUE"""),1.9989053775142502E7)</f>
        <v>19989053.78</v>
      </c>
      <c r="F286" s="3" t="str">
        <f>IFERROR(__xludf.DUMMYFUNCTION("""COMPUTED_VALUE"""),"ETH")</f>
        <v>ETH</v>
      </c>
      <c r="G286" s="3"/>
    </row>
    <row r="287">
      <c r="A287" s="3" t="str">
        <f>IFERROR(__xludf.DUMMYFUNCTION("""COMPUTED_VALUE"""),"2022-09-15T00:00:00Z")</f>
        <v>2022-09-15T00:00:00Z</v>
      </c>
      <c r="B287" s="3">
        <f>IFERROR(__xludf.DUMMYFUNCTION("""COMPUTED_VALUE"""),1638.419504)</f>
        <v>1638.419504</v>
      </c>
      <c r="C287" s="3">
        <f>IFERROR(__xludf.DUMMYFUNCTION("""COMPUTED_VALUE"""),1.22369526374E8)</f>
        <v>122369526.4</v>
      </c>
      <c r="D287" s="3">
        <f>IFERROR(__xludf.DUMMYFUNCTION("""COMPUTED_VALUE"""),12431.6875)</f>
        <v>12431.6875</v>
      </c>
      <c r="E287" s="3">
        <f>IFERROR(__xludf.DUMMYFUNCTION("""COMPUTED_VALUE"""),2.0368319267633E7)</f>
        <v>20368319.27</v>
      </c>
      <c r="F287" s="3" t="str">
        <f>IFERROR(__xludf.DUMMYFUNCTION("""COMPUTED_VALUE"""),"ETH")</f>
        <v>ETH</v>
      </c>
      <c r="G287" s="3"/>
    </row>
    <row r="288">
      <c r="A288" s="3" t="str">
        <f>IFERROR(__xludf.DUMMYFUNCTION("""COMPUTED_VALUE"""),"2022-09-16T00:00:00Z")</f>
        <v>2022-09-16T00:00:00Z</v>
      </c>
      <c r="B288" s="3">
        <f>IFERROR(__xludf.DUMMYFUNCTION("""COMPUTED_VALUE"""),1472.746217)</f>
        <v>1472.746217</v>
      </c>
      <c r="C288" s="3">
        <f>IFERROR(__xludf.DUMMYFUNCTION("""COMPUTED_VALUE"""),1.22383023499E8)</f>
        <v>122383023.5</v>
      </c>
      <c r="D288" s="3">
        <f>IFERROR(__xludf.DUMMYFUNCTION("""COMPUTED_VALUE"""),13497.125)</f>
        <v>13497.125</v>
      </c>
      <c r="E288" s="3">
        <f>IFERROR(__xludf.DUMMYFUNCTION("""COMPUTED_VALUE"""),1.9877839784126125E7)</f>
        <v>19877839.78</v>
      </c>
      <c r="F288" s="3" t="str">
        <f>IFERROR(__xludf.DUMMYFUNCTION("""COMPUTED_VALUE"""),"ETH")</f>
        <v>ETH</v>
      </c>
      <c r="G288" s="3"/>
    </row>
    <row r="289">
      <c r="A289" s="3" t="str">
        <f>IFERROR(__xludf.DUMMYFUNCTION("""COMPUTED_VALUE"""),"2022-09-17T00:00:00Z")</f>
        <v>2022-09-17T00:00:00Z</v>
      </c>
      <c r="B289" s="3">
        <f>IFERROR(__xludf.DUMMYFUNCTION("""COMPUTED_VALUE"""),1433.809024)</f>
        <v>1433.809024</v>
      </c>
      <c r="C289" s="3">
        <f>IFERROR(__xludf.DUMMYFUNCTION("""COMPUTED_VALUE"""),1.22396005499E8)</f>
        <v>122396005.5</v>
      </c>
      <c r="D289" s="3">
        <f>IFERROR(__xludf.DUMMYFUNCTION("""COMPUTED_VALUE"""),12982.0)</f>
        <v>12982</v>
      </c>
      <c r="E289" s="3">
        <f>IFERROR(__xludf.DUMMYFUNCTION("""COMPUTED_VALUE"""),1.8613708749568E7)</f>
        <v>18613708.75</v>
      </c>
      <c r="F289" s="3" t="str">
        <f>IFERROR(__xludf.DUMMYFUNCTION("""COMPUTED_VALUE"""),"ETH")</f>
        <v>ETH</v>
      </c>
      <c r="G289" s="3"/>
    </row>
    <row r="290">
      <c r="A290" s="3" t="str">
        <f>IFERROR(__xludf.DUMMYFUNCTION("""COMPUTED_VALUE"""),"2022-09-18T00:00:00Z")</f>
        <v>2022-09-18T00:00:00Z</v>
      </c>
      <c r="B290" s="3">
        <f>IFERROR(__xludf.DUMMYFUNCTION("""COMPUTED_VALUE"""),1469.050335)</f>
        <v>1469.050335</v>
      </c>
      <c r="C290" s="3">
        <f>IFERROR(__xludf.DUMMYFUNCTION("""COMPUTED_VALUE"""),1.22411443499E8)</f>
        <v>122411443.5</v>
      </c>
      <c r="D290" s="3">
        <f>IFERROR(__xludf.DUMMYFUNCTION("""COMPUTED_VALUE"""),15438.0)</f>
        <v>15438</v>
      </c>
      <c r="E290" s="3">
        <f>IFERROR(__xludf.DUMMYFUNCTION("""COMPUTED_VALUE"""),2.267919907173E7)</f>
        <v>22679199.07</v>
      </c>
      <c r="F290" s="3" t="str">
        <f>IFERROR(__xludf.DUMMYFUNCTION("""COMPUTED_VALUE"""),"ETH")</f>
        <v>ETH</v>
      </c>
      <c r="G290" s="3"/>
    </row>
    <row r="291">
      <c r="A291" s="3" t="str">
        <f>IFERROR(__xludf.DUMMYFUNCTION("""COMPUTED_VALUE"""),"2022-09-19T00:00:00Z")</f>
        <v>2022-09-19T00:00:00Z</v>
      </c>
      <c r="B291" s="3">
        <f>IFERROR(__xludf.DUMMYFUNCTION("""COMPUTED_VALUE"""),1334.689932)</f>
        <v>1334.689932</v>
      </c>
      <c r="C291" s="3">
        <f>IFERROR(__xludf.DUMMYFUNCTION("""COMPUTED_VALUE"""),1.22425707499E8)</f>
        <v>122425707.5</v>
      </c>
      <c r="D291" s="3">
        <f>IFERROR(__xludf.DUMMYFUNCTION("""COMPUTED_VALUE"""),14264.0)</f>
        <v>14264</v>
      </c>
      <c r="E291" s="3">
        <f>IFERROR(__xludf.DUMMYFUNCTION("""COMPUTED_VALUE"""),1.9038017190048E7)</f>
        <v>19038017.19</v>
      </c>
      <c r="F291" s="3" t="str">
        <f>IFERROR(__xludf.DUMMYFUNCTION("""COMPUTED_VALUE"""),"ETH")</f>
        <v>ETH</v>
      </c>
      <c r="G291" s="3"/>
    </row>
    <row r="292">
      <c r="A292" s="3" t="str">
        <f>IFERROR(__xludf.DUMMYFUNCTION("""COMPUTED_VALUE"""),"2022-09-20T00:00:00Z")</f>
        <v>2022-09-20T00:00:00Z</v>
      </c>
      <c r="B292" s="3">
        <f>IFERROR(__xludf.DUMMYFUNCTION("""COMPUTED_VALUE"""),1376.130253)</f>
        <v>1376.130253</v>
      </c>
      <c r="C292" s="3">
        <f>IFERROR(__xludf.DUMMYFUNCTION("""COMPUTED_VALUE"""),1.22439953499E8)</f>
        <v>122439953.5</v>
      </c>
      <c r="D292" s="3">
        <f>IFERROR(__xludf.DUMMYFUNCTION("""COMPUTED_VALUE"""),14246.0)</f>
        <v>14246</v>
      </c>
      <c r="E292" s="3">
        <f>IFERROR(__xludf.DUMMYFUNCTION("""COMPUTED_VALUE"""),1.9604351584238E7)</f>
        <v>19604351.58</v>
      </c>
      <c r="F292" s="3" t="str">
        <f>IFERROR(__xludf.DUMMYFUNCTION("""COMPUTED_VALUE"""),"ETH")</f>
        <v>ETH</v>
      </c>
      <c r="G292" s="3"/>
    </row>
    <row r="293">
      <c r="A293" s="3" t="str">
        <f>IFERROR(__xludf.DUMMYFUNCTION("""COMPUTED_VALUE"""),"2022-09-21T00:00:00Z")</f>
        <v>2022-09-21T00:00:00Z</v>
      </c>
      <c r="B293" s="3">
        <f>IFERROR(__xludf.DUMMYFUNCTION("""COMPUTED_VALUE"""),1323.002436)</f>
        <v>1323.002436</v>
      </c>
      <c r="C293" s="3">
        <f>IFERROR(__xludf.DUMMYFUNCTION("""COMPUTED_VALUE"""),1.22454231499E8)</f>
        <v>122454231.5</v>
      </c>
      <c r="D293" s="3">
        <f>IFERROR(__xludf.DUMMYFUNCTION("""COMPUTED_VALUE"""),14278.0)</f>
        <v>14278</v>
      </c>
      <c r="E293" s="3">
        <f>IFERROR(__xludf.DUMMYFUNCTION("""COMPUTED_VALUE"""),1.8889828781208E7)</f>
        <v>18889828.78</v>
      </c>
      <c r="F293" s="3" t="str">
        <f>IFERROR(__xludf.DUMMYFUNCTION("""COMPUTED_VALUE"""),"ETH")</f>
        <v>ETH</v>
      </c>
      <c r="G293" s="3"/>
    </row>
    <row r="294">
      <c r="A294" s="3" t="str">
        <f>IFERROR(__xludf.DUMMYFUNCTION("""COMPUTED_VALUE"""),"2022-09-22T00:00:00Z")</f>
        <v>2022-09-22T00:00:00Z</v>
      </c>
      <c r="B294" s="3">
        <f>IFERROR(__xludf.DUMMYFUNCTION("""COMPUTED_VALUE"""),1245.737138)</f>
        <v>1245.737138</v>
      </c>
      <c r="C294" s="3">
        <f>IFERROR(__xludf.DUMMYFUNCTION("""COMPUTED_VALUE"""),1.22468337499E8)</f>
        <v>122468337.5</v>
      </c>
      <c r="D294" s="3">
        <f>IFERROR(__xludf.DUMMYFUNCTION("""COMPUTED_VALUE"""),14106.0)</f>
        <v>14106</v>
      </c>
      <c r="E294" s="3">
        <f>IFERROR(__xludf.DUMMYFUNCTION("""COMPUTED_VALUE"""),1.7572368068628E7)</f>
        <v>17572368.07</v>
      </c>
      <c r="F294" s="3" t="str">
        <f>IFERROR(__xludf.DUMMYFUNCTION("""COMPUTED_VALUE"""),"ETH")</f>
        <v>ETH</v>
      </c>
      <c r="G294" s="3"/>
    </row>
    <row r="295">
      <c r="A295" s="3" t="str">
        <f>IFERROR(__xludf.DUMMYFUNCTION("""COMPUTED_VALUE"""),"2022-09-23T00:00:00Z")</f>
        <v>2022-09-23T00:00:00Z</v>
      </c>
      <c r="B295" s="3">
        <f>IFERROR(__xludf.DUMMYFUNCTION("""COMPUTED_VALUE"""),1326.442765)</f>
        <v>1326.442765</v>
      </c>
      <c r="C295" s="3">
        <f>IFERROR(__xludf.DUMMYFUNCTION("""COMPUTED_VALUE"""),1.22482635499E8)</f>
        <v>122482635.5</v>
      </c>
      <c r="D295" s="3">
        <f>IFERROR(__xludf.DUMMYFUNCTION("""COMPUTED_VALUE"""),14298.0)</f>
        <v>14298</v>
      </c>
      <c r="E295" s="3">
        <f>IFERROR(__xludf.DUMMYFUNCTION("""COMPUTED_VALUE"""),1.896547865397E7)</f>
        <v>18965478.65</v>
      </c>
      <c r="F295" s="3" t="str">
        <f>IFERROR(__xludf.DUMMYFUNCTION("""COMPUTED_VALUE"""),"ETH")</f>
        <v>ETH</v>
      </c>
      <c r="G295" s="3"/>
    </row>
    <row r="296">
      <c r="A296" s="3" t="str">
        <f>IFERROR(__xludf.DUMMYFUNCTION("""COMPUTED_VALUE"""),"2022-09-24T00:00:00Z")</f>
        <v>2022-09-24T00:00:00Z</v>
      </c>
      <c r="B296" s="3">
        <f>IFERROR(__xludf.DUMMYFUNCTION("""COMPUTED_VALUE"""),1327.327508)</f>
        <v>1327.327508</v>
      </c>
      <c r="C296" s="3">
        <f>IFERROR(__xludf.DUMMYFUNCTION("""COMPUTED_VALUE"""),1.22496965499E8)</f>
        <v>122496965.5</v>
      </c>
      <c r="D296" s="3">
        <f>IFERROR(__xludf.DUMMYFUNCTION("""COMPUTED_VALUE"""),14330.0)</f>
        <v>14330</v>
      </c>
      <c r="E296" s="3">
        <f>IFERROR(__xludf.DUMMYFUNCTION("""COMPUTED_VALUE"""),1.902060318964E7)</f>
        <v>19020603.19</v>
      </c>
      <c r="F296" s="3" t="str">
        <f>IFERROR(__xludf.DUMMYFUNCTION("""COMPUTED_VALUE"""),"ETH")</f>
        <v>ETH</v>
      </c>
      <c r="G296" s="3"/>
    </row>
    <row r="297">
      <c r="A297" s="3" t="str">
        <f>IFERROR(__xludf.DUMMYFUNCTION("""COMPUTED_VALUE"""),"2022-09-25T00:00:00Z")</f>
        <v>2022-09-25T00:00:00Z</v>
      </c>
      <c r="B297" s="3">
        <f>IFERROR(__xludf.DUMMYFUNCTION("""COMPUTED_VALUE"""),1317.342898)</f>
        <v>1317.342898</v>
      </c>
      <c r="C297" s="3">
        <f>IFERROR(__xludf.DUMMYFUNCTION("""COMPUTED_VALUE"""),1.22511307499E8)</f>
        <v>122511307.5</v>
      </c>
      <c r="D297" s="3">
        <f>IFERROR(__xludf.DUMMYFUNCTION("""COMPUTED_VALUE"""),14342.0)</f>
        <v>14342</v>
      </c>
      <c r="E297" s="3">
        <f>IFERROR(__xludf.DUMMYFUNCTION("""COMPUTED_VALUE"""),1.8893331843116E7)</f>
        <v>18893331.84</v>
      </c>
      <c r="F297" s="3" t="str">
        <f>IFERROR(__xludf.DUMMYFUNCTION("""COMPUTED_VALUE"""),"ETH")</f>
        <v>ETH</v>
      </c>
      <c r="G297" s="3"/>
    </row>
    <row r="298">
      <c r="A298" s="3" t="str">
        <f>IFERROR(__xludf.DUMMYFUNCTION("""COMPUTED_VALUE"""),"2022-05-01T00:00:00Z")</f>
        <v>2022-05-01T00:00:00Z</v>
      </c>
      <c r="B298" s="3">
        <f>IFERROR(__xludf.DUMMYFUNCTION("""COMPUTED_VALUE"""),84.637333)</f>
        <v>84.637333</v>
      </c>
      <c r="C298" s="3">
        <f>IFERROR(__xludf.DUMMYFUNCTION("""COMPUTED_VALUE"""),3.34402950832301E8)</f>
        <v>334402950.8</v>
      </c>
      <c r="D298" s="3">
        <f>IFERROR(__xludf.DUMMYFUNCTION("""COMPUTED_VALUE"""),0.0)</f>
        <v>0</v>
      </c>
      <c r="E298" s="3">
        <f>IFERROR(__xludf.DUMMYFUNCTION("""COMPUTED_VALUE"""),0.0)</f>
        <v>0</v>
      </c>
      <c r="F298" s="3" t="str">
        <f>IFERROR(__xludf.DUMMYFUNCTION("""COMPUTED_VALUE"""),"SOL")</f>
        <v>SOL</v>
      </c>
      <c r="G298" s="3"/>
    </row>
    <row r="299">
      <c r="A299" s="3" t="str">
        <f>IFERROR(__xludf.DUMMYFUNCTION("""COMPUTED_VALUE"""),"2022-05-02T00:00:00Z")</f>
        <v>2022-05-02T00:00:00Z</v>
      </c>
      <c r="B299" s="3">
        <f>IFERROR(__xludf.DUMMYFUNCTION("""COMPUTED_VALUE"""),89.685037)</f>
        <v>89.685037</v>
      </c>
      <c r="C299" s="3">
        <f>IFERROR(__xludf.DUMMYFUNCTION("""COMPUTED_VALUE"""),3.34217568911091E8)</f>
        <v>334217568.9</v>
      </c>
      <c r="D299" s="3">
        <f>IFERROR(__xludf.DUMMYFUNCTION("""COMPUTED_VALUE"""),-185381.92120999098)</f>
        <v>-185381.9212</v>
      </c>
      <c r="E299" s="3">
        <f>IFERROR(__xludf.DUMMYFUNCTION("""COMPUTED_VALUE"""),-1.6625984462849125E7)</f>
        <v>-16625984.46</v>
      </c>
      <c r="F299" s="3" t="str">
        <f>IFERROR(__xludf.DUMMYFUNCTION("""COMPUTED_VALUE"""),"SOL")</f>
        <v>SOL</v>
      </c>
      <c r="G299" s="3"/>
    </row>
    <row r="300">
      <c r="A300" s="3" t="str">
        <f>IFERROR(__xludf.DUMMYFUNCTION("""COMPUTED_VALUE"""),"2022-05-03T00:00:00Z")</f>
        <v>2022-05-03T00:00:00Z</v>
      </c>
      <c r="B300" s="3">
        <f>IFERROR(__xludf.DUMMYFUNCTION("""COMPUTED_VALUE"""),87.481517)</f>
        <v>87.481517</v>
      </c>
      <c r="C300" s="3">
        <f>IFERROR(__xludf.DUMMYFUNCTION("""COMPUTED_VALUE"""),3.34216954880957E8)</f>
        <v>334216954.9</v>
      </c>
      <c r="D300" s="3">
        <f>IFERROR(__xludf.DUMMYFUNCTION("""COMPUTED_VALUE"""),-614.0301340222359)</f>
        <v>-614.030134</v>
      </c>
      <c r="E300" s="3">
        <f>IFERROR(__xludf.DUMMYFUNCTION("""COMPUTED_VALUE"""),-53716.287607978506)</f>
        <v>-53716.28761</v>
      </c>
      <c r="F300" s="3" t="str">
        <f>IFERROR(__xludf.DUMMYFUNCTION("""COMPUTED_VALUE"""),"SOL")</f>
        <v>SOL</v>
      </c>
      <c r="G300" s="3"/>
    </row>
    <row r="301">
      <c r="A301" s="3" t="str">
        <f>IFERROR(__xludf.DUMMYFUNCTION("""COMPUTED_VALUE"""),"2022-05-04T00:00:00Z")</f>
        <v>2022-05-04T00:00:00Z</v>
      </c>
      <c r="B301" s="3">
        <f>IFERROR(__xludf.DUMMYFUNCTION("""COMPUTED_VALUE"""),85.847885)</f>
        <v>85.847885</v>
      </c>
      <c r="C301" s="3">
        <f>IFERROR(__xludf.DUMMYFUNCTION("""COMPUTED_VALUE"""),3.34216322704552E8)</f>
        <v>334216322.7</v>
      </c>
      <c r="D301" s="3">
        <f>IFERROR(__xludf.DUMMYFUNCTION("""COMPUTED_VALUE"""),-632.1764050126076)</f>
        <v>-632.176405</v>
      </c>
      <c r="E301" s="3">
        <f>IFERROR(__xludf.DUMMYFUNCTION("""COMPUTED_VALUE"""),-54271.00731723576)</f>
        <v>-54271.00732</v>
      </c>
      <c r="F301" s="3" t="str">
        <f>IFERROR(__xludf.DUMMYFUNCTION("""COMPUTED_VALUE"""),"SOL")</f>
        <v>SOL</v>
      </c>
      <c r="G301" s="3"/>
    </row>
    <row r="302">
      <c r="A302" s="3" t="str">
        <f>IFERROR(__xludf.DUMMYFUNCTION("""COMPUTED_VALUE"""),"2022-05-05T00:00:00Z")</f>
        <v>2022-05-05T00:00:00Z</v>
      </c>
      <c r="B302" s="3">
        <f>IFERROR(__xludf.DUMMYFUNCTION("""COMPUTED_VALUE"""),92.762378)</f>
        <v>92.762378</v>
      </c>
      <c r="C302" s="3">
        <f>IFERROR(__xludf.DUMMYFUNCTION("""COMPUTED_VALUE"""),3.34349395044966E8)</f>
        <v>334349395</v>
      </c>
      <c r="D302" s="3">
        <f>IFERROR(__xludf.DUMMYFUNCTION("""COMPUTED_VALUE"""),133072.34041398764)</f>
        <v>133072.3404</v>
      </c>
      <c r="E302" s="3">
        <f>IFERROR(__xludf.DUMMYFUNCTION("""COMPUTED_VALUE"""),1.2344106742826998E7)</f>
        <v>12344106.74</v>
      </c>
      <c r="F302" s="3" t="str">
        <f>IFERROR(__xludf.DUMMYFUNCTION("""COMPUTED_VALUE"""),"SOL")</f>
        <v>SOL</v>
      </c>
      <c r="G302" s="3"/>
    </row>
    <row r="303">
      <c r="A303" s="3" t="str">
        <f>IFERROR(__xludf.DUMMYFUNCTION("""COMPUTED_VALUE"""),"2022-05-06T00:00:00Z")</f>
        <v>2022-05-06T00:00:00Z</v>
      </c>
      <c r="B303" s="3">
        <f>IFERROR(__xludf.DUMMYFUNCTION("""COMPUTED_VALUE"""),84.503459)</f>
        <v>84.503459</v>
      </c>
      <c r="C303" s="3">
        <f>IFERROR(__xludf.DUMMYFUNCTION("""COMPUTED_VALUE"""),3.34692901090017E8)</f>
        <v>334692901.1</v>
      </c>
      <c r="D303" s="3">
        <f>IFERROR(__xludf.DUMMYFUNCTION("""COMPUTED_VALUE"""),343506.04505103827)</f>
        <v>343506.0451</v>
      </c>
      <c r="E303" s="3">
        <f>IFERROR(__xludf.DUMMYFUNCTION("""COMPUTED_VALUE"""),2.9027448994222566E7)</f>
        <v>29027448.99</v>
      </c>
      <c r="F303" s="3" t="str">
        <f>IFERROR(__xludf.DUMMYFUNCTION("""COMPUTED_VALUE"""),"SOL")</f>
        <v>SOL</v>
      </c>
      <c r="G303" s="3"/>
    </row>
    <row r="304">
      <c r="A304" s="3" t="str">
        <f>IFERROR(__xludf.DUMMYFUNCTION("""COMPUTED_VALUE"""),"2022-05-07T00:00:00Z")</f>
        <v>2022-05-07T00:00:00Z</v>
      </c>
      <c r="B304" s="3">
        <f>IFERROR(__xludf.DUMMYFUNCTION("""COMPUTED_VALUE"""),81.645169)</f>
        <v>81.645169</v>
      </c>
      <c r="C304" s="3">
        <f>IFERROR(__xludf.DUMMYFUNCTION("""COMPUTED_VALUE"""),3.35187502413829E8)</f>
        <v>335187502.4</v>
      </c>
      <c r="D304" s="3">
        <f>IFERROR(__xludf.DUMMYFUNCTION("""COMPUTED_VALUE"""),494601.3238120079)</f>
        <v>494601.3238</v>
      </c>
      <c r="E304" s="3">
        <f>IFERROR(__xludf.DUMMYFUNCTION("""COMPUTED_VALUE"""),4.038180867025511E7)</f>
        <v>40381808.67</v>
      </c>
      <c r="F304" s="3" t="str">
        <f>IFERROR(__xludf.DUMMYFUNCTION("""COMPUTED_VALUE"""),"SOL")</f>
        <v>SOL</v>
      </c>
      <c r="G304" s="3"/>
    </row>
    <row r="305">
      <c r="A305" s="3" t="str">
        <f>IFERROR(__xludf.DUMMYFUNCTION("""COMPUTED_VALUE"""),"2022-05-08T00:00:00Z")</f>
        <v>2022-05-08T00:00:00Z</v>
      </c>
      <c r="B305" s="3">
        <f>IFERROR(__xludf.DUMMYFUNCTION("""COMPUTED_VALUE"""),78.846263)</f>
        <v>78.846263</v>
      </c>
      <c r="C305" s="3">
        <f>IFERROR(__xludf.DUMMYFUNCTION("""COMPUTED_VALUE"""),3.3532070372447E8)</f>
        <v>335320703.7</v>
      </c>
      <c r="D305" s="3">
        <f>IFERROR(__xludf.DUMMYFUNCTION("""COMPUTED_VALUE"""),133201.31064099073)</f>
        <v>133201.3106</v>
      </c>
      <c r="E305" s="3">
        <f>IFERROR(__xludf.DUMMYFUNCTION("""COMPUTED_VALUE"""),1.0502425570744254E7)</f>
        <v>10502425.57</v>
      </c>
      <c r="F305" s="3" t="str">
        <f>IFERROR(__xludf.DUMMYFUNCTION("""COMPUTED_VALUE"""),"SOL")</f>
        <v>SOL</v>
      </c>
      <c r="G305" s="3"/>
    </row>
    <row r="306">
      <c r="A306" s="3" t="str">
        <f>IFERROR(__xludf.DUMMYFUNCTION("""COMPUTED_VALUE"""),"2022-05-09T00:00:00Z")</f>
        <v>2022-05-09T00:00:00Z</v>
      </c>
      <c r="B306" s="3">
        <f>IFERROR(__xludf.DUMMYFUNCTION("""COMPUTED_VALUE"""),75.369953)</f>
        <v>75.369953</v>
      </c>
      <c r="C306" s="3">
        <f>IFERROR(__xludf.DUMMYFUNCTION("""COMPUTED_VALUE"""),3.3662252721018E8)</f>
        <v>336622527.2</v>
      </c>
      <c r="D306" s="3">
        <f>IFERROR(__xludf.DUMMYFUNCTION("""COMPUTED_VALUE"""),1301823.4857099652)</f>
        <v>1301823.486</v>
      </c>
      <c r="E306" s="3">
        <f>IFERROR(__xludf.DUMMYFUNCTION("""COMPUTED_VALUE"""),9.811837493225625E7)</f>
        <v>98118374.93</v>
      </c>
      <c r="F306" s="3" t="str">
        <f>IFERROR(__xludf.DUMMYFUNCTION("""COMPUTED_VALUE"""),"SOL")</f>
        <v>SOL</v>
      </c>
      <c r="G306" s="3"/>
    </row>
    <row r="307">
      <c r="A307" s="3" t="str">
        <f>IFERROR(__xludf.DUMMYFUNCTION("""COMPUTED_VALUE"""),"2022-05-10T00:00:00Z")</f>
        <v>2022-05-10T00:00:00Z</v>
      </c>
      <c r="B307" s="3">
        <f>IFERROR(__xludf.DUMMYFUNCTION("""COMPUTED_VALUE"""),62.139162)</f>
        <v>62.139162</v>
      </c>
      <c r="C307" s="3">
        <f>IFERROR(__xludf.DUMMYFUNCTION("""COMPUTED_VALUE"""),3.36624435979203E8)</f>
        <v>336624436</v>
      </c>
      <c r="D307" s="3">
        <f>IFERROR(__xludf.DUMMYFUNCTION("""COMPUTED_VALUE"""),1908.769023001194)</f>
        <v>1908.769023</v>
      </c>
      <c r="E307" s="3">
        <f>IFERROR(__xludf.DUMMYFUNCTION("""COMPUTED_VALUE"""),118609.30754085291)</f>
        <v>118609.3075</v>
      </c>
      <c r="F307" s="3" t="str">
        <f>IFERROR(__xludf.DUMMYFUNCTION("""COMPUTED_VALUE"""),"SOL")</f>
        <v>SOL</v>
      </c>
      <c r="G307" s="3"/>
    </row>
    <row r="308">
      <c r="A308" s="3" t="str">
        <f>IFERROR(__xludf.DUMMYFUNCTION("""COMPUTED_VALUE"""),"2022-05-11T00:00:00Z")</f>
        <v>2022-05-11T00:00:00Z</v>
      </c>
      <c r="B308" s="3">
        <f>IFERROR(__xludf.DUMMYFUNCTION("""COMPUTED_VALUE"""),66.859951)</f>
        <v>66.859951</v>
      </c>
      <c r="C308" s="3">
        <f>IFERROR(__xludf.DUMMYFUNCTION("""COMPUTED_VALUE"""),3.36790329791671E8)</f>
        <v>336790329.8</v>
      </c>
      <c r="D308" s="3">
        <f>IFERROR(__xludf.DUMMYFUNCTION("""COMPUTED_VALUE"""),165893.8124679923)</f>
        <v>165893.8125</v>
      </c>
      <c r="E308" s="3">
        <f>IFERROR(__xludf.DUMMYFUNCTION("""COMPUTED_VALUE"""),1.1091652172813155E7)</f>
        <v>11091652.17</v>
      </c>
      <c r="F308" s="3" t="str">
        <f>IFERROR(__xludf.DUMMYFUNCTION("""COMPUTED_VALUE"""),"SOL")</f>
        <v>SOL</v>
      </c>
      <c r="G308" s="3"/>
    </row>
    <row r="309">
      <c r="A309" s="3" t="str">
        <f>IFERROR(__xludf.DUMMYFUNCTION("""COMPUTED_VALUE"""),"2022-05-12T00:00:00Z")</f>
        <v>2022-05-12T00:00:00Z</v>
      </c>
      <c r="B309" s="3">
        <f>IFERROR(__xludf.DUMMYFUNCTION("""COMPUTED_VALUE"""),50.713735)</f>
        <v>50.713735</v>
      </c>
      <c r="C309" s="3">
        <f>IFERROR(__xludf.DUMMYFUNCTION("""COMPUTED_VALUE"""),3.36923515205963E8)</f>
        <v>336923515.2</v>
      </c>
      <c r="D309" s="3">
        <f>IFERROR(__xludf.DUMMYFUNCTION("""COMPUTED_VALUE"""),133185.4142920375)</f>
        <v>133185.4143</v>
      </c>
      <c r="E309" s="3">
        <f>IFERROR(__xludf.DUMMYFUNCTION("""COMPUTED_VALUE"""),6754329.8062716015)</f>
        <v>6754329.806</v>
      </c>
      <c r="F309" s="3" t="str">
        <f>IFERROR(__xludf.DUMMYFUNCTION("""COMPUTED_VALUE"""),"SOL")</f>
        <v>SOL</v>
      </c>
      <c r="G309" s="3"/>
    </row>
    <row r="310">
      <c r="A310" s="3" t="str">
        <f>IFERROR(__xludf.DUMMYFUNCTION("""COMPUTED_VALUE"""),"2022-05-13T00:00:00Z")</f>
        <v>2022-05-13T00:00:00Z</v>
      </c>
      <c r="B310" s="3">
        <f>IFERROR(__xludf.DUMMYFUNCTION("""COMPUTED_VALUE"""),44.540271)</f>
        <v>44.540271</v>
      </c>
      <c r="C310" s="3">
        <f>IFERROR(__xludf.DUMMYFUNCTION("""COMPUTED_VALUE"""),3.37322385199212E8)</f>
        <v>337322385.2</v>
      </c>
      <c r="D310" s="3">
        <f>IFERROR(__xludf.DUMMYFUNCTION("""COMPUTED_VALUE"""),398869.9932489991)</f>
        <v>398869.9932</v>
      </c>
      <c r="E310" s="3">
        <f>IFERROR(__xludf.DUMMYFUNCTION("""COMPUTED_VALUE"""),1.776577759307859E7)</f>
        <v>17765777.59</v>
      </c>
      <c r="F310" s="3" t="str">
        <f>IFERROR(__xludf.DUMMYFUNCTION("""COMPUTED_VALUE"""),"SOL")</f>
        <v>SOL</v>
      </c>
      <c r="G310" s="3"/>
    </row>
    <row r="311">
      <c r="A311" s="3" t="str">
        <f>IFERROR(__xludf.DUMMYFUNCTION("""COMPUTED_VALUE"""),"2022-05-14T00:00:00Z")</f>
        <v>2022-05-14T00:00:00Z</v>
      </c>
      <c r="B311" s="3">
        <f>IFERROR(__xludf.DUMMYFUNCTION("""COMPUTED_VALUE"""),48.873913)</f>
        <v>48.873913</v>
      </c>
      <c r="C311" s="3">
        <f>IFERROR(__xludf.DUMMYFUNCTION("""COMPUTED_VALUE"""),3.37321867830181E8)</f>
        <v>337321867.8</v>
      </c>
      <c r="D311" s="3">
        <f>IFERROR(__xludf.DUMMYFUNCTION("""COMPUTED_VALUE"""),-517.3690310120583)</f>
        <v>-517.369031</v>
      </c>
      <c r="E311" s="3">
        <f>IFERROR(__xludf.DUMMYFUNCTION("""COMPUTED_VALUE"""),-25285.849010577636)</f>
        <v>-25285.84901</v>
      </c>
      <c r="F311" s="3" t="str">
        <f>IFERROR(__xludf.DUMMYFUNCTION("""COMPUTED_VALUE"""),"SOL")</f>
        <v>SOL</v>
      </c>
      <c r="G311" s="3"/>
    </row>
    <row r="312">
      <c r="A312" s="3" t="str">
        <f>IFERROR(__xludf.DUMMYFUNCTION("""COMPUTED_VALUE"""),"2022-05-15T00:00:00Z")</f>
        <v>2022-05-15T00:00:00Z</v>
      </c>
      <c r="B312" s="3">
        <f>IFERROR(__xludf.DUMMYFUNCTION("""COMPUTED_VALUE"""),52.378337)</f>
        <v>52.378337</v>
      </c>
      <c r="C312" s="3">
        <f>IFERROR(__xludf.DUMMYFUNCTION("""COMPUTED_VALUE"""),3.37461534198941E8)</f>
        <v>337461534.2</v>
      </c>
      <c r="D312" s="3">
        <f>IFERROR(__xludf.DUMMYFUNCTION("""COMPUTED_VALUE"""),139666.36875998974)</f>
        <v>139666.3688</v>
      </c>
      <c r="E312" s="3">
        <f>IFERROR(__xludf.DUMMYFUNCTION("""COMPUTED_VALUE"""),7315492.130477015)</f>
        <v>7315492.13</v>
      </c>
      <c r="F312" s="3" t="str">
        <f>IFERROR(__xludf.DUMMYFUNCTION("""COMPUTED_VALUE"""),"SOL")</f>
        <v>SOL</v>
      </c>
      <c r="G312" s="3"/>
    </row>
    <row r="313">
      <c r="A313" s="3" t="str">
        <f>IFERROR(__xludf.DUMMYFUNCTION("""COMPUTED_VALUE"""),"2022-05-16T00:00:00Z")</f>
        <v>2022-05-16T00:00:00Z</v>
      </c>
      <c r="B313" s="3">
        <f>IFERROR(__xludf.DUMMYFUNCTION("""COMPUTED_VALUE"""),58.748797)</f>
        <v>58.748797</v>
      </c>
      <c r="C313" s="3">
        <f>IFERROR(__xludf.DUMMYFUNCTION("""COMPUTED_VALUE"""),3.37138695885813E8)</f>
        <v>337138695.9</v>
      </c>
      <c r="D313" s="3">
        <f>IFERROR(__xludf.DUMMYFUNCTION("""COMPUTED_VALUE"""),-322838.31312799454)</f>
        <v>-322838.3131</v>
      </c>
      <c r="E313" s="3">
        <f>IFERROR(__xludf.DUMMYFUNCTION("""COMPUTED_VALUE"""),-1.8966362521778986E7)</f>
        <v>-18966362.52</v>
      </c>
      <c r="F313" s="3" t="str">
        <f>IFERROR(__xludf.DUMMYFUNCTION("""COMPUTED_VALUE"""),"SOL")</f>
        <v>SOL</v>
      </c>
      <c r="G313" s="3"/>
    </row>
    <row r="314">
      <c r="A314" s="3" t="str">
        <f>IFERROR(__xludf.DUMMYFUNCTION("""COMPUTED_VALUE"""),"2022-05-17T00:00:00Z")</f>
        <v>2022-05-17T00:00:00Z</v>
      </c>
      <c r="B314" s="3">
        <f>IFERROR(__xludf.DUMMYFUNCTION("""COMPUTED_VALUE"""),53.755147)</f>
        <v>53.755147</v>
      </c>
      <c r="C314" s="3">
        <f>IFERROR(__xludf.DUMMYFUNCTION("""COMPUTED_VALUE"""),3.373560188054E8)</f>
        <v>337356018.8</v>
      </c>
      <c r="D314" s="3">
        <f>IFERROR(__xludf.DUMMYFUNCTION("""COMPUTED_VALUE"""),217322.9195870161)</f>
        <v>217322.9196</v>
      </c>
      <c r="E314" s="3">
        <f>IFERROR(__xludf.DUMMYFUNCTION("""COMPUTED_VALUE"""),1.168222548886923E7)</f>
        <v>11682225.49</v>
      </c>
      <c r="F314" s="3" t="str">
        <f>IFERROR(__xludf.DUMMYFUNCTION("""COMPUTED_VALUE"""),"SOL")</f>
        <v>SOL</v>
      </c>
      <c r="G314" s="3"/>
    </row>
    <row r="315">
      <c r="A315" s="3" t="str">
        <f>IFERROR(__xludf.DUMMYFUNCTION("""COMPUTED_VALUE"""),"2022-05-18T00:00:00Z")</f>
        <v>2022-05-18T00:00:00Z</v>
      </c>
      <c r="B315" s="3">
        <f>IFERROR(__xludf.DUMMYFUNCTION("""COMPUTED_VALUE"""),56.951284)</f>
        <v>56.951284</v>
      </c>
      <c r="C315" s="3">
        <f>IFERROR(__xludf.DUMMYFUNCTION("""COMPUTED_VALUE"""),3.37355559704819E8)</f>
        <v>337355559.7</v>
      </c>
      <c r="D315" s="3">
        <f>IFERROR(__xludf.DUMMYFUNCTION("""COMPUTED_VALUE"""),-459.1005809903145)</f>
        <v>-459.100581</v>
      </c>
      <c r="E315" s="3">
        <f>IFERROR(__xludf.DUMMYFUNCTION("""COMPUTED_VALUE"""),-26146.3675725444)</f>
        <v>-26146.36757</v>
      </c>
      <c r="F315" s="3" t="str">
        <f>IFERROR(__xludf.DUMMYFUNCTION("""COMPUTED_VALUE"""),"SOL")</f>
        <v>SOL</v>
      </c>
      <c r="G315" s="3"/>
    </row>
    <row r="316">
      <c r="A316" s="3" t="str">
        <f>IFERROR(__xludf.DUMMYFUNCTION("""COMPUTED_VALUE"""),"2022-05-19T00:00:00Z")</f>
        <v>2022-05-19T00:00:00Z</v>
      </c>
      <c r="B316" s="3">
        <f>IFERROR(__xludf.DUMMYFUNCTION("""COMPUTED_VALUE"""),49.873637)</f>
        <v>49.873637</v>
      </c>
      <c r="C316" s="3">
        <f>IFERROR(__xludf.DUMMYFUNCTION("""COMPUTED_VALUE"""),3.39137479377852E8)</f>
        <v>339137479.4</v>
      </c>
      <c r="D316" s="3">
        <f>IFERROR(__xludf.DUMMYFUNCTION("""COMPUTED_VALUE"""),1781919.673032999)</f>
        <v>1781919.673</v>
      </c>
      <c r="E316" s="3">
        <f>IFERROR(__xludf.DUMMYFUNCTION("""COMPUTED_VALUE"""),8.887081493600649E7)</f>
        <v>88870814.94</v>
      </c>
      <c r="F316" s="3" t="str">
        <f>IFERROR(__xludf.DUMMYFUNCTION("""COMPUTED_VALUE"""),"SOL")</f>
        <v>SOL</v>
      </c>
      <c r="G316" s="3"/>
    </row>
    <row r="317">
      <c r="A317" s="3" t="str">
        <f>IFERROR(__xludf.DUMMYFUNCTION("""COMPUTED_VALUE"""),"2022-05-20T00:00:00Z")</f>
        <v>2022-05-20T00:00:00Z</v>
      </c>
      <c r="B317" s="3">
        <f>IFERROR(__xludf.DUMMYFUNCTION("""COMPUTED_VALUE"""),52.125185)</f>
        <v>52.125185</v>
      </c>
      <c r="C317" s="3">
        <f>IFERROR(__xludf.DUMMYFUNCTION("""COMPUTED_VALUE"""),3.39137093231842E8)</f>
        <v>339137093.2</v>
      </c>
      <c r="D317" s="3">
        <f>IFERROR(__xludf.DUMMYFUNCTION("""COMPUTED_VALUE"""),-386.1460100412369)</f>
        <v>-386.14601</v>
      </c>
      <c r="E317" s="3">
        <f>IFERROR(__xludf.DUMMYFUNCTION("""COMPUTED_VALUE"""),-20127.93221041133)</f>
        <v>-20127.93221</v>
      </c>
      <c r="F317" s="3" t="str">
        <f>IFERROR(__xludf.DUMMYFUNCTION("""COMPUTED_VALUE"""),"SOL")</f>
        <v>SOL</v>
      </c>
      <c r="G317" s="3"/>
    </row>
    <row r="318">
      <c r="A318" s="3" t="str">
        <f>IFERROR(__xludf.DUMMYFUNCTION("""COMPUTED_VALUE"""),"2022-05-21T00:00:00Z")</f>
        <v>2022-05-21T00:00:00Z</v>
      </c>
      <c r="B318" s="3">
        <f>IFERROR(__xludf.DUMMYFUNCTION("""COMPUTED_VALUE"""),49.368749)</f>
        <v>49.368749</v>
      </c>
      <c r="C318" s="3">
        <f>IFERROR(__xludf.DUMMYFUNCTION("""COMPUTED_VALUE"""),3.39136570131434E8)</f>
        <v>339136570.1</v>
      </c>
      <c r="D318" s="3">
        <f>IFERROR(__xludf.DUMMYFUNCTION("""COMPUTED_VALUE"""),-523.1004079580307)</f>
        <v>-523.100408</v>
      </c>
      <c r="E318" s="3">
        <f>IFERROR(__xludf.DUMMYFUNCTION("""COMPUTED_VALUE"""),-25824.81274227762)</f>
        <v>-25824.81274</v>
      </c>
      <c r="F318" s="3" t="str">
        <f>IFERROR(__xludf.DUMMYFUNCTION("""COMPUTED_VALUE"""),"SOL")</f>
        <v>SOL</v>
      </c>
      <c r="G318" s="3"/>
    </row>
    <row r="319">
      <c r="A319" s="3" t="str">
        <f>IFERROR(__xludf.DUMMYFUNCTION("""COMPUTED_VALUE"""),"2022-05-22T00:00:00Z")</f>
        <v>2022-05-22T00:00:00Z</v>
      </c>
      <c r="B319" s="3">
        <f>IFERROR(__xludf.DUMMYFUNCTION("""COMPUTED_VALUE"""),50.241556)</f>
        <v>50.241556</v>
      </c>
      <c r="C319" s="3">
        <f>IFERROR(__xludf.DUMMYFUNCTION("""COMPUTED_VALUE"""),3.39268583956003E8)</f>
        <v>339268584</v>
      </c>
      <c r="D319" s="3">
        <f>IFERROR(__xludf.DUMMYFUNCTION("""COMPUTED_VALUE"""),132013.8245689869)</f>
        <v>132013.8246</v>
      </c>
      <c r="E319" s="3">
        <f>IFERROR(__xludf.DUMMYFUNCTION("""COMPUTED_VALUE"""),6632579.959856931)</f>
        <v>6632579.96</v>
      </c>
      <c r="F319" s="3" t="str">
        <f>IFERROR(__xludf.DUMMYFUNCTION("""COMPUTED_VALUE"""),"SOL")</f>
        <v>SOL</v>
      </c>
      <c r="G319" s="3"/>
    </row>
    <row r="320">
      <c r="A320" s="3" t="str">
        <f>IFERROR(__xludf.DUMMYFUNCTION("""COMPUTED_VALUE"""),"2022-05-23T00:00:00Z")</f>
        <v>2022-05-23T00:00:00Z</v>
      </c>
      <c r="B320" s="3">
        <f>IFERROR(__xludf.DUMMYFUNCTION("""COMPUTED_VALUE"""),52.407203)</f>
        <v>52.407203</v>
      </c>
      <c r="C320" s="3">
        <f>IFERROR(__xludf.DUMMYFUNCTION("""COMPUTED_VALUE"""),3.3926810843665E8)</f>
        <v>339268108.4</v>
      </c>
      <c r="D320" s="3">
        <f>IFERROR(__xludf.DUMMYFUNCTION("""COMPUTED_VALUE"""),-475.5193530321121)</f>
        <v>-475.519353</v>
      </c>
      <c r="E320" s="3">
        <f>IFERROR(__xludf.DUMMYFUNCTION("""COMPUTED_VALUE"""),-24920.639264782567)</f>
        <v>-24920.63926</v>
      </c>
      <c r="F320" s="3" t="str">
        <f>IFERROR(__xludf.DUMMYFUNCTION("""COMPUTED_VALUE"""),"SOL")</f>
        <v>SOL</v>
      </c>
      <c r="G320" s="3"/>
    </row>
    <row r="321">
      <c r="A321" s="3" t="str">
        <f>IFERROR(__xludf.DUMMYFUNCTION("""COMPUTED_VALUE"""),"2022-05-24T00:00:00Z")</f>
        <v>2022-05-24T00:00:00Z</v>
      </c>
      <c r="B321" s="3">
        <f>IFERROR(__xludf.DUMMYFUNCTION("""COMPUTED_VALUE"""),49.101744)</f>
        <v>49.101744</v>
      </c>
      <c r="C321" s="3">
        <f>IFERROR(__xludf.DUMMYFUNCTION("""COMPUTED_VALUE"""),3.39268323124079E8)</f>
        <v>339268323.1</v>
      </c>
      <c r="D321" s="3">
        <f>IFERROR(__xludf.DUMMYFUNCTION("""COMPUTED_VALUE"""),214.68742901086807)</f>
        <v>214.687429</v>
      </c>
      <c r="E321" s="3">
        <f>IFERROR(__xludf.DUMMYFUNCTION("""COMPUTED_VALUE"""),10541.527179309816)</f>
        <v>10541.52718</v>
      </c>
      <c r="F321" s="3" t="str">
        <f>IFERROR(__xludf.DUMMYFUNCTION("""COMPUTED_VALUE"""),"SOL")</f>
        <v>SOL</v>
      </c>
      <c r="G321" s="3"/>
    </row>
    <row r="322">
      <c r="A322" s="3" t="str">
        <f>IFERROR(__xludf.DUMMYFUNCTION("""COMPUTED_VALUE"""),"2022-05-25T00:00:00Z")</f>
        <v>2022-05-25T00:00:00Z</v>
      </c>
      <c r="B322" s="3">
        <f>IFERROR(__xludf.DUMMYFUNCTION("""COMPUTED_VALUE"""),49.609853)</f>
        <v>49.609853</v>
      </c>
      <c r="C322" s="3">
        <f>IFERROR(__xludf.DUMMYFUNCTION("""COMPUTED_VALUE"""),3.39267951926586E8)</f>
        <v>339267951.9</v>
      </c>
      <c r="D322" s="3">
        <f>IFERROR(__xludf.DUMMYFUNCTION("""COMPUTED_VALUE"""),-371.1974930167198)</f>
        <v>-371.197493</v>
      </c>
      <c r="E322" s="3">
        <f>IFERROR(__xludf.DUMMYFUNCTION("""COMPUTED_VALUE"""),-18415.053062527997)</f>
        <v>-18415.05306</v>
      </c>
      <c r="F322" s="3" t="str">
        <f>IFERROR(__xludf.DUMMYFUNCTION("""COMPUTED_VALUE"""),"SOL")</f>
        <v>SOL</v>
      </c>
      <c r="G322" s="3"/>
    </row>
    <row r="323">
      <c r="A323" s="3" t="str">
        <f>IFERROR(__xludf.DUMMYFUNCTION("""COMPUTED_VALUE"""),"2022-05-26T00:00:00Z")</f>
        <v>2022-05-26T00:00:00Z</v>
      </c>
      <c r="B323" s="3">
        <f>IFERROR(__xludf.DUMMYFUNCTION("""COMPUTED_VALUE"""),47.912399)</f>
        <v>47.912399</v>
      </c>
      <c r="C323" s="3">
        <f>IFERROR(__xludf.DUMMYFUNCTION("""COMPUTED_VALUE"""),3.39399154402711E8)</f>
        <v>339399154.4</v>
      </c>
      <c r="D323" s="3">
        <f>IFERROR(__xludf.DUMMYFUNCTION("""COMPUTED_VALUE"""),131202.4761250019)</f>
        <v>131202.4761</v>
      </c>
      <c r="E323" s="3">
        <f>IFERROR(__xludf.DUMMYFUNCTION("""COMPUTED_VALUE"""),6286225.385889065)</f>
        <v>6286225.386</v>
      </c>
      <c r="F323" s="3" t="str">
        <f>IFERROR(__xludf.DUMMYFUNCTION("""COMPUTED_VALUE"""),"SOL")</f>
        <v>SOL</v>
      </c>
      <c r="G323" s="3"/>
    </row>
    <row r="324">
      <c r="A324" s="3" t="str">
        <f>IFERROR(__xludf.DUMMYFUNCTION("""COMPUTED_VALUE"""),"2022-05-27T00:00:00Z")</f>
        <v>2022-05-27T00:00:00Z</v>
      </c>
      <c r="B324" s="3">
        <f>IFERROR(__xludf.DUMMYFUNCTION("""COMPUTED_VALUE"""),43.394001)</f>
        <v>43.394001</v>
      </c>
      <c r="C324" s="3">
        <f>IFERROR(__xludf.DUMMYFUNCTION("""COMPUTED_VALUE"""),3.39398777635019E8)</f>
        <v>339398777.6</v>
      </c>
      <c r="D324" s="3">
        <f>IFERROR(__xludf.DUMMYFUNCTION("""COMPUTED_VALUE"""),-376.7676919698715)</f>
        <v>-376.767692</v>
      </c>
      <c r="E324" s="3">
        <f>IFERROR(__xludf.DUMMYFUNCTION("""COMPUTED_VALUE"""),-16349.457602108298)</f>
        <v>-16349.4576</v>
      </c>
      <c r="F324" s="3" t="str">
        <f>IFERROR(__xludf.DUMMYFUNCTION("""COMPUTED_VALUE"""),"SOL")</f>
        <v>SOL</v>
      </c>
      <c r="G324" s="3"/>
    </row>
    <row r="325">
      <c r="A325" s="3" t="str">
        <f>IFERROR(__xludf.DUMMYFUNCTION("""COMPUTED_VALUE"""),"2022-05-28T00:00:00Z")</f>
        <v>2022-05-28T00:00:00Z</v>
      </c>
      <c r="B325" s="3">
        <f>IFERROR(__xludf.DUMMYFUNCTION("""COMPUTED_VALUE"""),41.136324)</f>
        <v>41.136324</v>
      </c>
      <c r="C325" s="3">
        <f>IFERROR(__xludf.DUMMYFUNCTION("""COMPUTED_VALUE"""),3.39398371088557E8)</f>
        <v>339398371.1</v>
      </c>
      <c r="D325" s="3">
        <f>IFERROR(__xludf.DUMMYFUNCTION("""COMPUTED_VALUE"""),-406.54646199941635)</f>
        <v>-406.546462</v>
      </c>
      <c r="E325" s="3">
        <f>IFERROR(__xludf.DUMMYFUNCTION("""COMPUTED_VALUE"""),-16723.82698186168)</f>
        <v>-16723.82698</v>
      </c>
      <c r="F325" s="3" t="str">
        <f>IFERROR(__xludf.DUMMYFUNCTION("""COMPUTED_VALUE"""),"SOL")</f>
        <v>SOL</v>
      </c>
      <c r="G325" s="3"/>
    </row>
    <row r="326">
      <c r="A326" s="3" t="str">
        <f>IFERROR(__xludf.DUMMYFUNCTION("""COMPUTED_VALUE"""),"2022-05-29T00:00:00Z")</f>
        <v>2022-05-29T00:00:00Z</v>
      </c>
      <c r="B326" s="3">
        <f>IFERROR(__xludf.DUMMYFUNCTION("""COMPUTED_VALUE"""),44.210894)</f>
        <v>44.210894</v>
      </c>
      <c r="C326" s="3">
        <f>IFERROR(__xludf.DUMMYFUNCTION("""COMPUTED_VALUE"""),3.39530156782251E8)</f>
        <v>339530156.8</v>
      </c>
      <c r="D326" s="3">
        <f>IFERROR(__xludf.DUMMYFUNCTION("""COMPUTED_VALUE"""),131785.69369399548)</f>
        <v>131785.6937</v>
      </c>
      <c r="E326" s="3">
        <f>IFERROR(__xludf.DUMMYFUNCTION("""COMPUTED_VALUE"""),5826363.334621703)</f>
        <v>5826363.335</v>
      </c>
      <c r="F326" s="3" t="str">
        <f>IFERROR(__xludf.DUMMYFUNCTION("""COMPUTED_VALUE"""),"SOL")</f>
        <v>SOL</v>
      </c>
      <c r="G326" s="3"/>
    </row>
    <row r="327">
      <c r="A327" s="3" t="str">
        <f>IFERROR(__xludf.DUMMYFUNCTION("""COMPUTED_VALUE"""),"2022-05-30T00:00:00Z")</f>
        <v>2022-05-30T00:00:00Z</v>
      </c>
      <c r="B327" s="3">
        <f>IFERROR(__xludf.DUMMYFUNCTION("""COMPUTED_VALUE"""),44.960477)</f>
        <v>44.960477</v>
      </c>
      <c r="C327" s="3">
        <f>IFERROR(__xludf.DUMMYFUNCTION("""COMPUTED_VALUE"""),3.39529760749404E8)</f>
        <v>339529760.7</v>
      </c>
      <c r="D327" s="3">
        <f>IFERROR(__xludf.DUMMYFUNCTION("""COMPUTED_VALUE"""),-396.03284698724747)</f>
        <v>-396.032847</v>
      </c>
      <c r="E327" s="3">
        <f>IFERROR(__xludf.DUMMYFUNCTION("""COMPUTED_VALUE"""),-17805.82570821466)</f>
        <v>-17805.82571</v>
      </c>
      <c r="F327" s="3" t="str">
        <f>IFERROR(__xludf.DUMMYFUNCTION("""COMPUTED_VALUE"""),"SOL")</f>
        <v>SOL</v>
      </c>
      <c r="G327" s="3"/>
    </row>
    <row r="328">
      <c r="A328" s="3" t="str">
        <f>IFERROR(__xludf.DUMMYFUNCTION("""COMPUTED_VALUE"""),"2022-05-31T00:00:00Z")</f>
        <v>2022-05-31T00:00:00Z</v>
      </c>
      <c r="B328" s="3">
        <f>IFERROR(__xludf.DUMMYFUNCTION("""COMPUTED_VALUE"""),47.177405)</f>
        <v>47.177405</v>
      </c>
      <c r="C328" s="3">
        <f>IFERROR(__xludf.DUMMYFUNCTION("""COMPUTED_VALUE"""),3.39529350680469E8)</f>
        <v>339529350.7</v>
      </c>
      <c r="D328" s="3">
        <f>IFERROR(__xludf.DUMMYFUNCTION("""COMPUTED_VALUE"""),-410.06893503665924)</f>
        <v>-410.068935</v>
      </c>
      <c r="E328" s="3">
        <f>IFERROR(__xludf.DUMMYFUNCTION("""COMPUTED_VALUE"""),-19345.988226143163)</f>
        <v>-19345.98823</v>
      </c>
      <c r="F328" s="3" t="str">
        <f>IFERROR(__xludf.DUMMYFUNCTION("""COMPUTED_VALUE"""),"SOL")</f>
        <v>SOL</v>
      </c>
      <c r="G328" s="3"/>
    </row>
    <row r="329">
      <c r="A329" s="3" t="str">
        <f>IFERROR(__xludf.DUMMYFUNCTION("""COMPUTED_VALUE"""),"2022-06-01T00:00:00Z")</f>
        <v>2022-06-01T00:00:00Z</v>
      </c>
      <c r="B329" s="3">
        <f>IFERROR(__xludf.DUMMYFUNCTION("""COMPUTED_VALUE"""),45.746213)</f>
        <v>45.746213</v>
      </c>
      <c r="C329" s="3">
        <f>IFERROR(__xludf.DUMMYFUNCTION("""COMPUTED_VALUE"""),3.39963394207574E8)</f>
        <v>339963394.2</v>
      </c>
      <c r="D329" s="3">
        <f>IFERROR(__xludf.DUMMYFUNCTION("""COMPUTED_VALUE"""),434043.5271050334)</f>
        <v>434043.5271</v>
      </c>
      <c r="E329" s="3">
        <f>IFERROR(__xludf.DUMMYFUNCTION("""COMPUTED_VALUE"""),1.985584764221813E7)</f>
        <v>19855847.64</v>
      </c>
      <c r="F329" s="3" t="str">
        <f>IFERROR(__xludf.DUMMYFUNCTION("""COMPUTED_VALUE"""),"SOL")</f>
        <v>SOL</v>
      </c>
      <c r="G329" s="3"/>
    </row>
    <row r="330">
      <c r="A330" s="3" t="str">
        <f>IFERROR(__xludf.DUMMYFUNCTION("""COMPUTED_VALUE"""),"2022-06-02T00:00:00Z")</f>
        <v>2022-06-02T00:00:00Z</v>
      </c>
      <c r="B330" s="3">
        <f>IFERROR(__xludf.DUMMYFUNCTION("""COMPUTED_VALUE"""),40.161184)</f>
        <v>40.161184</v>
      </c>
      <c r="C330" s="3">
        <f>IFERROR(__xludf.DUMMYFUNCTION("""COMPUTED_VALUE"""),3.3980775788494E8)</f>
        <v>339807757.9</v>
      </c>
      <c r="D330" s="3">
        <f>IFERROR(__xludf.DUMMYFUNCTION("""COMPUTED_VALUE"""),-155636.3226339817)</f>
        <v>-155636.3226</v>
      </c>
      <c r="E330" s="3">
        <f>IFERROR(__xludf.DUMMYFUNCTION("""COMPUTED_VALUE"""),-6250538.990386704)</f>
        <v>-6250538.99</v>
      </c>
      <c r="F330" s="3" t="str">
        <f>IFERROR(__xludf.DUMMYFUNCTION("""COMPUTED_VALUE"""),"SOL")</f>
        <v>SOL</v>
      </c>
      <c r="G330" s="3"/>
    </row>
    <row r="331">
      <c r="A331" s="3" t="str">
        <f>IFERROR(__xludf.DUMMYFUNCTION("""COMPUTED_VALUE"""),"2022-06-03T00:00:00Z")</f>
        <v>2022-06-03T00:00:00Z</v>
      </c>
      <c r="B331" s="3">
        <f>IFERROR(__xludf.DUMMYFUNCTION("""COMPUTED_VALUE"""),40.827216)</f>
        <v>40.827216</v>
      </c>
      <c r="C331" s="3">
        <f>IFERROR(__xludf.DUMMYFUNCTION("""COMPUTED_VALUE"""),3.39807258701408E8)</f>
        <v>339807258.7</v>
      </c>
      <c r="D331" s="3">
        <f>IFERROR(__xludf.DUMMYFUNCTION("""COMPUTED_VALUE"""),-499.183531999588)</f>
        <v>-499.183532</v>
      </c>
      <c r="E331" s="3">
        <f>IFERROR(__xludf.DUMMYFUNCTION("""COMPUTED_VALUE"""),-20380.273884590093)</f>
        <v>-20380.27388</v>
      </c>
      <c r="F331" s="3" t="str">
        <f>IFERROR(__xludf.DUMMYFUNCTION("""COMPUTED_VALUE"""),"SOL")</f>
        <v>SOL</v>
      </c>
      <c r="G331" s="3"/>
    </row>
    <row r="332">
      <c r="A332" s="3" t="str">
        <f>IFERROR(__xludf.DUMMYFUNCTION("""COMPUTED_VALUE"""),"2022-06-04T00:00:00Z")</f>
        <v>2022-06-04T00:00:00Z</v>
      </c>
      <c r="B332" s="3">
        <f>IFERROR(__xludf.DUMMYFUNCTION("""COMPUTED_VALUE"""),38.247967)</f>
        <v>38.247967</v>
      </c>
      <c r="C332" s="3">
        <f>IFERROR(__xludf.DUMMYFUNCTION("""COMPUTED_VALUE"""),3.3980670700542E8)</f>
        <v>339806707</v>
      </c>
      <c r="D332" s="3">
        <f>IFERROR(__xludf.DUMMYFUNCTION("""COMPUTED_VALUE"""),-551.6959879994392)</f>
        <v>-551.695988</v>
      </c>
      <c r="E332" s="3">
        <f>IFERROR(__xludf.DUMMYFUNCTION("""COMPUTED_VALUE"""),-21101.24994303495)</f>
        <v>-21101.24994</v>
      </c>
      <c r="F332" s="3" t="str">
        <f>IFERROR(__xludf.DUMMYFUNCTION("""COMPUTED_VALUE"""),"SOL")</f>
        <v>SOL</v>
      </c>
      <c r="G332" s="3"/>
    </row>
    <row r="333">
      <c r="A333" s="3" t="str">
        <f>IFERROR(__xludf.DUMMYFUNCTION("""COMPUTED_VALUE"""),"2022-06-05T00:00:00Z")</f>
        <v>2022-06-05T00:00:00Z</v>
      </c>
      <c r="B333" s="3">
        <f>IFERROR(__xludf.DUMMYFUNCTION("""COMPUTED_VALUE"""),38.991597)</f>
        <v>38.991597</v>
      </c>
      <c r="C333" s="3">
        <f>IFERROR(__xludf.DUMMYFUNCTION("""COMPUTED_VALUE"""),3.39806201253943E8)</f>
        <v>339806201.3</v>
      </c>
      <c r="D333" s="3">
        <f>IFERROR(__xludf.DUMMYFUNCTION("""COMPUTED_VALUE"""),-505.75147700309753)</f>
        <v>-505.751477</v>
      </c>
      <c r="E333" s="3">
        <f>IFERROR(__xludf.DUMMYFUNCTION("""COMPUTED_VALUE"""),-19720.057773459546)</f>
        <v>-19720.05777</v>
      </c>
      <c r="F333" s="3" t="str">
        <f>IFERROR(__xludf.DUMMYFUNCTION("""COMPUTED_VALUE"""),"SOL")</f>
        <v>SOL</v>
      </c>
      <c r="G333" s="3"/>
    </row>
    <row r="334">
      <c r="A334" s="3" t="str">
        <f>IFERROR(__xludf.DUMMYFUNCTION("""COMPUTED_VALUE"""),"2022-06-06T00:00:00Z")</f>
        <v>2022-06-06T00:00:00Z</v>
      </c>
      <c r="B334" s="3">
        <f>IFERROR(__xludf.DUMMYFUNCTION("""COMPUTED_VALUE"""),38.488084)</f>
        <v>38.488084</v>
      </c>
      <c r="C334" s="3">
        <f>IFERROR(__xludf.DUMMYFUNCTION("""COMPUTED_VALUE"""),3.39938054491184E8)</f>
        <v>339938054.5</v>
      </c>
      <c r="D334" s="3">
        <f>IFERROR(__xludf.DUMMYFUNCTION("""COMPUTED_VALUE"""),131853.23724097013)</f>
        <v>131853.2372</v>
      </c>
      <c r="E334" s="3">
        <f>IFERROR(__xludf.DUMMYFUNCTION("""COMPUTED_VALUE"""),5074778.470602387)</f>
        <v>5074778.471</v>
      </c>
      <c r="F334" s="3" t="str">
        <f>IFERROR(__xludf.DUMMYFUNCTION("""COMPUTED_VALUE"""),"SOL")</f>
        <v>SOL</v>
      </c>
      <c r="G334" s="3"/>
    </row>
    <row r="335">
      <c r="A335" s="3" t="str">
        <f>IFERROR(__xludf.DUMMYFUNCTION("""COMPUTED_VALUE"""),"2022-06-07T00:00:00Z")</f>
        <v>2022-06-07T00:00:00Z</v>
      </c>
      <c r="B335" s="3">
        <f>IFERROR(__xludf.DUMMYFUNCTION("""COMPUTED_VALUE"""),42.349219)</f>
        <v>42.349219</v>
      </c>
      <c r="C335" s="3">
        <f>IFERROR(__xludf.DUMMYFUNCTION("""COMPUTED_VALUE"""),3.40434725482878E8)</f>
        <v>340434725.5</v>
      </c>
      <c r="D335" s="3">
        <f>IFERROR(__xludf.DUMMYFUNCTION("""COMPUTED_VALUE"""),496670.99169403315)</f>
        <v>496670.9917</v>
      </c>
      <c r="E335" s="3">
        <f>IFERROR(__xludf.DUMMYFUNCTION("""COMPUTED_VALUE"""),2.1033628598197788E7)</f>
        <v>21033628.6</v>
      </c>
      <c r="F335" s="3" t="str">
        <f>IFERROR(__xludf.DUMMYFUNCTION("""COMPUTED_VALUE"""),"SOL")</f>
        <v>SOL</v>
      </c>
      <c r="G335" s="3"/>
    </row>
    <row r="336">
      <c r="A336" s="3" t="str">
        <f>IFERROR(__xludf.DUMMYFUNCTION("""COMPUTED_VALUE"""),"2022-06-08T00:00:00Z")</f>
        <v>2022-06-08T00:00:00Z</v>
      </c>
      <c r="B336" s="3">
        <f>IFERROR(__xludf.DUMMYFUNCTION("""COMPUTED_VALUE"""),39.288669)</f>
        <v>39.288669</v>
      </c>
      <c r="C336" s="3">
        <f>IFERROR(__xludf.DUMMYFUNCTION("""COMPUTED_VALUE"""),3.41750968969976E8)</f>
        <v>341750969</v>
      </c>
      <c r="D336" s="3">
        <f>IFERROR(__xludf.DUMMYFUNCTION("""COMPUTED_VALUE"""),1316243.4870979786)</f>
        <v>1316243.487</v>
      </c>
      <c r="E336" s="3">
        <f>IFERROR(__xludf.DUMMYFUNCTION("""COMPUTED_VALUE"""),5.171345468799825E7)</f>
        <v>51713454.69</v>
      </c>
      <c r="F336" s="3" t="str">
        <f>IFERROR(__xludf.DUMMYFUNCTION("""COMPUTED_VALUE"""),"SOL")</f>
        <v>SOL</v>
      </c>
      <c r="G336" s="3"/>
    </row>
    <row r="337">
      <c r="A337" s="3" t="str">
        <f>IFERROR(__xludf.DUMMYFUNCTION("""COMPUTED_VALUE"""),"2022-06-09T00:00:00Z")</f>
        <v>2022-06-09T00:00:00Z</v>
      </c>
      <c r="B337" s="3">
        <f>IFERROR(__xludf.DUMMYFUNCTION("""COMPUTED_VALUE"""),38.808699)</f>
        <v>38.808699</v>
      </c>
      <c r="C337" s="3">
        <f>IFERROR(__xludf.DUMMYFUNCTION("""COMPUTED_VALUE"""),3.41882953460418E8)</f>
        <v>341882953.5</v>
      </c>
      <c r="D337" s="3">
        <f>IFERROR(__xludf.DUMMYFUNCTION("""COMPUTED_VALUE"""),131984.49044197798)</f>
        <v>131984.4904</v>
      </c>
      <c r="E337" s="3">
        <f>IFERROR(__xludf.DUMMYFUNCTION("""COMPUTED_VALUE"""),5122146.3622311)</f>
        <v>5122146.362</v>
      </c>
      <c r="F337" s="3" t="str">
        <f>IFERROR(__xludf.DUMMYFUNCTION("""COMPUTED_VALUE"""),"SOL")</f>
        <v>SOL</v>
      </c>
      <c r="G337" s="3"/>
    </row>
    <row r="338">
      <c r="A338" s="3" t="str">
        <f>IFERROR(__xludf.DUMMYFUNCTION("""COMPUTED_VALUE"""),"2022-06-10T00:00:00Z")</f>
        <v>2022-06-10T00:00:00Z</v>
      </c>
      <c r="B338" s="3">
        <f>IFERROR(__xludf.DUMMYFUNCTION("""COMPUTED_VALUE"""),39.903383)</f>
        <v>39.903383</v>
      </c>
      <c r="C338" s="3">
        <f>IFERROR(__xludf.DUMMYFUNCTION("""COMPUTED_VALUE"""),3.4191128192215E8)</f>
        <v>341911281.9</v>
      </c>
      <c r="D338" s="3">
        <f>IFERROR(__xludf.DUMMYFUNCTION("""COMPUTED_VALUE"""),28328.461732029915)</f>
        <v>28328.46173</v>
      </c>
      <c r="E338" s="3">
        <f>IFERROR(__xludf.DUMMYFUNCTION("""COMPUTED_VALUE"""),1130401.458294033)</f>
        <v>1130401.458</v>
      </c>
      <c r="F338" s="3" t="str">
        <f>IFERROR(__xludf.DUMMYFUNCTION("""COMPUTED_VALUE"""),"SOL")</f>
        <v>SOL</v>
      </c>
      <c r="G338" s="3"/>
    </row>
    <row r="339">
      <c r="A339" s="3" t="str">
        <f>IFERROR(__xludf.DUMMYFUNCTION("""COMPUTED_VALUE"""),"2022-06-11T00:00:00Z")</f>
        <v>2022-06-11T00:00:00Z</v>
      </c>
      <c r="B339" s="3">
        <f>IFERROR(__xludf.DUMMYFUNCTION("""COMPUTED_VALUE"""),37.127259)</f>
        <v>37.127259</v>
      </c>
      <c r="C339" s="3">
        <f>IFERROR(__xludf.DUMMYFUNCTION("""COMPUTED_VALUE"""),3.4207723722138E8)</f>
        <v>342077237.2</v>
      </c>
      <c r="D339" s="3">
        <f>IFERROR(__xludf.DUMMYFUNCTION("""COMPUTED_VALUE"""),165955.29922997952)</f>
        <v>165955.2992</v>
      </c>
      <c r="E339" s="3">
        <f>IFERROR(__xludf.DUMMYFUNCTION("""COMPUTED_VALUE"""),6161465.37693395)</f>
        <v>6161465.377</v>
      </c>
      <c r="F339" s="3" t="str">
        <f>IFERROR(__xludf.DUMMYFUNCTION("""COMPUTED_VALUE"""),"SOL")</f>
        <v>SOL</v>
      </c>
      <c r="G339" s="3"/>
    </row>
    <row r="340">
      <c r="A340" s="3" t="str">
        <f>IFERROR(__xludf.DUMMYFUNCTION("""COMPUTED_VALUE"""),"2022-06-12T00:00:00Z")</f>
        <v>2022-06-12T00:00:00Z</v>
      </c>
      <c r="B340" s="3">
        <f>IFERROR(__xludf.DUMMYFUNCTION("""COMPUTED_VALUE"""),33.900268)</f>
        <v>33.900268</v>
      </c>
      <c r="C340" s="3">
        <f>IFERROR(__xludf.DUMMYFUNCTION("""COMPUTED_VALUE"""),3.42076767718553E8)</f>
        <v>342076767.7</v>
      </c>
      <c r="D340" s="3">
        <f>IFERROR(__xludf.DUMMYFUNCTION("""COMPUTED_VALUE"""),-469.50282698869705)</f>
        <v>-469.502827</v>
      </c>
      <c r="E340" s="3">
        <f>IFERROR(__xludf.DUMMYFUNCTION("""COMPUTED_VALUE"""),-15916.271661674462)</f>
        <v>-15916.27166</v>
      </c>
      <c r="F340" s="3" t="str">
        <f>IFERROR(__xludf.DUMMYFUNCTION("""COMPUTED_VALUE"""),"SOL")</f>
        <v>SOL</v>
      </c>
      <c r="G340" s="3"/>
    </row>
    <row r="341">
      <c r="A341" s="3" t="str">
        <f>IFERROR(__xludf.DUMMYFUNCTION("""COMPUTED_VALUE"""),"2022-06-13T00:00:00Z")</f>
        <v>2022-06-13T00:00:00Z</v>
      </c>
      <c r="B341" s="3">
        <f>IFERROR(__xludf.DUMMYFUNCTION("""COMPUTED_VALUE"""),30.569833)</f>
        <v>30.569833</v>
      </c>
      <c r="C341" s="3">
        <f>IFERROR(__xludf.DUMMYFUNCTION("""COMPUTED_VALUE"""),3.42208721782371E8)</f>
        <v>342208721.8</v>
      </c>
      <c r="D341" s="3">
        <f>IFERROR(__xludf.DUMMYFUNCTION("""COMPUTED_VALUE"""),131954.0638179779)</f>
        <v>131954.0638</v>
      </c>
      <c r="E341" s="3">
        <f>IFERROR(__xludf.DUMMYFUNCTION("""COMPUTED_VALUE"""),4033813.694586927)</f>
        <v>4033813.695</v>
      </c>
      <c r="F341" s="3" t="str">
        <f>IFERROR(__xludf.DUMMYFUNCTION("""COMPUTED_VALUE"""),"SOL")</f>
        <v>SOL</v>
      </c>
      <c r="G341" s="3"/>
    </row>
    <row r="342">
      <c r="A342" s="3" t="str">
        <f>IFERROR(__xludf.DUMMYFUNCTION("""COMPUTED_VALUE"""),"2022-06-14T00:00:00Z")</f>
        <v>2022-06-14T00:00:00Z</v>
      </c>
      <c r="B342" s="3">
        <f>IFERROR(__xludf.DUMMYFUNCTION("""COMPUTED_VALUE"""),28.550636)</f>
        <v>28.550636</v>
      </c>
      <c r="C342" s="3">
        <f>IFERROR(__xludf.DUMMYFUNCTION("""COMPUTED_VALUE"""),3.42208348504297E8)</f>
        <v>342208348.5</v>
      </c>
      <c r="D342" s="3">
        <f>IFERROR(__xludf.DUMMYFUNCTION("""COMPUTED_VALUE"""),-373.27807396650314)</f>
        <v>-373.278074</v>
      </c>
      <c r="E342" s="3">
        <f>IFERROR(__xludf.DUMMYFUNCTION("""COMPUTED_VALUE"""),-10657.326416598708)</f>
        <v>-10657.32642</v>
      </c>
      <c r="F342" s="3" t="str">
        <f>IFERROR(__xludf.DUMMYFUNCTION("""COMPUTED_VALUE"""),"SOL")</f>
        <v>SOL</v>
      </c>
      <c r="G342" s="3"/>
    </row>
    <row r="343">
      <c r="A343" s="3" t="str">
        <f>IFERROR(__xludf.DUMMYFUNCTION("""COMPUTED_VALUE"""),"2022-06-15T00:00:00Z")</f>
        <v>2022-06-15T00:00:00Z</v>
      </c>
      <c r="B343" s="3">
        <f>IFERROR(__xludf.DUMMYFUNCTION("""COMPUTED_VALUE"""),29.549751)</f>
        <v>29.549751</v>
      </c>
      <c r="C343" s="3">
        <f>IFERROR(__xludf.DUMMYFUNCTION("""COMPUTED_VALUE"""),3.42209600270983E8)</f>
        <v>342209600.3</v>
      </c>
      <c r="D343" s="3">
        <f>IFERROR(__xludf.DUMMYFUNCTION("""COMPUTED_VALUE"""),1251.766685962677)</f>
        <v>1251.766686</v>
      </c>
      <c r="E343" s="3">
        <f>IFERROR(__xludf.DUMMYFUNCTION("""COMPUTED_VALUE"""),36989.3938802923)</f>
        <v>36989.39388</v>
      </c>
      <c r="F343" s="3" t="str">
        <f>IFERROR(__xludf.DUMMYFUNCTION("""COMPUTED_VALUE"""),"SOL")</f>
        <v>SOL</v>
      </c>
      <c r="G343" s="3"/>
    </row>
    <row r="344">
      <c r="A344" s="3" t="str">
        <f>IFERROR(__xludf.DUMMYFUNCTION("""COMPUTED_VALUE"""),"2022-06-16T00:00:00Z")</f>
        <v>2022-06-16T00:00:00Z</v>
      </c>
      <c r="B344" s="3">
        <f>IFERROR(__xludf.DUMMYFUNCTION("""COMPUTED_VALUE"""),34.703612)</f>
        <v>34.703612</v>
      </c>
      <c r="C344" s="3">
        <f>IFERROR(__xludf.DUMMYFUNCTION("""COMPUTED_VALUE"""),3.42348148485023E8)</f>
        <v>342348148.5</v>
      </c>
      <c r="D344" s="3">
        <f>IFERROR(__xludf.DUMMYFUNCTION("""COMPUTED_VALUE"""),138548.21404004097)</f>
        <v>138548.214</v>
      </c>
      <c r="E344" s="3">
        <f>IFERROR(__xludf.DUMMYFUNCTION("""COMPUTED_VALUE"""),4808123.463338534)</f>
        <v>4808123.463</v>
      </c>
      <c r="F344" s="3" t="str">
        <f>IFERROR(__xludf.DUMMYFUNCTION("""COMPUTED_VALUE"""),"SOL")</f>
        <v>SOL</v>
      </c>
      <c r="G344" s="3"/>
    </row>
    <row r="345">
      <c r="A345" s="3" t="str">
        <f>IFERROR(__xludf.DUMMYFUNCTION("""COMPUTED_VALUE"""),"2022-06-17T00:00:00Z")</f>
        <v>2022-06-17T00:00:00Z</v>
      </c>
      <c r="B345" s="3">
        <f>IFERROR(__xludf.DUMMYFUNCTION("""COMPUTED_VALUE"""),30.096099)</f>
        <v>30.096099</v>
      </c>
      <c r="C345" s="3">
        <f>IFERROR(__xludf.DUMMYFUNCTION("""COMPUTED_VALUE"""),3.42370449065709E8)</f>
        <v>342370449.1</v>
      </c>
      <c r="D345" s="3">
        <f>IFERROR(__xludf.DUMMYFUNCTION("""COMPUTED_VALUE"""),22300.580685973167)</f>
        <v>22300.58069</v>
      </c>
      <c r="E345" s="3">
        <f>IFERROR(__xludf.DUMMYFUNCTION("""COMPUTED_VALUE"""),671160.4840825363)</f>
        <v>671160.4841</v>
      </c>
      <c r="F345" s="3" t="str">
        <f>IFERROR(__xludf.DUMMYFUNCTION("""COMPUTED_VALUE"""),"SOL")</f>
        <v>SOL</v>
      </c>
      <c r="G345" s="3"/>
    </row>
    <row r="346">
      <c r="A346" s="3" t="str">
        <f>IFERROR(__xludf.DUMMYFUNCTION("""COMPUTED_VALUE"""),"2022-06-18T00:00:00Z")</f>
        <v>2022-06-18T00:00:00Z</v>
      </c>
      <c r="B346" s="3">
        <f>IFERROR(__xludf.DUMMYFUNCTION("""COMPUTED_VALUE"""),30.668175)</f>
        <v>30.668175</v>
      </c>
      <c r="C346" s="3">
        <f>IFERROR(__xludf.DUMMYFUNCTION("""COMPUTED_VALUE"""),3.4237934747499E8)</f>
        <v>342379347.5</v>
      </c>
      <c r="D346" s="3">
        <f>IFERROR(__xludf.DUMMYFUNCTION("""COMPUTED_VALUE"""),8898.409281015396)</f>
        <v>8898.409281</v>
      </c>
      <c r="E346" s="3">
        <f>IFERROR(__xludf.DUMMYFUNCTION("""COMPUTED_VALUE"""),272897.97305180435)</f>
        <v>272897.9731</v>
      </c>
      <c r="F346" s="3" t="str">
        <f>IFERROR(__xludf.DUMMYFUNCTION("""COMPUTED_VALUE"""),"SOL")</f>
        <v>SOL</v>
      </c>
      <c r="G346" s="3"/>
    </row>
    <row r="347">
      <c r="A347" s="3" t="str">
        <f>IFERROR(__xludf.DUMMYFUNCTION("""COMPUTED_VALUE"""),"2022-06-19T00:00:00Z")</f>
        <v>2022-06-19T00:00:00Z</v>
      </c>
      <c r="B347" s="3">
        <f>IFERROR(__xludf.DUMMYFUNCTION("""COMPUTED_VALUE"""),31.975383)</f>
        <v>31.975383</v>
      </c>
      <c r="C347" s="3">
        <f>IFERROR(__xludf.DUMMYFUNCTION("""COMPUTED_VALUE"""),3.42378720203899E8)</f>
        <v>342378720.2</v>
      </c>
      <c r="D347" s="3">
        <f>IFERROR(__xludf.DUMMYFUNCTION("""COMPUTED_VALUE"""),-627.2710909843445)</f>
        <v>-627.271091</v>
      </c>
      <c r="E347" s="3">
        <f>IFERROR(__xludf.DUMMYFUNCTION("""COMPUTED_VALUE"""),-20057.23337905226)</f>
        <v>-20057.23338</v>
      </c>
      <c r="F347" s="3" t="str">
        <f>IFERROR(__xludf.DUMMYFUNCTION("""COMPUTED_VALUE"""),"SOL")</f>
        <v>SOL</v>
      </c>
      <c r="G347" s="3"/>
    </row>
    <row r="348">
      <c r="A348" s="3" t="str">
        <f>IFERROR(__xludf.DUMMYFUNCTION("""COMPUTED_VALUE"""),"2022-06-20T00:00:00Z")</f>
        <v>2022-06-20T00:00:00Z</v>
      </c>
      <c r="B348" s="3">
        <f>IFERROR(__xludf.DUMMYFUNCTION("""COMPUTED_VALUE"""),34.139004)</f>
        <v>34.139004</v>
      </c>
      <c r="C348" s="3">
        <f>IFERROR(__xludf.DUMMYFUNCTION("""COMPUTED_VALUE"""),3.42509409476232E8)</f>
        <v>342509409.5</v>
      </c>
      <c r="D348" s="3">
        <f>IFERROR(__xludf.DUMMYFUNCTION("""COMPUTED_VALUE"""),130689.27233296633)</f>
        <v>130689.2723</v>
      </c>
      <c r="E348" s="3">
        <f>IFERROR(__xludf.DUMMYFUNCTION("""COMPUTED_VALUE"""),4461601.590932227)</f>
        <v>4461601.591</v>
      </c>
      <c r="F348" s="3" t="str">
        <f>IFERROR(__xludf.DUMMYFUNCTION("""COMPUTED_VALUE"""),"SOL")</f>
        <v>SOL</v>
      </c>
      <c r="G348" s="3"/>
    </row>
    <row r="349">
      <c r="A349" s="3" t="str">
        <f>IFERROR(__xludf.DUMMYFUNCTION("""COMPUTED_VALUE"""),"2022-06-21T00:00:00Z")</f>
        <v>2022-06-21T00:00:00Z</v>
      </c>
      <c r="B349" s="3">
        <f>IFERROR(__xludf.DUMMYFUNCTION("""COMPUTED_VALUE"""),35.210349)</f>
        <v>35.210349</v>
      </c>
      <c r="C349" s="3">
        <f>IFERROR(__xludf.DUMMYFUNCTION("""COMPUTED_VALUE"""),3.42508757490055E8)</f>
        <v>342508757.5</v>
      </c>
      <c r="D349" s="3">
        <f>IFERROR(__xludf.DUMMYFUNCTION("""COMPUTED_VALUE"""),-651.9861769676208)</f>
        <v>-651.986177</v>
      </c>
      <c r="E349" s="3">
        <f>IFERROR(__xludf.DUMMYFUNCTION("""COMPUTED_VALUE"""),-22956.660834205693)</f>
        <v>-22956.66083</v>
      </c>
      <c r="F349" s="3" t="str">
        <f>IFERROR(__xludf.DUMMYFUNCTION("""COMPUTED_VALUE"""),"SOL")</f>
        <v>SOL</v>
      </c>
      <c r="G349" s="3"/>
    </row>
    <row r="350">
      <c r="A350" s="3" t="str">
        <f>IFERROR(__xludf.DUMMYFUNCTION("""COMPUTED_VALUE"""),"2022-06-22T00:00:00Z")</f>
        <v>2022-06-22T00:00:00Z</v>
      </c>
      <c r="B350" s="3">
        <f>IFERROR(__xludf.DUMMYFUNCTION("""COMPUTED_VALUE"""),36.376838)</f>
        <v>36.376838</v>
      </c>
      <c r="C350" s="3">
        <f>IFERROR(__xludf.DUMMYFUNCTION("""COMPUTED_VALUE"""),3.42508116685695E8)</f>
        <v>342508116.7</v>
      </c>
      <c r="D350" s="3">
        <f>IFERROR(__xludf.DUMMYFUNCTION("""COMPUTED_VALUE"""),-640.8043600320816)</f>
        <v>-640.80436</v>
      </c>
      <c r="E350" s="3">
        <f>IFERROR(__xludf.DUMMYFUNCTION("""COMPUTED_VALUE"""),-23310.436394580705)</f>
        <v>-23310.43639</v>
      </c>
      <c r="F350" s="3" t="str">
        <f>IFERROR(__xludf.DUMMYFUNCTION("""COMPUTED_VALUE"""),"SOL")</f>
        <v>SOL</v>
      </c>
      <c r="G350" s="3"/>
    </row>
    <row r="351">
      <c r="A351" s="3" t="str">
        <f>IFERROR(__xludf.DUMMYFUNCTION("""COMPUTED_VALUE"""),"2022-06-23T00:00:00Z")</f>
        <v>2022-06-23T00:00:00Z</v>
      </c>
      <c r="B351" s="3">
        <f>IFERROR(__xludf.DUMMYFUNCTION("""COMPUTED_VALUE"""),34.093257)</f>
        <v>34.093257</v>
      </c>
      <c r="C351" s="3">
        <f>IFERROR(__xludf.DUMMYFUNCTION("""COMPUTED_VALUE"""),3.4263891593035E8)</f>
        <v>342638915.9</v>
      </c>
      <c r="D351" s="3">
        <f>IFERROR(__xludf.DUMMYFUNCTION("""COMPUTED_VALUE"""),130799.24465501308)</f>
        <v>130799.2447</v>
      </c>
      <c r="E351" s="3">
        <f>IFERROR(__xludf.DUMMYFUNCTION("""COMPUTED_VALUE"""),4459372.2634292375)</f>
        <v>4459372.263</v>
      </c>
      <c r="F351" s="3" t="str">
        <f>IFERROR(__xludf.DUMMYFUNCTION("""COMPUTED_VALUE"""),"SOL")</f>
        <v>SOL</v>
      </c>
      <c r="G351" s="3"/>
    </row>
    <row r="352">
      <c r="A352" s="3" t="str">
        <f>IFERROR(__xludf.DUMMYFUNCTION("""COMPUTED_VALUE"""),"2022-06-24T00:00:00Z")</f>
        <v>2022-06-24T00:00:00Z</v>
      </c>
      <c r="B352" s="3">
        <f>IFERROR(__xludf.DUMMYFUNCTION("""COMPUTED_VALUE"""),38.122496)</f>
        <v>38.122496</v>
      </c>
      <c r="C352" s="3">
        <f>IFERROR(__xludf.DUMMYFUNCTION("""COMPUTED_VALUE"""),3.42638355051789E8)</f>
        <v>342638355.1</v>
      </c>
      <c r="D352" s="3">
        <f>IFERROR(__xludf.DUMMYFUNCTION("""COMPUTED_VALUE"""),-560.8785610198975)</f>
        <v>-560.878561</v>
      </c>
      <c r="E352" s="3">
        <f>IFERROR(__xludf.DUMMYFUNCTION("""COMPUTED_VALUE"""),-21382.090698966796)</f>
        <v>-21382.0907</v>
      </c>
      <c r="F352" s="3" t="str">
        <f>IFERROR(__xludf.DUMMYFUNCTION("""COMPUTED_VALUE"""),"SOL")</f>
        <v>SOL</v>
      </c>
      <c r="G352" s="3"/>
    </row>
    <row r="353">
      <c r="A353" s="3" t="str">
        <f>IFERROR(__xludf.DUMMYFUNCTION("""COMPUTED_VALUE"""),"2022-06-25T00:00:00Z")</f>
        <v>2022-06-25T00:00:00Z</v>
      </c>
      <c r="B353" s="3">
        <f>IFERROR(__xludf.DUMMYFUNCTION("""COMPUTED_VALUE"""),41.804762)</f>
        <v>41.804762</v>
      </c>
      <c r="C353" s="3">
        <f>IFERROR(__xludf.DUMMYFUNCTION("""COMPUTED_VALUE"""),3.42637778724315E8)</f>
        <v>342637778.7</v>
      </c>
      <c r="D353" s="3">
        <f>IFERROR(__xludf.DUMMYFUNCTION("""COMPUTED_VALUE"""),-576.3274739980698)</f>
        <v>-576.327474</v>
      </c>
      <c r="E353" s="3">
        <f>IFERROR(__xludf.DUMMYFUNCTION("""COMPUTED_VALUE"""),-24093.232884550493)</f>
        <v>-24093.23288</v>
      </c>
      <c r="F353" s="3" t="str">
        <f>IFERROR(__xludf.DUMMYFUNCTION("""COMPUTED_VALUE"""),"SOL")</f>
        <v>SOL</v>
      </c>
      <c r="G353" s="3"/>
    </row>
    <row r="354">
      <c r="A354" s="3" t="str">
        <f>IFERROR(__xludf.DUMMYFUNCTION("""COMPUTED_VALUE"""),"2022-06-26T00:00:00Z")</f>
        <v>2022-06-26T00:00:00Z</v>
      </c>
      <c r="B354" s="3">
        <f>IFERROR(__xludf.DUMMYFUNCTION("""COMPUTED_VALUE"""),42.206675)</f>
        <v>42.206675</v>
      </c>
      <c r="C354" s="3">
        <f>IFERROR(__xludf.DUMMYFUNCTION("""COMPUTED_VALUE"""),3.42768759370501E8)</f>
        <v>342768759.4</v>
      </c>
      <c r="D354" s="3">
        <f>IFERROR(__xludf.DUMMYFUNCTION("""COMPUTED_VALUE"""),130980.64618599415)</f>
        <v>130980.6462</v>
      </c>
      <c r="E354" s="3">
        <f>IFERROR(__xludf.DUMMYFUNCTION("""COMPUTED_VALUE"""),5528257.564862244)</f>
        <v>5528257.565</v>
      </c>
      <c r="F354" s="3" t="str">
        <f>IFERROR(__xludf.DUMMYFUNCTION("""COMPUTED_VALUE"""),"SOL")</f>
        <v>SOL</v>
      </c>
      <c r="G354" s="3"/>
    </row>
    <row r="355">
      <c r="A355" s="3" t="str">
        <f>IFERROR(__xludf.DUMMYFUNCTION("""COMPUTED_VALUE"""),"2022-06-27T00:00:00Z")</f>
        <v>2022-06-27T00:00:00Z</v>
      </c>
      <c r="B355" s="3">
        <f>IFERROR(__xludf.DUMMYFUNCTION("""COMPUTED_VALUE"""),39.359371)</f>
        <v>39.359371</v>
      </c>
      <c r="C355" s="3">
        <f>IFERROR(__xludf.DUMMYFUNCTION("""COMPUTED_VALUE"""),3.42769519675171E8)</f>
        <v>342769519.7</v>
      </c>
      <c r="D355" s="3">
        <f>IFERROR(__xludf.DUMMYFUNCTION("""COMPUTED_VALUE"""),760.3046700358391)</f>
        <v>760.30467</v>
      </c>
      <c r="E355" s="3">
        <f>IFERROR(__xludf.DUMMYFUNCTION("""COMPUTED_VALUE"""),29925.113580973175)</f>
        <v>29925.11358</v>
      </c>
      <c r="F355" s="3" t="str">
        <f>IFERROR(__xludf.DUMMYFUNCTION("""COMPUTED_VALUE"""),"SOL")</f>
        <v>SOL</v>
      </c>
      <c r="G355" s="3"/>
    </row>
    <row r="356">
      <c r="A356" s="3" t="str">
        <f>IFERROR(__xludf.DUMMYFUNCTION("""COMPUTED_VALUE"""),"2022-06-28T00:00:00Z")</f>
        <v>2022-06-28T00:00:00Z</v>
      </c>
      <c r="B356" s="3">
        <f>IFERROR(__xludf.DUMMYFUNCTION("""COMPUTED_VALUE"""),38.466239)</f>
        <v>38.466239</v>
      </c>
      <c r="C356" s="3">
        <f>IFERROR(__xludf.DUMMYFUNCTION("""COMPUTED_VALUE"""),3.4276880275189E8)</f>
        <v>342768802.8</v>
      </c>
      <c r="D356" s="3">
        <f>IFERROR(__xludf.DUMMYFUNCTION("""COMPUTED_VALUE"""),-716.9232810139656)</f>
        <v>-716.923281</v>
      </c>
      <c r="E356" s="3">
        <f>IFERROR(__xludf.DUMMYFUNCTION("""COMPUTED_VALUE"""),-27577.342272147365)</f>
        <v>-27577.34227</v>
      </c>
      <c r="F356" s="3" t="str">
        <f>IFERROR(__xludf.DUMMYFUNCTION("""COMPUTED_VALUE"""),"SOL")</f>
        <v>SOL</v>
      </c>
      <c r="G356" s="3"/>
    </row>
    <row r="357">
      <c r="A357" s="3" t="str">
        <f>IFERROR(__xludf.DUMMYFUNCTION("""COMPUTED_VALUE"""),"2022-06-29T00:00:00Z")</f>
        <v>2022-06-29T00:00:00Z</v>
      </c>
      <c r="B357" s="3">
        <f>IFERROR(__xludf.DUMMYFUNCTION("""COMPUTED_VALUE"""),35.282115)</f>
        <v>35.282115</v>
      </c>
      <c r="C357" s="3">
        <f>IFERROR(__xludf.DUMMYFUNCTION("""COMPUTED_VALUE"""),3.42899819433495E8)</f>
        <v>342899819.4</v>
      </c>
      <c r="D357" s="3">
        <f>IFERROR(__xludf.DUMMYFUNCTION("""COMPUTED_VALUE"""),131016.68160498142)</f>
        <v>131016.6816</v>
      </c>
      <c r="E357" s="3">
        <f>IFERROR(__xludf.DUMMYFUNCTION("""COMPUTED_VALUE"""),4622545.627305339)</f>
        <v>4622545.627</v>
      </c>
      <c r="F357" s="3" t="str">
        <f>IFERROR(__xludf.DUMMYFUNCTION("""COMPUTED_VALUE"""),"SOL")</f>
        <v>SOL</v>
      </c>
      <c r="G357" s="3"/>
    </row>
    <row r="358">
      <c r="A358" s="3" t="str">
        <f>IFERROR(__xludf.DUMMYFUNCTION("""COMPUTED_VALUE"""),"2022-06-30T00:00:00Z")</f>
        <v>2022-06-30T00:00:00Z</v>
      </c>
      <c r="B358" s="3">
        <f>IFERROR(__xludf.DUMMYFUNCTION("""COMPUTED_VALUE"""),34.013169)</f>
        <v>34.013169</v>
      </c>
      <c r="C358" s="3">
        <f>IFERROR(__xludf.DUMMYFUNCTION("""COMPUTED_VALUE"""),3.42899201132956E8)</f>
        <v>342899201.1</v>
      </c>
      <c r="D358" s="3">
        <f>IFERROR(__xludf.DUMMYFUNCTION("""COMPUTED_VALUE"""),-618.300538957119)</f>
        <v>-618.300539</v>
      </c>
      <c r="E358" s="3">
        <f>IFERROR(__xludf.DUMMYFUNCTION("""COMPUTED_VALUE"""),-21030.36072433957)</f>
        <v>-21030.36072</v>
      </c>
      <c r="F358" s="3" t="str">
        <f>IFERROR(__xludf.DUMMYFUNCTION("""COMPUTED_VALUE"""),"SOL")</f>
        <v>SOL</v>
      </c>
      <c r="G358" s="3"/>
    </row>
    <row r="359">
      <c r="A359" s="3" t="str">
        <f>IFERROR(__xludf.DUMMYFUNCTION("""COMPUTED_VALUE"""),"2022-07-01T00:00:00Z")</f>
        <v>2022-07-01T00:00:00Z</v>
      </c>
      <c r="B359" s="3">
        <f>IFERROR(__xludf.DUMMYFUNCTION("""COMPUTED_VALUE"""),33.715618)</f>
        <v>33.715618</v>
      </c>
      <c r="C359" s="3">
        <f>IFERROR(__xludf.DUMMYFUNCTION("""COMPUTED_VALUE"""),3.43284542263902E8)</f>
        <v>343284542.3</v>
      </c>
      <c r="D359" s="3">
        <f>IFERROR(__xludf.DUMMYFUNCTION("""COMPUTED_VALUE"""),385341.13094598055)</f>
        <v>385341.1309</v>
      </c>
      <c r="E359" s="3">
        <f>IFERROR(__xludf.DUMMYFUNCTION("""COMPUTED_VALUE"""),1.299201437066266E7)</f>
        <v>12992014.37</v>
      </c>
      <c r="F359" s="3" t="str">
        <f>IFERROR(__xludf.DUMMYFUNCTION("""COMPUTED_VALUE"""),"SOL")</f>
        <v>SOL</v>
      </c>
      <c r="G359" s="3"/>
    </row>
    <row r="360">
      <c r="A360" s="3" t="str">
        <f>IFERROR(__xludf.DUMMYFUNCTION("""COMPUTED_VALUE"""),"2022-07-02T00:00:00Z")</f>
        <v>2022-07-02T00:00:00Z</v>
      </c>
      <c r="B360" s="3">
        <f>IFERROR(__xludf.DUMMYFUNCTION("""COMPUTED_VALUE"""),32.807389)</f>
        <v>32.807389</v>
      </c>
      <c r="C360" s="3">
        <f>IFERROR(__xludf.DUMMYFUNCTION("""COMPUTED_VALUE"""),3.43416820191807E8)</f>
        <v>343416820.2</v>
      </c>
      <c r="D360" s="3">
        <f>IFERROR(__xludf.DUMMYFUNCTION("""COMPUTED_VALUE"""),132277.9279049635)</f>
        <v>132277.9279</v>
      </c>
      <c r="E360" s="3">
        <f>IFERROR(__xludf.DUMMYFUNCTION("""COMPUTED_VALUE"""),4339693.436892092)</f>
        <v>4339693.437</v>
      </c>
      <c r="F360" s="3" t="str">
        <f>IFERROR(__xludf.DUMMYFUNCTION("""COMPUTED_VALUE"""),"SOL")</f>
        <v>SOL</v>
      </c>
      <c r="G360" s="3"/>
    </row>
    <row r="361">
      <c r="A361" s="3" t="str">
        <f>IFERROR(__xludf.DUMMYFUNCTION("""COMPUTED_VALUE"""),"2022-07-03T00:00:00Z")</f>
        <v>2022-07-03T00:00:00Z</v>
      </c>
      <c r="B361" s="3">
        <f>IFERROR(__xludf.DUMMYFUNCTION("""COMPUTED_VALUE"""),33.329921)</f>
        <v>33.329921</v>
      </c>
      <c r="C361" s="3">
        <f>IFERROR(__xludf.DUMMYFUNCTION("""COMPUTED_VALUE"""),3.43416607102484E8)</f>
        <v>343416607.1</v>
      </c>
      <c r="D361" s="3">
        <f>IFERROR(__xludf.DUMMYFUNCTION("""COMPUTED_VALUE"""),-213.0893229842186)</f>
        <v>-213.089323</v>
      </c>
      <c r="E361" s="3">
        <f>IFERROR(__xludf.DUMMYFUNCTION("""COMPUTED_VALUE"""),-7102.25030100749)</f>
        <v>-7102.250301</v>
      </c>
      <c r="F361" s="3" t="str">
        <f>IFERROR(__xludf.DUMMYFUNCTION("""COMPUTED_VALUE"""),"SOL")</f>
        <v>SOL</v>
      </c>
      <c r="G361" s="3"/>
    </row>
    <row r="362">
      <c r="A362" s="3" t="str">
        <f>IFERROR(__xludf.DUMMYFUNCTION("""COMPUTED_VALUE"""),"2022-07-04T00:00:00Z")</f>
        <v>2022-07-04T00:00:00Z</v>
      </c>
      <c r="B362" s="3">
        <f>IFERROR(__xludf.DUMMYFUNCTION("""COMPUTED_VALUE"""),33.349764)</f>
        <v>33.349764</v>
      </c>
      <c r="C362" s="3">
        <f>IFERROR(__xludf.DUMMYFUNCTION("""COMPUTED_VALUE"""),3.43433379506559E8)</f>
        <v>343433379.5</v>
      </c>
      <c r="D362" s="3">
        <f>IFERROR(__xludf.DUMMYFUNCTION("""COMPUTED_VALUE"""),16772.404075026512)</f>
        <v>16772.40408</v>
      </c>
      <c r="E362" s="3">
        <f>IFERROR(__xludf.DUMMYFUNCTION("""COMPUTED_VALUE"""),559355.7176147725)</f>
        <v>559355.7176</v>
      </c>
      <c r="F362" s="3" t="str">
        <f>IFERROR(__xludf.DUMMYFUNCTION("""COMPUTED_VALUE"""),"SOL")</f>
        <v>SOL</v>
      </c>
      <c r="G362" s="3"/>
    </row>
    <row r="363">
      <c r="A363" s="3" t="str">
        <f>IFERROR(__xludf.DUMMYFUNCTION("""COMPUTED_VALUE"""),"2022-07-05T00:00:00Z")</f>
        <v>2022-07-05T00:00:00Z</v>
      </c>
      <c r="B363" s="3">
        <f>IFERROR(__xludf.DUMMYFUNCTION("""COMPUTED_VALUE"""),36.676903)</f>
        <v>36.676903</v>
      </c>
      <c r="C363" s="3">
        <f>IFERROR(__xludf.DUMMYFUNCTION("""COMPUTED_VALUE"""),3.43144895879142E8)</f>
        <v>343144895.9</v>
      </c>
      <c r="D363" s="3">
        <f>IFERROR(__xludf.DUMMYFUNCTION("""COMPUTED_VALUE"""),-288483.62741702795)</f>
        <v>-288483.6274</v>
      </c>
      <c r="E363" s="3">
        <f>IFERROR(__xludf.DUMMYFUNCTION("""COMPUTED_VALUE"""),-1.0580686019862475E7)</f>
        <v>-10580686.02</v>
      </c>
      <c r="F363" s="3" t="str">
        <f>IFERROR(__xludf.DUMMYFUNCTION("""COMPUTED_VALUE"""),"SOL")</f>
        <v>SOL</v>
      </c>
      <c r="G363" s="3"/>
    </row>
    <row r="364">
      <c r="A364" s="3" t="str">
        <f>IFERROR(__xludf.DUMMYFUNCTION("""COMPUTED_VALUE"""),"2022-07-06T00:00:00Z")</f>
        <v>2022-07-06T00:00:00Z</v>
      </c>
      <c r="B364" s="3">
        <f>IFERROR(__xludf.DUMMYFUNCTION("""COMPUTED_VALUE"""),35.364436)</f>
        <v>35.364436</v>
      </c>
      <c r="C364" s="3">
        <f>IFERROR(__xludf.DUMMYFUNCTION("""COMPUTED_VALUE"""),3.43277336806308E8)</f>
        <v>343277336.8</v>
      </c>
      <c r="D364" s="3">
        <f>IFERROR(__xludf.DUMMYFUNCTION("""COMPUTED_VALUE"""),132440.9271659851)</f>
        <v>132440.9272</v>
      </c>
      <c r="E364" s="3">
        <f>IFERROR(__xludf.DUMMYFUNCTION("""COMPUTED_VALUE"""),4683698.692542141)</f>
        <v>4683698.693</v>
      </c>
      <c r="F364" s="3" t="str">
        <f>IFERROR(__xludf.DUMMYFUNCTION("""COMPUTED_VALUE"""),"SOL")</f>
        <v>SOL</v>
      </c>
      <c r="G364" s="3"/>
    </row>
    <row r="365">
      <c r="A365" s="3" t="str">
        <f>IFERROR(__xludf.DUMMYFUNCTION("""COMPUTED_VALUE"""),"2022-07-07T00:00:00Z")</f>
        <v>2022-07-07T00:00:00Z</v>
      </c>
      <c r="B365" s="3">
        <f>IFERROR(__xludf.DUMMYFUNCTION("""COMPUTED_VALUE"""),37.012435)</f>
        <v>37.012435</v>
      </c>
      <c r="C365" s="3">
        <f>IFERROR(__xludf.DUMMYFUNCTION("""COMPUTED_VALUE"""),3.43806356909818E8)</f>
        <v>343806356.9</v>
      </c>
      <c r="D365" s="3">
        <f>IFERROR(__xludf.DUMMYFUNCTION("""COMPUTED_VALUE"""),529020.1035100222)</f>
        <v>529020.1035</v>
      </c>
      <c r="E365" s="3">
        <f>IFERROR(__xludf.DUMMYFUNCTION("""COMPUTED_VALUE"""),1.958032219485797E7)</f>
        <v>19580322.19</v>
      </c>
      <c r="F365" s="3" t="str">
        <f>IFERROR(__xludf.DUMMYFUNCTION("""COMPUTED_VALUE"""),"SOL")</f>
        <v>SOL</v>
      </c>
      <c r="G365" s="3"/>
    </row>
    <row r="366">
      <c r="A366" s="3" t="str">
        <f>IFERROR(__xludf.DUMMYFUNCTION("""COMPUTED_VALUE"""),"2022-07-08T00:00:00Z")</f>
        <v>2022-07-08T00:00:00Z</v>
      </c>
      <c r="B366" s="3">
        <f>IFERROR(__xludf.DUMMYFUNCTION("""COMPUTED_VALUE"""),38.446775)</f>
        <v>38.446775</v>
      </c>
      <c r="C366" s="3">
        <f>IFERROR(__xludf.DUMMYFUNCTION("""COMPUTED_VALUE"""),3.45108092064429E8)</f>
        <v>345108092.1</v>
      </c>
      <c r="D366" s="3">
        <f>IFERROR(__xludf.DUMMYFUNCTION("""COMPUTED_VALUE"""),1301735.1546109915)</f>
        <v>1301735.155</v>
      </c>
      <c r="E366" s="3">
        <f>IFERROR(__xludf.DUMMYFUNCTION("""COMPUTED_VALUE"""),5.0047518598919004E7)</f>
        <v>50047518.6</v>
      </c>
      <c r="F366" s="3" t="str">
        <f>IFERROR(__xludf.DUMMYFUNCTION("""COMPUTED_VALUE"""),"SOL")</f>
        <v>SOL</v>
      </c>
      <c r="G366" s="3"/>
    </row>
    <row r="367">
      <c r="A367" s="3" t="str">
        <f>IFERROR(__xludf.DUMMYFUNCTION("""COMPUTED_VALUE"""),"2022-07-09T00:00:00Z")</f>
        <v>2022-07-09T00:00:00Z</v>
      </c>
      <c r="B367" s="3">
        <f>IFERROR(__xludf.DUMMYFUNCTION("""COMPUTED_VALUE"""),38.102132)</f>
        <v>38.102132</v>
      </c>
      <c r="C367" s="3">
        <f>IFERROR(__xludf.DUMMYFUNCTION("""COMPUTED_VALUE"""),3.45241087126498E8)</f>
        <v>345241087.1</v>
      </c>
      <c r="D367" s="3">
        <f>IFERROR(__xludf.DUMMYFUNCTION("""COMPUTED_VALUE"""),132995.0620689988)</f>
        <v>132995.0621</v>
      </c>
      <c r="E367" s="3">
        <f>IFERROR(__xludf.DUMMYFUNCTION("""COMPUTED_VALUE"""),5067395.410301185)</f>
        <v>5067395.41</v>
      </c>
      <c r="F367" s="3" t="str">
        <f>IFERROR(__xludf.DUMMYFUNCTION("""COMPUTED_VALUE"""),"SOL")</f>
        <v>SOL</v>
      </c>
      <c r="G367" s="3"/>
    </row>
    <row r="368">
      <c r="A368" s="3" t="str">
        <f>IFERROR(__xludf.DUMMYFUNCTION("""COMPUTED_VALUE"""),"2022-07-10T00:00:00Z")</f>
        <v>2022-07-10T00:00:00Z</v>
      </c>
      <c r="B368" s="3">
        <f>IFERROR(__xludf.DUMMYFUNCTION("""COMPUTED_VALUE"""),38.038791)</f>
        <v>38.038791</v>
      </c>
      <c r="C368" s="3">
        <f>IFERROR(__xludf.DUMMYFUNCTION("""COMPUTED_VALUE"""),3.45276356882607E8)</f>
        <v>345276356.9</v>
      </c>
      <c r="D368" s="3">
        <f>IFERROR(__xludf.DUMMYFUNCTION("""COMPUTED_VALUE"""),35269.75610899925)</f>
        <v>35269.75611</v>
      </c>
      <c r="E368" s="3">
        <f>IFERROR(__xludf.DUMMYFUNCTION("""COMPUTED_VALUE"""),1341618.881251196)</f>
        <v>1341618.881</v>
      </c>
      <c r="F368" s="3" t="str">
        <f>IFERROR(__xludf.DUMMYFUNCTION("""COMPUTED_VALUE"""),"SOL")</f>
        <v>SOL</v>
      </c>
      <c r="G368" s="3"/>
    </row>
    <row r="369">
      <c r="A369" s="3" t="str">
        <f>IFERROR(__xludf.DUMMYFUNCTION("""COMPUTED_VALUE"""),"2022-07-11T00:00:00Z")</f>
        <v>2022-07-11T00:00:00Z</v>
      </c>
      <c r="B369" s="3">
        <f>IFERROR(__xludf.DUMMYFUNCTION("""COMPUTED_VALUE"""),36.684292)</f>
        <v>36.684292</v>
      </c>
      <c r="C369" s="3">
        <f>IFERROR(__xludf.DUMMYFUNCTION("""COMPUTED_VALUE"""),3.45442027724405E8)</f>
        <v>345442027.7</v>
      </c>
      <c r="D369" s="3">
        <f>IFERROR(__xludf.DUMMYFUNCTION("""COMPUTED_VALUE"""),165670.8417980075)</f>
        <v>165670.8418</v>
      </c>
      <c r="E369" s="3">
        <f>IFERROR(__xludf.DUMMYFUNCTION("""COMPUTED_VALUE"""),6077517.536403911)</f>
        <v>6077517.536</v>
      </c>
      <c r="F369" s="3" t="str">
        <f>IFERROR(__xludf.DUMMYFUNCTION("""COMPUTED_VALUE"""),"SOL")</f>
        <v>SOL</v>
      </c>
      <c r="G369" s="3"/>
    </row>
    <row r="370">
      <c r="A370" s="3" t="str">
        <f>IFERROR(__xludf.DUMMYFUNCTION("""COMPUTED_VALUE"""),"2022-07-12T00:00:00Z")</f>
        <v>2022-07-12T00:00:00Z</v>
      </c>
      <c r="B370" s="3">
        <f>IFERROR(__xludf.DUMMYFUNCTION("""COMPUTED_VALUE"""),33.389058)</f>
        <v>33.389058</v>
      </c>
      <c r="C370" s="3">
        <f>IFERROR(__xludf.DUMMYFUNCTION("""COMPUTED_VALUE"""),3.45574842828218E8)</f>
        <v>345574842.8</v>
      </c>
      <c r="D370" s="3">
        <f>IFERROR(__xludf.DUMMYFUNCTION("""COMPUTED_VALUE"""),132815.10381299257)</f>
        <v>132815.1038</v>
      </c>
      <c r="E370" s="3">
        <f>IFERROR(__xludf.DUMMYFUNCTION("""COMPUTED_VALUE"""),4434571.20448803)</f>
        <v>4434571.204</v>
      </c>
      <c r="F370" s="3" t="str">
        <f>IFERROR(__xludf.DUMMYFUNCTION("""COMPUTED_VALUE"""),"SOL")</f>
        <v>SOL</v>
      </c>
      <c r="G370" s="3"/>
    </row>
    <row r="371">
      <c r="A371" s="3" t="str">
        <f>IFERROR(__xludf.DUMMYFUNCTION("""COMPUTED_VALUE"""),"2022-07-13T00:00:00Z")</f>
        <v>2022-07-13T00:00:00Z</v>
      </c>
      <c r="B371" s="3">
        <f>IFERROR(__xludf.DUMMYFUNCTION("""COMPUTED_VALUE"""),32.653743)</f>
        <v>32.653743</v>
      </c>
      <c r="C371" s="3">
        <f>IFERROR(__xludf.DUMMYFUNCTION("""COMPUTED_VALUE"""),3.45574943574904E8)</f>
        <v>345574943.6</v>
      </c>
      <c r="D371" s="3">
        <f>IFERROR(__xludf.DUMMYFUNCTION("""COMPUTED_VALUE"""),100.74668604135513)</f>
        <v>100.746686</v>
      </c>
      <c r="E371" s="3">
        <f>IFERROR(__xludf.DUMMYFUNCTION("""COMPUTED_VALUE"""),3289.7563940960977)</f>
        <v>3289.756394</v>
      </c>
      <c r="F371" s="3" t="str">
        <f>IFERROR(__xludf.DUMMYFUNCTION("""COMPUTED_VALUE"""),"SOL")</f>
        <v>SOL</v>
      </c>
      <c r="G371" s="3"/>
    </row>
    <row r="372">
      <c r="A372" s="3" t="str">
        <f>IFERROR(__xludf.DUMMYFUNCTION("""COMPUTED_VALUE"""),"2022-07-14T00:00:00Z")</f>
        <v>2022-07-14T00:00:00Z</v>
      </c>
      <c r="B372" s="3">
        <f>IFERROR(__xludf.DUMMYFUNCTION("""COMPUTED_VALUE"""),34.91369)</f>
        <v>34.91369</v>
      </c>
      <c r="C372" s="3">
        <f>IFERROR(__xludf.DUMMYFUNCTION("""COMPUTED_VALUE"""),3.45575754381636E8)</f>
        <v>345575754.4</v>
      </c>
      <c r="D372" s="3">
        <f>IFERROR(__xludf.DUMMYFUNCTION("""COMPUTED_VALUE"""),810.8067319989204)</f>
        <v>810.806732</v>
      </c>
      <c r="E372" s="3">
        <f>IFERROR(__xludf.DUMMYFUNCTION("""COMPUTED_VALUE"""),28308.254890923392)</f>
        <v>28308.25489</v>
      </c>
      <c r="F372" s="3" t="str">
        <f>IFERROR(__xludf.DUMMYFUNCTION("""COMPUTED_VALUE"""),"SOL")</f>
        <v>SOL</v>
      </c>
      <c r="G372" s="3"/>
    </row>
    <row r="373">
      <c r="A373" s="3" t="str">
        <f>IFERROR(__xludf.DUMMYFUNCTION("""COMPUTED_VALUE"""),"2022-07-15T00:00:00Z")</f>
        <v>2022-07-15T00:00:00Z</v>
      </c>
      <c r="B373" s="3">
        <f>IFERROR(__xludf.DUMMYFUNCTION("""COMPUTED_VALUE"""),37.111432)</f>
        <v>37.111432</v>
      </c>
      <c r="C373" s="3">
        <f>IFERROR(__xludf.DUMMYFUNCTION("""COMPUTED_VALUE"""),3.45708129301327E8)</f>
        <v>345708129.3</v>
      </c>
      <c r="D373" s="3">
        <f>IFERROR(__xludf.DUMMYFUNCTION("""COMPUTED_VALUE"""),132374.9196909666)</f>
        <v>132374.9197</v>
      </c>
      <c r="E373" s="3">
        <f>IFERROR(__xludf.DUMMYFUNCTION("""COMPUTED_VALUE"""),4912622.830616768)</f>
        <v>4912622.831</v>
      </c>
      <c r="F373" s="3" t="str">
        <f>IFERROR(__xludf.DUMMYFUNCTION("""COMPUTED_VALUE"""),"SOL")</f>
        <v>SOL</v>
      </c>
      <c r="G373" s="3"/>
    </row>
    <row r="374">
      <c r="A374" s="3" t="str">
        <f>IFERROR(__xludf.DUMMYFUNCTION("""COMPUTED_VALUE"""),"2022-07-16T00:00:00Z")</f>
        <v>2022-07-16T00:00:00Z</v>
      </c>
      <c r="B374" s="3">
        <f>IFERROR(__xludf.DUMMYFUNCTION("""COMPUTED_VALUE"""),37.356993)</f>
        <v>37.356993</v>
      </c>
      <c r="C374" s="3">
        <f>IFERROR(__xludf.DUMMYFUNCTION("""COMPUTED_VALUE"""),3.4547034353283E8)</f>
        <v>345470343.5</v>
      </c>
      <c r="D374" s="3">
        <f>IFERROR(__xludf.DUMMYFUNCTION("""COMPUTED_VALUE"""),-237785.7684969902)</f>
        <v>-237785.7685</v>
      </c>
      <c r="E374" s="3">
        <f>IFERROR(__xludf.DUMMYFUNCTION("""COMPUTED_VALUE"""),-8882961.289241685)</f>
        <v>-8882961.289</v>
      </c>
      <c r="F374" s="3" t="str">
        <f>IFERROR(__xludf.DUMMYFUNCTION("""COMPUTED_VALUE"""),"SOL")</f>
        <v>SOL</v>
      </c>
      <c r="G374" s="3"/>
    </row>
    <row r="375">
      <c r="A375" s="3" t="str">
        <f>IFERROR(__xludf.DUMMYFUNCTION("""COMPUTED_VALUE"""),"2022-07-17T00:00:00Z")</f>
        <v>2022-07-17T00:00:00Z</v>
      </c>
      <c r="B375" s="3">
        <f>IFERROR(__xludf.DUMMYFUNCTION("""COMPUTED_VALUE"""),39.578377)</f>
        <v>39.578377</v>
      </c>
      <c r="C375" s="3">
        <f>IFERROR(__xludf.DUMMYFUNCTION("""COMPUTED_VALUE"""),3.45476158521718E8)</f>
        <v>345476158.5</v>
      </c>
      <c r="D375" s="3">
        <f>IFERROR(__xludf.DUMMYFUNCTION("""COMPUTED_VALUE"""),5814.988888025284)</f>
        <v>5814.988888</v>
      </c>
      <c r="E375" s="3">
        <f>IFERROR(__xludf.DUMMYFUNCTION("""COMPUTED_VALUE"""),230147.8224610755)</f>
        <v>230147.8225</v>
      </c>
      <c r="F375" s="3" t="str">
        <f>IFERROR(__xludf.DUMMYFUNCTION("""COMPUTED_VALUE"""),"SOL")</f>
        <v>SOL</v>
      </c>
      <c r="G375" s="3"/>
    </row>
    <row r="376">
      <c r="A376" s="3" t="str">
        <f>IFERROR(__xludf.DUMMYFUNCTION("""COMPUTED_VALUE"""),"2022-07-18T00:00:00Z")</f>
        <v>2022-07-18T00:00:00Z</v>
      </c>
      <c r="B376" s="3">
        <f>IFERROR(__xludf.DUMMYFUNCTION("""COMPUTED_VALUE"""),38.600358)</f>
        <v>38.600358</v>
      </c>
      <c r="C376" s="3">
        <f>IFERROR(__xludf.DUMMYFUNCTION("""COMPUTED_VALUE"""),3.45608799735194E8)</f>
        <v>345608799.7</v>
      </c>
      <c r="D376" s="3">
        <f>IFERROR(__xludf.DUMMYFUNCTION("""COMPUTED_VALUE"""),132641.21347600222)</f>
        <v>132641.2135</v>
      </c>
      <c r="E376" s="3">
        <f>IFERROR(__xludf.DUMMYFUNCTION("""COMPUTED_VALUE"""),5119998.32572811)</f>
        <v>5119998.326</v>
      </c>
      <c r="F376" s="3" t="str">
        <f>IFERROR(__xludf.DUMMYFUNCTION("""COMPUTED_VALUE"""),"SOL")</f>
        <v>SOL</v>
      </c>
      <c r="G376" s="3"/>
    </row>
    <row r="377">
      <c r="A377" s="3" t="str">
        <f>IFERROR(__xludf.DUMMYFUNCTION("""COMPUTED_VALUE"""),"2022-07-19T00:00:00Z")</f>
        <v>2022-07-19T00:00:00Z</v>
      </c>
      <c r="B377" s="3">
        <f>IFERROR(__xludf.DUMMYFUNCTION("""COMPUTED_VALUE"""),43.531277)</f>
        <v>43.531277</v>
      </c>
      <c r="C377" s="3">
        <f>IFERROR(__xludf.DUMMYFUNCTION("""COMPUTED_VALUE"""),3.45608139292671E8)</f>
        <v>345608139.3</v>
      </c>
      <c r="D377" s="3">
        <f>IFERROR(__xludf.DUMMYFUNCTION("""COMPUTED_VALUE"""),-660.4425230026245)</f>
        <v>-660.442523</v>
      </c>
      <c r="E377" s="3">
        <f>IFERROR(__xludf.DUMMYFUNCTION("""COMPUTED_VALUE"""),-28749.906411406122)</f>
        <v>-28749.90641</v>
      </c>
      <c r="F377" s="3" t="str">
        <f>IFERROR(__xludf.DUMMYFUNCTION("""COMPUTED_VALUE"""),"SOL")</f>
        <v>SOL</v>
      </c>
      <c r="G377" s="3"/>
    </row>
    <row r="378">
      <c r="A378" s="3" t="str">
        <f>IFERROR(__xludf.DUMMYFUNCTION("""COMPUTED_VALUE"""),"2022-07-20T00:00:00Z")</f>
        <v>2022-07-20T00:00:00Z</v>
      </c>
      <c r="B378" s="3">
        <f>IFERROR(__xludf.DUMMYFUNCTION("""COMPUTED_VALUE"""),44.863098)</f>
        <v>44.863098</v>
      </c>
      <c r="C378" s="3">
        <f>IFERROR(__xludf.DUMMYFUNCTION("""COMPUTED_VALUE"""),3.45607441746432E8)</f>
        <v>345607441.7</v>
      </c>
      <c r="D378" s="3">
        <f>IFERROR(__xludf.DUMMYFUNCTION("""COMPUTED_VALUE"""),-697.5462390184402)</f>
        <v>-697.546239</v>
      </c>
      <c r="E378" s="3">
        <f>IFERROR(__xludf.DUMMYFUNCTION("""COMPUTED_VALUE"""),-31294.08528061571)</f>
        <v>-31294.08528</v>
      </c>
      <c r="F378" s="3" t="str">
        <f>IFERROR(__xludf.DUMMYFUNCTION("""COMPUTED_VALUE"""),"SOL")</f>
        <v>SOL</v>
      </c>
      <c r="G378" s="3"/>
    </row>
    <row r="379">
      <c r="A379" s="3" t="str">
        <f>IFERROR(__xludf.DUMMYFUNCTION("""COMPUTED_VALUE"""),"2022-07-21T00:00:00Z")</f>
        <v>2022-07-21T00:00:00Z</v>
      </c>
      <c r="B379" s="3">
        <f>IFERROR(__xludf.DUMMYFUNCTION("""COMPUTED_VALUE"""),42.03319)</f>
        <v>42.03319</v>
      </c>
      <c r="C379" s="3">
        <f>IFERROR(__xludf.DUMMYFUNCTION("""COMPUTED_VALUE"""),3.45745513080164E8)</f>
        <v>345745513.1</v>
      </c>
      <c r="D379" s="3">
        <f>IFERROR(__xludf.DUMMYFUNCTION("""COMPUTED_VALUE"""),138071.33373200893)</f>
        <v>138071.3337</v>
      </c>
      <c r="E379" s="3">
        <f>IFERROR(__xludf.DUMMYFUNCTION("""COMPUTED_VALUE"""),5803578.60431094)</f>
        <v>5803578.604</v>
      </c>
      <c r="F379" s="3" t="str">
        <f>IFERROR(__xludf.DUMMYFUNCTION("""COMPUTED_VALUE"""),"SOL")</f>
        <v>SOL</v>
      </c>
      <c r="G379" s="3"/>
    </row>
    <row r="380">
      <c r="A380" s="3" t="str">
        <f>IFERROR(__xludf.DUMMYFUNCTION("""COMPUTED_VALUE"""),"2022-07-22T00:00:00Z")</f>
        <v>2022-07-22T00:00:00Z</v>
      </c>
      <c r="B380" s="3">
        <f>IFERROR(__xludf.DUMMYFUNCTION("""COMPUTED_VALUE"""),43.106726)</f>
        <v>43.106726</v>
      </c>
      <c r="C380" s="3">
        <f>IFERROR(__xludf.DUMMYFUNCTION("""COMPUTED_VALUE"""),3.45762618967499E8)</f>
        <v>345762619</v>
      </c>
      <c r="D380" s="3">
        <f>IFERROR(__xludf.DUMMYFUNCTION("""COMPUTED_VALUE"""),17105.887335002422)</f>
        <v>17105.88734</v>
      </c>
      <c r="E380" s="3">
        <f>IFERROR(__xludf.DUMMYFUNCTION("""COMPUTED_VALUE"""),737378.7983368196)</f>
        <v>737378.7983</v>
      </c>
      <c r="F380" s="3" t="str">
        <f>IFERROR(__xludf.DUMMYFUNCTION("""COMPUTED_VALUE"""),"SOL")</f>
        <v>SOL</v>
      </c>
      <c r="G380" s="3"/>
    </row>
    <row r="381">
      <c r="A381" s="3" t="str">
        <f>IFERROR(__xludf.DUMMYFUNCTION("""COMPUTED_VALUE"""),"2022-07-23T00:00:00Z")</f>
        <v>2022-07-23T00:00:00Z</v>
      </c>
      <c r="B381" s="3">
        <f>IFERROR(__xludf.DUMMYFUNCTION("""COMPUTED_VALUE"""),40.504191)</f>
        <v>40.504191</v>
      </c>
      <c r="C381" s="3">
        <f>IFERROR(__xludf.DUMMYFUNCTION("""COMPUTED_VALUE"""),3.45761905788783E8)</f>
        <v>345761905.8</v>
      </c>
      <c r="D381" s="3">
        <f>IFERROR(__xludf.DUMMYFUNCTION("""COMPUTED_VALUE"""),-713.1787160038948)</f>
        <v>-713.178716</v>
      </c>
      <c r="E381" s="3">
        <f>IFERROR(__xludf.DUMMYFUNCTION("""COMPUTED_VALUE"""),-28886.72693015651)</f>
        <v>-28886.72693</v>
      </c>
      <c r="F381" s="3" t="str">
        <f>IFERROR(__xludf.DUMMYFUNCTION("""COMPUTED_VALUE"""),"SOL")</f>
        <v>SOL</v>
      </c>
      <c r="G381" s="3"/>
    </row>
    <row r="382">
      <c r="A382" s="3" t="str">
        <f>IFERROR(__xludf.DUMMYFUNCTION("""COMPUTED_VALUE"""),"2022-07-24T00:00:00Z")</f>
        <v>2022-07-24T00:00:00Z</v>
      </c>
      <c r="B382" s="3">
        <f>IFERROR(__xludf.DUMMYFUNCTION("""COMPUTED_VALUE"""),39.922034)</f>
        <v>39.922034</v>
      </c>
      <c r="C382" s="3">
        <f>IFERROR(__xludf.DUMMYFUNCTION("""COMPUTED_VALUE"""),3.45893428328752E8)</f>
        <v>345893428.3</v>
      </c>
      <c r="D382" s="3">
        <f>IFERROR(__xludf.DUMMYFUNCTION("""COMPUTED_VALUE"""),131522.53996896744)</f>
        <v>131522.54</v>
      </c>
      <c r="E382" s="3">
        <f>IFERROR(__xludf.DUMMYFUNCTION("""COMPUTED_VALUE"""),5250647.312407477)</f>
        <v>5250647.312</v>
      </c>
      <c r="F382" s="3" t="str">
        <f>IFERROR(__xludf.DUMMYFUNCTION("""COMPUTED_VALUE"""),"SOL")</f>
        <v>SOL</v>
      </c>
      <c r="G382" s="3"/>
    </row>
    <row r="383">
      <c r="A383" s="3" t="str">
        <f>IFERROR(__xludf.DUMMYFUNCTION("""COMPUTED_VALUE"""),"2022-07-25T00:00:00Z")</f>
        <v>2022-07-25T00:00:00Z</v>
      </c>
      <c r="B383" s="3">
        <f>IFERROR(__xludf.DUMMYFUNCTION("""COMPUTED_VALUE"""),40.926554)</f>
        <v>40.926554</v>
      </c>
      <c r="C383" s="3">
        <f>IFERROR(__xludf.DUMMYFUNCTION("""COMPUTED_VALUE"""),3.4589279526088E8)</f>
        <v>345892795.3</v>
      </c>
      <c r="D383" s="3">
        <f>IFERROR(__xludf.DUMMYFUNCTION("""COMPUTED_VALUE"""),-633.0678719878197)</f>
        <v>-633.067872</v>
      </c>
      <c r="E383" s="3">
        <f>IFERROR(__xludf.DUMMYFUNCTION("""COMPUTED_VALUE"""),-25909.286448574592)</f>
        <v>-25909.28645</v>
      </c>
      <c r="F383" s="3" t="str">
        <f>IFERROR(__xludf.DUMMYFUNCTION("""COMPUTED_VALUE"""),"SOL")</f>
        <v>SOL</v>
      </c>
      <c r="G383" s="3"/>
    </row>
    <row r="384">
      <c r="A384" s="3" t="str">
        <f>IFERROR(__xludf.DUMMYFUNCTION("""COMPUTED_VALUE"""),"2022-07-26T00:00:00Z")</f>
        <v>2022-07-26T00:00:00Z</v>
      </c>
      <c r="B384" s="3">
        <f>IFERROR(__xludf.DUMMYFUNCTION("""COMPUTED_VALUE"""),36.655783)</f>
        <v>36.655783</v>
      </c>
      <c r="C384" s="3">
        <f>IFERROR(__xludf.DUMMYFUNCTION("""COMPUTED_VALUE"""),3.45896650953038E8)</f>
        <v>345896651</v>
      </c>
      <c r="D384" s="3">
        <f>IFERROR(__xludf.DUMMYFUNCTION("""COMPUTED_VALUE"""),3855.69215798378)</f>
        <v>3855.692158</v>
      </c>
      <c r="E384" s="3">
        <f>IFERROR(__xludf.DUMMYFUNCTION("""COMPUTED_VALUE"""),141333.41505785516)</f>
        <v>141333.4151</v>
      </c>
      <c r="F384" s="3" t="str">
        <f>IFERROR(__xludf.DUMMYFUNCTION("""COMPUTED_VALUE"""),"SOL")</f>
        <v>SOL</v>
      </c>
      <c r="G384" s="3"/>
    </row>
    <row r="385">
      <c r="A385" s="3" t="str">
        <f>IFERROR(__xludf.DUMMYFUNCTION("""COMPUTED_VALUE"""),"2022-07-27T00:00:00Z")</f>
        <v>2022-07-27T00:00:00Z</v>
      </c>
      <c r="B385" s="3">
        <f>IFERROR(__xludf.DUMMYFUNCTION("""COMPUTED_VALUE"""),36.273582)</f>
        <v>36.273582</v>
      </c>
      <c r="C385" s="3">
        <f>IFERROR(__xludf.DUMMYFUNCTION("""COMPUTED_VALUE"""),3.46028772251411E8)</f>
        <v>346028772.3</v>
      </c>
      <c r="D385" s="3">
        <f>IFERROR(__xludf.DUMMYFUNCTION("""COMPUTED_VALUE"""),132121.29837304354)</f>
        <v>132121.2984</v>
      </c>
      <c r="E385" s="3">
        <f>IFERROR(__xludf.DUMMYFUNCTION("""COMPUTED_VALUE"""),4792512.750481061)</f>
        <v>4792512.75</v>
      </c>
      <c r="F385" s="3" t="str">
        <f>IFERROR(__xludf.DUMMYFUNCTION("""COMPUTED_VALUE"""),"SOL")</f>
        <v>SOL</v>
      </c>
      <c r="G385" s="3"/>
    </row>
    <row r="386">
      <c r="A386" s="3" t="str">
        <f>IFERROR(__xludf.DUMMYFUNCTION("""COMPUTED_VALUE"""),"2022-07-28T00:00:00Z")</f>
        <v>2022-07-28T00:00:00Z</v>
      </c>
      <c r="B386" s="3">
        <f>IFERROR(__xludf.DUMMYFUNCTION("""COMPUTED_VALUE"""),40.297288)</f>
        <v>40.297288</v>
      </c>
      <c r="C386" s="3">
        <f>IFERROR(__xludf.DUMMYFUNCTION("""COMPUTED_VALUE"""),3.46028126103174E8)</f>
        <v>346028126.1</v>
      </c>
      <c r="D386" s="3">
        <f>IFERROR(__xludf.DUMMYFUNCTION("""COMPUTED_VALUE"""),-646.1482370495796)</f>
        <v>-646.148237</v>
      </c>
      <c r="E386" s="3">
        <f>IFERROR(__xludf.DUMMYFUNCTION("""COMPUTED_VALUE"""),-26038.02159907918)</f>
        <v>-26038.0216</v>
      </c>
      <c r="F386" s="3" t="str">
        <f>IFERROR(__xludf.DUMMYFUNCTION("""COMPUTED_VALUE"""),"SOL")</f>
        <v>SOL</v>
      </c>
      <c r="G386" s="3"/>
    </row>
    <row r="387">
      <c r="A387" s="3" t="str">
        <f>IFERROR(__xludf.DUMMYFUNCTION("""COMPUTED_VALUE"""),"2022-07-29T00:00:00Z")</f>
        <v>2022-07-29T00:00:00Z</v>
      </c>
      <c r="B387" s="3">
        <f>IFERROR(__xludf.DUMMYFUNCTION("""COMPUTED_VALUE"""),42.941617)</f>
        <v>42.941617</v>
      </c>
      <c r="C387" s="3">
        <f>IFERROR(__xludf.DUMMYFUNCTION("""COMPUTED_VALUE"""),3.46027384154124E8)</f>
        <v>346027384.2</v>
      </c>
      <c r="D387" s="3">
        <f>IFERROR(__xludf.DUMMYFUNCTION("""COMPUTED_VALUE"""),-741.949049949646)</f>
        <v>-741.9490499</v>
      </c>
      <c r="E387" s="3">
        <f>IFERROR(__xludf.DUMMYFUNCTION("""COMPUTED_VALUE"""),-31860.49193645157)</f>
        <v>-31860.49194</v>
      </c>
      <c r="F387" s="3" t="str">
        <f>IFERROR(__xludf.DUMMYFUNCTION("""COMPUTED_VALUE"""),"SOL")</f>
        <v>SOL</v>
      </c>
      <c r="G387" s="3"/>
    </row>
    <row r="388">
      <c r="A388" s="3" t="str">
        <f>IFERROR(__xludf.DUMMYFUNCTION("""COMPUTED_VALUE"""),"2022-07-30T00:00:00Z")</f>
        <v>2022-07-30T00:00:00Z</v>
      </c>
      <c r="B388" s="3">
        <f>IFERROR(__xludf.DUMMYFUNCTION("""COMPUTED_VALUE"""),41.940819)</f>
        <v>41.940819</v>
      </c>
      <c r="C388" s="3">
        <f>IFERROR(__xludf.DUMMYFUNCTION("""COMPUTED_VALUE"""),3.46159898165344E8)</f>
        <v>346159898.2</v>
      </c>
      <c r="D388" s="3">
        <f>IFERROR(__xludf.DUMMYFUNCTION("""COMPUTED_VALUE"""),132514.01121997833)</f>
        <v>132514.0112</v>
      </c>
      <c r="E388" s="3">
        <f>IFERROR(__xludf.DUMMYFUNCTION("""COMPUTED_VALUE"""),5557746.15954108)</f>
        <v>5557746.16</v>
      </c>
      <c r="F388" s="3" t="str">
        <f>IFERROR(__xludf.DUMMYFUNCTION("""COMPUTED_VALUE"""),"SOL")</f>
        <v>SOL</v>
      </c>
      <c r="G388" s="3"/>
    </row>
    <row r="389">
      <c r="A389" s="3" t="str">
        <f>IFERROR(__xludf.DUMMYFUNCTION("""COMPUTED_VALUE"""),"2022-07-31T00:00:00Z")</f>
        <v>2022-07-31T00:00:00Z</v>
      </c>
      <c r="B389" s="3">
        <f>IFERROR(__xludf.DUMMYFUNCTION("""COMPUTED_VALUE"""),43.846939)</f>
        <v>43.846939</v>
      </c>
      <c r="C389" s="3">
        <f>IFERROR(__xludf.DUMMYFUNCTION("""COMPUTED_VALUE"""),3.4615919429646E8)</f>
        <v>346159194.3</v>
      </c>
      <c r="D389" s="3">
        <f>IFERROR(__xludf.DUMMYFUNCTION("""COMPUTED_VALUE"""),-703.8688840270042)</f>
        <v>-703.868884</v>
      </c>
      <c r="E389" s="3">
        <f>IFERROR(__xludf.DUMMYFUNCTION("""COMPUTED_VALUE"""),-30862.49602193013)</f>
        <v>-30862.49602</v>
      </c>
      <c r="F389" s="3" t="str">
        <f>IFERROR(__xludf.DUMMYFUNCTION("""COMPUTED_VALUE"""),"SOL")</f>
        <v>SOL</v>
      </c>
      <c r="G389" s="3"/>
    </row>
    <row r="390">
      <c r="A390" s="3" t="str">
        <f>IFERROR(__xludf.DUMMYFUNCTION("""COMPUTED_VALUE"""),"2022-08-01T00:00:00Z")</f>
        <v>2022-08-01T00:00:00Z</v>
      </c>
      <c r="B390" s="3">
        <f>IFERROR(__xludf.DUMMYFUNCTION("""COMPUTED_VALUE"""),42.357566)</f>
        <v>42.357566</v>
      </c>
      <c r="C390" s="3">
        <f>IFERROR(__xludf.DUMMYFUNCTION("""COMPUTED_VALUE"""),3.46520527292569E8)</f>
        <v>346520527.3</v>
      </c>
      <c r="D390" s="3">
        <f>IFERROR(__xludf.DUMMYFUNCTION("""COMPUTED_VALUE"""),361332.9961090088)</f>
        <v>361332.9961</v>
      </c>
      <c r="E390" s="3">
        <f>IFERROR(__xludf.DUMMYFUNCTION("""COMPUTED_VALUE"""),1.5305186230665082E7)</f>
        <v>15305186.23</v>
      </c>
      <c r="F390" s="3" t="str">
        <f>IFERROR(__xludf.DUMMYFUNCTION("""COMPUTED_VALUE"""),"SOL")</f>
        <v>SOL</v>
      </c>
      <c r="G390" s="3"/>
    </row>
    <row r="391">
      <c r="A391" s="3" t="str">
        <f>IFERROR(__xludf.DUMMYFUNCTION("""COMPUTED_VALUE"""),"2022-08-02T00:00:00Z")</f>
        <v>2022-08-02T00:00:00Z</v>
      </c>
      <c r="B391" s="3">
        <f>IFERROR(__xludf.DUMMYFUNCTION("""COMPUTED_VALUE"""),41.620507)</f>
        <v>41.620507</v>
      </c>
      <c r="C391" s="3">
        <f>IFERROR(__xludf.DUMMYFUNCTION("""COMPUTED_VALUE"""),3.46519845755235E8)</f>
        <v>346519845.8</v>
      </c>
      <c r="D391" s="3">
        <f>IFERROR(__xludf.DUMMYFUNCTION("""COMPUTED_VALUE"""),-681.5373339653015)</f>
        <v>-681.537334</v>
      </c>
      <c r="E391" s="3">
        <f>IFERROR(__xludf.DUMMYFUNCTION("""COMPUTED_VALUE"""),-28365.92937906417)</f>
        <v>-28365.92938</v>
      </c>
      <c r="F391" s="3" t="str">
        <f>IFERROR(__xludf.DUMMYFUNCTION("""COMPUTED_VALUE"""),"SOL")</f>
        <v>SOL</v>
      </c>
      <c r="G391" s="3"/>
    </row>
    <row r="392">
      <c r="A392" s="3" t="str">
        <f>IFERROR(__xludf.DUMMYFUNCTION("""COMPUTED_VALUE"""),"2022-08-03T00:00:00Z")</f>
        <v>2022-08-03T00:00:00Z</v>
      </c>
      <c r="B392" s="3">
        <f>IFERROR(__xludf.DUMMYFUNCTION("""COMPUTED_VALUE"""),39.799312)</f>
        <v>39.799312</v>
      </c>
      <c r="C392" s="3">
        <f>IFERROR(__xludf.DUMMYFUNCTION("""COMPUTED_VALUE"""),3.46652443511433E8)</f>
        <v>346652443.5</v>
      </c>
      <c r="D392" s="3">
        <f>IFERROR(__xludf.DUMMYFUNCTION("""COMPUTED_VALUE"""),132597.756197989)</f>
        <v>132597.7562</v>
      </c>
      <c r="E392" s="3">
        <f>IFERROR(__xludf.DUMMYFUNCTION("""COMPUTED_VALUE"""),5277299.469423697)</f>
        <v>5277299.469</v>
      </c>
      <c r="F392" s="3" t="str">
        <f>IFERROR(__xludf.DUMMYFUNCTION("""COMPUTED_VALUE"""),"SOL")</f>
        <v>SOL</v>
      </c>
      <c r="G392" s="3"/>
    </row>
    <row r="393">
      <c r="A393" s="3" t="str">
        <f>IFERROR(__xludf.DUMMYFUNCTION("""COMPUTED_VALUE"""),"2022-08-04T00:00:00Z")</f>
        <v>2022-08-04T00:00:00Z</v>
      </c>
      <c r="B393" s="3">
        <f>IFERROR(__xludf.DUMMYFUNCTION("""COMPUTED_VALUE"""),38.572518)</f>
        <v>38.572518</v>
      </c>
      <c r="C393" s="3">
        <f>IFERROR(__xludf.DUMMYFUNCTION("""COMPUTED_VALUE"""),3.46339196906434E8)</f>
        <v>346339196.9</v>
      </c>
      <c r="D393" s="3">
        <f>IFERROR(__xludf.DUMMYFUNCTION("""COMPUTED_VALUE"""),-313246.6049990058)</f>
        <v>-313246.605</v>
      </c>
      <c r="E393" s="3">
        <f>IFERROR(__xludf.DUMMYFUNCTION("""COMPUTED_VALUE"""),-1.2082710309763042E7)</f>
        <v>-12082710.31</v>
      </c>
      <c r="F393" s="3" t="str">
        <f>IFERROR(__xludf.DUMMYFUNCTION("""COMPUTED_VALUE"""),"SOL")</f>
        <v>SOL</v>
      </c>
      <c r="G393" s="3"/>
    </row>
    <row r="394">
      <c r="A394" s="3" t="str">
        <f>IFERROR(__xludf.DUMMYFUNCTION("""COMPUTED_VALUE"""),"2022-08-05T00:00:00Z")</f>
        <v>2022-08-05T00:00:00Z</v>
      </c>
      <c r="B394" s="3">
        <f>IFERROR(__xludf.DUMMYFUNCTION("""COMPUTED_VALUE"""),38.81351)</f>
        <v>38.81351</v>
      </c>
      <c r="C394" s="3">
        <f>IFERROR(__xludf.DUMMYFUNCTION("""COMPUTED_VALUE"""),3.46472319309739E8)</f>
        <v>346472319.3</v>
      </c>
      <c r="D394" s="3">
        <f>IFERROR(__xludf.DUMMYFUNCTION("""COMPUTED_VALUE"""),133122.4033049941)</f>
        <v>133122.4033</v>
      </c>
      <c r="E394" s="3">
        <f>IFERROR(__xludf.DUMMYFUNCTION("""COMPUTED_VALUE"""),5166947.731902421)</f>
        <v>5166947.732</v>
      </c>
      <c r="F394" s="3" t="str">
        <f>IFERROR(__xludf.DUMMYFUNCTION("""COMPUTED_VALUE"""),"SOL")</f>
        <v>SOL</v>
      </c>
      <c r="G394" s="3"/>
    </row>
    <row r="395">
      <c r="A395" s="3" t="str">
        <f>IFERROR(__xludf.DUMMYFUNCTION("""COMPUTED_VALUE"""),"2022-08-06T00:00:00Z")</f>
        <v>2022-08-06T00:00:00Z</v>
      </c>
      <c r="B395" s="3">
        <f>IFERROR(__xludf.DUMMYFUNCTION("""COMPUTED_VALUE"""),40.611819)</f>
        <v>40.611819</v>
      </c>
      <c r="C395" s="3">
        <f>IFERROR(__xludf.DUMMYFUNCTION("""COMPUTED_VALUE"""),3.46471544157969E8)</f>
        <v>346471544.2</v>
      </c>
      <c r="D395" s="3">
        <f>IFERROR(__xludf.DUMMYFUNCTION("""COMPUTED_VALUE"""),-775.1517699956894)</f>
        <v>-775.15177</v>
      </c>
      <c r="E395" s="3">
        <f>IFERROR(__xludf.DUMMYFUNCTION("""COMPUTED_VALUE"""),-31480.323380594567)</f>
        <v>-31480.32338</v>
      </c>
      <c r="F395" s="3" t="str">
        <f>IFERROR(__xludf.DUMMYFUNCTION("""COMPUTED_VALUE"""),"SOL")</f>
        <v>SOL</v>
      </c>
      <c r="G395" s="3"/>
    </row>
    <row r="396">
      <c r="A396" s="3" t="str">
        <f>IFERROR(__xludf.DUMMYFUNCTION("""COMPUTED_VALUE"""),"2022-08-07T00:00:00Z")</f>
        <v>2022-08-07T00:00:00Z</v>
      </c>
      <c r="B396" s="3">
        <f>IFERROR(__xludf.DUMMYFUNCTION("""COMPUTED_VALUE"""),40.058646)</f>
        <v>40.058646</v>
      </c>
      <c r="C396" s="3">
        <f>IFERROR(__xludf.DUMMYFUNCTION("""COMPUTED_VALUE"""),3.4697191196546E8)</f>
        <v>346971912</v>
      </c>
      <c r="D396" s="3">
        <f>IFERROR(__xludf.DUMMYFUNCTION("""COMPUTED_VALUE"""),500367.80749100447)</f>
        <v>500367.8075</v>
      </c>
      <c r="E396" s="3">
        <f>IFERROR(__xludf.DUMMYFUNCTION("""COMPUTED_VALUE"""),2.00440568700783E7)</f>
        <v>20044056.87</v>
      </c>
      <c r="F396" s="3" t="str">
        <f>IFERROR(__xludf.DUMMYFUNCTION("""COMPUTED_VALUE"""),"SOL")</f>
        <v>SOL</v>
      </c>
      <c r="G396" s="3"/>
    </row>
    <row r="397">
      <c r="A397" s="3" t="str">
        <f>IFERROR(__xludf.DUMMYFUNCTION("""COMPUTED_VALUE"""),"2022-08-08T00:00:00Z")</f>
        <v>2022-08-08T00:00:00Z</v>
      </c>
      <c r="B397" s="3">
        <f>IFERROR(__xludf.DUMMYFUNCTION("""COMPUTED_VALUE"""),40.618018)</f>
        <v>40.618018</v>
      </c>
      <c r="C397" s="3">
        <f>IFERROR(__xludf.DUMMYFUNCTION("""COMPUTED_VALUE"""),3.48407365720977E8)</f>
        <v>348407365.7</v>
      </c>
      <c r="D397" s="3">
        <f>IFERROR(__xludf.DUMMYFUNCTION("""COMPUTED_VALUE"""),1435453.755517006)</f>
        <v>1435453.756</v>
      </c>
      <c r="E397" s="3">
        <f>IFERROR(__xludf.DUMMYFUNCTION("""COMPUTED_VALUE"""),5.8305286479757346E7)</f>
        <v>58305286.48</v>
      </c>
      <c r="F397" s="3" t="str">
        <f>IFERROR(__xludf.DUMMYFUNCTION("""COMPUTED_VALUE"""),"SOL")</f>
        <v>SOL</v>
      </c>
      <c r="G397" s="3"/>
    </row>
    <row r="398">
      <c r="A398" s="3" t="str">
        <f>IFERROR(__xludf.DUMMYFUNCTION("""COMPUTED_VALUE"""),"2022-08-09T00:00:00Z")</f>
        <v>2022-08-09T00:00:00Z</v>
      </c>
      <c r="B398" s="3">
        <f>IFERROR(__xludf.DUMMYFUNCTION("""COMPUTED_VALUE"""),42.179469)</f>
        <v>42.179469</v>
      </c>
      <c r="C398" s="3">
        <f>IFERROR(__xludf.DUMMYFUNCTION("""COMPUTED_VALUE"""),3.4840664269399E8)</f>
        <v>348406642.7</v>
      </c>
      <c r="D398" s="3">
        <f>IFERROR(__xludf.DUMMYFUNCTION("""COMPUTED_VALUE"""),-723.026987016201)</f>
        <v>-723.026987</v>
      </c>
      <c r="E398" s="3">
        <f>IFERROR(__xludf.DUMMYFUNCTION("""COMPUTED_VALUE"""),-30496.894385013253)</f>
        <v>-30496.89439</v>
      </c>
      <c r="F398" s="3" t="str">
        <f>IFERROR(__xludf.DUMMYFUNCTION("""COMPUTED_VALUE"""),"SOL")</f>
        <v>SOL</v>
      </c>
      <c r="G398" s="3"/>
    </row>
    <row r="399">
      <c r="A399" s="3" t="str">
        <f>IFERROR(__xludf.DUMMYFUNCTION("""COMPUTED_VALUE"""),"2022-08-10T00:00:00Z")</f>
        <v>2022-08-10T00:00:00Z</v>
      </c>
      <c r="B399" s="3">
        <f>IFERROR(__xludf.DUMMYFUNCTION("""COMPUTED_VALUE"""),40.337737)</f>
        <v>40.337737</v>
      </c>
      <c r="C399" s="3">
        <f>IFERROR(__xludf.DUMMYFUNCTION("""COMPUTED_VALUE"""),3.48408342456003E8)</f>
        <v>348408342.5</v>
      </c>
      <c r="D399" s="3">
        <f>IFERROR(__xludf.DUMMYFUNCTION("""COMPUTED_VALUE"""),1699.7620130181313)</f>
        <v>1699.762013</v>
      </c>
      <c r="E399" s="3">
        <f>IFERROR(__xludf.DUMMYFUNCTION("""COMPUTED_VALUE"""),68564.55304371595)</f>
        <v>68564.55304</v>
      </c>
      <c r="F399" s="3" t="str">
        <f>IFERROR(__xludf.DUMMYFUNCTION("""COMPUTED_VALUE"""),"SOL")</f>
        <v>SOL</v>
      </c>
      <c r="G399" s="3"/>
    </row>
    <row r="400">
      <c r="A400" s="3" t="str">
        <f>IFERROR(__xludf.DUMMYFUNCTION("""COMPUTED_VALUE"""),"2022-08-11T00:00:00Z")</f>
        <v>2022-08-11T00:00:00Z</v>
      </c>
      <c r="B400" s="3">
        <f>IFERROR(__xludf.DUMMYFUNCTION("""COMPUTED_VALUE"""),42.470703)</f>
        <v>42.470703</v>
      </c>
      <c r="C400" s="3">
        <f>IFERROR(__xludf.DUMMYFUNCTION("""COMPUTED_VALUE"""),3.4857399262384E8)</f>
        <v>348573992.6</v>
      </c>
      <c r="D400" s="3">
        <f>IFERROR(__xludf.DUMMYFUNCTION("""COMPUTED_VALUE"""),165650.16783696413)</f>
        <v>165650.1678</v>
      </c>
      <c r="E400" s="3">
        <f>IFERROR(__xludf.DUMMYFUNCTION("""COMPUTED_VALUE"""),7035279.0801038565)</f>
        <v>7035279.08</v>
      </c>
      <c r="F400" s="3" t="str">
        <f>IFERROR(__xludf.DUMMYFUNCTION("""COMPUTED_VALUE"""),"SOL")</f>
        <v>SOL</v>
      </c>
      <c r="G400" s="3"/>
    </row>
    <row r="401">
      <c r="A401" s="3" t="str">
        <f>IFERROR(__xludf.DUMMYFUNCTION("""COMPUTED_VALUE"""),"2022-08-12T00:00:00Z")</f>
        <v>2022-08-12T00:00:00Z</v>
      </c>
      <c r="B401" s="3">
        <f>IFERROR(__xludf.DUMMYFUNCTION("""COMPUTED_VALUE"""),42.795253)</f>
        <v>42.795253</v>
      </c>
      <c r="C401" s="3">
        <f>IFERROR(__xludf.DUMMYFUNCTION("""COMPUTED_VALUE"""),3.4870691519817E8)</f>
        <v>348706915.2</v>
      </c>
      <c r="D401" s="3">
        <f>IFERROR(__xludf.DUMMYFUNCTION("""COMPUTED_VALUE"""),132922.57433003187)</f>
        <v>132922.5743</v>
      </c>
      <c r="E401" s="3">
        <f>IFERROR(__xludf.DUMMYFUNCTION("""COMPUTED_VALUE"""),5688455.19786502)</f>
        <v>5688455.198</v>
      </c>
      <c r="F401" s="3" t="str">
        <f>IFERROR(__xludf.DUMMYFUNCTION("""COMPUTED_VALUE"""),"SOL")</f>
        <v>SOL</v>
      </c>
      <c r="G401" s="3"/>
    </row>
    <row r="402">
      <c r="A402" s="3" t="str">
        <f>IFERROR(__xludf.DUMMYFUNCTION("""COMPUTED_VALUE"""),"2022-08-13T00:00:00Z")</f>
        <v>2022-08-13T00:00:00Z</v>
      </c>
      <c r="B402" s="3">
        <f>IFERROR(__xludf.DUMMYFUNCTION("""COMPUTED_VALUE"""),45.518287)</f>
        <v>45.518287</v>
      </c>
      <c r="C402" s="3">
        <f>IFERROR(__xludf.DUMMYFUNCTION("""COMPUTED_VALUE"""),3.48706210496568E8)</f>
        <v>348706210.5</v>
      </c>
      <c r="D402" s="3">
        <f>IFERROR(__xludf.DUMMYFUNCTION("""COMPUTED_VALUE"""),-704.7016019821167)</f>
        <v>-704.701602</v>
      </c>
      <c r="E402" s="3">
        <f>IFERROR(__xludf.DUMMYFUNCTION("""COMPUTED_VALUE"""),-32076.809768381758)</f>
        <v>-32076.80977</v>
      </c>
      <c r="F402" s="3" t="str">
        <f>IFERROR(__xludf.DUMMYFUNCTION("""COMPUTED_VALUE"""),"SOL")</f>
        <v>SOL</v>
      </c>
      <c r="G402" s="3"/>
    </row>
    <row r="403">
      <c r="A403" s="3" t="str">
        <f>IFERROR(__xludf.DUMMYFUNCTION("""COMPUTED_VALUE"""),"2022-08-14T00:00:00Z")</f>
        <v>2022-08-14T00:00:00Z</v>
      </c>
      <c r="B403" s="3">
        <f>IFERROR(__xludf.DUMMYFUNCTION("""COMPUTED_VALUE"""),46.619111)</f>
        <v>46.619111</v>
      </c>
      <c r="C403" s="3">
        <f>IFERROR(__xludf.DUMMYFUNCTION("""COMPUTED_VALUE"""),3.48705545319633E8)</f>
        <v>348705545.3</v>
      </c>
      <c r="D403" s="3">
        <f>IFERROR(__xludf.DUMMYFUNCTION("""COMPUTED_VALUE"""),-665.1769350171089)</f>
        <v>-665.176935</v>
      </c>
      <c r="E403" s="3">
        <f>IFERROR(__xludf.DUMMYFUNCTION("""COMPUTED_VALUE"""),-31009.957368202384)</f>
        <v>-31009.95737</v>
      </c>
      <c r="F403" s="3" t="str">
        <f>IFERROR(__xludf.DUMMYFUNCTION("""COMPUTED_VALUE"""),"SOL")</f>
        <v>SOL</v>
      </c>
      <c r="G403" s="3"/>
    </row>
    <row r="404">
      <c r="A404" s="3" t="str">
        <f>IFERROR(__xludf.DUMMYFUNCTION("""COMPUTED_VALUE"""),"2022-08-15T00:00:00Z")</f>
        <v>2022-08-15T00:00:00Z</v>
      </c>
      <c r="B404" s="3">
        <f>IFERROR(__xludf.DUMMYFUNCTION("""COMPUTED_VALUE"""),44.862893)</f>
        <v>44.862893</v>
      </c>
      <c r="C404" s="3">
        <f>IFERROR(__xludf.DUMMYFUNCTION("""COMPUTED_VALUE"""),3.48838182705272E8)</f>
        <v>348838182.7</v>
      </c>
      <c r="D404" s="3">
        <f>IFERROR(__xludf.DUMMYFUNCTION("""COMPUTED_VALUE"""),132637.38563901186)</f>
        <v>132637.3856</v>
      </c>
      <c r="E404" s="3">
        <f>IFERROR(__xludf.DUMMYFUNCTION("""COMPUTED_VALUE"""),5950496.839722726)</f>
        <v>5950496.84</v>
      </c>
      <c r="F404" s="3" t="str">
        <f>IFERROR(__xludf.DUMMYFUNCTION("""COMPUTED_VALUE"""),"SOL")</f>
        <v>SOL</v>
      </c>
      <c r="G404" s="3"/>
    </row>
    <row r="405">
      <c r="A405" s="3" t="str">
        <f>IFERROR(__xludf.DUMMYFUNCTION("""COMPUTED_VALUE"""),"2022-08-16T00:00:00Z")</f>
        <v>2022-08-16T00:00:00Z</v>
      </c>
      <c r="B405" s="3">
        <f>IFERROR(__xludf.DUMMYFUNCTION("""COMPUTED_VALUE"""),43.725798)</f>
        <v>43.725798</v>
      </c>
      <c r="C405" s="3">
        <f>IFERROR(__xludf.DUMMYFUNCTION("""COMPUTED_VALUE"""),3.48837486001298E8)</f>
        <v>348837486</v>
      </c>
      <c r="D405" s="3">
        <f>IFERROR(__xludf.DUMMYFUNCTION("""COMPUTED_VALUE"""),-696.7039740085602)</f>
        <v>-696.703974</v>
      </c>
      <c r="E405" s="3">
        <f>IFERROR(__xludf.DUMMYFUNCTION("""COMPUTED_VALUE"""),-30463.93723329555)</f>
        <v>-30463.93723</v>
      </c>
      <c r="F405" s="3" t="str">
        <f>IFERROR(__xludf.DUMMYFUNCTION("""COMPUTED_VALUE"""),"SOL")</f>
        <v>SOL</v>
      </c>
      <c r="G405" s="3"/>
    </row>
    <row r="406">
      <c r="A406" s="3" t="str">
        <f>IFERROR(__xludf.DUMMYFUNCTION("""COMPUTED_VALUE"""),"2022-08-17T00:00:00Z")</f>
        <v>2022-08-17T00:00:00Z</v>
      </c>
      <c r="B406" s="3">
        <f>IFERROR(__xludf.DUMMYFUNCTION("""COMPUTED_VALUE"""),43.087128)</f>
        <v>43.087128</v>
      </c>
      <c r="C406" s="3">
        <f>IFERROR(__xludf.DUMMYFUNCTION("""COMPUTED_VALUE"""),3.48836770275971E8)</f>
        <v>348836770.3</v>
      </c>
      <c r="D406" s="3">
        <f>IFERROR(__xludf.DUMMYFUNCTION("""COMPUTED_VALUE"""),-715.7253270149231)</f>
        <v>-715.725327</v>
      </c>
      <c r="E406" s="3">
        <f>IFERROR(__xludf.DUMMYFUNCTION("""COMPUTED_VALUE"""),-30838.54877793385)</f>
        <v>-30838.54878</v>
      </c>
      <c r="F406" s="3" t="str">
        <f>IFERROR(__xludf.DUMMYFUNCTION("""COMPUTED_VALUE"""),"SOL")</f>
        <v>SOL</v>
      </c>
      <c r="G406" s="3"/>
    </row>
    <row r="407">
      <c r="A407" s="3" t="str">
        <f>IFERROR(__xludf.DUMMYFUNCTION("""COMPUTED_VALUE"""),"2022-08-18T00:00:00Z")</f>
        <v>2022-08-18T00:00:00Z</v>
      </c>
      <c r="B407" s="3">
        <f>IFERROR(__xludf.DUMMYFUNCTION("""COMPUTED_VALUE"""),40.535039)</f>
        <v>40.535039</v>
      </c>
      <c r="C407" s="3">
        <f>IFERROR(__xludf.DUMMYFUNCTION("""COMPUTED_VALUE"""),3.48812757049775E8)</f>
        <v>348812757</v>
      </c>
      <c r="D407" s="3">
        <f>IFERROR(__xludf.DUMMYFUNCTION("""COMPUTED_VALUE"""),-24013.22619599104)</f>
        <v>-24013.2262</v>
      </c>
      <c r="E407" s="3">
        <f>IFERROR(__xludf.DUMMYFUNCTION("""COMPUTED_VALUE"""),-973377.0603703184)</f>
        <v>-973377.0604</v>
      </c>
      <c r="F407" s="3" t="str">
        <f>IFERROR(__xludf.DUMMYFUNCTION("""COMPUTED_VALUE"""),"SOL")</f>
        <v>SOL</v>
      </c>
      <c r="G407" s="3"/>
    </row>
    <row r="408">
      <c r="A408" s="3" t="str">
        <f>IFERROR(__xludf.DUMMYFUNCTION("""COMPUTED_VALUE"""),"2022-08-19T00:00:00Z")</f>
        <v>2022-08-19T00:00:00Z</v>
      </c>
      <c r="B408" s="3">
        <f>IFERROR(__xludf.DUMMYFUNCTION("""COMPUTED_VALUE"""),39.513141)</f>
        <v>39.513141</v>
      </c>
      <c r="C408" s="3">
        <f>IFERROR(__xludf.DUMMYFUNCTION("""COMPUTED_VALUE"""),3.48812654465631E8)</f>
        <v>348812654.5</v>
      </c>
      <c r="D408" s="3">
        <f>IFERROR(__xludf.DUMMYFUNCTION("""COMPUTED_VALUE"""),-102.58414399623871)</f>
        <v>-102.584144</v>
      </c>
      <c r="E408" s="3">
        <f>IFERROR(__xludf.DUMMYFUNCTION("""COMPUTED_VALUE"""),-4053.4217460876835)</f>
        <v>-4053.421746</v>
      </c>
      <c r="F408" s="3" t="str">
        <f>IFERROR(__xludf.DUMMYFUNCTION("""COMPUTED_VALUE"""),"SOL")</f>
        <v>SOL</v>
      </c>
      <c r="G408" s="3"/>
    </row>
    <row r="409">
      <c r="A409" s="3" t="str">
        <f>IFERROR(__xludf.DUMMYFUNCTION("""COMPUTED_VALUE"""),"2022-08-20T00:00:00Z")</f>
        <v>2022-08-20T00:00:00Z</v>
      </c>
      <c r="B409" s="3">
        <f>IFERROR(__xludf.DUMMYFUNCTION("""COMPUTED_VALUE"""),35.812248)</f>
        <v>35.812248</v>
      </c>
      <c r="C409" s="3">
        <f>IFERROR(__xludf.DUMMYFUNCTION("""COMPUTED_VALUE"""),3.49120758204177E8)</f>
        <v>349120758.2</v>
      </c>
      <c r="D409" s="3">
        <f>IFERROR(__xludf.DUMMYFUNCTION("""COMPUTED_VALUE"""),308103.73854601383)</f>
        <v>308103.7385</v>
      </c>
      <c r="E409" s="3">
        <f>IFERROR(__xludf.DUMMYFUNCTION("""COMPUTED_VALUE"""),1.1033887494537005E7)</f>
        <v>11033887.49</v>
      </c>
      <c r="F409" s="3" t="str">
        <f>IFERROR(__xludf.DUMMYFUNCTION("""COMPUTED_VALUE"""),"SOL")</f>
        <v>SOL</v>
      </c>
      <c r="G409" s="3"/>
    </row>
    <row r="410">
      <c r="A410" s="3" t="str">
        <f>IFERROR(__xludf.DUMMYFUNCTION("""COMPUTED_VALUE"""),"2022-08-21T00:00:00Z")</f>
        <v>2022-08-21T00:00:00Z</v>
      </c>
      <c r="B410" s="3">
        <f>IFERROR(__xludf.DUMMYFUNCTION("""COMPUTED_VALUE"""),35.285242)</f>
        <v>35.285242</v>
      </c>
      <c r="C410" s="3">
        <f>IFERROR(__xludf.DUMMYFUNCTION("""COMPUTED_VALUE"""),3.49119939752156E8)</f>
        <v>349119939.8</v>
      </c>
      <c r="D410" s="3">
        <f>IFERROR(__xludf.DUMMYFUNCTION("""COMPUTED_VALUE"""),-818.4520210027695)</f>
        <v>-818.452021</v>
      </c>
      <c r="E410" s="3">
        <f>IFERROR(__xludf.DUMMYFUNCTION("""COMPUTED_VALUE"""),-28879.2776264718)</f>
        <v>-28879.27763</v>
      </c>
      <c r="F410" s="3" t="str">
        <f>IFERROR(__xludf.DUMMYFUNCTION("""COMPUTED_VALUE"""),"SOL")</f>
        <v>SOL</v>
      </c>
      <c r="G410" s="3"/>
    </row>
    <row r="411">
      <c r="A411" s="3" t="str">
        <f>IFERROR(__xludf.DUMMYFUNCTION("""COMPUTED_VALUE"""),"2022-08-22T00:00:00Z")</f>
        <v>2022-08-22T00:00:00Z</v>
      </c>
      <c r="B411" s="3">
        <f>IFERROR(__xludf.DUMMYFUNCTION("""COMPUTED_VALUE"""),36.483106)</f>
        <v>36.483106</v>
      </c>
      <c r="C411" s="3">
        <f>IFERROR(__xludf.DUMMYFUNCTION("""COMPUTED_VALUE"""),3.49119204567048E8)</f>
        <v>349119204.6</v>
      </c>
      <c r="D411" s="3">
        <f>IFERROR(__xludf.DUMMYFUNCTION("""COMPUTED_VALUE"""),-735.1851080060005)</f>
        <v>-735.185108</v>
      </c>
      <c r="E411" s="3">
        <f>IFERROR(__xludf.DUMMYFUNCTION("""COMPUTED_VALUE"""),-26821.836225004365)</f>
        <v>-26821.83623</v>
      </c>
      <c r="F411" s="3" t="str">
        <f>IFERROR(__xludf.DUMMYFUNCTION("""COMPUTED_VALUE"""),"SOL")</f>
        <v>SOL</v>
      </c>
      <c r="G411" s="3"/>
    </row>
    <row r="412">
      <c r="A412" s="3" t="str">
        <f>IFERROR(__xludf.DUMMYFUNCTION("""COMPUTED_VALUE"""),"2022-08-23T00:00:00Z")</f>
        <v>2022-08-23T00:00:00Z</v>
      </c>
      <c r="B412" s="3">
        <f>IFERROR(__xludf.DUMMYFUNCTION("""COMPUTED_VALUE"""),35.419967)</f>
        <v>35.419967</v>
      </c>
      <c r="C412" s="3">
        <f>IFERROR(__xludf.DUMMYFUNCTION("""COMPUTED_VALUE"""),3.49251416704408E8)</f>
        <v>349251416.7</v>
      </c>
      <c r="D412" s="3">
        <f>IFERROR(__xludf.DUMMYFUNCTION("""COMPUTED_VALUE"""),132212.13735997677)</f>
        <v>132212.1374</v>
      </c>
      <c r="E412" s="3">
        <f>IFERROR(__xludf.DUMMYFUNCTION("""COMPUTED_VALUE"""),4682949.542289844)</f>
        <v>4682949.542</v>
      </c>
      <c r="F412" s="3" t="str">
        <f>IFERROR(__xludf.DUMMYFUNCTION("""COMPUTED_VALUE"""),"SOL")</f>
        <v>SOL</v>
      </c>
      <c r="G412" s="3"/>
    </row>
    <row r="413">
      <c r="A413" s="3" t="str">
        <f>IFERROR(__xludf.DUMMYFUNCTION("""COMPUTED_VALUE"""),"2022-08-24T00:00:00Z")</f>
        <v>2022-08-24T00:00:00Z</v>
      </c>
      <c r="B413" s="3">
        <f>IFERROR(__xludf.DUMMYFUNCTION("""COMPUTED_VALUE"""),35.68074)</f>
        <v>35.68074</v>
      </c>
      <c r="C413" s="3">
        <f>IFERROR(__xludf.DUMMYFUNCTION("""COMPUTED_VALUE"""),3.49250698303968E8)</f>
        <v>349250698.3</v>
      </c>
      <c r="D413" s="3">
        <f>IFERROR(__xludf.DUMMYFUNCTION("""COMPUTED_VALUE"""),-718.4004399776459)</f>
        <v>-718.40044</v>
      </c>
      <c r="E413" s="3">
        <f>IFERROR(__xludf.DUMMYFUNCTION("""COMPUTED_VALUE"""),-25633.059314727987)</f>
        <v>-25633.05931</v>
      </c>
      <c r="F413" s="3" t="str">
        <f>IFERROR(__xludf.DUMMYFUNCTION("""COMPUTED_VALUE"""),"SOL")</f>
        <v>SOL</v>
      </c>
      <c r="G413" s="3"/>
    </row>
    <row r="414">
      <c r="A414" s="3" t="str">
        <f>IFERROR(__xludf.DUMMYFUNCTION("""COMPUTED_VALUE"""),"2022-08-25T00:00:00Z")</f>
        <v>2022-08-25T00:00:00Z</v>
      </c>
      <c r="B414" s="3">
        <f>IFERROR(__xludf.DUMMYFUNCTION("""COMPUTED_VALUE"""),34.889693)</f>
        <v>34.889693</v>
      </c>
      <c r="C414" s="3">
        <f>IFERROR(__xludf.DUMMYFUNCTION("""COMPUTED_VALUE"""),3.49249961187999E8)</f>
        <v>349249961.2</v>
      </c>
      <c r="D414" s="3">
        <f>IFERROR(__xludf.DUMMYFUNCTION("""COMPUTED_VALUE"""),-737.1159690022469)</f>
        <v>-737.115969</v>
      </c>
      <c r="E414" s="3">
        <f>IFERROR(__xludf.DUMMYFUNCTION("""COMPUTED_VALUE"""),-25717.74986388591)</f>
        <v>-25717.74986</v>
      </c>
      <c r="F414" s="3" t="str">
        <f>IFERROR(__xludf.DUMMYFUNCTION("""COMPUTED_VALUE"""),"SOL")</f>
        <v>SOL</v>
      </c>
      <c r="G414" s="3"/>
    </row>
    <row r="415">
      <c r="A415" s="3" t="str">
        <f>IFERROR(__xludf.DUMMYFUNCTION("""COMPUTED_VALUE"""),"2022-08-26T00:00:00Z")</f>
        <v>2022-08-26T00:00:00Z</v>
      </c>
      <c r="B415" s="3">
        <f>IFERROR(__xludf.DUMMYFUNCTION("""COMPUTED_VALUE"""),35.254346)</f>
        <v>35.254346</v>
      </c>
      <c r="C415" s="3">
        <f>IFERROR(__xludf.DUMMYFUNCTION("""COMPUTED_VALUE"""),3.49381924822937E8)</f>
        <v>349381924.8</v>
      </c>
      <c r="D415" s="3">
        <f>IFERROR(__xludf.DUMMYFUNCTION("""COMPUTED_VALUE"""),131963.63493800163)</f>
        <v>131963.6349</v>
      </c>
      <c r="E415" s="3">
        <f>IFERROR(__xludf.DUMMYFUNCTION("""COMPUTED_VALUE"""),4652291.6455219975)</f>
        <v>4652291.646</v>
      </c>
      <c r="F415" s="3" t="str">
        <f>IFERROR(__xludf.DUMMYFUNCTION("""COMPUTED_VALUE"""),"SOL")</f>
        <v>SOL</v>
      </c>
      <c r="G415" s="3"/>
    </row>
    <row r="416">
      <c r="A416" s="3" t="str">
        <f>IFERROR(__xludf.DUMMYFUNCTION("""COMPUTED_VALUE"""),"2022-08-27T00:00:00Z")</f>
        <v>2022-08-27T00:00:00Z</v>
      </c>
      <c r="B416" s="3">
        <f>IFERROR(__xludf.DUMMYFUNCTION("""COMPUTED_VALUE"""),31.720964)</f>
        <v>31.720964</v>
      </c>
      <c r="C416" s="3">
        <f>IFERROR(__xludf.DUMMYFUNCTION("""COMPUTED_VALUE"""),3.49381149296461E8)</f>
        <v>349381149.3</v>
      </c>
      <c r="D416" s="3">
        <f>IFERROR(__xludf.DUMMYFUNCTION("""COMPUTED_VALUE"""),-775.5264760255814)</f>
        <v>-775.526476</v>
      </c>
      <c r="E416" s="3">
        <f>IFERROR(__xludf.DUMMYFUNCTION("""COMPUTED_VALUE"""),-24600.44742705433)</f>
        <v>-24600.44743</v>
      </c>
      <c r="F416" s="3" t="str">
        <f>IFERROR(__xludf.DUMMYFUNCTION("""COMPUTED_VALUE"""),"SOL")</f>
        <v>SOL</v>
      </c>
      <c r="G416" s="3"/>
    </row>
    <row r="417">
      <c r="A417" s="3" t="str">
        <f>IFERROR(__xludf.DUMMYFUNCTION("""COMPUTED_VALUE"""),"2022-08-28T00:00:00Z")</f>
        <v>2022-08-28T00:00:00Z</v>
      </c>
      <c r="B417" s="3">
        <f>IFERROR(__xludf.DUMMYFUNCTION("""COMPUTED_VALUE"""),31.525458)</f>
        <v>31.525458</v>
      </c>
      <c r="C417" s="3">
        <f>IFERROR(__xludf.DUMMYFUNCTION("""COMPUTED_VALUE"""),3.49380291519339E8)</f>
        <v>349380291.5</v>
      </c>
      <c r="D417" s="3">
        <f>IFERROR(__xludf.DUMMYFUNCTION("""COMPUTED_VALUE"""),-857.7771219611168)</f>
        <v>-857.777122</v>
      </c>
      <c r="E417" s="3">
        <f>IFERROR(__xludf.DUMMYFUNCTION("""COMPUTED_VALUE"""),-27041.816631746064)</f>
        <v>-27041.81663</v>
      </c>
      <c r="F417" s="3" t="str">
        <f>IFERROR(__xludf.DUMMYFUNCTION("""COMPUTED_VALUE"""),"SOL")</f>
        <v>SOL</v>
      </c>
      <c r="G417" s="3"/>
    </row>
    <row r="418">
      <c r="A418" s="3" t="str">
        <f>IFERROR(__xludf.DUMMYFUNCTION("""COMPUTED_VALUE"""),"2022-08-29T00:00:00Z")</f>
        <v>2022-08-29T00:00:00Z</v>
      </c>
      <c r="B418" s="3">
        <f>IFERROR(__xludf.DUMMYFUNCTION("""COMPUTED_VALUE"""),30.431159)</f>
        <v>30.431159</v>
      </c>
      <c r="C418" s="3">
        <f>IFERROR(__xludf.DUMMYFUNCTION("""COMPUTED_VALUE"""),3.49511496281362E8)</f>
        <v>349511496.3</v>
      </c>
      <c r="D418" s="3">
        <f>IFERROR(__xludf.DUMMYFUNCTION("""COMPUTED_VALUE"""),131204.7620229721)</f>
        <v>131204.762</v>
      </c>
      <c r="E418" s="3">
        <f>IFERROR(__xludf.DUMMYFUNCTION("""COMPUTED_VALUE"""),3992712.974678226)</f>
        <v>3992712.975</v>
      </c>
      <c r="F418" s="3" t="str">
        <f>IFERROR(__xludf.DUMMYFUNCTION("""COMPUTED_VALUE"""),"SOL")</f>
        <v>SOL</v>
      </c>
      <c r="G418" s="3"/>
    </row>
    <row r="419">
      <c r="A419" s="3" t="str">
        <f>IFERROR(__xludf.DUMMYFUNCTION("""COMPUTED_VALUE"""),"2022-08-30T00:00:00Z")</f>
        <v>2022-08-30T00:00:00Z</v>
      </c>
      <c r="B419" s="3">
        <f>IFERROR(__xludf.DUMMYFUNCTION("""COMPUTED_VALUE"""),32.422963)</f>
        <v>32.422963</v>
      </c>
      <c r="C419" s="3">
        <f>IFERROR(__xludf.DUMMYFUNCTION("""COMPUTED_VALUE"""),3.49510726103285E8)</f>
        <v>349510726.1</v>
      </c>
      <c r="D419" s="3">
        <f>IFERROR(__xludf.DUMMYFUNCTION("""COMPUTED_VALUE"""),-770.1780769824982)</f>
        <v>-770.178077</v>
      </c>
      <c r="E419" s="3">
        <f>IFERROR(__xludf.DUMMYFUNCTION("""COMPUTED_VALUE"""),-24971.455293414692)</f>
        <v>-24971.45529</v>
      </c>
      <c r="F419" s="3" t="str">
        <f>IFERROR(__xludf.DUMMYFUNCTION("""COMPUTED_VALUE"""),"SOL")</f>
        <v>SOL</v>
      </c>
      <c r="G419" s="3"/>
    </row>
    <row r="420">
      <c r="A420" s="3" t="str">
        <f>IFERROR(__xludf.DUMMYFUNCTION("""COMPUTED_VALUE"""),"2022-08-31T00:00:00Z")</f>
        <v>2022-08-31T00:00:00Z</v>
      </c>
      <c r="B420" s="3">
        <f>IFERROR(__xludf.DUMMYFUNCTION("""COMPUTED_VALUE"""),31.478698)</f>
        <v>31.478698</v>
      </c>
      <c r="C420" s="3">
        <f>IFERROR(__xludf.DUMMYFUNCTION("""COMPUTED_VALUE"""),3.49509975437165E8)</f>
        <v>349509975.4</v>
      </c>
      <c r="D420" s="3">
        <f>IFERROR(__xludf.DUMMYFUNCTION("""COMPUTED_VALUE"""),-750.666119992733)</f>
        <v>-750.66612</v>
      </c>
      <c r="E420" s="3">
        <f>IFERROR(__xludf.DUMMYFUNCTION("""COMPUTED_VALUE"""),-23629.992090083004)</f>
        <v>-23629.99209</v>
      </c>
      <c r="F420" s="3" t="str">
        <f>IFERROR(__xludf.DUMMYFUNCTION("""COMPUTED_VALUE"""),"SOL")</f>
        <v>SOL</v>
      </c>
      <c r="G420" s="3"/>
    </row>
    <row r="421">
      <c r="A421" s="3" t="str">
        <f>IFERROR(__xludf.DUMMYFUNCTION("""COMPUTED_VALUE"""),"2022-09-01T00:00:00Z")</f>
        <v>2022-09-01T00:00:00Z</v>
      </c>
      <c r="B421" s="3">
        <f>IFERROR(__xludf.DUMMYFUNCTION("""COMPUTED_VALUE"""),31.491334)</f>
        <v>31.491334</v>
      </c>
      <c r="C421" s="3">
        <f>IFERROR(__xludf.DUMMYFUNCTION("""COMPUTED_VALUE"""),3.49710186937185E8)</f>
        <v>349710186.9</v>
      </c>
      <c r="D421" s="3">
        <f>IFERROR(__xludf.DUMMYFUNCTION("""COMPUTED_VALUE"""),200211.50001996756)</f>
        <v>200211.5</v>
      </c>
      <c r="E421" s="3">
        <f>IFERROR(__xludf.DUMMYFUNCTION("""COMPUTED_VALUE"""),6304927.217769804)</f>
        <v>6304927.218</v>
      </c>
      <c r="F421" s="3" t="str">
        <f>IFERROR(__xludf.DUMMYFUNCTION("""COMPUTED_VALUE"""),"SOL")</f>
        <v>SOL</v>
      </c>
      <c r="G421" s="3"/>
    </row>
    <row r="422">
      <c r="A422" s="3" t="str">
        <f>IFERROR(__xludf.DUMMYFUNCTION("""COMPUTED_VALUE"""),"2022-09-02T00:00:00Z")</f>
        <v>2022-09-02T00:00:00Z</v>
      </c>
      <c r="B422" s="3">
        <f>IFERROR(__xludf.DUMMYFUNCTION("""COMPUTED_VALUE"""),31.610667)</f>
        <v>31.610667</v>
      </c>
      <c r="C422" s="3">
        <f>IFERROR(__xludf.DUMMYFUNCTION("""COMPUTED_VALUE"""),3.49709496946003E8)</f>
        <v>349709496.9</v>
      </c>
      <c r="D422" s="3">
        <f>IFERROR(__xludf.DUMMYFUNCTION("""COMPUTED_VALUE"""),-689.9911819696426)</f>
        <v>-689.991182</v>
      </c>
      <c r="E422" s="3">
        <f>IFERROR(__xludf.DUMMYFUNCTION("""COMPUTED_VALUE"""),-21811.081486178777)</f>
        <v>-21811.08149</v>
      </c>
      <c r="F422" s="3" t="str">
        <f>IFERROR(__xludf.DUMMYFUNCTION("""COMPUTED_VALUE"""),"SOL")</f>
        <v>SOL</v>
      </c>
      <c r="G422" s="3"/>
    </row>
    <row r="423">
      <c r="A423" s="3" t="str">
        <f>IFERROR(__xludf.DUMMYFUNCTION("""COMPUTED_VALUE"""),"2022-09-03T00:00:00Z")</f>
        <v>2022-09-03T00:00:00Z</v>
      </c>
      <c r="B423" s="3">
        <f>IFERROR(__xludf.DUMMYFUNCTION("""COMPUTED_VALUE"""),31.236831)</f>
        <v>31.236831</v>
      </c>
      <c r="C423" s="3">
        <f>IFERROR(__xludf.DUMMYFUNCTION("""COMPUTED_VALUE"""),3.49708651728436E8)</f>
        <v>349708651.7</v>
      </c>
      <c r="D423" s="3">
        <f>IFERROR(__xludf.DUMMYFUNCTION("""COMPUTED_VALUE"""),-845.2175670266151)</f>
        <v>-845.217567</v>
      </c>
      <c r="E423" s="3">
        <f>IFERROR(__xludf.DUMMYFUNCTION("""COMPUTED_VALUE"""),-26401.91829944155)</f>
        <v>-26401.9183</v>
      </c>
      <c r="F423" s="3" t="str">
        <f>IFERROR(__xludf.DUMMYFUNCTION("""COMPUTED_VALUE"""),"SOL")</f>
        <v>SOL</v>
      </c>
      <c r="G423" s="3"/>
    </row>
    <row r="424">
      <c r="A424" s="3" t="str">
        <f>IFERROR(__xludf.DUMMYFUNCTION("""COMPUTED_VALUE"""),"2022-09-04T00:00:00Z")</f>
        <v>2022-09-04T00:00:00Z</v>
      </c>
      <c r="B424" s="3">
        <f>IFERROR(__xludf.DUMMYFUNCTION("""COMPUTED_VALUE"""),31.118638)</f>
        <v>31.118638</v>
      </c>
      <c r="C424" s="3">
        <f>IFERROR(__xludf.DUMMYFUNCTION("""COMPUTED_VALUE"""),3.4983970336158E8)</f>
        <v>349839703.4</v>
      </c>
      <c r="D424" s="3">
        <f>IFERROR(__xludf.DUMMYFUNCTION("""COMPUTED_VALUE"""),131051.63314402103)</f>
        <v>131051.6331</v>
      </c>
      <c r="E424" s="3">
        <f>IFERROR(__xludf.DUMMYFUNCTION("""COMPUTED_VALUE"""),4078148.3311175923)</f>
        <v>4078148.331</v>
      </c>
      <c r="F424" s="3" t="str">
        <f>IFERROR(__xludf.DUMMYFUNCTION("""COMPUTED_VALUE"""),"SOL")</f>
        <v>SOL</v>
      </c>
      <c r="G424" s="3"/>
    </row>
    <row r="425">
      <c r="A425" s="3" t="str">
        <f>IFERROR(__xludf.DUMMYFUNCTION("""COMPUTED_VALUE"""),"2022-09-05T00:00:00Z")</f>
        <v>2022-09-05T00:00:00Z</v>
      </c>
      <c r="B425" s="3">
        <f>IFERROR(__xludf.DUMMYFUNCTION("""COMPUTED_VALUE"""),32.170952)</f>
        <v>32.170952</v>
      </c>
      <c r="C425" s="3">
        <f>IFERROR(__xludf.DUMMYFUNCTION("""COMPUTED_VALUE"""),3.4983889347738E8)</f>
        <v>349838893.5</v>
      </c>
      <c r="D425" s="3">
        <f>IFERROR(__xludf.DUMMYFUNCTION("""COMPUTED_VALUE"""),-809.8842000365257)</f>
        <v>-809.8842</v>
      </c>
      <c r="E425" s="3">
        <f>IFERROR(__xludf.DUMMYFUNCTION("""COMPUTED_VALUE"""),-26054.745724933466)</f>
        <v>-26054.74572</v>
      </c>
      <c r="F425" s="3" t="str">
        <f>IFERROR(__xludf.DUMMYFUNCTION("""COMPUTED_VALUE"""),"SOL")</f>
        <v>SOL</v>
      </c>
      <c r="G425" s="3"/>
    </row>
    <row r="426">
      <c r="A426" s="3" t="str">
        <f>IFERROR(__xludf.DUMMYFUNCTION("""COMPUTED_VALUE"""),"2022-09-06T00:00:00Z")</f>
        <v>2022-09-06T00:00:00Z</v>
      </c>
      <c r="B426" s="3">
        <f>IFERROR(__xludf.DUMMYFUNCTION("""COMPUTED_VALUE"""),32.174956)</f>
        <v>32.174956</v>
      </c>
      <c r="C426" s="3">
        <f>IFERROR(__xludf.DUMMYFUNCTION("""COMPUTED_VALUE"""),3.49969999195759E8)</f>
        <v>349969999.2</v>
      </c>
      <c r="D426" s="3">
        <f>IFERROR(__xludf.DUMMYFUNCTION("""COMPUTED_VALUE"""),131105.7183790207)</f>
        <v>131105.7184</v>
      </c>
      <c r="E426" s="3">
        <f>IFERROR(__xludf.DUMMYFUNCTION("""COMPUTED_VALUE"""),4218320.720193382)</f>
        <v>4218320.72</v>
      </c>
      <c r="F426" s="3" t="str">
        <f>IFERROR(__xludf.DUMMYFUNCTION("""COMPUTED_VALUE"""),"SOL")</f>
        <v>SOL</v>
      </c>
      <c r="G426" s="3"/>
    </row>
    <row r="427">
      <c r="A427" s="3" t="str">
        <f>IFERROR(__xludf.DUMMYFUNCTION("""COMPUTED_VALUE"""),"2022-09-07T00:00:00Z")</f>
        <v>2022-09-07T00:00:00Z</v>
      </c>
      <c r="B427" s="3">
        <f>IFERROR(__xludf.DUMMYFUNCTION("""COMPUTED_VALUE"""),30.877388)</f>
        <v>30.877388</v>
      </c>
      <c r="C427" s="3">
        <f>IFERROR(__xludf.DUMMYFUNCTION("""COMPUTED_VALUE"""),3.52987862660599E8)</f>
        <v>352987862.7</v>
      </c>
      <c r="D427" s="3">
        <f>IFERROR(__xludf.DUMMYFUNCTION("""COMPUTED_VALUE"""),3017863.464839995)</f>
        <v>3017863.465</v>
      </c>
      <c r="E427" s="3">
        <f>IFERROR(__xludf.DUMMYFUNCTION("""COMPUTED_VALUE"""),9.318374113488889E7)</f>
        <v>93183741.13</v>
      </c>
      <c r="F427" s="3" t="str">
        <f>IFERROR(__xludf.DUMMYFUNCTION("""COMPUTED_VALUE"""),"SOL")</f>
        <v>SOL</v>
      </c>
      <c r="G427" s="3"/>
    </row>
    <row r="428">
      <c r="A428" s="3" t="str">
        <f>IFERROR(__xludf.DUMMYFUNCTION("""COMPUTED_VALUE"""),"2022-09-08T00:00:00Z")</f>
        <v>2022-09-08T00:00:00Z</v>
      </c>
      <c r="B428" s="3">
        <f>IFERROR(__xludf.DUMMYFUNCTION("""COMPUTED_VALUE"""),32.698668)</f>
        <v>32.698668</v>
      </c>
      <c r="C428" s="3">
        <f>IFERROR(__xludf.DUMMYFUNCTION("""COMPUTED_VALUE"""),3.52987089515407E8)</f>
        <v>352987089.5</v>
      </c>
      <c r="D428" s="3">
        <f>IFERROR(__xludf.DUMMYFUNCTION("""COMPUTED_VALUE"""),-773.1451919674873)</f>
        <v>-773.145192</v>
      </c>
      <c r="E428" s="3">
        <f>IFERROR(__xludf.DUMMYFUNCTION("""COMPUTED_VALUE"""),-25280.817947941134)</f>
        <v>-25280.81795</v>
      </c>
      <c r="F428" s="3" t="str">
        <f>IFERROR(__xludf.DUMMYFUNCTION("""COMPUTED_VALUE"""),"SOL")</f>
        <v>SOL</v>
      </c>
      <c r="G428" s="3"/>
    </row>
    <row r="429">
      <c r="A429" s="3" t="str">
        <f>IFERROR(__xludf.DUMMYFUNCTION("""COMPUTED_VALUE"""),"2022-09-09T00:00:00Z")</f>
        <v>2022-09-09T00:00:00Z</v>
      </c>
      <c r="B429" s="3">
        <f>IFERROR(__xludf.DUMMYFUNCTION("""COMPUTED_VALUE"""),33.612793)</f>
        <v>33.612793</v>
      </c>
      <c r="C429" s="3">
        <f>IFERROR(__xludf.DUMMYFUNCTION("""COMPUTED_VALUE"""),3.53118401501783E8)</f>
        <v>353118401.5</v>
      </c>
      <c r="D429" s="3">
        <f>IFERROR(__xludf.DUMMYFUNCTION("""COMPUTED_VALUE"""),131311.98637598753)</f>
        <v>131311.9864</v>
      </c>
      <c r="E429" s="3">
        <f>IFERROR(__xludf.DUMMYFUNCTION("""COMPUTED_VALUE"""),4413762.616474889)</f>
        <v>4413762.616</v>
      </c>
      <c r="F429" s="3" t="str">
        <f>IFERROR(__xludf.DUMMYFUNCTION("""COMPUTED_VALUE"""),"SOL")</f>
        <v>SOL</v>
      </c>
      <c r="G429" s="3"/>
    </row>
    <row r="430">
      <c r="A430" s="3" t="str">
        <f>IFERROR(__xludf.DUMMYFUNCTION("""COMPUTED_VALUE"""),"2022-09-10T00:00:00Z")</f>
        <v>2022-09-10T00:00:00Z</v>
      </c>
      <c r="B430" s="3">
        <f>IFERROR(__xludf.DUMMYFUNCTION("""COMPUTED_VALUE"""),34.683081)</f>
        <v>34.683081</v>
      </c>
      <c r="C430" s="3">
        <f>IFERROR(__xludf.DUMMYFUNCTION("""COMPUTED_VALUE"""),3.53117630382696E8)</f>
        <v>353117630.4</v>
      </c>
      <c r="D430" s="3">
        <f>IFERROR(__xludf.DUMMYFUNCTION("""COMPUTED_VALUE"""),-771.1190870404243)</f>
        <v>-771.119087</v>
      </c>
      <c r="E430" s="3">
        <f>IFERROR(__xludf.DUMMYFUNCTION("""COMPUTED_VALUE"""),-26744.78575646909)</f>
        <v>-26744.78576</v>
      </c>
      <c r="F430" s="3" t="str">
        <f>IFERROR(__xludf.DUMMYFUNCTION("""COMPUTED_VALUE"""),"SOL")</f>
        <v>SOL</v>
      </c>
      <c r="G430" s="3"/>
    </row>
    <row r="431">
      <c r="A431" s="3" t="str">
        <f>IFERROR(__xludf.DUMMYFUNCTION("""COMPUTED_VALUE"""),"2022-09-11T00:00:00Z")</f>
        <v>2022-09-11T00:00:00Z</v>
      </c>
      <c r="B431" s="3">
        <f>IFERROR(__xludf.DUMMYFUNCTION("""COMPUTED_VALUE"""),35.05807)</f>
        <v>35.05807</v>
      </c>
      <c r="C431" s="3">
        <f>IFERROR(__xludf.DUMMYFUNCTION("""COMPUTED_VALUE"""),3.53283611495146E8)</f>
        <v>353283611.5</v>
      </c>
      <c r="D431" s="3">
        <f>IFERROR(__xludf.DUMMYFUNCTION("""COMPUTED_VALUE"""),165981.11245000362)</f>
        <v>165981.1125</v>
      </c>
      <c r="E431" s="3">
        <f>IFERROR(__xludf.DUMMYFUNCTION("""COMPUTED_VALUE"""),5818977.458950099)</f>
        <v>5818977.459</v>
      </c>
      <c r="F431" s="3" t="str">
        <f>IFERROR(__xludf.DUMMYFUNCTION("""COMPUTED_VALUE"""),"SOL")</f>
        <v>SOL</v>
      </c>
      <c r="G431" s="3"/>
    </row>
    <row r="432">
      <c r="A432" s="3" t="str">
        <f>IFERROR(__xludf.DUMMYFUNCTION("""COMPUTED_VALUE"""),"2022-09-12T00:00:00Z")</f>
        <v>2022-09-12T00:00:00Z</v>
      </c>
      <c r="B432" s="3">
        <f>IFERROR(__xludf.DUMMYFUNCTION("""COMPUTED_VALUE"""),34.996368)</f>
        <v>34.996368</v>
      </c>
      <c r="C432" s="3">
        <f>IFERROR(__xludf.DUMMYFUNCTION("""COMPUTED_VALUE"""),3.53415323025589E8)</f>
        <v>353415323</v>
      </c>
      <c r="D432" s="3">
        <f>IFERROR(__xludf.DUMMYFUNCTION("""COMPUTED_VALUE"""),131711.5304430127)</f>
        <v>131711.5304</v>
      </c>
      <c r="E432" s="3">
        <f>IFERROR(__xludf.DUMMYFUNCTION("""COMPUTED_VALUE"""),4609425.189226876)</f>
        <v>4609425.189</v>
      </c>
      <c r="F432" s="3" t="str">
        <f>IFERROR(__xludf.DUMMYFUNCTION("""COMPUTED_VALUE"""),"SOL")</f>
        <v>SOL</v>
      </c>
      <c r="G432" s="3"/>
    </row>
    <row r="433">
      <c r="A433" s="3" t="str">
        <f>IFERROR(__xludf.DUMMYFUNCTION("""COMPUTED_VALUE"""),"2022-09-13T00:00:00Z")</f>
        <v>2022-09-13T00:00:00Z</v>
      </c>
      <c r="B433" s="3">
        <f>IFERROR(__xludf.DUMMYFUNCTION("""COMPUTED_VALUE"""),37.446481)</f>
        <v>37.446481</v>
      </c>
      <c r="C433" s="3">
        <f>IFERROR(__xludf.DUMMYFUNCTION("""COMPUTED_VALUE"""),3.53414572917467E8)</f>
        <v>353414572.9</v>
      </c>
      <c r="D433" s="3">
        <f>IFERROR(__xludf.DUMMYFUNCTION("""COMPUTED_VALUE"""),-750.1081219911575)</f>
        <v>-750.108122</v>
      </c>
      <c r="E433" s="3">
        <f>IFERROR(__xludf.DUMMYFUNCTION("""COMPUTED_VALUE"""),-28088.909538087562)</f>
        <v>-28088.90954</v>
      </c>
      <c r="F433" s="3" t="str">
        <f>IFERROR(__xludf.DUMMYFUNCTION("""COMPUTED_VALUE"""),"SOL")</f>
        <v>SOL</v>
      </c>
      <c r="G433" s="3"/>
    </row>
    <row r="434">
      <c r="A434" s="3" t="str">
        <f>IFERROR(__xludf.DUMMYFUNCTION("""COMPUTED_VALUE"""),"2022-09-14T00:00:00Z")</f>
        <v>2022-09-14T00:00:00Z</v>
      </c>
      <c r="B434" s="3">
        <f>IFERROR(__xludf.DUMMYFUNCTION("""COMPUTED_VALUE"""),32.992148)</f>
        <v>32.992148</v>
      </c>
      <c r="C434" s="3">
        <f>IFERROR(__xludf.DUMMYFUNCTION("""COMPUTED_VALUE"""),3.53837253880994E8)</f>
        <v>353837253.9</v>
      </c>
      <c r="D434" s="3">
        <f>IFERROR(__xludf.DUMMYFUNCTION("""COMPUTED_VALUE"""),422680.9635270238)</f>
        <v>422680.9635</v>
      </c>
      <c r="E434" s="3">
        <f>IFERROR(__xludf.DUMMYFUNCTION("""COMPUTED_VALUE"""),1.3945152905466171E7)</f>
        <v>13945152.91</v>
      </c>
      <c r="F434" s="3" t="str">
        <f>IFERROR(__xludf.DUMMYFUNCTION("""COMPUTED_VALUE"""),"SOL")</f>
        <v>SOL</v>
      </c>
      <c r="G434" s="3"/>
    </row>
    <row r="435">
      <c r="A435" s="3" t="str">
        <f>IFERROR(__xludf.DUMMYFUNCTION("""COMPUTED_VALUE"""),"2022-09-15T00:00:00Z")</f>
        <v>2022-09-15T00:00:00Z</v>
      </c>
      <c r="B435" s="3">
        <f>IFERROR(__xludf.DUMMYFUNCTION("""COMPUTED_VALUE"""),34.123853)</f>
        <v>34.123853</v>
      </c>
      <c r="C435" s="3">
        <f>IFERROR(__xludf.DUMMYFUNCTION("""COMPUTED_VALUE"""),3.53979694592694E8)</f>
        <v>353979694.6</v>
      </c>
      <c r="D435" s="3">
        <f>IFERROR(__xludf.DUMMYFUNCTION("""COMPUTED_VALUE"""),142440.71169996262)</f>
        <v>142440.7117</v>
      </c>
      <c r="E435" s="3">
        <f>IFERROR(__xludf.DUMMYFUNCTION("""COMPUTED_VALUE"""),4860625.907264904)</f>
        <v>4860625.907</v>
      </c>
      <c r="F435" s="3" t="str">
        <f>IFERROR(__xludf.DUMMYFUNCTION("""COMPUTED_VALUE"""),"SOL")</f>
        <v>SOL</v>
      </c>
      <c r="G435" s="3"/>
    </row>
    <row r="436">
      <c r="A436" s="3" t="str">
        <f>IFERROR(__xludf.DUMMYFUNCTION("""COMPUTED_VALUE"""),"2022-09-16T00:00:00Z")</f>
        <v>2022-09-16T00:00:00Z</v>
      </c>
      <c r="B436" s="3">
        <f>IFERROR(__xludf.DUMMYFUNCTION("""COMPUTED_VALUE"""),33.076746)</f>
        <v>33.076746</v>
      </c>
      <c r="C436" s="3">
        <f>IFERROR(__xludf.DUMMYFUNCTION("""COMPUTED_VALUE"""),3.53979028502667E8)</f>
        <v>353979028.5</v>
      </c>
      <c r="D436" s="3">
        <f>IFERROR(__xludf.DUMMYFUNCTION("""COMPUTED_VALUE"""),-666.090026974678)</f>
        <v>-666.090027</v>
      </c>
      <c r="E436" s="3">
        <f>IFERROR(__xludf.DUMMYFUNCTION("""COMPUTED_VALUE"""),-22032.090635374574)</f>
        <v>-22032.09064</v>
      </c>
      <c r="F436" s="3" t="str">
        <f>IFERROR(__xludf.DUMMYFUNCTION("""COMPUTED_VALUE"""),"SOL")</f>
        <v>SOL</v>
      </c>
      <c r="G436" s="3"/>
    </row>
    <row r="437">
      <c r="A437" s="3" t="str">
        <f>IFERROR(__xludf.DUMMYFUNCTION("""COMPUTED_VALUE"""),"2022-09-17T00:00:00Z")</f>
        <v>2022-09-17T00:00:00Z</v>
      </c>
      <c r="B437" s="3">
        <f>IFERROR(__xludf.DUMMYFUNCTION("""COMPUTED_VALUE"""),32.246361)</f>
        <v>32.246361</v>
      </c>
      <c r="C437" s="3">
        <f>IFERROR(__xludf.DUMMYFUNCTION("""COMPUTED_VALUE"""),3.53984474375567E8)</f>
        <v>353984474.4</v>
      </c>
      <c r="D437" s="3">
        <f>IFERROR(__xludf.DUMMYFUNCTION("""COMPUTED_VALUE"""),5445.872900009155)</f>
        <v>5445.8729</v>
      </c>
      <c r="E437" s="3">
        <f>IFERROR(__xludf.DUMMYFUNCTION("""COMPUTED_VALUE"""),175609.58349381213)</f>
        <v>175609.5835</v>
      </c>
      <c r="F437" s="3" t="str">
        <f>IFERROR(__xludf.DUMMYFUNCTION("""COMPUTED_VALUE"""),"SOL")</f>
        <v>SOL</v>
      </c>
      <c r="G437" s="3"/>
    </row>
    <row r="438">
      <c r="A438" s="3" t="str">
        <f>IFERROR(__xludf.DUMMYFUNCTION("""COMPUTED_VALUE"""),"2022-09-18T00:00:00Z")</f>
        <v>2022-09-18T00:00:00Z</v>
      </c>
      <c r="B438" s="3">
        <f>IFERROR(__xludf.DUMMYFUNCTION("""COMPUTED_VALUE"""),33.700365)</f>
        <v>33.700365</v>
      </c>
      <c r="C438" s="3">
        <f>IFERROR(__xludf.DUMMYFUNCTION("""COMPUTED_VALUE"""),3.54115733383688E8)</f>
        <v>354115733.4</v>
      </c>
      <c r="D438" s="3">
        <f>IFERROR(__xludf.DUMMYFUNCTION("""COMPUTED_VALUE"""),131259.00812095404)</f>
        <v>131259.0081</v>
      </c>
      <c r="E438" s="3">
        <f>IFERROR(__xludf.DUMMYFUNCTION("""COMPUTED_VALUE"""),4423476.483214115)</f>
        <v>4423476.483</v>
      </c>
      <c r="F438" s="3" t="str">
        <f>IFERROR(__xludf.DUMMYFUNCTION("""COMPUTED_VALUE"""),"SOL")</f>
        <v>SOL</v>
      </c>
      <c r="G438" s="3"/>
    </row>
    <row r="439">
      <c r="A439" s="3" t="str">
        <f>IFERROR(__xludf.DUMMYFUNCTION("""COMPUTED_VALUE"""),"2022-09-19T00:00:00Z")</f>
        <v>2022-09-19T00:00:00Z</v>
      </c>
      <c r="B439" s="3">
        <f>IFERROR(__xludf.DUMMYFUNCTION("""COMPUTED_VALUE"""),31.099861)</f>
        <v>31.099861</v>
      </c>
      <c r="C439" s="3">
        <f>IFERROR(__xludf.DUMMYFUNCTION("""COMPUTED_VALUE"""),3.53928176343029E8)</f>
        <v>353928176.3</v>
      </c>
      <c r="D439" s="3">
        <f>IFERROR(__xludf.DUMMYFUNCTION("""COMPUTED_VALUE"""),-187557.0406589508)</f>
        <v>-187557.0407</v>
      </c>
      <c r="E439" s="3">
        <f>IFERROR(__xludf.DUMMYFUNCTION("""COMPUTED_VALUE"""),-5832997.894064719)</f>
        <v>-5832997.894</v>
      </c>
      <c r="F439" s="3" t="str">
        <f>IFERROR(__xludf.DUMMYFUNCTION("""COMPUTED_VALUE"""),"SOL")</f>
        <v>SOL</v>
      </c>
      <c r="G439" s="3"/>
    </row>
    <row r="440">
      <c r="A440" s="3" t="str">
        <f>IFERROR(__xludf.DUMMYFUNCTION("""COMPUTED_VALUE"""),"2022-09-20T00:00:00Z")</f>
        <v>2022-09-20T00:00:00Z</v>
      </c>
      <c r="B440" s="3">
        <f>IFERROR(__xludf.DUMMYFUNCTION("""COMPUTED_VALUE"""),32.639838)</f>
        <v>32.639838</v>
      </c>
      <c r="C440" s="3">
        <f>IFERROR(__xludf.DUMMYFUNCTION("""COMPUTED_VALUE"""),3.5392737023719E8)</f>
        <v>353927370.2</v>
      </c>
      <c r="D440" s="3">
        <f>IFERROR(__xludf.DUMMYFUNCTION("""COMPUTED_VALUE"""),-806.1058390140533)</f>
        <v>-806.105839</v>
      </c>
      <c r="E440" s="3">
        <f>IFERROR(__xludf.DUMMYFUNCTION("""COMPUTED_VALUE"""),-26311.16399627278)</f>
        <v>-26311.164</v>
      </c>
      <c r="F440" s="3" t="str">
        <f>IFERROR(__xludf.DUMMYFUNCTION("""COMPUTED_VALUE"""),"SOL")</f>
        <v>SOL</v>
      </c>
      <c r="G440" s="3"/>
    </row>
    <row r="441">
      <c r="A441" s="3" t="str">
        <f>IFERROR(__xludf.DUMMYFUNCTION("""COMPUTED_VALUE"""),"2022-09-21T00:00:00Z")</f>
        <v>2022-09-21T00:00:00Z</v>
      </c>
      <c r="B441" s="3">
        <f>IFERROR(__xludf.DUMMYFUNCTION("""COMPUTED_VALUE"""),31.431021)</f>
        <v>31.431021</v>
      </c>
      <c r="C441" s="3">
        <f>IFERROR(__xludf.DUMMYFUNCTION("""COMPUTED_VALUE"""),3.54060839007578E8)</f>
        <v>354060839</v>
      </c>
      <c r="D441" s="3">
        <f>IFERROR(__xludf.DUMMYFUNCTION("""COMPUTED_VALUE"""),133468.77038800716)</f>
        <v>133468.7704</v>
      </c>
      <c r="E441" s="3">
        <f>IFERROR(__xludf.DUMMYFUNCTION("""COMPUTED_VALUE"""),4195059.724909632)</f>
        <v>4195059.725</v>
      </c>
      <c r="F441" s="3" t="str">
        <f>IFERROR(__xludf.DUMMYFUNCTION("""COMPUTED_VALUE"""),"SOL")</f>
        <v>SOL</v>
      </c>
      <c r="G441" s="3"/>
    </row>
    <row r="442">
      <c r="A442" s="3" t="str">
        <f>IFERROR(__xludf.DUMMYFUNCTION("""COMPUTED_VALUE"""),"2022-09-22T00:00:00Z")</f>
        <v>2022-09-22T00:00:00Z</v>
      </c>
      <c r="B442" s="3">
        <f>IFERROR(__xludf.DUMMYFUNCTION("""COMPUTED_VALUE"""),30.656684)</f>
        <v>30.656684</v>
      </c>
      <c r="C442" s="3">
        <f>IFERROR(__xludf.DUMMYFUNCTION("""COMPUTED_VALUE"""),3.54522097521732E8)</f>
        <v>354522097.5</v>
      </c>
      <c r="D442" s="3">
        <f>IFERROR(__xludf.DUMMYFUNCTION("""COMPUTED_VALUE"""),461258.51415395737)</f>
        <v>461258.5142</v>
      </c>
      <c r="E442" s="3">
        <f>IFERROR(__xludf.DUMMYFUNCTION("""COMPUTED_VALUE"""),1.4140656510727398E7)</f>
        <v>14140656.51</v>
      </c>
      <c r="F442" s="3" t="str">
        <f>IFERROR(__xludf.DUMMYFUNCTION("""COMPUTED_VALUE"""),"SOL")</f>
        <v>SOL</v>
      </c>
      <c r="G442" s="3"/>
    </row>
    <row r="443">
      <c r="A443" s="3" t="str">
        <f>IFERROR(__xludf.DUMMYFUNCTION("""COMPUTED_VALUE"""),"2022-09-23T00:00:00Z")</f>
        <v>2022-09-23T00:00:00Z</v>
      </c>
      <c r="B443" s="3">
        <f>IFERROR(__xludf.DUMMYFUNCTION("""COMPUTED_VALUE"""),32.42101)</f>
        <v>32.42101</v>
      </c>
      <c r="C443" s="3">
        <f>IFERROR(__xludf.DUMMYFUNCTION("""COMPUTED_VALUE"""),3.54521226531255E8)</f>
        <v>354521226.5</v>
      </c>
      <c r="D443" s="3">
        <f>IFERROR(__xludf.DUMMYFUNCTION("""COMPUTED_VALUE"""),-870.9904769659042)</f>
        <v>-870.990477</v>
      </c>
      <c r="E443" s="3">
        <f>IFERROR(__xludf.DUMMYFUNCTION("""COMPUTED_VALUE"""),-28238.39096361635)</f>
        <v>-28238.39096</v>
      </c>
      <c r="F443" s="3" t="str">
        <f>IFERROR(__xludf.DUMMYFUNCTION("""COMPUTED_VALUE"""),"SOL")</f>
        <v>SOL</v>
      </c>
      <c r="G443" s="3"/>
    </row>
    <row r="444">
      <c r="A444" s="3" t="str">
        <f>IFERROR(__xludf.DUMMYFUNCTION("""COMPUTED_VALUE"""),"2022-09-24T00:00:00Z")</f>
        <v>2022-09-24T00:00:00Z</v>
      </c>
      <c r="B444" s="3">
        <f>IFERROR(__xludf.DUMMYFUNCTION("""COMPUTED_VALUE"""),33.682108)</f>
        <v>33.682108</v>
      </c>
      <c r="C444" s="3">
        <f>IFERROR(__xludf.DUMMYFUNCTION("""COMPUTED_VALUE"""),3.54651897522932E8)</f>
        <v>354651897.5</v>
      </c>
      <c r="D444" s="3">
        <f>IFERROR(__xludf.DUMMYFUNCTION("""COMPUTED_VALUE"""),130670.99167698622)</f>
        <v>130670.9917</v>
      </c>
      <c r="E444" s="3">
        <f>IFERROR(__xludf.DUMMYFUNCTION("""COMPUTED_VALUE"""),4401274.454131351)</f>
        <v>4401274.454</v>
      </c>
      <c r="F444" s="3" t="str">
        <f>IFERROR(__xludf.DUMMYFUNCTION("""COMPUTED_VALUE"""),"SOL")</f>
        <v>SOL</v>
      </c>
      <c r="G444" s="3"/>
    </row>
    <row r="445">
      <c r="A445" s="3" t="str">
        <f>IFERROR(__xludf.DUMMYFUNCTION("""COMPUTED_VALUE"""),"2022-09-25T00:00:00Z")</f>
        <v>2022-09-25T00:00:00Z</v>
      </c>
      <c r="B445" s="3">
        <f>IFERROR(__xludf.DUMMYFUNCTION("""COMPUTED_VALUE"""),33.390998)</f>
        <v>33.390998</v>
      </c>
      <c r="C445" s="3">
        <f>IFERROR(__xludf.DUMMYFUNCTION("""COMPUTED_VALUE"""),3.54651005560326E8)</f>
        <v>354651005.6</v>
      </c>
      <c r="D445" s="3">
        <f>IFERROR(__xludf.DUMMYFUNCTION("""COMPUTED_VALUE"""),-891.9626060128212)</f>
        <v>-891.962606</v>
      </c>
      <c r="E445" s="3">
        <f>IFERROR(__xludf.DUMMYFUNCTION("""COMPUTED_VALUE"""),-29783.521593448902)</f>
        <v>-29783.52159</v>
      </c>
      <c r="F445" s="3" t="str">
        <f>IFERROR(__xludf.DUMMYFUNCTION("""COMPUTED_VALUE"""),"SOL")</f>
        <v>SOL</v>
      </c>
      <c r="G445" s="3"/>
    </row>
    <row r="446">
      <c r="A446" s="3" t="str">
        <f>IFERROR(__xludf.DUMMYFUNCTION("""COMPUTED_VALUE"""),"2022-05-01T00:00:00Z")</f>
        <v>2022-05-01T00:00:00Z</v>
      </c>
      <c r="B446" s="3">
        <f>IFERROR(__xludf.DUMMYFUNCTION("""COMPUTED_VALUE"""),56.941065)</f>
        <v>56.941065</v>
      </c>
      <c r="C446" s="3">
        <f>IFERROR(__xludf.DUMMYFUNCTION("""COMPUTED_VALUE"""),2.68627128404892E8)</f>
        <v>268627128.4</v>
      </c>
      <c r="D446" s="3">
        <f>IFERROR(__xludf.DUMMYFUNCTION("""COMPUTED_VALUE"""),0.0)</f>
        <v>0</v>
      </c>
      <c r="E446" s="3">
        <f>IFERROR(__xludf.DUMMYFUNCTION("""COMPUTED_VALUE"""),0.0)</f>
        <v>0</v>
      </c>
      <c r="F446" s="3" t="str">
        <f>IFERROR(__xludf.DUMMYFUNCTION("""COMPUTED_VALUE"""),"AVAX")</f>
        <v>AVAX</v>
      </c>
      <c r="G446" s="3"/>
    </row>
    <row r="447">
      <c r="A447" s="3" t="str">
        <f>IFERROR(__xludf.DUMMYFUNCTION("""COMPUTED_VALUE"""),"2022-05-02T00:00:00Z")</f>
        <v>2022-05-02T00:00:00Z</v>
      </c>
      <c r="B447" s="3">
        <f>IFERROR(__xludf.DUMMYFUNCTION("""COMPUTED_VALUE"""),58.757096)</f>
        <v>58.757096</v>
      </c>
      <c r="C447" s="3">
        <f>IFERROR(__xludf.DUMMYFUNCTION("""COMPUTED_VALUE"""),2.68623914966897E8)</f>
        <v>268623915</v>
      </c>
      <c r="D447" s="3">
        <f>IFERROR(__xludf.DUMMYFUNCTION("""COMPUTED_VALUE"""),-3213.437995016575)</f>
        <v>-3213.437995</v>
      </c>
      <c r="E447" s="3">
        <f>IFERROR(__xludf.DUMMYFUNCTION("""COMPUTED_VALUE"""),-188812.2847632364)</f>
        <v>-188812.2848</v>
      </c>
      <c r="F447" s="3" t="str">
        <f>IFERROR(__xludf.DUMMYFUNCTION("""COMPUTED_VALUE"""),"AVAX")</f>
        <v>AVAX</v>
      </c>
      <c r="G447" s="3"/>
    </row>
    <row r="448">
      <c r="A448" s="3" t="str">
        <f>IFERROR(__xludf.DUMMYFUNCTION("""COMPUTED_VALUE"""),"2022-05-03T00:00:00Z")</f>
        <v>2022-05-03T00:00:00Z</v>
      </c>
      <c r="B448" s="3">
        <f>IFERROR(__xludf.DUMMYFUNCTION("""COMPUTED_VALUE"""),60.336466)</f>
        <v>60.336466</v>
      </c>
      <c r="C448" s="3">
        <f>IFERROR(__xludf.DUMMYFUNCTION("""COMPUTED_VALUE"""),2.68623016892993E8)</f>
        <v>268623016.9</v>
      </c>
      <c r="D448" s="3">
        <f>IFERROR(__xludf.DUMMYFUNCTION("""COMPUTED_VALUE"""),-898.0739040374756)</f>
        <v>-898.073904</v>
      </c>
      <c r="E448" s="3">
        <f>IFERROR(__xludf.DUMMYFUNCTION("""COMPUTED_VALUE"""),-54186.60557644441)</f>
        <v>-54186.60558</v>
      </c>
      <c r="F448" s="3" t="str">
        <f>IFERROR(__xludf.DUMMYFUNCTION("""COMPUTED_VALUE"""),"AVAX")</f>
        <v>AVAX</v>
      </c>
      <c r="G448" s="3"/>
    </row>
    <row r="449">
      <c r="A449" s="3" t="str">
        <f>IFERROR(__xludf.DUMMYFUNCTION("""COMPUTED_VALUE"""),"2022-05-04T00:00:00Z")</f>
        <v>2022-05-04T00:00:00Z</v>
      </c>
      <c r="B449" s="3">
        <f>IFERROR(__xludf.DUMMYFUNCTION("""COMPUTED_VALUE"""),59.616967)</f>
        <v>59.616967</v>
      </c>
      <c r="C449" s="3">
        <f>IFERROR(__xludf.DUMMYFUNCTION("""COMPUTED_VALUE"""),2.68793826905417E8)</f>
        <v>268793826.9</v>
      </c>
      <c r="D449" s="3">
        <f>IFERROR(__xludf.DUMMYFUNCTION("""COMPUTED_VALUE"""),170810.01242405176)</f>
        <v>170810.0124</v>
      </c>
      <c r="E449" s="3">
        <f>IFERROR(__xludf.DUMMYFUNCTION("""COMPUTED_VALUE"""),1.0183174873954285E7)</f>
        <v>10183174.87</v>
      </c>
      <c r="F449" s="3" t="str">
        <f>IFERROR(__xludf.DUMMYFUNCTION("""COMPUTED_VALUE"""),"AVAX")</f>
        <v>AVAX</v>
      </c>
      <c r="G449" s="3"/>
    </row>
    <row r="450">
      <c r="A450" s="3" t="str">
        <f>IFERROR(__xludf.DUMMYFUNCTION("""COMPUTED_VALUE"""),"2022-05-05T00:00:00Z")</f>
        <v>2022-05-05T00:00:00Z</v>
      </c>
      <c r="B450" s="3">
        <f>IFERROR(__xludf.DUMMYFUNCTION("""COMPUTED_VALUE"""),67.264816)</f>
        <v>67.264816</v>
      </c>
      <c r="C450" s="3">
        <f>IFERROR(__xludf.DUMMYFUNCTION("""COMPUTED_VALUE"""),2.68783959649463E8)</f>
        <v>268783959.6</v>
      </c>
      <c r="D450" s="3">
        <f>IFERROR(__xludf.DUMMYFUNCTION("""COMPUTED_VALUE"""),-9867.255954027176)</f>
        <v>-9867.255954</v>
      </c>
      <c r="E450" s="3">
        <f>IFERROR(__xludf.DUMMYFUNCTION("""COMPUTED_VALUE"""),-663719.1561725424)</f>
        <v>-663719.1562</v>
      </c>
      <c r="F450" s="3" t="str">
        <f>IFERROR(__xludf.DUMMYFUNCTION("""COMPUTED_VALUE"""),"AVAX")</f>
        <v>AVAX</v>
      </c>
      <c r="G450" s="3"/>
    </row>
    <row r="451">
      <c r="A451" s="3" t="str">
        <f>IFERROR(__xludf.DUMMYFUNCTION("""COMPUTED_VALUE"""),"2022-05-06T00:00:00Z")</f>
        <v>2022-05-06T00:00:00Z</v>
      </c>
      <c r="B451" s="3">
        <f>IFERROR(__xludf.DUMMYFUNCTION("""COMPUTED_VALUE"""),59.033554)</f>
        <v>59.033554</v>
      </c>
      <c r="C451" s="3">
        <f>IFERROR(__xludf.DUMMYFUNCTION("""COMPUTED_VALUE"""),2.68936889169057E8)</f>
        <v>268936889.2</v>
      </c>
      <c r="D451" s="3">
        <f>IFERROR(__xludf.DUMMYFUNCTION("""COMPUTED_VALUE"""),152929.5195940137)</f>
        <v>152929.5196</v>
      </c>
      <c r="E451" s="3">
        <f>IFERROR(__xludf.DUMMYFUNCTION("""COMPUTED_VALUE"""),9027973.053147266)</f>
        <v>9027973.053</v>
      </c>
      <c r="F451" s="3" t="str">
        <f>IFERROR(__xludf.DUMMYFUNCTION("""COMPUTED_VALUE"""),"AVAX")</f>
        <v>AVAX</v>
      </c>
      <c r="G451" s="3"/>
    </row>
    <row r="452">
      <c r="A452" s="3" t="str">
        <f>IFERROR(__xludf.DUMMYFUNCTION("""COMPUTED_VALUE"""),"2022-05-07T00:00:00Z")</f>
        <v>2022-05-07T00:00:00Z</v>
      </c>
      <c r="B452" s="3">
        <f>IFERROR(__xludf.DUMMYFUNCTION("""COMPUTED_VALUE"""),56.977128)</f>
        <v>56.977128</v>
      </c>
      <c r="C452" s="3">
        <f>IFERROR(__xludf.DUMMYFUNCTION("""COMPUTED_VALUE"""),2.68954393114351E8)</f>
        <v>268954393.1</v>
      </c>
      <c r="D452" s="3">
        <f>IFERROR(__xludf.DUMMYFUNCTION("""COMPUTED_VALUE"""),17503.945293962955)</f>
        <v>17503.94529</v>
      </c>
      <c r="E452" s="3">
        <f>IFERROR(__xludf.DUMMYFUNCTION("""COMPUTED_VALUE"""),997324.531519125)</f>
        <v>997324.5315</v>
      </c>
      <c r="F452" s="3" t="str">
        <f>IFERROR(__xludf.DUMMYFUNCTION("""COMPUTED_VALUE"""),"AVAX")</f>
        <v>AVAX</v>
      </c>
      <c r="G452" s="3"/>
    </row>
    <row r="453">
      <c r="A453" s="3" t="str">
        <f>IFERROR(__xludf.DUMMYFUNCTION("""COMPUTED_VALUE"""),"2022-05-08T00:00:00Z")</f>
        <v>2022-05-08T00:00:00Z</v>
      </c>
      <c r="B453" s="3">
        <f>IFERROR(__xludf.DUMMYFUNCTION("""COMPUTED_VALUE"""),55.030184)</f>
        <v>55.030184</v>
      </c>
      <c r="C453" s="3">
        <f>IFERROR(__xludf.DUMMYFUNCTION("""COMPUTED_VALUE"""),2.6895160259934E8)</f>
        <v>268951602.6</v>
      </c>
      <c r="D453" s="3">
        <f>IFERROR(__xludf.DUMMYFUNCTION("""COMPUTED_VALUE"""),-2790.5150109529495)</f>
        <v>-2790.515011</v>
      </c>
      <c r="E453" s="3">
        <f>IFERROR(__xludf.DUMMYFUNCTION("""COMPUTED_VALUE"""),-153562.55450750282)</f>
        <v>-153562.5545</v>
      </c>
      <c r="F453" s="3" t="str">
        <f>IFERROR(__xludf.DUMMYFUNCTION("""COMPUTED_VALUE"""),"AVAX")</f>
        <v>AVAX</v>
      </c>
      <c r="G453" s="3"/>
    </row>
    <row r="454">
      <c r="A454" s="3" t="str">
        <f>IFERROR(__xludf.DUMMYFUNCTION("""COMPUTED_VALUE"""),"2022-05-09T00:00:00Z")</f>
        <v>2022-05-09T00:00:00Z</v>
      </c>
      <c r="B454" s="3">
        <f>IFERROR(__xludf.DUMMYFUNCTION("""COMPUTED_VALUE"""),51.633207)</f>
        <v>51.633207</v>
      </c>
      <c r="C454" s="3">
        <f>IFERROR(__xludf.DUMMYFUNCTION("""COMPUTED_VALUE"""),2.68976332293419E8)</f>
        <v>268976332.3</v>
      </c>
      <c r="D454" s="3">
        <f>IFERROR(__xludf.DUMMYFUNCTION("""COMPUTED_VALUE"""),24729.694078981876)</f>
        <v>24729.69408</v>
      </c>
      <c r="E454" s="3">
        <f>IFERROR(__xludf.DUMMYFUNCTION("""COMPUTED_VALUE"""),1276873.4134267455)</f>
        <v>1276873.413</v>
      </c>
      <c r="F454" s="3" t="str">
        <f>IFERROR(__xludf.DUMMYFUNCTION("""COMPUTED_VALUE"""),"AVAX")</f>
        <v>AVAX</v>
      </c>
      <c r="G454" s="3"/>
    </row>
    <row r="455">
      <c r="A455" s="3" t="str">
        <f>IFERROR(__xludf.DUMMYFUNCTION("""COMPUTED_VALUE"""),"2022-05-10T00:00:00Z")</f>
        <v>2022-05-10T00:00:00Z</v>
      </c>
      <c r="B455" s="3">
        <f>IFERROR(__xludf.DUMMYFUNCTION("""COMPUTED_VALUE"""),41.183864)</f>
        <v>41.183864</v>
      </c>
      <c r="C455" s="3">
        <f>IFERROR(__xludf.DUMMYFUNCTION("""COMPUTED_VALUE"""),2.68968457113569E8)</f>
        <v>268968457.1</v>
      </c>
      <c r="D455" s="3">
        <f>IFERROR(__xludf.DUMMYFUNCTION("""COMPUTED_VALUE"""),-7875.179849982262)</f>
        <v>-7875.17985</v>
      </c>
      <c r="E455" s="3">
        <f>IFERROR(__xludf.DUMMYFUNCTION("""COMPUTED_VALUE"""),-324330.33591720986)</f>
        <v>-324330.3359</v>
      </c>
      <c r="F455" s="3" t="str">
        <f>IFERROR(__xludf.DUMMYFUNCTION("""COMPUTED_VALUE"""),"AVAX")</f>
        <v>AVAX</v>
      </c>
      <c r="G455" s="3"/>
    </row>
    <row r="456">
      <c r="A456" s="3" t="str">
        <f>IFERROR(__xludf.DUMMYFUNCTION("""COMPUTED_VALUE"""),"2022-05-11T00:00:00Z")</f>
        <v>2022-05-11T00:00:00Z</v>
      </c>
      <c r="B456" s="3">
        <f>IFERROR(__xludf.DUMMYFUNCTION("""COMPUTED_VALUE"""),44.564502)</f>
        <v>44.564502</v>
      </c>
      <c r="C456" s="3">
        <f>IFERROR(__xludf.DUMMYFUNCTION("""COMPUTED_VALUE"""),2.68947954013449E8)</f>
        <v>268947954</v>
      </c>
      <c r="D456" s="3">
        <f>IFERROR(__xludf.DUMMYFUNCTION("""COMPUTED_VALUE"""),-20503.10012000799)</f>
        <v>-20503.10012</v>
      </c>
      <c r="E456" s="3">
        <f>IFERROR(__xludf.DUMMYFUNCTION("""COMPUTED_VALUE"""),-913710.4463042964)</f>
        <v>-913710.4463</v>
      </c>
      <c r="F456" s="3" t="str">
        <f>IFERROR(__xludf.DUMMYFUNCTION("""COMPUTED_VALUE"""),"AVAX")</f>
        <v>AVAX</v>
      </c>
      <c r="G456" s="3"/>
    </row>
    <row r="457">
      <c r="A457" s="3" t="str">
        <f>IFERROR(__xludf.DUMMYFUNCTION("""COMPUTED_VALUE"""),"2022-05-12T00:00:00Z")</f>
        <v>2022-05-12T00:00:00Z</v>
      </c>
      <c r="B457" s="3">
        <f>IFERROR(__xludf.DUMMYFUNCTION("""COMPUTED_VALUE"""),31.073369)</f>
        <v>31.073369</v>
      </c>
      <c r="C457" s="3">
        <f>IFERROR(__xludf.DUMMYFUNCTION("""COMPUTED_VALUE"""),2.68929095820024E8)</f>
        <v>268929095.8</v>
      </c>
      <c r="D457" s="3">
        <f>IFERROR(__xludf.DUMMYFUNCTION("""COMPUTED_VALUE"""),-18858.193424999714)</f>
        <v>-18858.19342</v>
      </c>
      <c r="E457" s="3">
        <f>IFERROR(__xludf.DUMMYFUNCTION("""COMPUTED_VALUE"""),-585987.60296839)</f>
        <v>-585987.603</v>
      </c>
      <c r="F457" s="3" t="str">
        <f>IFERROR(__xludf.DUMMYFUNCTION("""COMPUTED_VALUE"""),"AVAX")</f>
        <v>AVAX</v>
      </c>
      <c r="G457" s="3"/>
    </row>
    <row r="458">
      <c r="A458" s="3" t="str">
        <f>IFERROR(__xludf.DUMMYFUNCTION("""COMPUTED_VALUE"""),"2022-05-13T00:00:00Z")</f>
        <v>2022-05-13T00:00:00Z</v>
      </c>
      <c r="B458" s="3">
        <f>IFERROR(__xludf.DUMMYFUNCTION("""COMPUTED_VALUE"""),30.211758)</f>
        <v>30.211758</v>
      </c>
      <c r="C458" s="3">
        <f>IFERROR(__xludf.DUMMYFUNCTION("""COMPUTED_VALUE"""),2.68931907541479E8)</f>
        <v>268931907.5</v>
      </c>
      <c r="D458" s="3">
        <f>IFERROR(__xludf.DUMMYFUNCTION("""COMPUTED_VALUE"""),2811.721454977989)</f>
        <v>2811.721455</v>
      </c>
      <c r="E458" s="3">
        <f>IFERROR(__xludf.DUMMYFUNCTION("""COMPUTED_VALUE"""),84947.04816120291)</f>
        <v>84947.04816</v>
      </c>
      <c r="F458" s="3" t="str">
        <f>IFERROR(__xludf.DUMMYFUNCTION("""COMPUTED_VALUE"""),"AVAX")</f>
        <v>AVAX</v>
      </c>
      <c r="G458" s="3"/>
    </row>
    <row r="459">
      <c r="A459" s="3" t="str">
        <f>IFERROR(__xludf.DUMMYFUNCTION("""COMPUTED_VALUE"""),"2022-05-14T00:00:00Z")</f>
        <v>2022-05-14T00:00:00Z</v>
      </c>
      <c r="B459" s="3">
        <f>IFERROR(__xludf.DUMMYFUNCTION("""COMPUTED_VALUE"""),32.176331)</f>
        <v>32.176331</v>
      </c>
      <c r="C459" s="3">
        <f>IFERROR(__xludf.DUMMYFUNCTION("""COMPUTED_VALUE"""),2.68945820341468E8)</f>
        <v>268945820.3</v>
      </c>
      <c r="D459" s="3">
        <f>IFERROR(__xludf.DUMMYFUNCTION("""COMPUTED_VALUE"""),13912.799988985062)</f>
        <v>13912.79999</v>
      </c>
      <c r="E459" s="3">
        <f>IFERROR(__xludf.DUMMYFUNCTION("""COMPUTED_VALUE"""),447662.85758237966)</f>
        <v>447662.8576</v>
      </c>
      <c r="F459" s="3" t="str">
        <f>IFERROR(__xludf.DUMMYFUNCTION("""COMPUTED_VALUE"""),"AVAX")</f>
        <v>AVAX</v>
      </c>
      <c r="G459" s="3"/>
    </row>
    <row r="460">
      <c r="A460" s="3" t="str">
        <f>IFERROR(__xludf.DUMMYFUNCTION("""COMPUTED_VALUE"""),"2022-05-15T00:00:00Z")</f>
        <v>2022-05-15T00:00:00Z</v>
      </c>
      <c r="B460" s="3">
        <f>IFERROR(__xludf.DUMMYFUNCTION("""COMPUTED_VALUE"""),33.890399)</f>
        <v>33.890399</v>
      </c>
      <c r="C460" s="3">
        <f>IFERROR(__xludf.DUMMYFUNCTION("""COMPUTED_VALUE"""),2.69103397061479E8)</f>
        <v>269103397.1</v>
      </c>
      <c r="D460" s="3">
        <f>IFERROR(__xludf.DUMMYFUNCTION("""COMPUTED_VALUE"""),157576.72001099586)</f>
        <v>157576.72</v>
      </c>
      <c r="E460" s="3">
        <f>IFERROR(__xludf.DUMMYFUNCTION("""COMPUTED_VALUE"""),5340337.914283935)</f>
        <v>5340337.914</v>
      </c>
      <c r="F460" s="3" t="str">
        <f>IFERROR(__xludf.DUMMYFUNCTION("""COMPUTED_VALUE"""),"AVAX")</f>
        <v>AVAX</v>
      </c>
      <c r="G460" s="3"/>
    </row>
    <row r="461">
      <c r="A461" s="3" t="str">
        <f>IFERROR(__xludf.DUMMYFUNCTION("""COMPUTED_VALUE"""),"2022-05-16T00:00:00Z")</f>
        <v>2022-05-16T00:00:00Z</v>
      </c>
      <c r="B461" s="3">
        <f>IFERROR(__xludf.DUMMYFUNCTION("""COMPUTED_VALUE"""),36.497746)</f>
        <v>36.497746</v>
      </c>
      <c r="C461" s="3">
        <f>IFERROR(__xludf.DUMMYFUNCTION("""COMPUTED_VALUE"""),2.69112211327227E8)</f>
        <v>269112211.3</v>
      </c>
      <c r="D461" s="3">
        <f>IFERROR(__xludf.DUMMYFUNCTION("""COMPUTED_VALUE"""),8814.265748023987)</f>
        <v>8814.265748</v>
      </c>
      <c r="E461" s="3">
        <f>IFERROR(__xludf.DUMMYFUNCTION("""COMPUTED_VALUE"""),321700.8324478795)</f>
        <v>321700.8324</v>
      </c>
      <c r="F461" s="3" t="str">
        <f>IFERROR(__xludf.DUMMYFUNCTION("""COMPUTED_VALUE"""),"AVAX")</f>
        <v>AVAX</v>
      </c>
      <c r="G461" s="3"/>
    </row>
    <row r="462">
      <c r="A462" s="3" t="str">
        <f>IFERROR(__xludf.DUMMYFUNCTION("""COMPUTED_VALUE"""),"2022-05-17T00:00:00Z")</f>
        <v>2022-05-17T00:00:00Z</v>
      </c>
      <c r="B462" s="3">
        <f>IFERROR(__xludf.DUMMYFUNCTION("""COMPUTED_VALUE"""),32.530583)</f>
        <v>32.530583</v>
      </c>
      <c r="C462" s="3">
        <f>IFERROR(__xludf.DUMMYFUNCTION("""COMPUTED_VALUE"""),2.69113069320703E8)</f>
        <v>269113069.3</v>
      </c>
      <c r="D462" s="3">
        <f>IFERROR(__xludf.DUMMYFUNCTION("""COMPUTED_VALUE"""),857.9934760332108)</f>
        <v>857.993476</v>
      </c>
      <c r="E462" s="3">
        <f>IFERROR(__xludf.DUMMYFUNCTION("""COMPUTED_VALUE"""),27911.027985556873)</f>
        <v>27911.02799</v>
      </c>
      <c r="F462" s="3" t="str">
        <f>IFERROR(__xludf.DUMMYFUNCTION("""COMPUTED_VALUE"""),"AVAX")</f>
        <v>AVAX</v>
      </c>
      <c r="G462" s="3"/>
    </row>
    <row r="463">
      <c r="A463" s="3" t="str">
        <f>IFERROR(__xludf.DUMMYFUNCTION("""COMPUTED_VALUE"""),"2022-05-18T00:00:00Z")</f>
        <v>2022-05-18T00:00:00Z</v>
      </c>
      <c r="B463" s="3">
        <f>IFERROR(__xludf.DUMMYFUNCTION("""COMPUTED_VALUE"""),34.346256)</f>
        <v>34.346256</v>
      </c>
      <c r="C463" s="3">
        <f>IFERROR(__xludf.DUMMYFUNCTION("""COMPUTED_VALUE"""),2.69113150669948E8)</f>
        <v>269113150.7</v>
      </c>
      <c r="D463" s="3">
        <f>IFERROR(__xludf.DUMMYFUNCTION("""COMPUTED_VALUE"""),81.34924495220184)</f>
        <v>81.34924495</v>
      </c>
      <c r="E463" s="3">
        <f>IFERROR(__xludf.DUMMYFUNCTION("""COMPUTED_VALUE"""),2794.041992535032)</f>
        <v>2794.041993</v>
      </c>
      <c r="F463" s="3" t="str">
        <f>IFERROR(__xludf.DUMMYFUNCTION("""COMPUTED_VALUE"""),"AVAX")</f>
        <v>AVAX</v>
      </c>
      <c r="G463" s="3"/>
    </row>
    <row r="464">
      <c r="A464" s="3" t="str">
        <f>IFERROR(__xludf.DUMMYFUNCTION("""COMPUTED_VALUE"""),"2022-05-19T00:00:00Z")</f>
        <v>2022-05-19T00:00:00Z</v>
      </c>
      <c r="B464" s="3">
        <f>IFERROR(__xludf.DUMMYFUNCTION("""COMPUTED_VALUE"""),29.557985)</f>
        <v>29.557985</v>
      </c>
      <c r="C464" s="3">
        <f>IFERROR(__xludf.DUMMYFUNCTION("""COMPUTED_VALUE"""),2.69113027620529E8)</f>
        <v>269113027.6</v>
      </c>
      <c r="D464" s="3">
        <f>IFERROR(__xludf.DUMMYFUNCTION("""COMPUTED_VALUE"""),-123.04941898584366)</f>
        <v>-123.049419</v>
      </c>
      <c r="E464" s="3">
        <f>IFERROR(__xludf.DUMMYFUNCTION("""COMPUTED_VALUE"""),-3637.092880642282)</f>
        <v>-3637.092881</v>
      </c>
      <c r="F464" s="3" t="str">
        <f>IFERROR(__xludf.DUMMYFUNCTION("""COMPUTED_VALUE"""),"AVAX")</f>
        <v>AVAX</v>
      </c>
      <c r="G464" s="3"/>
    </row>
    <row r="465">
      <c r="A465" s="3" t="str">
        <f>IFERROR(__xludf.DUMMYFUNCTION("""COMPUTED_VALUE"""),"2022-05-20T00:00:00Z")</f>
        <v>2022-05-20T00:00:00Z</v>
      </c>
      <c r="B465" s="3">
        <f>IFERROR(__xludf.DUMMYFUNCTION("""COMPUTED_VALUE"""),30.354531)</f>
        <v>30.354531</v>
      </c>
      <c r="C465" s="3">
        <f>IFERROR(__xludf.DUMMYFUNCTION("""COMPUTED_VALUE"""),2.69119627119384E8)</f>
        <v>269119627.1</v>
      </c>
      <c r="D465" s="3">
        <f>IFERROR(__xludf.DUMMYFUNCTION("""COMPUTED_VALUE"""),6599.498854994774)</f>
        <v>6599.498855</v>
      </c>
      <c r="E465" s="3">
        <f>IFERROR(__xludf.DUMMYFUNCTION("""COMPUTED_VALUE"""),200324.69257840337)</f>
        <v>200324.6926</v>
      </c>
      <c r="F465" s="3" t="str">
        <f>IFERROR(__xludf.DUMMYFUNCTION("""COMPUTED_VALUE"""),"AVAX")</f>
        <v>AVAX</v>
      </c>
      <c r="G465" s="3"/>
    </row>
    <row r="466">
      <c r="A466" s="3" t="str">
        <f>IFERROR(__xludf.DUMMYFUNCTION("""COMPUTED_VALUE"""),"2022-05-21T00:00:00Z")</f>
        <v>2022-05-21T00:00:00Z</v>
      </c>
      <c r="B466" s="3">
        <f>IFERROR(__xludf.DUMMYFUNCTION("""COMPUTED_VALUE"""),28.756221)</f>
        <v>28.756221</v>
      </c>
      <c r="C466" s="3">
        <f>IFERROR(__xludf.DUMMYFUNCTION("""COMPUTED_VALUE"""),2.69119447848031E8)</f>
        <v>269119447.8</v>
      </c>
      <c r="D466" s="3">
        <f>IFERROR(__xludf.DUMMYFUNCTION("""COMPUTED_VALUE"""),-179.27135300636292)</f>
        <v>-179.271353</v>
      </c>
      <c r="E466" s="3">
        <f>IFERROR(__xludf.DUMMYFUNCTION("""COMPUTED_VALUE"""),-5155.166646019987)</f>
        <v>-5155.166646</v>
      </c>
      <c r="F466" s="3" t="str">
        <f>IFERROR(__xludf.DUMMYFUNCTION("""COMPUTED_VALUE"""),"AVAX")</f>
        <v>AVAX</v>
      </c>
      <c r="G466" s="3"/>
    </row>
    <row r="467">
      <c r="A467" s="3" t="str">
        <f>IFERROR(__xludf.DUMMYFUNCTION("""COMPUTED_VALUE"""),"2022-05-22T00:00:00Z")</f>
        <v>2022-05-22T00:00:00Z</v>
      </c>
      <c r="B467" s="3">
        <f>IFERROR(__xludf.DUMMYFUNCTION("""COMPUTED_VALUE"""),29.856778)</f>
        <v>29.856778</v>
      </c>
      <c r="C467" s="3">
        <f>IFERROR(__xludf.DUMMYFUNCTION("""COMPUTED_VALUE"""),2.6933112631268E8)</f>
        <v>269331126.3</v>
      </c>
      <c r="D467" s="3">
        <f>IFERROR(__xludf.DUMMYFUNCTION("""COMPUTED_VALUE"""),211678.46464902163)</f>
        <v>211678.4646</v>
      </c>
      <c r="E467" s="3">
        <f>IFERROR(__xludf.DUMMYFUNCTION("""COMPUTED_VALUE"""),6320036.926406686)</f>
        <v>6320036.926</v>
      </c>
      <c r="F467" s="3" t="str">
        <f>IFERROR(__xludf.DUMMYFUNCTION("""COMPUTED_VALUE"""),"AVAX")</f>
        <v>AVAX</v>
      </c>
      <c r="G467" s="3"/>
    </row>
    <row r="468">
      <c r="A468" s="3" t="str">
        <f>IFERROR(__xludf.DUMMYFUNCTION("""COMPUTED_VALUE"""),"2022-05-23T00:00:00Z")</f>
        <v>2022-05-23T00:00:00Z</v>
      </c>
      <c r="B468" s="3">
        <f>IFERROR(__xludf.DUMMYFUNCTION("""COMPUTED_VALUE"""),31.657938)</f>
        <v>31.657938</v>
      </c>
      <c r="C468" s="3">
        <f>IFERROR(__xludf.DUMMYFUNCTION("""COMPUTED_VALUE"""),2.69341150523917E8)</f>
        <v>269341150.5</v>
      </c>
      <c r="D468" s="3">
        <f>IFERROR(__xludf.DUMMYFUNCTION("""COMPUTED_VALUE"""),10024.21123701334)</f>
        <v>10024.21124</v>
      </c>
      <c r="E468" s="3">
        <f>IFERROR(__xludf.DUMMYFUNCTION("""COMPUTED_VALUE"""),317345.8578402716)</f>
        <v>317345.8578</v>
      </c>
      <c r="F468" s="3" t="str">
        <f>IFERROR(__xludf.DUMMYFUNCTION("""COMPUTED_VALUE"""),"AVAX")</f>
        <v>AVAX</v>
      </c>
      <c r="G468" s="3"/>
    </row>
    <row r="469">
      <c r="A469" s="3" t="str">
        <f>IFERROR(__xludf.DUMMYFUNCTION("""COMPUTED_VALUE"""),"2022-05-24T00:00:00Z")</f>
        <v>2022-05-24T00:00:00Z</v>
      </c>
      <c r="B469" s="3">
        <f>IFERROR(__xludf.DUMMYFUNCTION("""COMPUTED_VALUE"""),29.0286)</f>
        <v>29.0286</v>
      </c>
      <c r="C469" s="3">
        <f>IFERROR(__xludf.DUMMYFUNCTION("""COMPUTED_VALUE"""),2.70791540969178E8)</f>
        <v>270791541</v>
      </c>
      <c r="D469" s="3">
        <f>IFERROR(__xludf.DUMMYFUNCTION("""COMPUTED_VALUE"""),1450390.4452610016)</f>
        <v>1450390.445</v>
      </c>
      <c r="E469" s="3">
        <f>IFERROR(__xludf.DUMMYFUNCTION("""COMPUTED_VALUE"""),4.210280407930351E7)</f>
        <v>42102804.08</v>
      </c>
      <c r="F469" s="3" t="str">
        <f>IFERROR(__xludf.DUMMYFUNCTION("""COMPUTED_VALUE"""),"AVAX")</f>
        <v>AVAX</v>
      </c>
      <c r="G469" s="3"/>
    </row>
    <row r="470">
      <c r="A470" s="3" t="str">
        <f>IFERROR(__xludf.DUMMYFUNCTION("""COMPUTED_VALUE"""),"2022-05-25T00:00:00Z")</f>
        <v>2022-05-25T00:00:00Z</v>
      </c>
      <c r="B470" s="3">
        <f>IFERROR(__xludf.DUMMYFUNCTION("""COMPUTED_VALUE"""),29.028598)</f>
        <v>29.028598</v>
      </c>
      <c r="C470" s="3">
        <f>IFERROR(__xludf.DUMMYFUNCTION("""COMPUTED_VALUE"""),2.70795742302213E8)</f>
        <v>270795742.3</v>
      </c>
      <c r="D470" s="3">
        <f>IFERROR(__xludf.DUMMYFUNCTION("""COMPUTED_VALUE"""),4201.333034992218)</f>
        <v>4201.333035</v>
      </c>
      <c r="E470" s="3">
        <f>IFERROR(__xludf.DUMMYFUNCTION("""COMPUTED_VALUE"""),121958.80773690903)</f>
        <v>121958.8077</v>
      </c>
      <c r="F470" s="3" t="str">
        <f>IFERROR(__xludf.DUMMYFUNCTION("""COMPUTED_VALUE"""),"AVAX")</f>
        <v>AVAX</v>
      </c>
      <c r="G470" s="3"/>
    </row>
    <row r="471">
      <c r="A471" s="3" t="str">
        <f>IFERROR(__xludf.DUMMYFUNCTION("""COMPUTED_VALUE"""),"2022-05-26T00:00:00Z")</f>
        <v>2022-05-26T00:00:00Z</v>
      </c>
      <c r="B471" s="3">
        <f>IFERROR(__xludf.DUMMYFUNCTION("""COMPUTED_VALUE"""),27.216433)</f>
        <v>27.216433</v>
      </c>
      <c r="C471" s="3">
        <f>IFERROR(__xludf.DUMMYFUNCTION("""COMPUTED_VALUE"""),2.70802215725872E8)</f>
        <v>270802215.7</v>
      </c>
      <c r="D471" s="3">
        <f>IFERROR(__xludf.DUMMYFUNCTION("""COMPUTED_VALUE"""),6473.423658967018)</f>
        <v>6473.423659</v>
      </c>
      <c r="E471" s="3">
        <f>IFERROR(__xludf.DUMMYFUNCTION("""COMPUTED_VALUE"""),176183.50129489068)</f>
        <v>176183.5013</v>
      </c>
      <c r="F471" s="3" t="str">
        <f>IFERROR(__xludf.DUMMYFUNCTION("""COMPUTED_VALUE"""),"AVAX")</f>
        <v>AVAX</v>
      </c>
      <c r="G471" s="3"/>
    </row>
    <row r="472">
      <c r="A472" s="3" t="str">
        <f>IFERROR(__xludf.DUMMYFUNCTION("""COMPUTED_VALUE"""),"2022-05-27T00:00:00Z")</f>
        <v>2022-05-27T00:00:00Z</v>
      </c>
      <c r="B472" s="3">
        <f>IFERROR(__xludf.DUMMYFUNCTION("""COMPUTED_VALUE"""),23.403581)</f>
        <v>23.403581</v>
      </c>
      <c r="C472" s="3">
        <f>IFERROR(__xludf.DUMMYFUNCTION("""COMPUTED_VALUE"""),2.70806872930745E8)</f>
        <v>270806872.9</v>
      </c>
      <c r="D472" s="3">
        <f>IFERROR(__xludf.DUMMYFUNCTION("""COMPUTED_VALUE"""),4657.204873025417)</f>
        <v>4657.204873</v>
      </c>
      <c r="E472" s="3">
        <f>IFERROR(__xludf.DUMMYFUNCTION("""COMPUTED_VALUE"""),108995.27147944506)</f>
        <v>108995.2715</v>
      </c>
      <c r="F472" s="3" t="str">
        <f>IFERROR(__xludf.DUMMYFUNCTION("""COMPUTED_VALUE"""),"AVAX")</f>
        <v>AVAX</v>
      </c>
      <c r="G472" s="3"/>
    </row>
    <row r="473">
      <c r="A473" s="3" t="str">
        <f>IFERROR(__xludf.DUMMYFUNCTION("""COMPUTED_VALUE"""),"2022-05-28T00:00:00Z")</f>
        <v>2022-05-28T00:00:00Z</v>
      </c>
      <c r="B473" s="3">
        <f>IFERROR(__xludf.DUMMYFUNCTION("""COMPUTED_VALUE"""),22.568763)</f>
        <v>22.568763</v>
      </c>
      <c r="C473" s="3">
        <f>IFERROR(__xludf.DUMMYFUNCTION("""COMPUTED_VALUE"""),2.71375213897582E8)</f>
        <v>271375213.9</v>
      </c>
      <c r="D473" s="3">
        <f>IFERROR(__xludf.DUMMYFUNCTION("""COMPUTED_VALUE"""),568340.9668369889)</f>
        <v>568340.9668</v>
      </c>
      <c r="E473" s="3">
        <f>IFERROR(__xludf.DUMMYFUNCTION("""COMPUTED_VALUE"""),1.2826752583734863E7)</f>
        <v>12826752.58</v>
      </c>
      <c r="F473" s="3" t="str">
        <f>IFERROR(__xludf.DUMMYFUNCTION("""COMPUTED_VALUE"""),"AVAX")</f>
        <v>AVAX</v>
      </c>
      <c r="G473" s="3"/>
    </row>
    <row r="474">
      <c r="A474" s="3" t="str">
        <f>IFERROR(__xludf.DUMMYFUNCTION("""COMPUTED_VALUE"""),"2022-05-29T00:00:00Z")</f>
        <v>2022-05-29T00:00:00Z</v>
      </c>
      <c r="B474" s="3">
        <f>IFERROR(__xludf.DUMMYFUNCTION("""COMPUTED_VALUE"""),24.745245)</f>
        <v>24.745245</v>
      </c>
      <c r="C474" s="3">
        <f>IFERROR(__xludf.DUMMYFUNCTION("""COMPUTED_VALUE"""),2.71376393325005E8)</f>
        <v>271376393.3</v>
      </c>
      <c r="D474" s="3">
        <f>IFERROR(__xludf.DUMMYFUNCTION("""COMPUTED_VALUE"""),1179.4274230003357)</f>
        <v>1179.427423</v>
      </c>
      <c r="E474" s="3">
        <f>IFERROR(__xludf.DUMMYFUNCTION("""COMPUTED_VALUE"""),29185.22054186194)</f>
        <v>29185.22054</v>
      </c>
      <c r="F474" s="3" t="str">
        <f>IFERROR(__xludf.DUMMYFUNCTION("""COMPUTED_VALUE"""),"AVAX")</f>
        <v>AVAX</v>
      </c>
      <c r="G474" s="3"/>
    </row>
    <row r="475">
      <c r="A475" s="3" t="str">
        <f>IFERROR(__xludf.DUMMYFUNCTION("""COMPUTED_VALUE"""),"2022-05-30T00:00:00Z")</f>
        <v>2022-05-30T00:00:00Z</v>
      </c>
      <c r="B475" s="3">
        <f>IFERROR(__xludf.DUMMYFUNCTION("""COMPUTED_VALUE"""),26.1629)</f>
        <v>26.1629</v>
      </c>
      <c r="C475" s="3">
        <f>IFERROR(__xludf.DUMMYFUNCTION("""COMPUTED_VALUE"""),2.71383996033269E8)</f>
        <v>271383996</v>
      </c>
      <c r="D475" s="3">
        <f>IFERROR(__xludf.DUMMYFUNCTION("""COMPUTED_VALUE"""),7602.708263993263)</f>
        <v>7602.708264</v>
      </c>
      <c r="E475" s="3">
        <f>IFERROR(__xludf.DUMMYFUNCTION("""COMPUTED_VALUE"""),198908.89604002936)</f>
        <v>198908.896</v>
      </c>
      <c r="F475" s="3" t="str">
        <f>IFERROR(__xludf.DUMMYFUNCTION("""COMPUTED_VALUE"""),"AVAX")</f>
        <v>AVAX</v>
      </c>
      <c r="G475" s="3"/>
    </row>
    <row r="476">
      <c r="A476" s="3" t="str">
        <f>IFERROR(__xludf.DUMMYFUNCTION("""COMPUTED_VALUE"""),"2022-05-31T00:00:00Z")</f>
        <v>2022-05-31T00:00:00Z</v>
      </c>
      <c r="B476" s="3">
        <f>IFERROR(__xludf.DUMMYFUNCTION("""COMPUTED_VALUE"""),27.664586)</f>
        <v>27.664586</v>
      </c>
      <c r="C476" s="3">
        <f>IFERROR(__xludf.DUMMYFUNCTION("""COMPUTED_VALUE"""),2.71400401420527E8)</f>
        <v>271400401.4</v>
      </c>
      <c r="D476" s="3">
        <f>IFERROR(__xludf.DUMMYFUNCTION("""COMPUTED_VALUE"""),16405.38725799322)</f>
        <v>16405.38726</v>
      </c>
      <c r="E476" s="3">
        <f>IFERROR(__xludf.DUMMYFUNCTION("""COMPUTED_VALUE"""),453848.24666205765)</f>
        <v>453848.2467</v>
      </c>
      <c r="F476" s="3" t="str">
        <f>IFERROR(__xludf.DUMMYFUNCTION("""COMPUTED_VALUE"""),"AVAX")</f>
        <v>AVAX</v>
      </c>
      <c r="G476" s="3"/>
    </row>
    <row r="477">
      <c r="A477" s="3" t="str">
        <f>IFERROR(__xludf.DUMMYFUNCTION("""COMPUTED_VALUE"""),"2022-06-01T00:00:00Z")</f>
        <v>2022-06-01T00:00:00Z</v>
      </c>
      <c r="B477" s="3">
        <f>IFERROR(__xludf.DUMMYFUNCTION("""COMPUTED_VALUE"""),26.409517)</f>
        <v>26.409517</v>
      </c>
      <c r="C477" s="3">
        <f>IFERROR(__xludf.DUMMYFUNCTION("""COMPUTED_VALUE"""),2.71408046751526E8)</f>
        <v>271408046.8</v>
      </c>
      <c r="D477" s="3">
        <f>IFERROR(__xludf.DUMMYFUNCTION("""COMPUTED_VALUE"""),7645.330999016762)</f>
        <v>7645.330999</v>
      </c>
      <c r="E477" s="3">
        <f>IFERROR(__xludf.DUMMYFUNCTION("""COMPUTED_VALUE"""),201909.49898916017)</f>
        <v>201909.499</v>
      </c>
      <c r="F477" s="3" t="str">
        <f>IFERROR(__xludf.DUMMYFUNCTION("""COMPUTED_VALUE"""),"AVAX")</f>
        <v>AVAX</v>
      </c>
      <c r="G477" s="3"/>
    </row>
    <row r="478">
      <c r="A478" s="3" t="str">
        <f>IFERROR(__xludf.DUMMYFUNCTION("""COMPUTED_VALUE"""),"2022-06-02T00:00:00Z")</f>
        <v>2022-06-02T00:00:00Z</v>
      </c>
      <c r="B478" s="3">
        <f>IFERROR(__xludf.DUMMYFUNCTION("""COMPUTED_VALUE"""),23.721279)</f>
        <v>23.721279</v>
      </c>
      <c r="C478" s="3">
        <f>IFERROR(__xludf.DUMMYFUNCTION("""COMPUTED_VALUE"""),2.80766753151298E8)</f>
        <v>280766753.2</v>
      </c>
      <c r="D478" s="3">
        <f>IFERROR(__xludf.DUMMYFUNCTION("""COMPUTED_VALUE"""),9358706.399771988)</f>
        <v>9358706.4</v>
      </c>
      <c r="E478" s="3">
        <f>IFERROR(__xludf.DUMMYFUNCTION("""COMPUTED_VALUE"""),2.2200048558807686E8)</f>
        <v>222000485.6</v>
      </c>
      <c r="F478" s="3" t="str">
        <f>IFERROR(__xludf.DUMMYFUNCTION("""COMPUTED_VALUE"""),"AVAX")</f>
        <v>AVAX</v>
      </c>
      <c r="G478" s="3"/>
    </row>
    <row r="479">
      <c r="A479" s="3" t="str">
        <f>IFERROR(__xludf.DUMMYFUNCTION("""COMPUTED_VALUE"""),"2022-06-03T00:00:00Z")</f>
        <v>2022-06-03T00:00:00Z</v>
      </c>
      <c r="B479" s="3">
        <f>IFERROR(__xludf.DUMMYFUNCTION("""COMPUTED_VALUE"""),24.616337)</f>
        <v>24.616337</v>
      </c>
      <c r="C479" s="3">
        <f>IFERROR(__xludf.DUMMYFUNCTION("""COMPUTED_VALUE"""),2.80770973820404E8)</f>
        <v>280770973.8</v>
      </c>
      <c r="D479" s="3">
        <f>IFERROR(__xludf.DUMMYFUNCTION("""COMPUTED_VALUE"""),4220.669106006622)</f>
        <v>4220.669106</v>
      </c>
      <c r="E479" s="3">
        <f>IFERROR(__xludf.DUMMYFUNCTION("""COMPUTED_VALUE"""),103897.41307894775)</f>
        <v>103897.4131</v>
      </c>
      <c r="F479" s="3" t="str">
        <f>IFERROR(__xludf.DUMMYFUNCTION("""COMPUTED_VALUE"""),"AVAX")</f>
        <v>AVAX</v>
      </c>
      <c r="G479" s="3"/>
    </row>
    <row r="480">
      <c r="A480" s="3" t="str">
        <f>IFERROR(__xludf.DUMMYFUNCTION("""COMPUTED_VALUE"""),"2022-06-04T00:00:00Z")</f>
        <v>2022-06-04T00:00:00Z</v>
      </c>
      <c r="B480" s="3">
        <f>IFERROR(__xludf.DUMMYFUNCTION("""COMPUTED_VALUE"""),22.975042)</f>
        <v>22.975042</v>
      </c>
      <c r="C480" s="3">
        <f>IFERROR(__xludf.DUMMYFUNCTION("""COMPUTED_VALUE"""),2.80808944448041E8)</f>
        <v>280808944.4</v>
      </c>
      <c r="D480" s="3">
        <f>IFERROR(__xludf.DUMMYFUNCTION("""COMPUTED_VALUE"""),37970.627637028694)</f>
        <v>37970.62764</v>
      </c>
      <c r="E480" s="3">
        <f>IFERROR(__xludf.DUMMYFUNCTION("""COMPUTED_VALUE"""),872376.7647270949)</f>
        <v>872376.7647</v>
      </c>
      <c r="F480" s="3" t="str">
        <f>IFERROR(__xludf.DUMMYFUNCTION("""COMPUTED_VALUE"""),"AVAX")</f>
        <v>AVAX</v>
      </c>
      <c r="G480" s="3"/>
    </row>
    <row r="481">
      <c r="A481" s="3" t="str">
        <f>IFERROR(__xludf.DUMMYFUNCTION("""COMPUTED_VALUE"""),"2022-06-05T00:00:00Z")</f>
        <v>2022-06-05T00:00:00Z</v>
      </c>
      <c r="B481" s="3">
        <f>IFERROR(__xludf.DUMMYFUNCTION("""COMPUTED_VALUE"""),24.56346)</f>
        <v>24.56346</v>
      </c>
      <c r="C481" s="3">
        <f>IFERROR(__xludf.DUMMYFUNCTION("""COMPUTED_VALUE"""),2.80823930604573E8)</f>
        <v>280823930.6</v>
      </c>
      <c r="D481" s="3">
        <f>IFERROR(__xludf.DUMMYFUNCTION("""COMPUTED_VALUE"""),14986.156531989574)</f>
        <v>14986.15653</v>
      </c>
      <c r="E481" s="3">
        <f>IFERROR(__xludf.DUMMYFUNCTION("""COMPUTED_VALUE"""),368111.85652726464)</f>
        <v>368111.8565</v>
      </c>
      <c r="F481" s="3" t="str">
        <f>IFERROR(__xludf.DUMMYFUNCTION("""COMPUTED_VALUE"""),"AVAX")</f>
        <v>AVAX</v>
      </c>
      <c r="G481" s="3"/>
    </row>
    <row r="482">
      <c r="A482" s="3" t="str">
        <f>IFERROR(__xludf.DUMMYFUNCTION("""COMPUTED_VALUE"""),"2022-06-06T00:00:00Z")</f>
        <v>2022-06-06T00:00:00Z</v>
      </c>
      <c r="B482" s="3">
        <f>IFERROR(__xludf.DUMMYFUNCTION("""COMPUTED_VALUE"""),24.158524)</f>
        <v>24.158524</v>
      </c>
      <c r="C482" s="3">
        <f>IFERROR(__xludf.DUMMYFUNCTION("""COMPUTED_VALUE"""),2.80832160265884E8)</f>
        <v>280832160.3</v>
      </c>
      <c r="D482" s="3">
        <f>IFERROR(__xludf.DUMMYFUNCTION("""COMPUTED_VALUE"""),8229.661310970783)</f>
        <v>8229.661311</v>
      </c>
      <c r="E482" s="3">
        <f>IFERROR(__xludf.DUMMYFUNCTION("""COMPUTED_VALUE"""),198816.47029295913)</f>
        <v>198816.4703</v>
      </c>
      <c r="F482" s="3" t="str">
        <f>IFERROR(__xludf.DUMMYFUNCTION("""COMPUTED_VALUE"""),"AVAX")</f>
        <v>AVAX</v>
      </c>
      <c r="G482" s="3"/>
    </row>
    <row r="483">
      <c r="A483" s="3" t="str">
        <f>IFERROR(__xludf.DUMMYFUNCTION("""COMPUTED_VALUE"""),"2022-06-07T00:00:00Z")</f>
        <v>2022-06-07T00:00:00Z</v>
      </c>
      <c r="B483" s="3">
        <f>IFERROR(__xludf.DUMMYFUNCTION("""COMPUTED_VALUE"""),25.980069)</f>
        <v>25.980069</v>
      </c>
      <c r="C483" s="3">
        <f>IFERROR(__xludf.DUMMYFUNCTION("""COMPUTED_VALUE"""),2.80929443772301E8)</f>
        <v>280929443.8</v>
      </c>
      <c r="D483" s="3">
        <f>IFERROR(__xludf.DUMMYFUNCTION("""COMPUTED_VALUE"""),97283.50641703606)</f>
        <v>97283.50642</v>
      </c>
      <c r="E483" s="3">
        <f>IFERROR(__xludf.DUMMYFUNCTION("""COMPUTED_VALUE"""),2527432.2092765397)</f>
        <v>2527432.209</v>
      </c>
      <c r="F483" s="3" t="str">
        <f>IFERROR(__xludf.DUMMYFUNCTION("""COMPUTED_VALUE"""),"AVAX")</f>
        <v>AVAX</v>
      </c>
      <c r="G483" s="3"/>
    </row>
    <row r="484">
      <c r="A484" s="3" t="str">
        <f>IFERROR(__xludf.DUMMYFUNCTION("""COMPUTED_VALUE"""),"2022-06-08T00:00:00Z")</f>
        <v>2022-06-08T00:00:00Z</v>
      </c>
      <c r="B484" s="3">
        <f>IFERROR(__xludf.DUMMYFUNCTION("""COMPUTED_VALUE"""),24.576673)</f>
        <v>24.576673</v>
      </c>
      <c r="C484" s="3">
        <f>IFERROR(__xludf.DUMMYFUNCTION("""COMPUTED_VALUE"""),2.80935705757848E8)</f>
        <v>280935705.8</v>
      </c>
      <c r="D484" s="3">
        <f>IFERROR(__xludf.DUMMYFUNCTION("""COMPUTED_VALUE"""),6261.98554700613)</f>
        <v>6261.985547</v>
      </c>
      <c r="E484" s="3">
        <f>IFERROR(__xludf.DUMMYFUNCTION("""COMPUTED_VALUE"""),153898.7711194958)</f>
        <v>153898.7711</v>
      </c>
      <c r="F484" s="3" t="str">
        <f>IFERROR(__xludf.DUMMYFUNCTION("""COMPUTED_VALUE"""),"AVAX")</f>
        <v>AVAX</v>
      </c>
      <c r="G484" s="3"/>
    </row>
    <row r="485">
      <c r="A485" s="3" t="str">
        <f>IFERROR(__xludf.DUMMYFUNCTION("""COMPUTED_VALUE"""),"2022-06-09T00:00:00Z")</f>
        <v>2022-06-09T00:00:00Z</v>
      </c>
      <c r="B485" s="3">
        <f>IFERROR(__xludf.DUMMYFUNCTION("""COMPUTED_VALUE"""),24.492165)</f>
        <v>24.492165</v>
      </c>
      <c r="C485" s="3">
        <f>IFERROR(__xludf.DUMMYFUNCTION("""COMPUTED_VALUE"""),2.80949960271285E8)</f>
        <v>280949960.3</v>
      </c>
      <c r="D485" s="3">
        <f>IFERROR(__xludf.DUMMYFUNCTION("""COMPUTED_VALUE"""),14254.513436973095)</f>
        <v>14254.51344</v>
      </c>
      <c r="E485" s="3">
        <f>IFERROR(__xludf.DUMMYFUNCTION("""COMPUTED_VALUE"""),349123.89509306214)</f>
        <v>349123.8951</v>
      </c>
      <c r="F485" s="3" t="str">
        <f>IFERROR(__xludf.DUMMYFUNCTION("""COMPUTED_VALUE"""),"AVAX")</f>
        <v>AVAX</v>
      </c>
      <c r="G485" s="3"/>
    </row>
    <row r="486">
      <c r="A486" s="3" t="str">
        <f>IFERROR(__xludf.DUMMYFUNCTION("""COMPUTED_VALUE"""),"2022-06-10T00:00:00Z")</f>
        <v>2022-06-10T00:00:00Z</v>
      </c>
      <c r="B486" s="3">
        <f>IFERROR(__xludf.DUMMYFUNCTION("""COMPUTED_VALUE"""),24.393867)</f>
        <v>24.393867</v>
      </c>
      <c r="C486" s="3">
        <f>IFERROR(__xludf.DUMMYFUNCTION("""COMPUTED_VALUE"""),2.80971596977603E8)</f>
        <v>280971597</v>
      </c>
      <c r="D486" s="3">
        <f>IFERROR(__xludf.DUMMYFUNCTION("""COMPUTED_VALUE"""),21636.70631802082)</f>
        <v>21636.70632</v>
      </c>
      <c r="E486" s="3">
        <f>IFERROR(__xludf.DUMMYFUNCTION("""COMPUTED_VALUE"""),527802.9362398596)</f>
        <v>527802.9362</v>
      </c>
      <c r="F486" s="3" t="str">
        <f>IFERROR(__xludf.DUMMYFUNCTION("""COMPUTED_VALUE"""),"AVAX")</f>
        <v>AVAX</v>
      </c>
      <c r="G486" s="3"/>
    </row>
    <row r="487">
      <c r="A487" s="3" t="str">
        <f>IFERROR(__xludf.DUMMYFUNCTION("""COMPUTED_VALUE"""),"2022-06-11T00:00:00Z")</f>
        <v>2022-06-11T00:00:00Z</v>
      </c>
      <c r="B487" s="3">
        <f>IFERROR(__xludf.DUMMYFUNCTION("""COMPUTED_VALUE"""),22.054148)</f>
        <v>22.054148</v>
      </c>
      <c r="C487" s="3">
        <f>IFERROR(__xludf.DUMMYFUNCTION("""COMPUTED_VALUE"""),2.80978229751759E8)</f>
        <v>280978229.8</v>
      </c>
      <c r="D487" s="3">
        <f>IFERROR(__xludf.DUMMYFUNCTION("""COMPUTED_VALUE"""),6632.774155974388)</f>
        <v>6632.774156</v>
      </c>
      <c r="E487" s="3">
        <f>IFERROR(__xludf.DUMMYFUNCTION("""COMPUTED_VALUE"""),146280.18288643425)</f>
        <v>146280.1829</v>
      </c>
      <c r="F487" s="3" t="str">
        <f>IFERROR(__xludf.DUMMYFUNCTION("""COMPUTED_VALUE"""),"AVAX")</f>
        <v>AVAX</v>
      </c>
      <c r="G487" s="3"/>
    </row>
    <row r="488">
      <c r="A488" s="3" t="str">
        <f>IFERROR(__xludf.DUMMYFUNCTION("""COMPUTED_VALUE"""),"2022-06-12T00:00:00Z")</f>
        <v>2022-06-12T00:00:00Z</v>
      </c>
      <c r="B488" s="3">
        <f>IFERROR(__xludf.DUMMYFUNCTION("""COMPUTED_VALUE"""),19.883947)</f>
        <v>19.883947</v>
      </c>
      <c r="C488" s="3">
        <f>IFERROR(__xludf.DUMMYFUNCTION("""COMPUTED_VALUE"""),2.80980345694292E8)</f>
        <v>280980345.7</v>
      </c>
      <c r="D488" s="3">
        <f>IFERROR(__xludf.DUMMYFUNCTION("""COMPUTED_VALUE"""),2115.942533016205)</f>
        <v>2115.942533</v>
      </c>
      <c r="E488" s="3">
        <f>IFERROR(__xludf.DUMMYFUNCTION("""COMPUTED_VALUE"""),42073.28918153996)</f>
        <v>42073.28918</v>
      </c>
      <c r="F488" s="3" t="str">
        <f>IFERROR(__xludf.DUMMYFUNCTION("""COMPUTED_VALUE"""),"AVAX")</f>
        <v>AVAX</v>
      </c>
      <c r="G488" s="3"/>
    </row>
    <row r="489">
      <c r="A489" s="3" t="str">
        <f>IFERROR(__xludf.DUMMYFUNCTION("""COMPUTED_VALUE"""),"2022-06-13T00:00:00Z")</f>
        <v>2022-06-13T00:00:00Z</v>
      </c>
      <c r="B489" s="3">
        <f>IFERROR(__xludf.DUMMYFUNCTION("""COMPUTED_VALUE"""),17.264363)</f>
        <v>17.264363</v>
      </c>
      <c r="C489" s="3">
        <f>IFERROR(__xludf.DUMMYFUNCTION("""COMPUTED_VALUE"""),2.80982716072991E8)</f>
        <v>280982716.1</v>
      </c>
      <c r="D489" s="3">
        <f>IFERROR(__xludf.DUMMYFUNCTION("""COMPUTED_VALUE"""),2370.37869900465)</f>
        <v>2370.378699</v>
      </c>
      <c r="E489" s="3">
        <f>IFERROR(__xludf.DUMMYFUNCTION("""COMPUTED_VALUE"""),40923.07830708402)</f>
        <v>40923.07831</v>
      </c>
      <c r="F489" s="3" t="str">
        <f>IFERROR(__xludf.DUMMYFUNCTION("""COMPUTED_VALUE"""),"AVAX")</f>
        <v>AVAX</v>
      </c>
      <c r="G489" s="3"/>
    </row>
    <row r="490">
      <c r="A490" s="3" t="str">
        <f>IFERROR(__xludf.DUMMYFUNCTION("""COMPUTED_VALUE"""),"2022-06-14T00:00:00Z")</f>
        <v>2022-06-14T00:00:00Z</v>
      </c>
      <c r="B490" s="3">
        <f>IFERROR(__xludf.DUMMYFUNCTION("""COMPUTED_VALUE"""),16.075291)</f>
        <v>16.075291</v>
      </c>
      <c r="C490" s="3">
        <f>IFERROR(__xludf.DUMMYFUNCTION("""COMPUTED_VALUE"""),2.80991851341308E8)</f>
        <v>280991851.3</v>
      </c>
      <c r="D490" s="3">
        <f>IFERROR(__xludf.DUMMYFUNCTION("""COMPUTED_VALUE"""),9135.268316984177)</f>
        <v>9135.268317</v>
      </c>
      <c r="E490" s="3">
        <f>IFERROR(__xludf.DUMMYFUNCTION("""COMPUTED_VALUE"""),146852.09655860087)</f>
        <v>146852.0966</v>
      </c>
      <c r="F490" s="3" t="str">
        <f>IFERROR(__xludf.DUMMYFUNCTION("""COMPUTED_VALUE"""),"AVAX")</f>
        <v>AVAX</v>
      </c>
      <c r="G490" s="3"/>
    </row>
    <row r="491">
      <c r="A491" s="3" t="str">
        <f>IFERROR(__xludf.DUMMYFUNCTION("""COMPUTED_VALUE"""),"2022-06-15T00:00:00Z")</f>
        <v>2022-06-15T00:00:00Z</v>
      </c>
      <c r="B491" s="3">
        <f>IFERROR(__xludf.DUMMYFUNCTION("""COMPUTED_VALUE"""),16.55134)</f>
        <v>16.55134</v>
      </c>
      <c r="C491" s="3">
        <f>IFERROR(__xludf.DUMMYFUNCTION("""COMPUTED_VALUE"""),2.80993230176532E8)</f>
        <v>280993230.2</v>
      </c>
      <c r="D491" s="3">
        <f>IFERROR(__xludf.DUMMYFUNCTION("""COMPUTED_VALUE"""),1378.8352239727974)</f>
        <v>1378.835224</v>
      </c>
      <c r="E491" s="3">
        <f>IFERROR(__xludf.DUMMYFUNCTION("""COMPUTED_VALUE"""),22821.57059594992)</f>
        <v>22821.5706</v>
      </c>
      <c r="F491" s="3" t="str">
        <f>IFERROR(__xludf.DUMMYFUNCTION("""COMPUTED_VALUE"""),"AVAX")</f>
        <v>AVAX</v>
      </c>
      <c r="G491" s="3"/>
    </row>
    <row r="492">
      <c r="A492" s="3" t="str">
        <f>IFERROR(__xludf.DUMMYFUNCTION("""COMPUTED_VALUE"""),"2022-06-16T00:00:00Z")</f>
        <v>2022-06-16T00:00:00Z</v>
      </c>
      <c r="B492" s="3">
        <f>IFERROR(__xludf.DUMMYFUNCTION("""COMPUTED_VALUE"""),18.291265)</f>
        <v>18.291265</v>
      </c>
      <c r="C492" s="3">
        <f>IFERROR(__xludf.DUMMYFUNCTION("""COMPUTED_VALUE"""),2.81012028648612E8)</f>
        <v>281012028.6</v>
      </c>
      <c r="D492" s="3">
        <f>IFERROR(__xludf.DUMMYFUNCTION("""COMPUTED_VALUE"""),18798.4720800519)</f>
        <v>18798.47208</v>
      </c>
      <c r="E492" s="3">
        <f>IFERROR(__xludf.DUMMYFUNCTION("""COMPUTED_VALUE"""),343847.83441133046)</f>
        <v>343847.8344</v>
      </c>
      <c r="F492" s="3" t="str">
        <f>IFERROR(__xludf.DUMMYFUNCTION("""COMPUTED_VALUE"""),"AVAX")</f>
        <v>AVAX</v>
      </c>
      <c r="G492" s="3"/>
    </row>
    <row r="493">
      <c r="A493" s="3" t="str">
        <f>IFERROR(__xludf.DUMMYFUNCTION("""COMPUTED_VALUE"""),"2022-06-17T00:00:00Z")</f>
        <v>2022-06-17T00:00:00Z</v>
      </c>
      <c r="B493" s="3">
        <f>IFERROR(__xludf.DUMMYFUNCTION("""COMPUTED_VALUE"""),15.777156)</f>
        <v>15.777156</v>
      </c>
      <c r="C493" s="3">
        <f>IFERROR(__xludf.DUMMYFUNCTION("""COMPUTED_VALUE"""),2.81013153453492E8)</f>
        <v>281013153.5</v>
      </c>
      <c r="D493" s="3">
        <f>IFERROR(__xludf.DUMMYFUNCTION("""COMPUTED_VALUE"""),1124.804879963398)</f>
        <v>1124.80488</v>
      </c>
      <c r="E493" s="3">
        <f>IFERROR(__xludf.DUMMYFUNCTION("""COMPUTED_VALUE"""),17746.222060743803)</f>
        <v>17746.22206</v>
      </c>
      <c r="F493" s="3" t="str">
        <f>IFERROR(__xludf.DUMMYFUNCTION("""COMPUTED_VALUE"""),"AVAX")</f>
        <v>AVAX</v>
      </c>
      <c r="G493" s="3"/>
    </row>
    <row r="494">
      <c r="A494" s="3" t="str">
        <f>IFERROR(__xludf.DUMMYFUNCTION("""COMPUTED_VALUE"""),"2022-06-18T00:00:00Z")</f>
        <v>2022-06-18T00:00:00Z</v>
      </c>
      <c r="B494" s="3">
        <f>IFERROR(__xludf.DUMMYFUNCTION("""COMPUTED_VALUE"""),15.973566)</f>
        <v>15.973566</v>
      </c>
      <c r="C494" s="3">
        <f>IFERROR(__xludf.DUMMYFUNCTION("""COMPUTED_VALUE"""),2.81011091003218E8)</f>
        <v>281011091</v>
      </c>
      <c r="D494" s="3">
        <f>IFERROR(__xludf.DUMMYFUNCTION("""COMPUTED_VALUE"""),-2062.450273990631)</f>
        <v>-2062.450274</v>
      </c>
      <c r="E494" s="3">
        <f>IFERROR(__xludf.DUMMYFUNCTION("""COMPUTED_VALUE"""),-32944.685573307426)</f>
        <v>-32944.68557</v>
      </c>
      <c r="F494" s="3" t="str">
        <f>IFERROR(__xludf.DUMMYFUNCTION("""COMPUTED_VALUE"""),"AVAX")</f>
        <v>AVAX</v>
      </c>
      <c r="G494" s="3"/>
    </row>
    <row r="495">
      <c r="A495" s="3" t="str">
        <f>IFERROR(__xludf.DUMMYFUNCTION("""COMPUTED_VALUE"""),"2022-06-19T00:00:00Z")</f>
        <v>2022-06-19T00:00:00Z</v>
      </c>
      <c r="B495" s="3">
        <f>IFERROR(__xludf.DUMMYFUNCTION("""COMPUTED_VALUE"""),14.819876)</f>
        <v>14.819876</v>
      </c>
      <c r="C495" s="3">
        <f>IFERROR(__xludf.DUMMYFUNCTION("""COMPUTED_VALUE"""),2.81031218244532E8)</f>
        <v>281031218.2</v>
      </c>
      <c r="D495" s="3">
        <f>IFERROR(__xludf.DUMMYFUNCTION("""COMPUTED_VALUE"""),20127.24131399393)</f>
        <v>20127.24131</v>
      </c>
      <c r="E495" s="3">
        <f>IFERROR(__xludf.DUMMYFUNCTION("""COMPUTED_VALUE"""),298283.22049546713)</f>
        <v>298283.2205</v>
      </c>
      <c r="F495" s="3" t="str">
        <f>IFERROR(__xludf.DUMMYFUNCTION("""COMPUTED_VALUE"""),"AVAX")</f>
        <v>AVAX</v>
      </c>
      <c r="G495" s="3"/>
    </row>
    <row r="496">
      <c r="A496" s="3" t="str">
        <f>IFERROR(__xludf.DUMMYFUNCTION("""COMPUTED_VALUE"""),"2022-06-20T00:00:00Z")</f>
        <v>2022-06-20T00:00:00Z</v>
      </c>
      <c r="B496" s="3">
        <f>IFERROR(__xludf.DUMMYFUNCTION("""COMPUTED_VALUE"""),16.144077)</f>
        <v>16.144077</v>
      </c>
      <c r="C496" s="3">
        <f>IFERROR(__xludf.DUMMYFUNCTION("""COMPUTED_VALUE"""),2.81044415376601E8)</f>
        <v>281044415.4</v>
      </c>
      <c r="D496" s="3">
        <f>IFERROR(__xludf.DUMMYFUNCTION("""COMPUTED_VALUE"""),13197.132068991661)</f>
        <v>13197.13207</v>
      </c>
      <c r="E496" s="3">
        <f>IFERROR(__xludf.DUMMYFUNCTION("""COMPUTED_VALUE"""),213055.5163009707)</f>
        <v>213055.5163</v>
      </c>
      <c r="F496" s="3" t="str">
        <f>IFERROR(__xludf.DUMMYFUNCTION("""COMPUTED_VALUE"""),"AVAX")</f>
        <v>AVAX</v>
      </c>
      <c r="G496" s="3"/>
    </row>
    <row r="497">
      <c r="A497" s="3" t="str">
        <f>IFERROR(__xludf.DUMMYFUNCTION("""COMPUTED_VALUE"""),"2022-06-21T00:00:00Z")</f>
        <v>2022-06-21T00:00:00Z</v>
      </c>
      <c r="B497" s="3">
        <f>IFERROR(__xludf.DUMMYFUNCTION("""COMPUTED_VALUE"""),17.076136)</f>
        <v>17.076136</v>
      </c>
      <c r="C497" s="3">
        <f>IFERROR(__xludf.DUMMYFUNCTION("""COMPUTED_VALUE"""),2.81077769403529E8)</f>
        <v>281077769.4</v>
      </c>
      <c r="D497" s="3">
        <f>IFERROR(__xludf.DUMMYFUNCTION("""COMPUTED_VALUE"""),33354.0269280076)</f>
        <v>33354.02693</v>
      </c>
      <c r="E497" s="3">
        <f>IFERROR(__xludf.DUMMYFUNCTION("""COMPUTED_VALUE"""),569557.89997032)</f>
        <v>569557.9</v>
      </c>
      <c r="F497" s="3" t="str">
        <f>IFERROR(__xludf.DUMMYFUNCTION("""COMPUTED_VALUE"""),"AVAX")</f>
        <v>AVAX</v>
      </c>
      <c r="G497" s="3"/>
    </row>
    <row r="498">
      <c r="A498" s="3" t="str">
        <f>IFERROR(__xludf.DUMMYFUNCTION("""COMPUTED_VALUE"""),"2022-06-22T00:00:00Z")</f>
        <v>2022-06-22T00:00:00Z</v>
      </c>
      <c r="B498" s="3">
        <f>IFERROR(__xludf.DUMMYFUNCTION("""COMPUTED_VALUE"""),16.894963)</f>
        <v>16.894963</v>
      </c>
      <c r="C498" s="3">
        <f>IFERROR(__xludf.DUMMYFUNCTION("""COMPUTED_VALUE"""),2.81199802954451E8)</f>
        <v>281199803</v>
      </c>
      <c r="D498" s="3">
        <f>IFERROR(__xludf.DUMMYFUNCTION("""COMPUTED_VALUE"""),122033.55092203617)</f>
        <v>122033.5509</v>
      </c>
      <c r="E498" s="3">
        <f>IFERROR(__xludf.DUMMYFUNCTION("""COMPUTED_VALUE"""),2061752.327586417)</f>
        <v>2061752.328</v>
      </c>
      <c r="F498" s="3" t="str">
        <f>IFERROR(__xludf.DUMMYFUNCTION("""COMPUTED_VALUE"""),"AVAX")</f>
        <v>AVAX</v>
      </c>
      <c r="G498" s="3"/>
    </row>
    <row r="499">
      <c r="A499" s="3" t="str">
        <f>IFERROR(__xludf.DUMMYFUNCTION("""COMPUTED_VALUE"""),"2022-06-23T00:00:00Z")</f>
        <v>2022-06-23T00:00:00Z</v>
      </c>
      <c r="B499" s="3">
        <f>IFERROR(__xludf.DUMMYFUNCTION("""COMPUTED_VALUE"""),16.069867)</f>
        <v>16.069867</v>
      </c>
      <c r="C499" s="3">
        <f>IFERROR(__xludf.DUMMYFUNCTION("""COMPUTED_VALUE"""),2.8136707118576E8)</f>
        <v>281367071.2</v>
      </c>
      <c r="D499" s="3">
        <f>IFERROR(__xludf.DUMMYFUNCTION("""COMPUTED_VALUE"""),167268.23130899668)</f>
        <v>167268.2313</v>
      </c>
      <c r="E499" s="3">
        <f>IFERROR(__xludf.DUMMYFUNCTION("""COMPUTED_VALUE"""),2687978.2304608123)</f>
        <v>2687978.23</v>
      </c>
      <c r="F499" s="3" t="str">
        <f>IFERROR(__xludf.DUMMYFUNCTION("""COMPUTED_VALUE"""),"AVAX")</f>
        <v>AVAX</v>
      </c>
      <c r="G499" s="3"/>
    </row>
    <row r="500">
      <c r="A500" s="3" t="str">
        <f>IFERROR(__xludf.DUMMYFUNCTION("""COMPUTED_VALUE"""),"2022-06-24T00:00:00Z")</f>
        <v>2022-06-24T00:00:00Z</v>
      </c>
      <c r="B500" s="3">
        <f>IFERROR(__xludf.DUMMYFUNCTION("""COMPUTED_VALUE"""),18.271539)</f>
        <v>18.271539</v>
      </c>
      <c r="C500" s="3">
        <f>IFERROR(__xludf.DUMMYFUNCTION("""COMPUTED_VALUE"""),2.81534864536761E8)</f>
        <v>281534864.5</v>
      </c>
      <c r="D500" s="3">
        <f>IFERROR(__xludf.DUMMYFUNCTION("""COMPUTED_VALUE"""),167793.35100096464)</f>
        <v>167793.351</v>
      </c>
      <c r="E500" s="3">
        <f>IFERROR(__xludf.DUMMYFUNCTION("""COMPUTED_VALUE"""),3065842.7567548146)</f>
        <v>3065842.757</v>
      </c>
      <c r="F500" s="3" t="str">
        <f>IFERROR(__xludf.DUMMYFUNCTION("""COMPUTED_VALUE"""),"AVAX")</f>
        <v>AVAX</v>
      </c>
      <c r="G500" s="3"/>
    </row>
    <row r="501">
      <c r="A501" s="3" t="str">
        <f>IFERROR(__xludf.DUMMYFUNCTION("""COMPUTED_VALUE"""),"2022-06-25T00:00:00Z")</f>
        <v>2022-06-25T00:00:00Z</v>
      </c>
      <c r="B501" s="3">
        <f>IFERROR(__xludf.DUMMYFUNCTION("""COMPUTED_VALUE"""),20.179812)</f>
        <v>20.179812</v>
      </c>
      <c r="C501" s="3">
        <f>IFERROR(__xludf.DUMMYFUNCTION("""COMPUTED_VALUE"""),2.81670708159019E8)</f>
        <v>281670708.2</v>
      </c>
      <c r="D501" s="3">
        <f>IFERROR(__xludf.DUMMYFUNCTION("""COMPUTED_VALUE"""),135843.62225800753)</f>
        <v>135843.6223</v>
      </c>
      <c r="E501" s="3">
        <f>IFERROR(__xludf.DUMMYFUNCTION("""COMPUTED_VALUE"""),2741298.758565607)</f>
        <v>2741298.759</v>
      </c>
      <c r="F501" s="3" t="str">
        <f>IFERROR(__xludf.DUMMYFUNCTION("""COMPUTED_VALUE"""),"AVAX")</f>
        <v>AVAX</v>
      </c>
      <c r="G501" s="3"/>
    </row>
    <row r="502">
      <c r="A502" s="3" t="str">
        <f>IFERROR(__xludf.DUMMYFUNCTION("""COMPUTED_VALUE"""),"2022-06-26T00:00:00Z")</f>
        <v>2022-06-26T00:00:00Z</v>
      </c>
      <c r="B502" s="3">
        <f>IFERROR(__xludf.DUMMYFUNCTION("""COMPUTED_VALUE"""),21.359284)</f>
        <v>21.359284</v>
      </c>
      <c r="C502" s="3">
        <f>IFERROR(__xludf.DUMMYFUNCTION("""COMPUTED_VALUE"""),2.81831368352135E8)</f>
        <v>281831368.4</v>
      </c>
      <c r="D502" s="3">
        <f>IFERROR(__xludf.DUMMYFUNCTION("""COMPUTED_VALUE"""),160660.19311600924)</f>
        <v>160660.1931</v>
      </c>
      <c r="E502" s="3">
        <f>IFERROR(__xludf.DUMMYFUNCTION("""COMPUTED_VALUE"""),3431586.692259686)</f>
        <v>3431586.692</v>
      </c>
      <c r="F502" s="3" t="str">
        <f>IFERROR(__xludf.DUMMYFUNCTION("""COMPUTED_VALUE"""),"AVAX")</f>
        <v>AVAX</v>
      </c>
      <c r="G502" s="3"/>
    </row>
    <row r="503">
      <c r="A503" s="3" t="str">
        <f>IFERROR(__xludf.DUMMYFUNCTION("""COMPUTED_VALUE"""),"2022-06-27T00:00:00Z")</f>
        <v>2022-06-27T00:00:00Z</v>
      </c>
      <c r="B503" s="3">
        <f>IFERROR(__xludf.DUMMYFUNCTION("""COMPUTED_VALUE"""),19.70914)</f>
        <v>19.70914</v>
      </c>
      <c r="C503" s="3">
        <f>IFERROR(__xludf.DUMMYFUNCTION("""COMPUTED_VALUE"""),2.81999094574317E8)</f>
        <v>281999094.6</v>
      </c>
      <c r="D503" s="3">
        <f>IFERROR(__xludf.DUMMYFUNCTION("""COMPUTED_VALUE"""),167726.22218197584)</f>
        <v>167726.2222</v>
      </c>
      <c r="E503" s="3">
        <f>IFERROR(__xludf.DUMMYFUNCTION("""COMPUTED_VALUE"""),3305739.5946556674)</f>
        <v>3305739.595</v>
      </c>
      <c r="F503" s="3" t="str">
        <f>IFERROR(__xludf.DUMMYFUNCTION("""COMPUTED_VALUE"""),"AVAX")</f>
        <v>AVAX</v>
      </c>
      <c r="G503" s="3"/>
    </row>
    <row r="504">
      <c r="A504" s="3" t="str">
        <f>IFERROR(__xludf.DUMMYFUNCTION("""COMPUTED_VALUE"""),"2022-06-28T00:00:00Z")</f>
        <v>2022-06-28T00:00:00Z</v>
      </c>
      <c r="B504" s="3">
        <f>IFERROR(__xludf.DUMMYFUNCTION("""COMPUTED_VALUE"""),19.312528)</f>
        <v>19.312528</v>
      </c>
      <c r="C504" s="3">
        <f>IFERROR(__xludf.DUMMYFUNCTION("""COMPUTED_VALUE"""),2.82155185123696E8)</f>
        <v>282155185.1</v>
      </c>
      <c r="D504" s="3">
        <f>IFERROR(__xludf.DUMMYFUNCTION("""COMPUTED_VALUE"""),156090.54937905073)</f>
        <v>156090.5494</v>
      </c>
      <c r="E504" s="3">
        <f>IFERROR(__xludf.DUMMYFUNCTION("""COMPUTED_VALUE"""),3014503.1054183)</f>
        <v>3014503.105</v>
      </c>
      <c r="F504" s="3" t="str">
        <f>IFERROR(__xludf.DUMMYFUNCTION("""COMPUTED_VALUE"""),"AVAX")</f>
        <v>AVAX</v>
      </c>
      <c r="G504" s="3"/>
    </row>
    <row r="505">
      <c r="A505" s="3" t="str">
        <f>IFERROR(__xludf.DUMMYFUNCTION("""COMPUTED_VALUE"""),"2022-06-29T00:00:00Z")</f>
        <v>2022-06-29T00:00:00Z</v>
      </c>
      <c r="B505" s="3">
        <f>IFERROR(__xludf.DUMMYFUNCTION("""COMPUTED_VALUE"""),18.081175)</f>
        <v>18.081175</v>
      </c>
      <c r="C505" s="3">
        <f>IFERROR(__xludf.DUMMYFUNCTION("""COMPUTED_VALUE"""),2.82302525502339E8)</f>
        <v>282302525.5</v>
      </c>
      <c r="D505" s="3">
        <f>IFERROR(__xludf.DUMMYFUNCTION("""COMPUTED_VALUE"""),147340.37864297628)</f>
        <v>147340.3786</v>
      </c>
      <c r="E505" s="3">
        <f>IFERROR(__xludf.DUMMYFUNCTION("""COMPUTED_VALUE"""),2664087.170809917)</f>
        <v>2664087.171</v>
      </c>
      <c r="F505" s="3" t="str">
        <f>IFERROR(__xludf.DUMMYFUNCTION("""COMPUTED_VALUE"""),"AVAX")</f>
        <v>AVAX</v>
      </c>
      <c r="G505" s="3"/>
    </row>
    <row r="506">
      <c r="A506" s="3" t="str">
        <f>IFERROR(__xludf.DUMMYFUNCTION("""COMPUTED_VALUE"""),"2022-06-30T00:00:00Z")</f>
        <v>2022-06-30T00:00:00Z</v>
      </c>
      <c r="B506" s="3">
        <f>IFERROR(__xludf.DUMMYFUNCTION("""COMPUTED_VALUE"""),17.777767)</f>
        <v>17.777767</v>
      </c>
      <c r="C506" s="3">
        <f>IFERROR(__xludf.DUMMYFUNCTION("""COMPUTED_VALUE"""),2.82366821172595E8)</f>
        <v>282366821.2</v>
      </c>
      <c r="D506" s="3">
        <f>IFERROR(__xludf.DUMMYFUNCTION("""COMPUTED_VALUE"""),64295.67025601864)</f>
        <v>64295.67026</v>
      </c>
      <c r="E506" s="3">
        <f>IFERROR(__xludf.DUMMYFUNCTION("""COMPUTED_VALUE"""),1143033.4449203298)</f>
        <v>1143033.445</v>
      </c>
      <c r="F506" s="3" t="str">
        <f>IFERROR(__xludf.DUMMYFUNCTION("""COMPUTED_VALUE"""),"AVAX")</f>
        <v>AVAX</v>
      </c>
      <c r="G506" s="3"/>
    </row>
    <row r="507">
      <c r="A507" s="3" t="str">
        <f>IFERROR(__xludf.DUMMYFUNCTION("""COMPUTED_VALUE"""),"2022-07-01T00:00:00Z")</f>
        <v>2022-07-01T00:00:00Z</v>
      </c>
      <c r="B507" s="3">
        <f>IFERROR(__xludf.DUMMYFUNCTION("""COMPUTED_VALUE"""),16.961424)</f>
        <v>16.961424</v>
      </c>
      <c r="C507" s="3">
        <f>IFERROR(__xludf.DUMMYFUNCTION("""COMPUTED_VALUE"""),2.82417305330826E8)</f>
        <v>282417305.3</v>
      </c>
      <c r="D507" s="3">
        <f>IFERROR(__xludf.DUMMYFUNCTION("""COMPUTED_VALUE"""),50484.15823096037)</f>
        <v>50484.15823</v>
      </c>
      <c r="E507" s="3">
        <f>IFERROR(__xludf.DUMMYFUNCTION("""COMPUTED_VALUE"""),856283.2130384088)</f>
        <v>856283.213</v>
      </c>
      <c r="F507" s="3" t="str">
        <f>IFERROR(__xludf.DUMMYFUNCTION("""COMPUTED_VALUE"""),"AVAX")</f>
        <v>AVAX</v>
      </c>
      <c r="G507" s="3"/>
    </row>
    <row r="508">
      <c r="A508" s="3" t="str">
        <f>IFERROR(__xludf.DUMMYFUNCTION("""COMPUTED_VALUE"""),"2022-07-02T00:00:00Z")</f>
        <v>2022-07-02T00:00:00Z</v>
      </c>
      <c r="B508" s="3">
        <f>IFERROR(__xludf.DUMMYFUNCTION("""COMPUTED_VALUE"""),16.101998)</f>
        <v>16.101998</v>
      </c>
      <c r="C508" s="3">
        <f>IFERROR(__xludf.DUMMYFUNCTION("""COMPUTED_VALUE"""),2.82469345255986E8)</f>
        <v>282469345.3</v>
      </c>
      <c r="D508" s="3">
        <f>IFERROR(__xludf.DUMMYFUNCTION("""COMPUTED_VALUE"""),52039.92515999079)</f>
        <v>52039.92516</v>
      </c>
      <c r="E508" s="3">
        <f>IFERROR(__xludf.DUMMYFUNCTION("""COMPUTED_VALUE"""),837946.7708463212)</f>
        <v>837946.7708</v>
      </c>
      <c r="F508" s="3" t="str">
        <f>IFERROR(__xludf.DUMMYFUNCTION("""COMPUTED_VALUE"""),"AVAX")</f>
        <v>AVAX</v>
      </c>
      <c r="G508" s="3"/>
    </row>
    <row r="509">
      <c r="A509" s="3" t="str">
        <f>IFERROR(__xludf.DUMMYFUNCTION("""COMPUTED_VALUE"""),"2022-07-03T00:00:00Z")</f>
        <v>2022-07-03T00:00:00Z</v>
      </c>
      <c r="B509" s="3">
        <f>IFERROR(__xludf.DUMMYFUNCTION("""COMPUTED_VALUE"""),16.309646)</f>
        <v>16.309646</v>
      </c>
      <c r="C509" s="3">
        <f>IFERROR(__xludf.DUMMYFUNCTION("""COMPUTED_VALUE"""),2.82573057720252E8)</f>
        <v>282573057.7</v>
      </c>
      <c r="D509" s="3">
        <f>IFERROR(__xludf.DUMMYFUNCTION("""COMPUTED_VALUE"""),103712.46426600218)</f>
        <v>103712.4643</v>
      </c>
      <c r="E509" s="3">
        <f>IFERROR(__xludf.DUMMYFUNCTION("""COMPUTED_VALUE"""),1691513.5779661455)</f>
        <v>1691513.578</v>
      </c>
      <c r="F509" s="3" t="str">
        <f>IFERROR(__xludf.DUMMYFUNCTION("""COMPUTED_VALUE"""),"AVAX")</f>
        <v>AVAX</v>
      </c>
      <c r="G509" s="3"/>
    </row>
    <row r="510">
      <c r="A510" s="3" t="str">
        <f>IFERROR(__xludf.DUMMYFUNCTION("""COMPUTED_VALUE"""),"2022-07-04T00:00:00Z")</f>
        <v>2022-07-04T00:00:00Z</v>
      </c>
      <c r="B510" s="3">
        <f>IFERROR(__xludf.DUMMYFUNCTION("""COMPUTED_VALUE"""),16.629297)</f>
        <v>16.629297</v>
      </c>
      <c r="C510" s="3">
        <f>IFERROR(__xludf.DUMMYFUNCTION("""COMPUTED_VALUE"""),2.82651184443657E8)</f>
        <v>282651184.4</v>
      </c>
      <c r="D510" s="3">
        <f>IFERROR(__xludf.DUMMYFUNCTION("""COMPUTED_VALUE"""),78126.72340500355)</f>
        <v>78126.72341</v>
      </c>
      <c r="E510" s="3">
        <f>IFERROR(__xludf.DUMMYFUNCTION("""COMPUTED_VALUE"""),1299192.4871386553)</f>
        <v>1299192.487</v>
      </c>
      <c r="F510" s="3" t="str">
        <f>IFERROR(__xludf.DUMMYFUNCTION("""COMPUTED_VALUE"""),"AVAX")</f>
        <v>AVAX</v>
      </c>
      <c r="G510" s="3"/>
    </row>
    <row r="511">
      <c r="A511" s="3" t="str">
        <f>IFERROR(__xludf.DUMMYFUNCTION("""COMPUTED_VALUE"""),"2022-07-05T00:00:00Z")</f>
        <v>2022-07-05T00:00:00Z</v>
      </c>
      <c r="B511" s="3">
        <f>IFERROR(__xludf.DUMMYFUNCTION("""COMPUTED_VALUE"""),17.902831)</f>
        <v>17.902831</v>
      </c>
      <c r="C511" s="3">
        <f>IFERROR(__xludf.DUMMYFUNCTION("""COMPUTED_VALUE"""),2.82882857195296E8)</f>
        <v>282882857.2</v>
      </c>
      <c r="D511" s="3">
        <f>IFERROR(__xludf.DUMMYFUNCTION("""COMPUTED_VALUE"""),231672.75163900852)</f>
        <v>231672.7516</v>
      </c>
      <c r="E511" s="3">
        <f>IFERROR(__xludf.DUMMYFUNCTION("""COMPUTED_VALUE"""),4147598.1198981423)</f>
        <v>4147598.12</v>
      </c>
      <c r="F511" s="3" t="str">
        <f>IFERROR(__xludf.DUMMYFUNCTION("""COMPUTED_VALUE"""),"AVAX")</f>
        <v>AVAX</v>
      </c>
      <c r="G511" s="3"/>
    </row>
    <row r="512">
      <c r="A512" s="3" t="str">
        <f>IFERROR(__xludf.DUMMYFUNCTION("""COMPUTED_VALUE"""),"2022-07-06T00:00:00Z")</f>
        <v>2022-07-06T00:00:00Z</v>
      </c>
      <c r="B512" s="3">
        <f>IFERROR(__xludf.DUMMYFUNCTION("""COMPUTED_VALUE"""),18.023312)</f>
        <v>18.023312</v>
      </c>
      <c r="C512" s="3">
        <f>IFERROR(__xludf.DUMMYFUNCTION("""COMPUTED_VALUE"""),2.82965131597024E8)</f>
        <v>282965131.6</v>
      </c>
      <c r="D512" s="3">
        <f>IFERROR(__xludf.DUMMYFUNCTION("""COMPUTED_VALUE"""),82274.40172803402)</f>
        <v>82274.40173</v>
      </c>
      <c r="E512" s="3">
        <f>IFERROR(__xludf.DUMMYFUNCTION("""COMPUTED_VALUE"""),1482857.2119576964)</f>
        <v>1482857.212</v>
      </c>
      <c r="F512" s="3" t="str">
        <f>IFERROR(__xludf.DUMMYFUNCTION("""COMPUTED_VALUE"""),"AVAX")</f>
        <v>AVAX</v>
      </c>
      <c r="G512" s="3"/>
    </row>
    <row r="513">
      <c r="A513" s="3" t="str">
        <f>IFERROR(__xludf.DUMMYFUNCTION("""COMPUTED_VALUE"""),"2022-07-07T00:00:00Z")</f>
        <v>2022-07-07T00:00:00Z</v>
      </c>
      <c r="B513" s="3">
        <f>IFERROR(__xludf.DUMMYFUNCTION("""COMPUTED_VALUE"""),19.158511)</f>
        <v>19.158511</v>
      </c>
      <c r="C513" s="3">
        <f>IFERROR(__xludf.DUMMYFUNCTION("""COMPUTED_VALUE"""),2.83037898990242E8)</f>
        <v>283037899</v>
      </c>
      <c r="D513" s="3">
        <f>IFERROR(__xludf.DUMMYFUNCTION("""COMPUTED_VALUE"""),72767.39321798086)</f>
        <v>72767.39322</v>
      </c>
      <c r="E513" s="3">
        <f>IFERROR(__xludf.DUMMYFUNCTION("""COMPUTED_VALUE"""),1394114.903408012)</f>
        <v>1394114.903</v>
      </c>
      <c r="F513" s="3" t="str">
        <f>IFERROR(__xludf.DUMMYFUNCTION("""COMPUTED_VALUE"""),"AVAX")</f>
        <v>AVAX</v>
      </c>
      <c r="G513" s="3"/>
    </row>
    <row r="514">
      <c r="A514" s="3" t="str">
        <f>IFERROR(__xludf.DUMMYFUNCTION("""COMPUTED_VALUE"""),"2022-07-08T00:00:00Z")</f>
        <v>2022-07-08T00:00:00Z</v>
      </c>
      <c r="B514" s="3">
        <f>IFERROR(__xludf.DUMMYFUNCTION("""COMPUTED_VALUE"""),20.180845)</f>
        <v>20.180845</v>
      </c>
      <c r="C514" s="3">
        <f>IFERROR(__xludf.DUMMYFUNCTION("""COMPUTED_VALUE"""),2.83131672677295E8)</f>
        <v>283131672.7</v>
      </c>
      <c r="D514" s="3">
        <f>IFERROR(__xludf.DUMMYFUNCTION("""COMPUTED_VALUE"""),93773.68705302477)</f>
        <v>93773.68705</v>
      </c>
      <c r="E514" s="3">
        <f>IFERROR(__xludf.DUMMYFUNCTION("""COMPUTED_VALUE"""),1892432.2434955998)</f>
        <v>1892432.243</v>
      </c>
      <c r="F514" s="3" t="str">
        <f>IFERROR(__xludf.DUMMYFUNCTION("""COMPUTED_VALUE"""),"AVAX")</f>
        <v>AVAX</v>
      </c>
      <c r="G514" s="3"/>
    </row>
    <row r="515">
      <c r="A515" s="3" t="str">
        <f>IFERROR(__xludf.DUMMYFUNCTION("""COMPUTED_VALUE"""),"2022-07-09T00:00:00Z")</f>
        <v>2022-07-09T00:00:00Z</v>
      </c>
      <c r="B515" s="3">
        <f>IFERROR(__xludf.DUMMYFUNCTION("""COMPUTED_VALUE"""),19.710246)</f>
        <v>19.710246</v>
      </c>
      <c r="C515" s="3">
        <f>IFERROR(__xludf.DUMMYFUNCTION("""COMPUTED_VALUE"""),2.83229016247874E8)</f>
        <v>283229016.2</v>
      </c>
      <c r="D515" s="3">
        <f>IFERROR(__xludf.DUMMYFUNCTION("""COMPUTED_VALUE"""),97343.57057899237)</f>
        <v>97343.57058</v>
      </c>
      <c r="E515" s="3">
        <f>IFERROR(__xludf.DUMMYFUNCTION("""COMPUTED_VALUE"""),1918665.7226303022)</f>
        <v>1918665.723</v>
      </c>
      <c r="F515" s="3" t="str">
        <f>IFERROR(__xludf.DUMMYFUNCTION("""COMPUTED_VALUE"""),"AVAX")</f>
        <v>AVAX</v>
      </c>
      <c r="G515" s="3"/>
    </row>
    <row r="516">
      <c r="A516" s="3" t="str">
        <f>IFERROR(__xludf.DUMMYFUNCTION("""COMPUTED_VALUE"""),"2022-07-10T00:00:00Z")</f>
        <v>2022-07-10T00:00:00Z</v>
      </c>
      <c r="B516" s="3">
        <f>IFERROR(__xludf.DUMMYFUNCTION("""COMPUTED_VALUE"""),19.889906)</f>
        <v>19.889906</v>
      </c>
      <c r="C516" s="3">
        <f>IFERROR(__xludf.DUMMYFUNCTION("""COMPUTED_VALUE"""),2.83315157315312E8)</f>
        <v>283315157.3</v>
      </c>
      <c r="D516" s="3">
        <f>IFERROR(__xludf.DUMMYFUNCTION("""COMPUTED_VALUE"""),86141.0674380064)</f>
        <v>86141.06744</v>
      </c>
      <c r="E516" s="3">
        <f>IFERROR(__xludf.DUMMYFUNCTION("""COMPUTED_VALUE"""),1713337.7340816082)</f>
        <v>1713337.734</v>
      </c>
      <c r="F516" s="3" t="str">
        <f>IFERROR(__xludf.DUMMYFUNCTION("""COMPUTED_VALUE"""),"AVAX")</f>
        <v>AVAX</v>
      </c>
      <c r="G516" s="3"/>
    </row>
    <row r="517">
      <c r="A517" s="3" t="str">
        <f>IFERROR(__xludf.DUMMYFUNCTION("""COMPUTED_VALUE"""),"2022-07-11T00:00:00Z")</f>
        <v>2022-07-11T00:00:00Z</v>
      </c>
      <c r="B517" s="3">
        <f>IFERROR(__xludf.DUMMYFUNCTION("""COMPUTED_VALUE"""),19.157698)</f>
        <v>19.157698</v>
      </c>
      <c r="C517" s="3">
        <f>IFERROR(__xludf.DUMMYFUNCTION("""COMPUTED_VALUE"""),2.8337613045985E8)</f>
        <v>283376130.5</v>
      </c>
      <c r="D517" s="3">
        <f>IFERROR(__xludf.DUMMYFUNCTION("""COMPUTED_VALUE"""),60973.144537985325)</f>
        <v>60973.14454</v>
      </c>
      <c r="E517" s="3">
        <f>IFERROR(__xludf.DUMMYFUNCTION("""COMPUTED_VALUE"""),1168105.0891690725)</f>
        <v>1168105.089</v>
      </c>
      <c r="F517" s="3" t="str">
        <f>IFERROR(__xludf.DUMMYFUNCTION("""COMPUTED_VALUE"""),"AVAX")</f>
        <v>AVAX</v>
      </c>
      <c r="G517" s="3"/>
    </row>
    <row r="518">
      <c r="A518" s="3" t="str">
        <f>IFERROR(__xludf.DUMMYFUNCTION("""COMPUTED_VALUE"""),"2022-07-12T00:00:00Z")</f>
        <v>2022-07-12T00:00:00Z</v>
      </c>
      <c r="B518" s="3">
        <f>IFERROR(__xludf.DUMMYFUNCTION("""COMPUTED_VALUE"""),17.314704)</f>
        <v>17.314704</v>
      </c>
      <c r="C518" s="3">
        <f>IFERROR(__xludf.DUMMYFUNCTION("""COMPUTED_VALUE"""),2.83452828663794E8)</f>
        <v>283452828.7</v>
      </c>
      <c r="D518" s="3">
        <f>IFERROR(__xludf.DUMMYFUNCTION("""COMPUTED_VALUE"""),76698.20394396782)</f>
        <v>76698.20394</v>
      </c>
      <c r="E518" s="3">
        <f>IFERROR(__xludf.DUMMYFUNCTION("""COMPUTED_VALUE"""),1328006.6986214353)</f>
        <v>1328006.699</v>
      </c>
      <c r="F518" s="3" t="str">
        <f>IFERROR(__xludf.DUMMYFUNCTION("""COMPUTED_VALUE"""),"AVAX")</f>
        <v>AVAX</v>
      </c>
      <c r="G518" s="3"/>
    </row>
    <row r="519">
      <c r="A519" s="3" t="str">
        <f>IFERROR(__xludf.DUMMYFUNCTION("""COMPUTED_VALUE"""),"2022-07-13T00:00:00Z")</f>
        <v>2022-07-13T00:00:00Z</v>
      </c>
      <c r="B519" s="3">
        <f>IFERROR(__xludf.DUMMYFUNCTION("""COMPUTED_VALUE"""),16.730529)</f>
        <v>16.730529</v>
      </c>
      <c r="C519" s="3">
        <f>IFERROR(__xludf.DUMMYFUNCTION("""COMPUTED_VALUE"""),2.83538565223786E8)</f>
        <v>283538565.2</v>
      </c>
      <c r="D519" s="3">
        <f>IFERROR(__xludf.DUMMYFUNCTION("""COMPUTED_VALUE"""),85736.55999201536)</f>
        <v>85736.55999</v>
      </c>
      <c r="E519" s="3">
        <f>IFERROR(__xludf.DUMMYFUNCTION("""COMPUTED_VALUE"""),1434418.003306653)</f>
        <v>1434418.003</v>
      </c>
      <c r="F519" s="3" t="str">
        <f>IFERROR(__xludf.DUMMYFUNCTION("""COMPUTED_VALUE"""),"AVAX")</f>
        <v>AVAX</v>
      </c>
      <c r="G519" s="3"/>
    </row>
    <row r="520">
      <c r="A520" s="3" t="str">
        <f>IFERROR(__xludf.DUMMYFUNCTION("""COMPUTED_VALUE"""),"2022-07-14T00:00:00Z")</f>
        <v>2022-07-14T00:00:00Z</v>
      </c>
      <c r="B520" s="3">
        <f>IFERROR(__xludf.DUMMYFUNCTION("""COMPUTED_VALUE"""),18.811775)</f>
        <v>18.811775</v>
      </c>
      <c r="C520" s="3">
        <f>IFERROR(__xludf.DUMMYFUNCTION("""COMPUTED_VALUE"""),2.8362960077586E8)</f>
        <v>283629600.8</v>
      </c>
      <c r="D520" s="3">
        <f>IFERROR(__xludf.DUMMYFUNCTION("""COMPUTED_VALUE"""),91035.55207401514)</f>
        <v>91035.55207</v>
      </c>
      <c r="E520" s="3">
        <f>IFERROR(__xludf.DUMMYFUNCTION("""COMPUTED_VALUE"""),1712540.3226171562)</f>
        <v>1712540.323</v>
      </c>
      <c r="F520" s="3" t="str">
        <f>IFERROR(__xludf.DUMMYFUNCTION("""COMPUTED_VALUE"""),"AVAX")</f>
        <v>AVAX</v>
      </c>
      <c r="G520" s="3"/>
    </row>
    <row r="521">
      <c r="A521" s="3" t="str">
        <f>IFERROR(__xludf.DUMMYFUNCTION("""COMPUTED_VALUE"""),"2022-07-15T00:00:00Z")</f>
        <v>2022-07-15T00:00:00Z</v>
      </c>
      <c r="B521" s="3">
        <f>IFERROR(__xludf.DUMMYFUNCTION("""COMPUTED_VALUE"""),19.74532)</f>
        <v>19.74532</v>
      </c>
      <c r="C521" s="3">
        <f>IFERROR(__xludf.DUMMYFUNCTION("""COMPUTED_VALUE"""),2.83720446866376E8)</f>
        <v>283720446.9</v>
      </c>
      <c r="D521" s="3">
        <f>IFERROR(__xludf.DUMMYFUNCTION("""COMPUTED_VALUE"""),90846.09051597118)</f>
        <v>90846.09052</v>
      </c>
      <c r="E521" s="3">
        <f>IFERROR(__xludf.DUMMYFUNCTION("""COMPUTED_VALUE"""),1793785.127986816)</f>
        <v>1793785.128</v>
      </c>
      <c r="F521" s="3" t="str">
        <f>IFERROR(__xludf.DUMMYFUNCTION("""COMPUTED_VALUE"""),"AVAX")</f>
        <v>AVAX</v>
      </c>
      <c r="G521" s="3"/>
    </row>
    <row r="522">
      <c r="A522" s="3" t="str">
        <f>IFERROR(__xludf.DUMMYFUNCTION("""COMPUTED_VALUE"""),"2022-07-16T00:00:00Z")</f>
        <v>2022-07-16T00:00:00Z</v>
      </c>
      <c r="B522" s="3">
        <f>IFERROR(__xludf.DUMMYFUNCTION("""COMPUTED_VALUE"""),19.364371)</f>
        <v>19.364371</v>
      </c>
      <c r="C522" s="3">
        <f>IFERROR(__xludf.DUMMYFUNCTION("""COMPUTED_VALUE"""),2.83839215123174E8)</f>
        <v>283839215.1</v>
      </c>
      <c r="D522" s="3">
        <f>IFERROR(__xludf.DUMMYFUNCTION("""COMPUTED_VALUE"""),118768.25679802895)</f>
        <v>118768.2568</v>
      </c>
      <c r="E522" s="3">
        <f>IFERROR(__xludf.DUMMYFUNCTION("""COMPUTED_VALUE"""),2299872.5876603043)</f>
        <v>2299872.588</v>
      </c>
      <c r="F522" s="3" t="str">
        <f>IFERROR(__xludf.DUMMYFUNCTION("""COMPUTED_VALUE"""),"AVAX")</f>
        <v>AVAX</v>
      </c>
      <c r="G522" s="3"/>
    </row>
    <row r="523">
      <c r="A523" s="3" t="str">
        <f>IFERROR(__xludf.DUMMYFUNCTION("""COMPUTED_VALUE"""),"2022-07-17T00:00:00Z")</f>
        <v>2022-07-17T00:00:00Z</v>
      </c>
      <c r="B523" s="3">
        <f>IFERROR(__xludf.DUMMYFUNCTION("""COMPUTED_VALUE"""),21.240712)</f>
        <v>21.240712</v>
      </c>
      <c r="C523" s="3">
        <f>IFERROR(__xludf.DUMMYFUNCTION("""COMPUTED_VALUE"""),2.83842803573867E8)</f>
        <v>283842803.6</v>
      </c>
      <c r="D523" s="3">
        <f>IFERROR(__xludf.DUMMYFUNCTION("""COMPUTED_VALUE"""),3588.450693011284)</f>
        <v>3588.450693</v>
      </c>
      <c r="E523" s="3">
        <f>IFERROR(__xludf.DUMMYFUNCTION("""COMPUTED_VALUE"""),76221.2476964531)</f>
        <v>76221.2477</v>
      </c>
      <c r="F523" s="3" t="str">
        <f>IFERROR(__xludf.DUMMYFUNCTION("""COMPUTED_VALUE"""),"AVAX")</f>
        <v>AVAX</v>
      </c>
      <c r="G523" s="3"/>
    </row>
    <row r="524">
      <c r="A524" s="3" t="str">
        <f>IFERROR(__xludf.DUMMYFUNCTION("""COMPUTED_VALUE"""),"2022-07-18T00:00:00Z")</f>
        <v>2022-07-18T00:00:00Z</v>
      </c>
      <c r="B524" s="3">
        <f>IFERROR(__xludf.DUMMYFUNCTION("""COMPUTED_VALUE"""),20.617041)</f>
        <v>20.617041</v>
      </c>
      <c r="C524" s="3">
        <f>IFERROR(__xludf.DUMMYFUNCTION("""COMPUTED_VALUE"""),2.83854148057464E8)</f>
        <v>283854148.1</v>
      </c>
      <c r="D524" s="3">
        <f>IFERROR(__xludf.DUMMYFUNCTION("""COMPUTED_VALUE"""),11344.483596980572)</f>
        <v>11344.4836</v>
      </c>
      <c r="E524" s="3">
        <f>IFERROR(__xludf.DUMMYFUNCTION("""COMPUTED_VALUE"""),233889.68344277592)</f>
        <v>233889.6834</v>
      </c>
      <c r="F524" s="3" t="str">
        <f>IFERROR(__xludf.DUMMYFUNCTION("""COMPUTED_VALUE"""),"AVAX")</f>
        <v>AVAX</v>
      </c>
      <c r="G524" s="3"/>
    </row>
    <row r="525">
      <c r="A525" s="3" t="str">
        <f>IFERROR(__xludf.DUMMYFUNCTION("""COMPUTED_VALUE"""),"2022-07-19T00:00:00Z")</f>
        <v>2022-07-19T00:00:00Z</v>
      </c>
      <c r="B525" s="3">
        <f>IFERROR(__xludf.DUMMYFUNCTION("""COMPUTED_VALUE"""),23.951779)</f>
        <v>23.951779</v>
      </c>
      <c r="C525" s="3">
        <f>IFERROR(__xludf.DUMMYFUNCTION("""COMPUTED_VALUE"""),2.83857595515193E8)</f>
        <v>283857595.5</v>
      </c>
      <c r="D525" s="3">
        <f>IFERROR(__xludf.DUMMYFUNCTION("""COMPUTED_VALUE"""),3447.4577289819717)</f>
        <v>3447.457729</v>
      </c>
      <c r="E525" s="3">
        <f>IFERROR(__xludf.DUMMYFUNCTION("""COMPUTED_VALUE"""),82572.74563641808)</f>
        <v>82572.74564</v>
      </c>
      <c r="F525" s="3" t="str">
        <f>IFERROR(__xludf.DUMMYFUNCTION("""COMPUTED_VALUE"""),"AVAX")</f>
        <v>AVAX</v>
      </c>
      <c r="G525" s="3"/>
    </row>
    <row r="526">
      <c r="A526" s="3" t="str">
        <f>IFERROR(__xludf.DUMMYFUNCTION("""COMPUTED_VALUE"""),"2022-07-20T00:00:00Z")</f>
        <v>2022-07-20T00:00:00Z</v>
      </c>
      <c r="B526" s="3">
        <f>IFERROR(__xludf.DUMMYFUNCTION("""COMPUTED_VALUE"""),24.71253)</f>
        <v>24.71253</v>
      </c>
      <c r="C526" s="3">
        <f>IFERROR(__xludf.DUMMYFUNCTION("""COMPUTED_VALUE"""),2.8387362335558E8)</f>
        <v>283873623.4</v>
      </c>
      <c r="D526" s="3">
        <f>IFERROR(__xludf.DUMMYFUNCTION("""COMPUTED_VALUE"""),16027.840386986732)</f>
        <v>16027.84039</v>
      </c>
      <c r="E526" s="3">
        <f>IFERROR(__xludf.DUMMYFUNCTION("""COMPUTED_VALUE"""),396088.48639862123)</f>
        <v>396088.4864</v>
      </c>
      <c r="F526" s="3" t="str">
        <f>IFERROR(__xludf.DUMMYFUNCTION("""COMPUTED_VALUE"""),"AVAX")</f>
        <v>AVAX</v>
      </c>
      <c r="G526" s="3"/>
    </row>
    <row r="527">
      <c r="A527" s="3" t="str">
        <f>IFERROR(__xludf.DUMMYFUNCTION("""COMPUTED_VALUE"""),"2022-07-21T00:00:00Z")</f>
        <v>2022-07-21T00:00:00Z</v>
      </c>
      <c r="B527" s="3">
        <f>IFERROR(__xludf.DUMMYFUNCTION("""COMPUTED_VALUE"""),23.584925)</f>
        <v>23.584925</v>
      </c>
      <c r="C527" s="3">
        <f>IFERROR(__xludf.DUMMYFUNCTION("""COMPUTED_VALUE"""),2.838770620183E8)</f>
        <v>283877062</v>
      </c>
      <c r="D527" s="3">
        <f>IFERROR(__xludf.DUMMYFUNCTION("""COMPUTED_VALUE"""),3438.6627200245857)</f>
        <v>3438.66272</v>
      </c>
      <c r="E527" s="3">
        <f>IFERROR(__xludf.DUMMYFUNCTION("""COMPUTED_VALUE"""),81100.60235207585)</f>
        <v>81100.60235</v>
      </c>
      <c r="F527" s="3" t="str">
        <f>IFERROR(__xludf.DUMMYFUNCTION("""COMPUTED_VALUE"""),"AVAX")</f>
        <v>AVAX</v>
      </c>
      <c r="G527" s="3"/>
    </row>
    <row r="528">
      <c r="A528" s="3" t="str">
        <f>IFERROR(__xludf.DUMMYFUNCTION("""COMPUTED_VALUE"""),"2022-07-22T00:00:00Z")</f>
        <v>2022-07-22T00:00:00Z</v>
      </c>
      <c r="B528" s="3">
        <f>IFERROR(__xludf.DUMMYFUNCTION("""COMPUTED_VALUE"""),24.987522)</f>
        <v>24.987522</v>
      </c>
      <c r="C528" s="3">
        <f>IFERROR(__xludf.DUMMYFUNCTION("""COMPUTED_VALUE"""),2.83905767535898E8)</f>
        <v>283905767.5</v>
      </c>
      <c r="D528" s="3">
        <f>IFERROR(__xludf.DUMMYFUNCTION("""COMPUTED_VALUE"""),28705.517597973347)</f>
        <v>28705.5176</v>
      </c>
      <c r="E528" s="3">
        <f>IFERROR(__xludf.DUMMYFUNCTION("""COMPUTED_VALUE"""),717279.7525007462)</f>
        <v>717279.7525</v>
      </c>
      <c r="F528" s="3" t="str">
        <f>IFERROR(__xludf.DUMMYFUNCTION("""COMPUTED_VALUE"""),"AVAX")</f>
        <v>AVAX</v>
      </c>
      <c r="G528" s="3"/>
    </row>
    <row r="529">
      <c r="A529" s="3" t="str">
        <f>IFERROR(__xludf.DUMMYFUNCTION("""COMPUTED_VALUE"""),"2022-07-23T00:00:00Z")</f>
        <v>2022-07-23T00:00:00Z</v>
      </c>
      <c r="B529" s="3">
        <f>IFERROR(__xludf.DUMMYFUNCTION("""COMPUTED_VALUE"""),23.607178)</f>
        <v>23.607178</v>
      </c>
      <c r="C529" s="3">
        <f>IFERROR(__xludf.DUMMYFUNCTION("""COMPUTED_VALUE"""),2.83909498992937E8)</f>
        <v>283909499</v>
      </c>
      <c r="D529" s="3">
        <f>IFERROR(__xludf.DUMMYFUNCTION("""COMPUTED_VALUE"""),3731.4570390582085)</f>
        <v>3731.457039</v>
      </c>
      <c r="E529" s="3">
        <f>IFERROR(__xludf.DUMMYFUNCTION("""COMPUTED_VALUE"""),88089.17052040009)</f>
        <v>88089.17052</v>
      </c>
      <c r="F529" s="3" t="str">
        <f>IFERROR(__xludf.DUMMYFUNCTION("""COMPUTED_VALUE"""),"AVAX")</f>
        <v>AVAX</v>
      </c>
      <c r="G529" s="3"/>
    </row>
    <row r="530">
      <c r="A530" s="3" t="str">
        <f>IFERROR(__xludf.DUMMYFUNCTION("""COMPUTED_VALUE"""),"2022-07-24T00:00:00Z")</f>
        <v>2022-07-24T00:00:00Z</v>
      </c>
      <c r="B530" s="3">
        <f>IFERROR(__xludf.DUMMYFUNCTION("""COMPUTED_VALUE"""),23.596442)</f>
        <v>23.596442</v>
      </c>
      <c r="C530" s="3">
        <f>IFERROR(__xludf.DUMMYFUNCTION("""COMPUTED_VALUE"""),2.8390957239145E8)</f>
        <v>283909572.4</v>
      </c>
      <c r="D530" s="3">
        <f>IFERROR(__xludf.DUMMYFUNCTION("""COMPUTED_VALUE"""),73.39851295948029)</f>
        <v>73.39851296</v>
      </c>
      <c r="E530" s="3">
        <f>IFERROR(__xludf.DUMMYFUNCTION("""COMPUTED_VALUE"""),1731.943753934625)</f>
        <v>1731.943754</v>
      </c>
      <c r="F530" s="3" t="str">
        <f>IFERROR(__xludf.DUMMYFUNCTION("""COMPUTED_VALUE"""),"AVAX")</f>
        <v>AVAX</v>
      </c>
      <c r="G530" s="3"/>
    </row>
    <row r="531">
      <c r="A531" s="3" t="str">
        <f>IFERROR(__xludf.DUMMYFUNCTION("""COMPUTED_VALUE"""),"2022-07-25T00:00:00Z")</f>
        <v>2022-07-25T00:00:00Z</v>
      </c>
      <c r="B531" s="3">
        <f>IFERROR(__xludf.DUMMYFUNCTION("""COMPUTED_VALUE"""),23.797924)</f>
        <v>23.797924</v>
      </c>
      <c r="C531" s="3">
        <f>IFERROR(__xludf.DUMMYFUNCTION("""COMPUTED_VALUE"""),2.83914843227659E8)</f>
        <v>283914843.2</v>
      </c>
      <c r="D531" s="3">
        <f>IFERROR(__xludf.DUMMYFUNCTION("""COMPUTED_VALUE"""),5270.836208999157)</f>
        <v>5270.836209</v>
      </c>
      <c r="E531" s="3">
        <f>IFERROR(__xludf.DUMMYFUNCTION("""COMPUTED_VALUE"""),125434.95951821005)</f>
        <v>125434.9595</v>
      </c>
      <c r="F531" s="3" t="str">
        <f>IFERROR(__xludf.DUMMYFUNCTION("""COMPUTED_VALUE"""),"AVAX")</f>
        <v>AVAX</v>
      </c>
      <c r="G531" s="3"/>
    </row>
    <row r="532">
      <c r="A532" s="3" t="str">
        <f>IFERROR(__xludf.DUMMYFUNCTION("""COMPUTED_VALUE"""),"2022-07-26T00:00:00Z")</f>
        <v>2022-07-26T00:00:00Z</v>
      </c>
      <c r="B532" s="3">
        <f>IFERROR(__xludf.DUMMYFUNCTION("""COMPUTED_VALUE"""),20.922223)</f>
        <v>20.922223</v>
      </c>
      <c r="C532" s="3">
        <f>IFERROR(__xludf.DUMMYFUNCTION("""COMPUTED_VALUE"""),2.83971695506935E8)</f>
        <v>283971695.5</v>
      </c>
      <c r="D532" s="3">
        <f>IFERROR(__xludf.DUMMYFUNCTION("""COMPUTED_VALUE"""),56852.279276013374)</f>
        <v>56852.27928</v>
      </c>
      <c r="E532" s="3">
        <f>IFERROR(__xludf.DUMMYFUNCTION("""COMPUTED_VALUE"""),1189476.0650710303)</f>
        <v>1189476.065</v>
      </c>
      <c r="F532" s="3" t="str">
        <f>IFERROR(__xludf.DUMMYFUNCTION("""COMPUTED_VALUE"""),"AVAX")</f>
        <v>AVAX</v>
      </c>
      <c r="G532" s="3"/>
    </row>
    <row r="533">
      <c r="A533" s="3" t="str">
        <f>IFERROR(__xludf.DUMMYFUNCTION("""COMPUTED_VALUE"""),"2022-07-27T00:00:00Z")</f>
        <v>2022-07-27T00:00:00Z</v>
      </c>
      <c r="B533" s="3">
        <f>IFERROR(__xludf.DUMMYFUNCTION("""COMPUTED_VALUE"""),20.720398)</f>
        <v>20.720398</v>
      </c>
      <c r="C533" s="3">
        <f>IFERROR(__xludf.DUMMYFUNCTION("""COMPUTED_VALUE"""),2.83972790827875E8)</f>
        <v>283972790.8</v>
      </c>
      <c r="D533" s="3">
        <f>IFERROR(__xludf.DUMMYFUNCTION("""COMPUTED_VALUE"""),1095.3209400177002)</f>
        <v>1095.32094</v>
      </c>
      <c r="E533" s="3">
        <f>IFERROR(__xludf.DUMMYFUNCTION("""COMPUTED_VALUE"""),22695.485814900876)</f>
        <v>22695.48581</v>
      </c>
      <c r="F533" s="3" t="str">
        <f>IFERROR(__xludf.DUMMYFUNCTION("""COMPUTED_VALUE"""),"AVAX")</f>
        <v>AVAX</v>
      </c>
      <c r="G533" s="3"/>
    </row>
    <row r="534">
      <c r="A534" s="3" t="str">
        <f>IFERROR(__xludf.DUMMYFUNCTION("""COMPUTED_VALUE"""),"2022-07-28T00:00:00Z")</f>
        <v>2022-07-28T00:00:00Z</v>
      </c>
      <c r="B534" s="3">
        <f>IFERROR(__xludf.DUMMYFUNCTION("""COMPUTED_VALUE"""),23.44806)</f>
        <v>23.44806</v>
      </c>
      <c r="C534" s="3">
        <f>IFERROR(__xludf.DUMMYFUNCTION("""COMPUTED_VALUE"""),2.84016940076875E8)</f>
        <v>284016940.1</v>
      </c>
      <c r="D534" s="3">
        <f>IFERROR(__xludf.DUMMYFUNCTION("""COMPUTED_VALUE"""),44149.24899995327)</f>
        <v>44149.249</v>
      </c>
      <c r="E534" s="3">
        <f>IFERROR(__xludf.DUMMYFUNCTION("""COMPUTED_VALUE"""),1035214.2395058443)</f>
        <v>1035214.24</v>
      </c>
      <c r="F534" s="3" t="str">
        <f>IFERROR(__xludf.DUMMYFUNCTION("""COMPUTED_VALUE"""),"AVAX")</f>
        <v>AVAX</v>
      </c>
      <c r="G534" s="3"/>
    </row>
    <row r="535">
      <c r="A535" s="3" t="str">
        <f>IFERROR(__xludf.DUMMYFUNCTION("""COMPUTED_VALUE"""),"2022-07-29T00:00:00Z")</f>
        <v>2022-07-29T00:00:00Z</v>
      </c>
      <c r="B535" s="3">
        <f>IFERROR(__xludf.DUMMYFUNCTION("""COMPUTED_VALUE"""),24.252185)</f>
        <v>24.252185</v>
      </c>
      <c r="C535" s="3">
        <f>IFERROR(__xludf.DUMMYFUNCTION("""COMPUTED_VALUE"""),2.84320581594565E8)</f>
        <v>284320581.6</v>
      </c>
      <c r="D535" s="3">
        <f>IFERROR(__xludf.DUMMYFUNCTION("""COMPUTED_VALUE"""),303641.5176900029)</f>
        <v>303641.5177</v>
      </c>
      <c r="E535" s="3">
        <f>IFERROR(__xludf.DUMMYFUNCTION("""COMPUTED_VALUE"""),7363970.260698724)</f>
        <v>7363970.261</v>
      </c>
      <c r="F535" s="3" t="str">
        <f>IFERROR(__xludf.DUMMYFUNCTION("""COMPUTED_VALUE"""),"AVAX")</f>
        <v>AVAX</v>
      </c>
      <c r="G535" s="3"/>
    </row>
    <row r="536">
      <c r="A536" s="3" t="str">
        <f>IFERROR(__xludf.DUMMYFUNCTION("""COMPUTED_VALUE"""),"2022-07-30T00:00:00Z")</f>
        <v>2022-07-30T00:00:00Z</v>
      </c>
      <c r="B536" s="3">
        <f>IFERROR(__xludf.DUMMYFUNCTION("""COMPUTED_VALUE"""),24.509323)</f>
        <v>24.509323</v>
      </c>
      <c r="C536" s="3">
        <f>IFERROR(__xludf.DUMMYFUNCTION("""COMPUTED_VALUE"""),2.84322628158279E8)</f>
        <v>284322628.2</v>
      </c>
      <c r="D536" s="3">
        <f>IFERROR(__xludf.DUMMYFUNCTION("""COMPUTED_VALUE"""),2046.5637140274048)</f>
        <v>2046.563714</v>
      </c>
      <c r="E536" s="3">
        <f>IFERROR(__xludf.DUMMYFUNCTION("""COMPUTED_VALUE"""),50159.89110717729)</f>
        <v>50159.89111</v>
      </c>
      <c r="F536" s="3" t="str">
        <f>IFERROR(__xludf.DUMMYFUNCTION("""COMPUTED_VALUE"""),"AVAX")</f>
        <v>AVAX</v>
      </c>
      <c r="G536" s="3"/>
    </row>
    <row r="537">
      <c r="A537" s="3" t="str">
        <f>IFERROR(__xludf.DUMMYFUNCTION("""COMPUTED_VALUE"""),"2022-07-31T00:00:00Z")</f>
        <v>2022-07-31T00:00:00Z</v>
      </c>
      <c r="B537" s="3">
        <f>IFERROR(__xludf.DUMMYFUNCTION("""COMPUTED_VALUE"""),24.241983)</f>
        <v>24.241983</v>
      </c>
      <c r="C537" s="3">
        <f>IFERROR(__xludf.DUMMYFUNCTION("""COMPUTED_VALUE"""),2.84343056445058E8)</f>
        <v>284343056.4</v>
      </c>
      <c r="D537" s="3">
        <f>IFERROR(__xludf.DUMMYFUNCTION("""COMPUTED_VALUE"""),20428.286778986454)</f>
        <v>20428.28678</v>
      </c>
      <c r="E537" s="3">
        <f>IFERROR(__xludf.DUMMYFUNCTION("""COMPUTED_VALUE"""),495222.1808153144)</f>
        <v>495222.1808</v>
      </c>
      <c r="F537" s="3" t="str">
        <f>IFERROR(__xludf.DUMMYFUNCTION("""COMPUTED_VALUE"""),"AVAX")</f>
        <v>AVAX</v>
      </c>
      <c r="G537" s="3"/>
    </row>
    <row r="538">
      <c r="A538" s="3" t="str">
        <f>IFERROR(__xludf.DUMMYFUNCTION("""COMPUTED_VALUE"""),"2022-08-01T00:00:00Z")</f>
        <v>2022-08-01T00:00:00Z</v>
      </c>
      <c r="B538" s="3">
        <f>IFERROR(__xludf.DUMMYFUNCTION("""COMPUTED_VALUE"""),23.732635)</f>
        <v>23.732635</v>
      </c>
      <c r="C538" s="3">
        <f>IFERROR(__xludf.DUMMYFUNCTION("""COMPUTED_VALUE"""),2.84352923352969E8)</f>
        <v>284352923.4</v>
      </c>
      <c r="D538" s="3">
        <f>IFERROR(__xludf.DUMMYFUNCTION("""COMPUTED_VALUE"""),9866.907911002636)</f>
        <v>9866.907911</v>
      </c>
      <c r="E538" s="3">
        <f>IFERROR(__xludf.DUMMYFUNCTION("""COMPUTED_VALUE"""),234167.72403043802)</f>
        <v>234167.724</v>
      </c>
      <c r="F538" s="3" t="str">
        <f>IFERROR(__xludf.DUMMYFUNCTION("""COMPUTED_VALUE"""),"AVAX")</f>
        <v>AVAX</v>
      </c>
      <c r="G538" s="3"/>
    </row>
    <row r="539">
      <c r="A539" s="3" t="str">
        <f>IFERROR(__xludf.DUMMYFUNCTION("""COMPUTED_VALUE"""),"2022-08-02T00:00:00Z")</f>
        <v>2022-08-02T00:00:00Z</v>
      </c>
      <c r="B539" s="3">
        <f>IFERROR(__xludf.DUMMYFUNCTION("""COMPUTED_VALUE"""),23.590889)</f>
        <v>23.590889</v>
      </c>
      <c r="C539" s="3">
        <f>IFERROR(__xludf.DUMMYFUNCTION("""COMPUTED_VALUE"""),2.84389608292323E8)</f>
        <v>284389608.3</v>
      </c>
      <c r="D539" s="3">
        <f>IFERROR(__xludf.DUMMYFUNCTION("""COMPUTED_VALUE"""),36684.939354002476)</f>
        <v>36684.93935</v>
      </c>
      <c r="E539" s="3">
        <f>IFERROR(__xludf.DUMMYFUNCTION("""COMPUTED_VALUE"""),865430.3322720041)</f>
        <v>865430.3323</v>
      </c>
      <c r="F539" s="3" t="str">
        <f>IFERROR(__xludf.DUMMYFUNCTION("""COMPUTED_VALUE"""),"AVAX")</f>
        <v>AVAX</v>
      </c>
      <c r="G539" s="3"/>
    </row>
    <row r="540">
      <c r="A540" s="3" t="str">
        <f>IFERROR(__xludf.DUMMYFUNCTION("""COMPUTED_VALUE"""),"2022-08-03T00:00:00Z")</f>
        <v>2022-08-03T00:00:00Z</v>
      </c>
      <c r="B540" s="3">
        <f>IFERROR(__xludf.DUMMYFUNCTION("""COMPUTED_VALUE"""),22.855865)</f>
        <v>22.855865</v>
      </c>
      <c r="C540" s="3">
        <f>IFERROR(__xludf.DUMMYFUNCTION("""COMPUTED_VALUE"""),2.84397457724775E8)</f>
        <v>284397457.7</v>
      </c>
      <c r="D540" s="3">
        <f>IFERROR(__xludf.DUMMYFUNCTION("""COMPUTED_VALUE"""),7849.432452023029)</f>
        <v>7849.432452</v>
      </c>
      <c r="E540" s="3">
        <f>IFERROR(__xludf.DUMMYFUNCTION("""COMPUTED_VALUE"""),179405.56845005736)</f>
        <v>179405.5685</v>
      </c>
      <c r="F540" s="3" t="str">
        <f>IFERROR(__xludf.DUMMYFUNCTION("""COMPUTED_VALUE"""),"AVAX")</f>
        <v>AVAX</v>
      </c>
      <c r="G540" s="3"/>
    </row>
    <row r="541">
      <c r="A541" s="3" t="str">
        <f>IFERROR(__xludf.DUMMYFUNCTION("""COMPUTED_VALUE"""),"2022-08-04T00:00:00Z")</f>
        <v>2022-08-04T00:00:00Z</v>
      </c>
      <c r="B541" s="3">
        <f>IFERROR(__xludf.DUMMYFUNCTION("""COMPUTED_VALUE"""),23.045197)</f>
        <v>23.045197</v>
      </c>
      <c r="C541" s="3">
        <f>IFERROR(__xludf.DUMMYFUNCTION("""COMPUTED_VALUE"""),2.84428379914703E8)</f>
        <v>284428379.9</v>
      </c>
      <c r="D541" s="3">
        <f>IFERROR(__xludf.DUMMYFUNCTION("""COMPUTED_VALUE"""),30922.189927995205)</f>
        <v>30922.18993</v>
      </c>
      <c r="E541" s="3">
        <f>IFERROR(__xludf.DUMMYFUNCTION("""COMPUTED_VALUE"""),712607.9585620654)</f>
        <v>712607.9586</v>
      </c>
      <c r="F541" s="3" t="str">
        <f>IFERROR(__xludf.DUMMYFUNCTION("""COMPUTED_VALUE"""),"AVAX")</f>
        <v>AVAX</v>
      </c>
      <c r="G541" s="3"/>
    </row>
    <row r="542">
      <c r="A542" s="3" t="str">
        <f>IFERROR(__xludf.DUMMYFUNCTION("""COMPUTED_VALUE"""),"2022-08-05T00:00:00Z")</f>
        <v>2022-08-05T00:00:00Z</v>
      </c>
      <c r="B542" s="3">
        <f>IFERROR(__xludf.DUMMYFUNCTION("""COMPUTED_VALUE"""),23.363659)</f>
        <v>23.363659</v>
      </c>
      <c r="C542" s="3">
        <f>IFERROR(__xludf.DUMMYFUNCTION("""COMPUTED_VALUE"""),2.84440611297775E8)</f>
        <v>284440611.3</v>
      </c>
      <c r="D542" s="3">
        <f>IFERROR(__xludf.DUMMYFUNCTION("""COMPUTED_VALUE"""),12231.383071959019)</f>
        <v>12231.38307</v>
      </c>
      <c r="E542" s="3">
        <f>IFERROR(__xludf.DUMMYFUNCTION("""COMPUTED_VALUE"""),285769.86319162295)</f>
        <v>285769.8632</v>
      </c>
      <c r="F542" s="3" t="str">
        <f>IFERROR(__xludf.DUMMYFUNCTION("""COMPUTED_VALUE"""),"AVAX")</f>
        <v>AVAX</v>
      </c>
      <c r="G542" s="3"/>
    </row>
    <row r="543">
      <c r="A543" s="3" t="str">
        <f>IFERROR(__xludf.DUMMYFUNCTION("""COMPUTED_VALUE"""),"2022-08-06T00:00:00Z")</f>
        <v>2022-08-06T00:00:00Z</v>
      </c>
      <c r="B543" s="3">
        <f>IFERROR(__xludf.DUMMYFUNCTION("""COMPUTED_VALUE"""),24.999777)</f>
        <v>24.999777</v>
      </c>
      <c r="C543" s="3">
        <f>IFERROR(__xludf.DUMMYFUNCTION("""COMPUTED_VALUE"""),2.84449584371769E8)</f>
        <v>284449584.4</v>
      </c>
      <c r="D543" s="3">
        <f>IFERROR(__xludf.DUMMYFUNCTION("""COMPUTED_VALUE"""),8973.07399404049)</f>
        <v>8973.073994</v>
      </c>
      <c r="E543" s="3">
        <f>IFERROR(__xludf.DUMMYFUNCTION("""COMPUTED_VALUE"""),224324.84885551158)</f>
        <v>224324.8489</v>
      </c>
      <c r="F543" s="3" t="str">
        <f>IFERROR(__xludf.DUMMYFUNCTION("""COMPUTED_VALUE"""),"AVAX")</f>
        <v>AVAX</v>
      </c>
      <c r="G543" s="3"/>
    </row>
    <row r="544">
      <c r="A544" s="3" t="str">
        <f>IFERROR(__xludf.DUMMYFUNCTION("""COMPUTED_VALUE"""),"2022-08-07T00:00:00Z")</f>
        <v>2022-08-07T00:00:00Z</v>
      </c>
      <c r="B544" s="3">
        <f>IFERROR(__xludf.DUMMYFUNCTION("""COMPUTED_VALUE"""),26.639017)</f>
        <v>26.639017</v>
      </c>
      <c r="C544" s="3">
        <f>IFERROR(__xludf.DUMMYFUNCTION("""COMPUTED_VALUE"""),2.84470937823405E8)</f>
        <v>284470937.8</v>
      </c>
      <c r="D544" s="3">
        <f>IFERROR(__xludf.DUMMYFUNCTION("""COMPUTED_VALUE"""),21353.45163601637)</f>
        <v>21353.45164</v>
      </c>
      <c r="E544" s="3">
        <f>IFERROR(__xludf.DUMMYFUNCTION("""COMPUTED_VALUE"""),568834.9611405178)</f>
        <v>568834.9611</v>
      </c>
      <c r="F544" s="3" t="str">
        <f>IFERROR(__xludf.DUMMYFUNCTION("""COMPUTED_VALUE"""),"AVAX")</f>
        <v>AVAX</v>
      </c>
      <c r="G544" s="3"/>
    </row>
    <row r="545">
      <c r="A545" s="3" t="str">
        <f>IFERROR(__xludf.DUMMYFUNCTION("""COMPUTED_VALUE"""),"2022-08-08T00:00:00Z")</f>
        <v>2022-08-08T00:00:00Z</v>
      </c>
      <c r="B545" s="3">
        <f>IFERROR(__xludf.DUMMYFUNCTION("""COMPUTED_VALUE"""),27.895884)</f>
        <v>27.895884</v>
      </c>
      <c r="C545" s="3">
        <f>IFERROR(__xludf.DUMMYFUNCTION("""COMPUTED_VALUE"""),2.84483306073272E8)</f>
        <v>284483306.1</v>
      </c>
      <c r="D545" s="3">
        <f>IFERROR(__xludf.DUMMYFUNCTION("""COMPUTED_VALUE"""),12368.249866962433)</f>
        <v>12368.24987</v>
      </c>
      <c r="E545" s="3">
        <f>IFERROR(__xludf.DUMMYFUNCTION("""COMPUTED_VALUE"""),345023.26357179944)</f>
        <v>345023.2636</v>
      </c>
      <c r="F545" s="3" t="str">
        <f>IFERROR(__xludf.DUMMYFUNCTION("""COMPUTED_VALUE"""),"AVAX")</f>
        <v>AVAX</v>
      </c>
      <c r="G545" s="3"/>
    </row>
    <row r="546">
      <c r="A546" s="3" t="str">
        <f>IFERROR(__xludf.DUMMYFUNCTION("""COMPUTED_VALUE"""),"2022-08-09T00:00:00Z")</f>
        <v>2022-08-09T00:00:00Z</v>
      </c>
      <c r="B546" s="3">
        <f>IFERROR(__xludf.DUMMYFUNCTION("""COMPUTED_VALUE"""),27.908204)</f>
        <v>27.908204</v>
      </c>
      <c r="C546" s="3">
        <f>IFERROR(__xludf.DUMMYFUNCTION("""COMPUTED_VALUE"""),2.84927551808713E8)</f>
        <v>284927551.8</v>
      </c>
      <c r="D546" s="3">
        <f>IFERROR(__xludf.DUMMYFUNCTION("""COMPUTED_VALUE"""),444245.7354410291)</f>
        <v>444245.7354</v>
      </c>
      <c r="E546" s="3">
        <f>IFERROR(__xludf.DUMMYFUNCTION("""COMPUTED_VALUE"""),1.239810061081827E7)</f>
        <v>12398100.61</v>
      </c>
      <c r="F546" s="3" t="str">
        <f>IFERROR(__xludf.DUMMYFUNCTION("""COMPUTED_VALUE"""),"AVAX")</f>
        <v>AVAX</v>
      </c>
      <c r="G546" s="3"/>
    </row>
    <row r="547">
      <c r="A547" s="3" t="str">
        <f>IFERROR(__xludf.DUMMYFUNCTION("""COMPUTED_VALUE"""),"2022-08-10T00:00:00Z")</f>
        <v>2022-08-10T00:00:00Z</v>
      </c>
      <c r="B547" s="3">
        <f>IFERROR(__xludf.DUMMYFUNCTION("""COMPUTED_VALUE"""),27.405902)</f>
        <v>27.405902</v>
      </c>
      <c r="C547" s="3">
        <f>IFERROR(__xludf.DUMMYFUNCTION("""COMPUTED_VALUE"""),2.84930548934146E8)</f>
        <v>284930548.9</v>
      </c>
      <c r="D547" s="3">
        <f>IFERROR(__xludf.DUMMYFUNCTION("""COMPUTED_VALUE"""),2997.1254329681396)</f>
        <v>2997.125433</v>
      </c>
      <c r="E547" s="3">
        <f>IFERROR(__xludf.DUMMYFUNCTION("""COMPUTED_VALUE"""),82138.9258976324)</f>
        <v>82138.9259</v>
      </c>
      <c r="F547" s="3" t="str">
        <f>IFERROR(__xludf.DUMMYFUNCTION("""COMPUTED_VALUE"""),"AVAX")</f>
        <v>AVAX</v>
      </c>
      <c r="G547" s="3"/>
    </row>
    <row r="548">
      <c r="A548" s="3" t="str">
        <f>IFERROR(__xludf.DUMMYFUNCTION("""COMPUTED_VALUE"""),"2022-08-11T00:00:00Z")</f>
        <v>2022-08-11T00:00:00Z</v>
      </c>
      <c r="B548" s="3">
        <f>IFERROR(__xludf.DUMMYFUNCTION("""COMPUTED_VALUE"""),29.175582)</f>
        <v>29.175582</v>
      </c>
      <c r="C548" s="3">
        <f>IFERROR(__xludf.DUMMYFUNCTION("""COMPUTED_VALUE"""),2.8493047435398E8)</f>
        <v>284930474.4</v>
      </c>
      <c r="D548" s="3">
        <f>IFERROR(__xludf.DUMMYFUNCTION("""COMPUTED_VALUE"""),-74.5801659822464)</f>
        <v>-74.58016598</v>
      </c>
      <c r="E548" s="3">
        <f>IFERROR(__xludf.DUMMYFUNCTION("""COMPUTED_VALUE"""),-2175.9197481886404)</f>
        <v>-2175.919748</v>
      </c>
      <c r="F548" s="3" t="str">
        <f>IFERROR(__xludf.DUMMYFUNCTION("""COMPUTED_VALUE"""),"AVAX")</f>
        <v>AVAX</v>
      </c>
      <c r="G548" s="3"/>
    </row>
    <row r="549">
      <c r="A549" s="3" t="str">
        <f>IFERROR(__xludf.DUMMYFUNCTION("""COMPUTED_VALUE"""),"2022-08-12T00:00:00Z")</f>
        <v>2022-08-12T00:00:00Z</v>
      </c>
      <c r="B549" s="3">
        <f>IFERROR(__xludf.DUMMYFUNCTION("""COMPUTED_VALUE"""),28.545856)</f>
        <v>28.545856</v>
      </c>
      <c r="C549" s="3">
        <f>IFERROR(__xludf.DUMMYFUNCTION("""COMPUTED_VALUE"""),2.84938145569407E8)</f>
        <v>284938145.6</v>
      </c>
      <c r="D549" s="3">
        <f>IFERROR(__xludf.DUMMYFUNCTION("""COMPUTED_VALUE"""),7671.215426981449)</f>
        <v>7671.215427</v>
      </c>
      <c r="E549" s="3">
        <f>IFERROR(__xludf.DUMMYFUNCTION("""COMPUTED_VALUE"""),218981.41092359097)</f>
        <v>218981.4109</v>
      </c>
      <c r="F549" s="3" t="str">
        <f>IFERROR(__xludf.DUMMYFUNCTION("""COMPUTED_VALUE"""),"AVAX")</f>
        <v>AVAX</v>
      </c>
      <c r="G549" s="3"/>
    </row>
    <row r="550">
      <c r="A550" s="3" t="str">
        <f>IFERROR(__xludf.DUMMYFUNCTION("""COMPUTED_VALUE"""),"2022-08-13T00:00:00Z")</f>
        <v>2022-08-13T00:00:00Z</v>
      </c>
      <c r="B550" s="3">
        <f>IFERROR(__xludf.DUMMYFUNCTION("""COMPUTED_VALUE"""),29.347312)</f>
        <v>29.347312</v>
      </c>
      <c r="C550" s="3">
        <f>IFERROR(__xludf.DUMMYFUNCTION("""COMPUTED_VALUE"""),2.84940041689509E8)</f>
        <v>284940041.7</v>
      </c>
      <c r="D550" s="3">
        <f>IFERROR(__xludf.DUMMYFUNCTION("""COMPUTED_VALUE"""),1896.1201019883156)</f>
        <v>1896.120102</v>
      </c>
      <c r="E550" s="3">
        <f>IFERROR(__xludf.DUMMYFUNCTION("""COMPUTED_VALUE"""),55646.02822252292)</f>
        <v>55646.02822</v>
      </c>
      <c r="F550" s="3" t="str">
        <f>IFERROR(__xludf.DUMMYFUNCTION("""COMPUTED_VALUE"""),"AVAX")</f>
        <v>AVAX</v>
      </c>
      <c r="G550" s="3"/>
    </row>
    <row r="551">
      <c r="A551" s="3" t="str">
        <f>IFERROR(__xludf.DUMMYFUNCTION("""COMPUTED_VALUE"""),"2022-08-14T00:00:00Z")</f>
        <v>2022-08-14T00:00:00Z</v>
      </c>
      <c r="B551" s="3">
        <f>IFERROR(__xludf.DUMMYFUNCTION("""COMPUTED_VALUE"""),29.178951)</f>
        <v>29.178951</v>
      </c>
      <c r="C551" s="3">
        <f>IFERROR(__xludf.DUMMYFUNCTION("""COMPUTED_VALUE"""),2.84942622192795E8)</f>
        <v>284942622.2</v>
      </c>
      <c r="D551" s="3">
        <f>IFERROR(__xludf.DUMMYFUNCTION("""COMPUTED_VALUE"""),2580.5032860040665)</f>
        <v>2580.503286</v>
      </c>
      <c r="E551" s="3">
        <f>IFERROR(__xludf.DUMMYFUNCTION("""COMPUTED_VALUE"""),75296.37893765165)</f>
        <v>75296.37894</v>
      </c>
      <c r="F551" s="3" t="str">
        <f>IFERROR(__xludf.DUMMYFUNCTION("""COMPUTED_VALUE"""),"AVAX")</f>
        <v>AVAX</v>
      </c>
      <c r="G551" s="3"/>
    </row>
    <row r="552">
      <c r="A552" s="3" t="str">
        <f>IFERROR(__xludf.DUMMYFUNCTION("""COMPUTED_VALUE"""),"2022-08-15T00:00:00Z")</f>
        <v>2022-08-15T00:00:00Z</v>
      </c>
      <c r="B552" s="3">
        <f>IFERROR(__xludf.DUMMYFUNCTION("""COMPUTED_VALUE"""),28.195056)</f>
        <v>28.195056</v>
      </c>
      <c r="C552" s="3">
        <f>IFERROR(__xludf.DUMMYFUNCTION("""COMPUTED_VALUE"""),2.86861278678361E8)</f>
        <v>286861278.7</v>
      </c>
      <c r="D552" s="3">
        <f>IFERROR(__xludf.DUMMYFUNCTION("""COMPUTED_VALUE"""),1918656.48556602)</f>
        <v>1918656.486</v>
      </c>
      <c r="E552" s="3">
        <f>IFERROR(__xludf.DUMMYFUNCTION("""COMPUTED_VALUE"""),5.409662705529713E7)</f>
        <v>54096627.06</v>
      </c>
      <c r="F552" s="3" t="str">
        <f>IFERROR(__xludf.DUMMYFUNCTION("""COMPUTED_VALUE"""),"AVAX")</f>
        <v>AVAX</v>
      </c>
      <c r="G552" s="3"/>
    </row>
    <row r="553">
      <c r="A553" s="3" t="str">
        <f>IFERROR(__xludf.DUMMYFUNCTION("""COMPUTED_VALUE"""),"2022-08-16T00:00:00Z")</f>
        <v>2022-08-16T00:00:00Z</v>
      </c>
      <c r="B553" s="3">
        <f>IFERROR(__xludf.DUMMYFUNCTION("""COMPUTED_VALUE"""),27.877038)</f>
        <v>27.877038</v>
      </c>
      <c r="C553" s="3">
        <f>IFERROR(__xludf.DUMMYFUNCTION("""COMPUTED_VALUE"""),2.84944532200581E8)</f>
        <v>284944532.2</v>
      </c>
      <c r="D553" s="3">
        <f>IFERROR(__xludf.DUMMYFUNCTION("""COMPUTED_VALUE"""),-1916746.4777799845)</f>
        <v>-1916746.478</v>
      </c>
      <c r="E553" s="3">
        <f>IFERROR(__xludf.DUMMYFUNCTION("""COMPUTED_VALUE"""),-5.343321439743878E7)</f>
        <v>-53433214.4</v>
      </c>
      <c r="F553" s="3" t="str">
        <f>IFERROR(__xludf.DUMMYFUNCTION("""COMPUTED_VALUE"""),"AVAX")</f>
        <v>AVAX</v>
      </c>
      <c r="G553" s="3"/>
    </row>
    <row r="554">
      <c r="A554" s="3" t="str">
        <f>IFERROR(__xludf.DUMMYFUNCTION("""COMPUTED_VALUE"""),"2022-08-17T00:00:00Z")</f>
        <v>2022-08-17T00:00:00Z</v>
      </c>
      <c r="B554" s="3">
        <f>IFERROR(__xludf.DUMMYFUNCTION("""COMPUTED_VALUE"""),27.117121)</f>
        <v>27.117121</v>
      </c>
      <c r="C554" s="3">
        <f>IFERROR(__xludf.DUMMYFUNCTION("""COMPUTED_VALUE"""),2.8495643593604E8)</f>
        <v>284956435.9</v>
      </c>
      <c r="D554" s="3">
        <f>IFERROR(__xludf.DUMMYFUNCTION("""COMPUTED_VALUE"""),11903.73545897007)</f>
        <v>11903.73546</v>
      </c>
      <c r="E554" s="3">
        <f>IFERROR(__xludf.DUMMYFUNCTION("""COMPUTED_VALUE"""),322795.0347928819)</f>
        <v>322795.0348</v>
      </c>
      <c r="F554" s="3" t="str">
        <f>IFERROR(__xludf.DUMMYFUNCTION("""COMPUTED_VALUE"""),"AVAX")</f>
        <v>AVAX</v>
      </c>
      <c r="G554" s="3"/>
    </row>
    <row r="555">
      <c r="A555" s="3" t="str">
        <f>IFERROR(__xludf.DUMMYFUNCTION("""COMPUTED_VALUE"""),"2022-08-18T00:00:00Z")</f>
        <v>2022-08-18T00:00:00Z</v>
      </c>
      <c r="B555" s="3">
        <f>IFERROR(__xludf.DUMMYFUNCTION("""COMPUTED_VALUE"""),25.563838)</f>
        <v>25.563838</v>
      </c>
      <c r="C555" s="3">
        <f>IFERROR(__xludf.DUMMYFUNCTION("""COMPUTED_VALUE"""),2.84960643329337E8)</f>
        <v>284960643.3</v>
      </c>
      <c r="D555" s="3">
        <f>IFERROR(__xludf.DUMMYFUNCTION("""COMPUTED_VALUE"""),4207.393297016621)</f>
        <v>4207.393297</v>
      </c>
      <c r="E555" s="3">
        <f>IFERROR(__xludf.DUMMYFUNCTION("""COMPUTED_VALUE"""),107557.12064721878)</f>
        <v>107557.1206</v>
      </c>
      <c r="F555" s="3" t="str">
        <f>IFERROR(__xludf.DUMMYFUNCTION("""COMPUTED_VALUE"""),"AVAX")</f>
        <v>AVAX</v>
      </c>
      <c r="G555" s="3"/>
    </row>
    <row r="556">
      <c r="A556" s="3" t="str">
        <f>IFERROR(__xludf.DUMMYFUNCTION("""COMPUTED_VALUE"""),"2022-08-19T00:00:00Z")</f>
        <v>2022-08-19T00:00:00Z</v>
      </c>
      <c r="B556" s="3">
        <f>IFERROR(__xludf.DUMMYFUNCTION("""COMPUTED_VALUE"""),24.20345)</f>
        <v>24.20345</v>
      </c>
      <c r="C556" s="3">
        <f>IFERROR(__xludf.DUMMYFUNCTION("""COMPUTED_VALUE"""),2.8497089017821E8)</f>
        <v>284970890.2</v>
      </c>
      <c r="D556" s="3">
        <f>IFERROR(__xludf.DUMMYFUNCTION("""COMPUTED_VALUE"""),10246.848873019218)</f>
        <v>10246.84887</v>
      </c>
      <c r="E556" s="3">
        <f>IFERROR(__xludf.DUMMYFUNCTION("""COMPUTED_VALUE"""),248009.094355677)</f>
        <v>248009.0944</v>
      </c>
      <c r="F556" s="3" t="str">
        <f>IFERROR(__xludf.DUMMYFUNCTION("""COMPUTED_VALUE"""),"AVAX")</f>
        <v>AVAX</v>
      </c>
      <c r="G556" s="3"/>
    </row>
    <row r="557">
      <c r="A557" s="3" t="str">
        <f>IFERROR(__xludf.DUMMYFUNCTION("""COMPUTED_VALUE"""),"2022-08-20T00:00:00Z")</f>
        <v>2022-08-20T00:00:00Z</v>
      </c>
      <c r="B557" s="3">
        <f>IFERROR(__xludf.DUMMYFUNCTION("""COMPUTED_VALUE"""),22.447271)</f>
        <v>22.447271</v>
      </c>
      <c r="C557" s="3">
        <f>IFERROR(__xludf.DUMMYFUNCTION("""COMPUTED_VALUE"""),2.84987457730397E8)</f>
        <v>284987457.7</v>
      </c>
      <c r="D557" s="3">
        <f>IFERROR(__xludf.DUMMYFUNCTION("""COMPUTED_VALUE"""),16567.552186965942)</f>
        <v>16567.55219</v>
      </c>
      <c r="E557" s="3">
        <f>IFERROR(__xludf.DUMMYFUNCTION("""COMPUTED_VALUE"""),371896.3337474672)</f>
        <v>371896.3337</v>
      </c>
      <c r="F557" s="3" t="str">
        <f>IFERROR(__xludf.DUMMYFUNCTION("""COMPUTED_VALUE"""),"AVAX")</f>
        <v>AVAX</v>
      </c>
      <c r="G557" s="3"/>
    </row>
    <row r="558">
      <c r="A558" s="3" t="str">
        <f>IFERROR(__xludf.DUMMYFUNCTION("""COMPUTED_VALUE"""),"2022-08-21T00:00:00Z")</f>
        <v>2022-08-21T00:00:00Z</v>
      </c>
      <c r="B558" s="3">
        <f>IFERROR(__xludf.DUMMYFUNCTION("""COMPUTED_VALUE"""),22.309797)</f>
        <v>22.309797</v>
      </c>
      <c r="C558" s="3">
        <f>IFERROR(__xludf.DUMMYFUNCTION("""COMPUTED_VALUE"""),2.84990406383151E8)</f>
        <v>284990406.4</v>
      </c>
      <c r="D558" s="3">
        <f>IFERROR(__xludf.DUMMYFUNCTION("""COMPUTED_VALUE"""),2948.65275400877)</f>
        <v>2948.652754</v>
      </c>
      <c r="E558" s="3">
        <f>IFERROR(__xludf.DUMMYFUNCTION("""COMPUTED_VALUE"""),65783.84436542659)</f>
        <v>65783.84437</v>
      </c>
      <c r="F558" s="3" t="str">
        <f>IFERROR(__xludf.DUMMYFUNCTION("""COMPUTED_VALUE"""),"AVAX")</f>
        <v>AVAX</v>
      </c>
      <c r="G558" s="3"/>
    </row>
    <row r="559">
      <c r="A559" s="3" t="str">
        <f>IFERROR(__xludf.DUMMYFUNCTION("""COMPUTED_VALUE"""),"2022-08-22T00:00:00Z")</f>
        <v>2022-08-22T00:00:00Z</v>
      </c>
      <c r="B559" s="3">
        <f>IFERROR(__xludf.DUMMYFUNCTION("""COMPUTED_VALUE"""),22.980526)</f>
        <v>22.980526</v>
      </c>
      <c r="C559" s="3">
        <f>IFERROR(__xludf.DUMMYFUNCTION("""COMPUTED_VALUE"""),2.85014681688343E8)</f>
        <v>285014681.7</v>
      </c>
      <c r="D559" s="3">
        <f>IFERROR(__xludf.DUMMYFUNCTION("""COMPUTED_VALUE"""),24275.305191993713)</f>
        <v>24275.30519</v>
      </c>
      <c r="E559" s="3">
        <f>IFERROR(__xludf.DUMMYFUNCTION("""COMPUTED_VALUE"""),557859.2821225466)</f>
        <v>557859.2821</v>
      </c>
      <c r="F559" s="3" t="str">
        <f>IFERROR(__xludf.DUMMYFUNCTION("""COMPUTED_VALUE"""),"AVAX")</f>
        <v>AVAX</v>
      </c>
      <c r="G559" s="3"/>
    </row>
    <row r="560">
      <c r="A560" s="3" t="str">
        <f>IFERROR(__xludf.DUMMYFUNCTION("""COMPUTED_VALUE"""),"2022-08-23T00:00:00Z")</f>
        <v>2022-08-23T00:00:00Z</v>
      </c>
      <c r="B560" s="3">
        <f>IFERROR(__xludf.DUMMYFUNCTION("""COMPUTED_VALUE"""),22.562349)</f>
        <v>22.562349</v>
      </c>
      <c r="C560" s="3">
        <f>IFERROR(__xludf.DUMMYFUNCTION("""COMPUTED_VALUE"""),2.85024481005929E8)</f>
        <v>285024481</v>
      </c>
      <c r="D560" s="3">
        <f>IFERROR(__xludf.DUMMYFUNCTION("""COMPUTED_VALUE"""),9799.317586004734)</f>
        <v>9799.317586</v>
      </c>
      <c r="E560" s="3">
        <f>IFERROR(__xludf.DUMMYFUNCTION("""COMPUTED_VALUE"""),221095.62333727634)</f>
        <v>221095.6233</v>
      </c>
      <c r="F560" s="3" t="str">
        <f>IFERROR(__xludf.DUMMYFUNCTION("""COMPUTED_VALUE"""),"AVAX")</f>
        <v>AVAX</v>
      </c>
      <c r="G560" s="3"/>
    </row>
    <row r="561">
      <c r="A561" s="3" t="str">
        <f>IFERROR(__xludf.DUMMYFUNCTION("""COMPUTED_VALUE"""),"2022-08-24T00:00:00Z")</f>
        <v>2022-08-24T00:00:00Z</v>
      </c>
      <c r="B561" s="3">
        <f>IFERROR(__xludf.DUMMYFUNCTION("""COMPUTED_VALUE"""),23.520357)</f>
        <v>23.520357</v>
      </c>
      <c r="C561" s="3">
        <f>IFERROR(__xludf.DUMMYFUNCTION("""COMPUTED_VALUE"""),2.85031163960546E8)</f>
        <v>285031164</v>
      </c>
      <c r="D561" s="3">
        <f>IFERROR(__xludf.DUMMYFUNCTION("""COMPUTED_VALUE"""),6682.954617023468)</f>
        <v>6682.954617</v>
      </c>
      <c r="E561" s="3">
        <f>IFERROR(__xludf.DUMMYFUNCTION("""COMPUTED_VALUE"""),157185.47840719024)</f>
        <v>157185.4784</v>
      </c>
      <c r="F561" s="3" t="str">
        <f>IFERROR(__xludf.DUMMYFUNCTION("""COMPUTED_VALUE"""),"AVAX")</f>
        <v>AVAX</v>
      </c>
      <c r="G561" s="3"/>
    </row>
    <row r="562">
      <c r="A562" s="3" t="str">
        <f>IFERROR(__xludf.DUMMYFUNCTION("""COMPUTED_VALUE"""),"2022-08-25T00:00:00Z")</f>
        <v>2022-08-25T00:00:00Z</v>
      </c>
      <c r="B562" s="3">
        <f>IFERROR(__xludf.DUMMYFUNCTION("""COMPUTED_VALUE"""),23.005865)</f>
        <v>23.005865</v>
      </c>
      <c r="C562" s="3">
        <f>IFERROR(__xludf.DUMMYFUNCTION("""COMPUTED_VALUE"""),2.85032621496812E8)</f>
        <v>285032621.5</v>
      </c>
      <c r="D562" s="3">
        <f>IFERROR(__xludf.DUMMYFUNCTION("""COMPUTED_VALUE"""),1457.5362659692764)</f>
        <v>1457.536266</v>
      </c>
      <c r="E562" s="3">
        <f>IFERROR(__xludf.DUMMYFUNCTION("""COMPUTED_VALUE"""),33531.88256749327)</f>
        <v>33531.88257</v>
      </c>
      <c r="F562" s="3" t="str">
        <f>IFERROR(__xludf.DUMMYFUNCTION("""COMPUTED_VALUE"""),"AVAX")</f>
        <v>AVAX</v>
      </c>
      <c r="G562" s="3"/>
    </row>
    <row r="563">
      <c r="A563" s="3" t="str">
        <f>IFERROR(__xludf.DUMMYFUNCTION("""COMPUTED_VALUE"""),"2022-08-26T00:00:00Z")</f>
        <v>2022-08-26T00:00:00Z</v>
      </c>
      <c r="B563" s="3">
        <f>IFERROR(__xludf.DUMMYFUNCTION("""COMPUTED_VALUE"""),22.986977)</f>
        <v>22.986977</v>
      </c>
      <c r="C563" s="3">
        <f>IFERROR(__xludf.DUMMYFUNCTION("""COMPUTED_VALUE"""),2.850367653808E8)</f>
        <v>285036765.4</v>
      </c>
      <c r="D563" s="3">
        <f>IFERROR(__xludf.DUMMYFUNCTION("""COMPUTED_VALUE"""),4143.883988022804)</f>
        <v>4143.883988</v>
      </c>
      <c r="E563" s="3">
        <f>IFERROR(__xludf.DUMMYFUNCTION("""COMPUTED_VALUE"""),95255.36592334848)</f>
        <v>95255.36592</v>
      </c>
      <c r="F563" s="3" t="str">
        <f>IFERROR(__xludf.DUMMYFUNCTION("""COMPUTED_VALUE"""),"AVAX")</f>
        <v>AVAX</v>
      </c>
      <c r="G563" s="3"/>
    </row>
    <row r="564">
      <c r="A564" s="3" t="str">
        <f>IFERROR(__xludf.DUMMYFUNCTION("""COMPUTED_VALUE"""),"2022-08-27T00:00:00Z")</f>
        <v>2022-08-27T00:00:00Z</v>
      </c>
      <c r="B564" s="3">
        <f>IFERROR(__xludf.DUMMYFUNCTION("""COMPUTED_VALUE"""),20.655555)</f>
        <v>20.655555</v>
      </c>
      <c r="C564" s="3">
        <f>IFERROR(__xludf.DUMMYFUNCTION("""COMPUTED_VALUE"""),2.85038192992963E8)</f>
        <v>285038193</v>
      </c>
      <c r="D564" s="3">
        <f>IFERROR(__xludf.DUMMYFUNCTION("""COMPUTED_VALUE"""),1427.6121630072594)</f>
        <v>1427.612163</v>
      </c>
      <c r="E564" s="3">
        <f>IFERROR(__xludf.DUMMYFUNCTION("""COMPUTED_VALUE"""),29488.121551665412)</f>
        <v>29488.12155</v>
      </c>
      <c r="F564" s="3" t="str">
        <f>IFERROR(__xludf.DUMMYFUNCTION("""COMPUTED_VALUE"""),"AVAX")</f>
        <v>AVAX</v>
      </c>
      <c r="G564" s="3"/>
    </row>
    <row r="565">
      <c r="A565" s="3" t="str">
        <f>IFERROR(__xludf.DUMMYFUNCTION("""COMPUTED_VALUE"""),"2022-08-28T00:00:00Z")</f>
        <v>2022-08-28T00:00:00Z</v>
      </c>
      <c r="B565" s="3">
        <f>IFERROR(__xludf.DUMMYFUNCTION("""COMPUTED_VALUE"""),20.066664)</f>
        <v>20.066664</v>
      </c>
      <c r="C565" s="3">
        <f>IFERROR(__xludf.DUMMYFUNCTION("""COMPUTED_VALUE"""),2.85065770894713E8)</f>
        <v>285065770.9</v>
      </c>
      <c r="D565" s="3">
        <f>IFERROR(__xludf.DUMMYFUNCTION("""COMPUTED_VALUE"""),27577.90174996853)</f>
        <v>27577.90175</v>
      </c>
      <c r="E565" s="3">
        <f>IFERROR(__xludf.DUMMYFUNCTION("""COMPUTED_VALUE"""),553396.4882416305)</f>
        <v>553396.4882</v>
      </c>
      <c r="F565" s="3" t="str">
        <f>IFERROR(__xludf.DUMMYFUNCTION("""COMPUTED_VALUE"""),"AVAX")</f>
        <v>AVAX</v>
      </c>
      <c r="G565" s="3"/>
    </row>
    <row r="566">
      <c r="A566" s="3" t="str">
        <f>IFERROR(__xludf.DUMMYFUNCTION("""COMPUTED_VALUE"""),"2022-08-29T00:00:00Z")</f>
        <v>2022-08-29T00:00:00Z</v>
      </c>
      <c r="B566" s="3">
        <f>IFERROR(__xludf.DUMMYFUNCTION("""COMPUTED_VALUE"""),18.531719)</f>
        <v>18.531719</v>
      </c>
      <c r="C566" s="3">
        <f>IFERROR(__xludf.DUMMYFUNCTION("""COMPUTED_VALUE"""),2.85072539282861E8)</f>
        <v>285072539.3</v>
      </c>
      <c r="D566" s="3">
        <f>IFERROR(__xludf.DUMMYFUNCTION("""COMPUTED_VALUE"""),6768.388148009777)</f>
        <v>6768.388148</v>
      </c>
      <c r="E566" s="3">
        <f>IFERROR(__xludf.DUMMYFUNCTION("""COMPUTED_VALUE"""),125429.86724184759)</f>
        <v>125429.8672</v>
      </c>
      <c r="F566" s="3" t="str">
        <f>IFERROR(__xludf.DUMMYFUNCTION("""COMPUTED_VALUE"""),"AVAX")</f>
        <v>AVAX</v>
      </c>
      <c r="G566" s="3"/>
    </row>
    <row r="567">
      <c r="A567" s="3" t="str">
        <f>IFERROR(__xludf.DUMMYFUNCTION("""COMPUTED_VALUE"""),"2022-08-30T00:00:00Z")</f>
        <v>2022-08-30T00:00:00Z</v>
      </c>
      <c r="B567" s="3">
        <f>IFERROR(__xludf.DUMMYFUNCTION("""COMPUTED_VALUE"""),19.323519)</f>
        <v>19.323519</v>
      </c>
      <c r="C567" s="3">
        <f>IFERROR(__xludf.DUMMYFUNCTION("""COMPUTED_VALUE"""),2.85073777808137E8)</f>
        <v>285073777.8</v>
      </c>
      <c r="D567" s="3">
        <f>IFERROR(__xludf.DUMMYFUNCTION("""COMPUTED_VALUE"""),1238.525276005268)</f>
        <v>1238.525276</v>
      </c>
      <c r="E567" s="3">
        <f>IFERROR(__xludf.DUMMYFUNCTION("""COMPUTED_VALUE"""),23932.666702868042)</f>
        <v>23932.6667</v>
      </c>
      <c r="F567" s="3" t="str">
        <f>IFERROR(__xludf.DUMMYFUNCTION("""COMPUTED_VALUE"""),"AVAX")</f>
        <v>AVAX</v>
      </c>
      <c r="G567" s="3"/>
    </row>
    <row r="568">
      <c r="A568" s="3" t="str">
        <f>IFERROR(__xludf.DUMMYFUNCTION("""COMPUTED_VALUE"""),"2022-08-31T00:00:00Z")</f>
        <v>2022-08-31T00:00:00Z</v>
      </c>
      <c r="B568" s="3">
        <f>IFERROR(__xludf.DUMMYFUNCTION("""COMPUTED_VALUE"""),19.402014)</f>
        <v>19.402014</v>
      </c>
      <c r="C568" s="3">
        <f>IFERROR(__xludf.DUMMYFUNCTION("""COMPUTED_VALUE"""),2.9443358685391E8)</f>
        <v>294433586.9</v>
      </c>
      <c r="D568" s="3">
        <f>IFERROR(__xludf.DUMMYFUNCTION("""COMPUTED_VALUE"""),9359809.04577303)</f>
        <v>9359809.046</v>
      </c>
      <c r="E568" s="3">
        <f>IFERROR(__xludf.DUMMYFUNCTION("""COMPUTED_VALUE"""),1.8159914614341497E8)</f>
        <v>181599146.1</v>
      </c>
      <c r="F568" s="3" t="str">
        <f>IFERROR(__xludf.DUMMYFUNCTION("""COMPUTED_VALUE"""),"AVAX")</f>
        <v>AVAX</v>
      </c>
      <c r="G568" s="3"/>
    </row>
    <row r="569">
      <c r="A569" s="3" t="str">
        <f>IFERROR(__xludf.DUMMYFUNCTION("""COMPUTED_VALUE"""),"2022-09-01T00:00:00Z")</f>
        <v>2022-09-01T00:00:00Z</v>
      </c>
      <c r="B569" s="3">
        <f>IFERROR(__xludf.DUMMYFUNCTION("""COMPUTED_VALUE"""),19.137109)</f>
        <v>19.137109</v>
      </c>
      <c r="C569" s="3">
        <f>IFERROR(__xludf.DUMMYFUNCTION("""COMPUTED_VALUE"""),2.94466929390292E8)</f>
        <v>294466929.4</v>
      </c>
      <c r="D569" s="3">
        <f>IFERROR(__xludf.DUMMYFUNCTION("""COMPUTED_VALUE"""),33342.536381959915)</f>
        <v>33342.53638</v>
      </c>
      <c r="E569" s="3">
        <f>IFERROR(__xludf.DUMMYFUNCTION("""COMPUTED_VALUE"""),638079.7530780325)</f>
        <v>638079.7531</v>
      </c>
      <c r="F569" s="3" t="str">
        <f>IFERROR(__xludf.DUMMYFUNCTION("""COMPUTED_VALUE"""),"AVAX")</f>
        <v>AVAX</v>
      </c>
      <c r="G569" s="3"/>
    </row>
    <row r="570">
      <c r="A570" s="3" t="str">
        <f>IFERROR(__xludf.DUMMYFUNCTION("""COMPUTED_VALUE"""),"2022-09-02T00:00:00Z")</f>
        <v>2022-09-02T00:00:00Z</v>
      </c>
      <c r="B570" s="3">
        <f>IFERROR(__xludf.DUMMYFUNCTION("""COMPUTED_VALUE"""),19.323803)</f>
        <v>19.323803</v>
      </c>
      <c r="C570" s="3">
        <f>IFERROR(__xludf.DUMMYFUNCTION("""COMPUTED_VALUE"""),2.94469028819008E8)</f>
        <v>294469028.8</v>
      </c>
      <c r="D570" s="3">
        <f>IFERROR(__xludf.DUMMYFUNCTION("""COMPUTED_VALUE"""),2099.428716003895)</f>
        <v>2099.428716</v>
      </c>
      <c r="E570" s="3">
        <f>IFERROR(__xludf.DUMMYFUNCTION("""COMPUTED_VALUE"""),40568.94692060221)</f>
        <v>40568.94692</v>
      </c>
      <c r="F570" s="3" t="str">
        <f>IFERROR(__xludf.DUMMYFUNCTION("""COMPUTED_VALUE"""),"AVAX")</f>
        <v>AVAX</v>
      </c>
      <c r="G570" s="3"/>
    </row>
    <row r="571">
      <c r="A571" s="3" t="str">
        <f>IFERROR(__xludf.DUMMYFUNCTION("""COMPUTED_VALUE"""),"2022-09-03T00:00:00Z")</f>
        <v>2022-09-03T00:00:00Z</v>
      </c>
      <c r="B571" s="3">
        <f>IFERROR(__xludf.DUMMYFUNCTION("""COMPUTED_VALUE"""),18.862589)</f>
        <v>18.862589</v>
      </c>
      <c r="C571" s="3">
        <f>IFERROR(__xludf.DUMMYFUNCTION("""COMPUTED_VALUE"""),2.94485393156821E8)</f>
        <v>294485393.2</v>
      </c>
      <c r="D571" s="3">
        <f>IFERROR(__xludf.DUMMYFUNCTION("""COMPUTED_VALUE"""),16364.337813019753)</f>
        <v>16364.33781</v>
      </c>
      <c r="E571" s="3">
        <f>IFERROR(__xludf.DUMMYFUNCTION("""COMPUTED_VALUE"""),308673.7784241504)</f>
        <v>308673.7784</v>
      </c>
      <c r="F571" s="3" t="str">
        <f>IFERROR(__xludf.DUMMYFUNCTION("""COMPUTED_VALUE"""),"AVAX")</f>
        <v>AVAX</v>
      </c>
      <c r="G571" s="3"/>
    </row>
    <row r="572">
      <c r="A572" s="3" t="str">
        <f>IFERROR(__xludf.DUMMYFUNCTION("""COMPUTED_VALUE"""),"2022-09-04T00:00:00Z")</f>
        <v>2022-09-04T00:00:00Z</v>
      </c>
      <c r="B572" s="3">
        <f>IFERROR(__xludf.DUMMYFUNCTION("""COMPUTED_VALUE"""),18.888687)</f>
        <v>18.888687</v>
      </c>
      <c r="C572" s="3">
        <f>IFERROR(__xludf.DUMMYFUNCTION("""COMPUTED_VALUE"""),2.94497841575414E8)</f>
        <v>294497841.6</v>
      </c>
      <c r="D572" s="3">
        <f>IFERROR(__xludf.DUMMYFUNCTION("""COMPUTED_VALUE"""),12448.418592989445)</f>
        <v>12448.41859</v>
      </c>
      <c r="E572" s="3">
        <f>IFERROR(__xludf.DUMMYFUNCTION("""COMPUTED_VALUE"""),235134.28244795802)</f>
        <v>235134.2824</v>
      </c>
      <c r="F572" s="3" t="str">
        <f>IFERROR(__xludf.DUMMYFUNCTION("""COMPUTED_VALUE"""),"AVAX")</f>
        <v>AVAX</v>
      </c>
      <c r="G572" s="3"/>
    </row>
    <row r="573">
      <c r="A573" s="3" t="str">
        <f>IFERROR(__xludf.DUMMYFUNCTION("""COMPUTED_VALUE"""),"2022-09-05T00:00:00Z")</f>
        <v>2022-09-05T00:00:00Z</v>
      </c>
      <c r="B573" s="3">
        <f>IFERROR(__xludf.DUMMYFUNCTION("""COMPUTED_VALUE"""),19.024016)</f>
        <v>19.024016</v>
      </c>
      <c r="C573" s="3">
        <f>IFERROR(__xludf.DUMMYFUNCTION("""COMPUTED_VALUE"""),2.94514217746805E8)</f>
        <v>294514217.7</v>
      </c>
      <c r="D573" s="3">
        <f>IFERROR(__xludf.DUMMYFUNCTION("""COMPUTED_VALUE"""),16376.171391010284)</f>
        <v>16376.17139</v>
      </c>
      <c r="E573" s="3">
        <f>IFERROR(__xludf.DUMMYFUNCTION("""COMPUTED_VALUE"""),311540.5465613219)</f>
        <v>311540.5466</v>
      </c>
      <c r="F573" s="3" t="str">
        <f>IFERROR(__xludf.DUMMYFUNCTION("""COMPUTED_VALUE"""),"AVAX")</f>
        <v>AVAX</v>
      </c>
      <c r="G573" s="3"/>
    </row>
    <row r="574">
      <c r="A574" s="3" t="str">
        <f>IFERROR(__xludf.DUMMYFUNCTION("""COMPUTED_VALUE"""),"2022-09-06T00:00:00Z")</f>
        <v>2022-09-06T00:00:00Z</v>
      </c>
      <c r="B574" s="3">
        <f>IFERROR(__xludf.DUMMYFUNCTION("""COMPUTED_VALUE"""),19.452503)</f>
        <v>19.452503</v>
      </c>
      <c r="C574" s="3">
        <f>IFERROR(__xludf.DUMMYFUNCTION("""COMPUTED_VALUE"""),2.94710331169196E8)</f>
        <v>294710331.2</v>
      </c>
      <c r="D574" s="3">
        <f>IFERROR(__xludf.DUMMYFUNCTION("""COMPUTED_VALUE"""),196113.4223909974)</f>
        <v>196113.4224</v>
      </c>
      <c r="E574" s="3">
        <f>IFERROR(__xludf.DUMMYFUNCTION("""COMPUTED_VALUE"""),3814896.9374011443)</f>
        <v>3814896.937</v>
      </c>
      <c r="F574" s="3" t="str">
        <f>IFERROR(__xludf.DUMMYFUNCTION("""COMPUTED_VALUE"""),"AVAX")</f>
        <v>AVAX</v>
      </c>
      <c r="G574" s="3"/>
    </row>
    <row r="575">
      <c r="A575" s="3" t="str">
        <f>IFERROR(__xludf.DUMMYFUNCTION("""COMPUTED_VALUE"""),"2022-09-07T00:00:00Z")</f>
        <v>2022-09-07T00:00:00Z</v>
      </c>
      <c r="B575" s="3">
        <f>IFERROR(__xludf.DUMMYFUNCTION("""COMPUTED_VALUE"""),18.208902)</f>
        <v>18.208902</v>
      </c>
      <c r="C575" s="3">
        <f>IFERROR(__xludf.DUMMYFUNCTION("""COMPUTED_VALUE"""),2.94792547250921E8)</f>
        <v>294792547.3</v>
      </c>
      <c r="D575" s="3">
        <f>IFERROR(__xludf.DUMMYFUNCTION("""COMPUTED_VALUE"""),82216.08172500134)</f>
        <v>82216.08173</v>
      </c>
      <c r="E575" s="3">
        <f>IFERROR(__xludf.DUMMYFUNCTION("""COMPUTED_VALUE"""),1497064.5749545402)</f>
        <v>1497064.575</v>
      </c>
      <c r="F575" s="3" t="str">
        <f>IFERROR(__xludf.DUMMYFUNCTION("""COMPUTED_VALUE"""),"AVAX")</f>
        <v>AVAX</v>
      </c>
      <c r="G575" s="3"/>
    </row>
    <row r="576">
      <c r="A576" s="3" t="str">
        <f>IFERROR(__xludf.DUMMYFUNCTION("""COMPUTED_VALUE"""),"2022-09-08T00:00:00Z")</f>
        <v>2022-09-08T00:00:00Z</v>
      </c>
      <c r="B576" s="3">
        <f>IFERROR(__xludf.DUMMYFUNCTION("""COMPUTED_VALUE"""),18.998738)</f>
        <v>18.998738</v>
      </c>
      <c r="C576" s="3">
        <f>IFERROR(__xludf.DUMMYFUNCTION("""COMPUTED_VALUE"""),2.95331534571332E8)</f>
        <v>295331534.6</v>
      </c>
      <c r="D576" s="3">
        <f>IFERROR(__xludf.DUMMYFUNCTION("""COMPUTED_VALUE"""),538987.3204109669)</f>
        <v>538987.3204</v>
      </c>
      <c r="E576" s="3">
        <f>IFERROR(__xludf.DUMMYFUNCTION("""COMPUTED_VALUE"""),1.0240078885810012E7)</f>
        <v>10240078.89</v>
      </c>
      <c r="F576" s="3" t="str">
        <f>IFERROR(__xludf.DUMMYFUNCTION("""COMPUTED_VALUE"""),"AVAX")</f>
        <v>AVAX</v>
      </c>
      <c r="G576" s="3"/>
    </row>
    <row r="577">
      <c r="A577" s="3" t="str">
        <f>IFERROR(__xludf.DUMMYFUNCTION("""COMPUTED_VALUE"""),"2022-09-09T00:00:00Z")</f>
        <v>2022-09-09T00:00:00Z</v>
      </c>
      <c r="B577" s="3">
        <f>IFERROR(__xludf.DUMMYFUNCTION("""COMPUTED_VALUE"""),19.139017)</f>
        <v>19.139017</v>
      </c>
      <c r="C577" s="3">
        <f>IFERROR(__xludf.DUMMYFUNCTION("""COMPUTED_VALUE"""),2.9565564615322E8)</f>
        <v>295655646.2</v>
      </c>
      <c r="D577" s="3">
        <f>IFERROR(__xludf.DUMMYFUNCTION("""COMPUTED_VALUE"""),324111.58188802004)</f>
        <v>324111.5819</v>
      </c>
      <c r="E577" s="3">
        <f>IFERROR(__xludf.DUMMYFUNCTION("""COMPUTED_VALUE"""),6203177.075651707)</f>
        <v>6203177.076</v>
      </c>
      <c r="F577" s="3" t="str">
        <f>IFERROR(__xludf.DUMMYFUNCTION("""COMPUTED_VALUE"""),"AVAX")</f>
        <v>AVAX</v>
      </c>
      <c r="G577" s="3"/>
    </row>
    <row r="578">
      <c r="A578" s="3" t="str">
        <f>IFERROR(__xludf.DUMMYFUNCTION("""COMPUTED_VALUE"""),"2022-09-10T00:00:00Z")</f>
        <v>2022-09-10T00:00:00Z</v>
      </c>
      <c r="B578" s="3">
        <f>IFERROR(__xludf.DUMMYFUNCTION("""COMPUTED_VALUE"""),20.39888)</f>
        <v>20.39888</v>
      </c>
      <c r="C578" s="3">
        <f>IFERROR(__xludf.DUMMYFUNCTION("""COMPUTED_VALUE"""),2.95658820619495E8)</f>
        <v>295658820.6</v>
      </c>
      <c r="D578" s="3">
        <f>IFERROR(__xludf.DUMMYFUNCTION("""COMPUTED_VALUE"""),3174.4662749767303)</f>
        <v>3174.466275</v>
      </c>
      <c r="E578" s="3">
        <f>IFERROR(__xludf.DUMMYFUNCTION("""COMPUTED_VALUE"""),64755.55660729732)</f>
        <v>64755.55661</v>
      </c>
      <c r="F578" s="3" t="str">
        <f>IFERROR(__xludf.DUMMYFUNCTION("""COMPUTED_VALUE"""),"AVAX")</f>
        <v>AVAX</v>
      </c>
      <c r="G578" s="3"/>
    </row>
    <row r="579">
      <c r="A579" s="3" t="str">
        <f>IFERROR(__xludf.DUMMYFUNCTION("""COMPUTED_VALUE"""),"2022-09-11T00:00:00Z")</f>
        <v>2022-09-11T00:00:00Z</v>
      </c>
      <c r="B579" s="3">
        <f>IFERROR(__xludf.DUMMYFUNCTION("""COMPUTED_VALUE"""),20.454861)</f>
        <v>20.454861</v>
      </c>
      <c r="C579" s="3">
        <f>IFERROR(__xludf.DUMMYFUNCTION("""COMPUTED_VALUE"""),2.95663121996459E8)</f>
        <v>295663122</v>
      </c>
      <c r="D579" s="3">
        <f>IFERROR(__xludf.DUMMYFUNCTION("""COMPUTED_VALUE"""),4301.37696403265)</f>
        <v>4301.376964</v>
      </c>
      <c r="E579" s="3">
        <f>IFERROR(__xludf.DUMMYFUNCTION("""COMPUTED_VALUE"""),87984.06790788985)</f>
        <v>87984.06791</v>
      </c>
      <c r="F579" s="3" t="str">
        <f>IFERROR(__xludf.DUMMYFUNCTION("""COMPUTED_VALUE"""),"AVAX")</f>
        <v>AVAX</v>
      </c>
      <c r="G579" s="3"/>
    </row>
    <row r="580">
      <c r="A580" s="3" t="str">
        <f>IFERROR(__xludf.DUMMYFUNCTION("""COMPUTED_VALUE"""),"2022-09-12T00:00:00Z")</f>
        <v>2022-09-12T00:00:00Z</v>
      </c>
      <c r="B580" s="3">
        <f>IFERROR(__xludf.DUMMYFUNCTION("""COMPUTED_VALUE"""),20.680922)</f>
        <v>20.680922</v>
      </c>
      <c r="C580" s="3">
        <f>IFERROR(__xludf.DUMMYFUNCTION("""COMPUTED_VALUE"""),2.95669129756622E8)</f>
        <v>295669129.8</v>
      </c>
      <c r="D580" s="3">
        <f>IFERROR(__xludf.DUMMYFUNCTION("""COMPUTED_VALUE"""),6007.760163009167)</f>
        <v>6007.760163</v>
      </c>
      <c r="E580" s="3">
        <f>IFERROR(__xludf.DUMMYFUNCTION("""COMPUTED_VALUE"""),124246.01932589986)</f>
        <v>124246.0193</v>
      </c>
      <c r="F580" s="3" t="str">
        <f>IFERROR(__xludf.DUMMYFUNCTION("""COMPUTED_VALUE"""),"AVAX")</f>
        <v>AVAX</v>
      </c>
      <c r="G580" s="3"/>
    </row>
    <row r="581">
      <c r="A581" s="3" t="str">
        <f>IFERROR(__xludf.DUMMYFUNCTION("""COMPUTED_VALUE"""),"2022-09-13T00:00:00Z")</f>
        <v>2022-09-13T00:00:00Z</v>
      </c>
      <c r="B581" s="3">
        <f>IFERROR(__xludf.DUMMYFUNCTION("""COMPUTED_VALUE"""),21.383722)</f>
        <v>21.383722</v>
      </c>
      <c r="C581" s="3">
        <f>IFERROR(__xludf.DUMMYFUNCTION("""COMPUTED_VALUE"""),2.95674882326404E8)</f>
        <v>295674882.3</v>
      </c>
      <c r="D581" s="3">
        <f>IFERROR(__xludf.DUMMYFUNCTION("""COMPUTED_VALUE"""),5752.569781959057)</f>
        <v>5752.569782</v>
      </c>
      <c r="E581" s="3">
        <f>IFERROR(__xludf.DUMMYFUNCTION("""COMPUTED_VALUE"""),123011.35300301308)</f>
        <v>123011.353</v>
      </c>
      <c r="F581" s="3" t="str">
        <f>IFERROR(__xludf.DUMMYFUNCTION("""COMPUTED_VALUE"""),"AVAX")</f>
        <v>AVAX</v>
      </c>
      <c r="G581" s="3"/>
    </row>
    <row r="582">
      <c r="A582" s="3" t="str">
        <f>IFERROR(__xludf.DUMMYFUNCTION("""COMPUTED_VALUE"""),"2022-09-14T00:00:00Z")</f>
        <v>2022-09-14T00:00:00Z</v>
      </c>
      <c r="B582" s="3">
        <f>IFERROR(__xludf.DUMMYFUNCTION("""COMPUTED_VALUE"""),18.866133)</f>
        <v>18.866133</v>
      </c>
      <c r="C582" s="3">
        <f>IFERROR(__xludf.DUMMYFUNCTION("""COMPUTED_VALUE"""),2.95692204937408E8)</f>
        <v>295692204.9</v>
      </c>
      <c r="D582" s="3">
        <f>IFERROR(__xludf.DUMMYFUNCTION("""COMPUTED_VALUE"""),17322.61100399494)</f>
        <v>17322.611</v>
      </c>
      <c r="E582" s="3">
        <f>IFERROR(__xludf.DUMMYFUNCTION("""COMPUTED_VALUE"""),326810.6831086321)</f>
        <v>326810.6831</v>
      </c>
      <c r="F582" s="3" t="str">
        <f>IFERROR(__xludf.DUMMYFUNCTION("""COMPUTED_VALUE"""),"AVAX")</f>
        <v>AVAX</v>
      </c>
      <c r="G582" s="3"/>
    </row>
    <row r="583">
      <c r="A583" s="3" t="str">
        <f>IFERROR(__xludf.DUMMYFUNCTION("""COMPUTED_VALUE"""),"2022-09-15T00:00:00Z")</f>
        <v>2022-09-15T00:00:00Z</v>
      </c>
      <c r="B583" s="3">
        <f>IFERROR(__xludf.DUMMYFUNCTION("""COMPUTED_VALUE"""),19.118054)</f>
        <v>19.118054</v>
      </c>
      <c r="C583" s="3">
        <f>IFERROR(__xludf.DUMMYFUNCTION("""COMPUTED_VALUE"""),2.9570658997196E8)</f>
        <v>295706590</v>
      </c>
      <c r="D583" s="3">
        <f>IFERROR(__xludf.DUMMYFUNCTION("""COMPUTED_VALUE"""),14385.034552037716)</f>
        <v>14385.03455</v>
      </c>
      <c r="E583" s="3">
        <f>IFERROR(__xludf.DUMMYFUNCTION("""COMPUTED_VALUE"""),275013.8673577229)</f>
        <v>275013.8674</v>
      </c>
      <c r="F583" s="3" t="str">
        <f>IFERROR(__xludf.DUMMYFUNCTION("""COMPUTED_VALUE"""),"AVAX")</f>
        <v>AVAX</v>
      </c>
      <c r="G583" s="3"/>
    </row>
    <row r="584">
      <c r="A584" s="3" t="str">
        <f>IFERROR(__xludf.DUMMYFUNCTION("""COMPUTED_VALUE"""),"2022-09-16T00:00:00Z")</f>
        <v>2022-09-16T00:00:00Z</v>
      </c>
      <c r="B584" s="3">
        <f>IFERROR(__xludf.DUMMYFUNCTION("""COMPUTED_VALUE"""),18.204834)</f>
        <v>18.204834</v>
      </c>
      <c r="C584" s="3">
        <f>IFERROR(__xludf.DUMMYFUNCTION("""COMPUTED_VALUE"""),2.95714987890652E8)</f>
        <v>295714987.9</v>
      </c>
      <c r="D584" s="3">
        <f>IFERROR(__xludf.DUMMYFUNCTION("""COMPUTED_VALUE"""),8397.91869199276)</f>
        <v>8397.918692</v>
      </c>
      <c r="E584" s="3">
        <f>IFERROR(__xludf.DUMMYFUNCTION("""COMPUTED_VALUE"""),152882.71573322534)</f>
        <v>152882.7157</v>
      </c>
      <c r="F584" s="3" t="str">
        <f>IFERROR(__xludf.DUMMYFUNCTION("""COMPUTED_VALUE"""),"AVAX")</f>
        <v>AVAX</v>
      </c>
      <c r="G584" s="3"/>
    </row>
    <row r="585">
      <c r="A585" s="3" t="str">
        <f>IFERROR(__xludf.DUMMYFUNCTION("""COMPUTED_VALUE"""),"2022-09-17T00:00:00Z")</f>
        <v>2022-09-17T00:00:00Z</v>
      </c>
      <c r="B585" s="3">
        <f>IFERROR(__xludf.DUMMYFUNCTION("""COMPUTED_VALUE"""),18.050851)</f>
        <v>18.050851</v>
      </c>
      <c r="C585" s="3">
        <f>IFERROR(__xludf.DUMMYFUNCTION("""COMPUTED_VALUE"""),2.95726215248525E8)</f>
        <v>295726215.2</v>
      </c>
      <c r="D585" s="3">
        <f>IFERROR(__xludf.DUMMYFUNCTION("""COMPUTED_VALUE"""),11227.357873022556)</f>
        <v>11227.35787</v>
      </c>
      <c r="E585" s="3">
        <f>IFERROR(__xludf.DUMMYFUNCTION("""COMPUTED_VALUE"""),202663.3640896071)</f>
        <v>202663.3641</v>
      </c>
      <c r="F585" s="3" t="str">
        <f>IFERROR(__xludf.DUMMYFUNCTION("""COMPUTED_VALUE"""),"AVAX")</f>
        <v>AVAX</v>
      </c>
      <c r="G585" s="3"/>
    </row>
    <row r="586">
      <c r="A586" s="3" t="str">
        <f>IFERROR(__xludf.DUMMYFUNCTION("""COMPUTED_VALUE"""),"2022-09-18T00:00:00Z")</f>
        <v>2022-09-18T00:00:00Z</v>
      </c>
      <c r="B586" s="3">
        <f>IFERROR(__xludf.DUMMYFUNCTION("""COMPUTED_VALUE"""),18.479515)</f>
        <v>18.479515</v>
      </c>
      <c r="C586" s="3">
        <f>IFERROR(__xludf.DUMMYFUNCTION("""COMPUTED_VALUE"""),2.95729243551402E8)</f>
        <v>295729243.6</v>
      </c>
      <c r="D586" s="3">
        <f>IFERROR(__xludf.DUMMYFUNCTION("""COMPUTED_VALUE"""),3028.3028769493103)</f>
        <v>3028.302877</v>
      </c>
      <c r="E586" s="3">
        <f>IFERROR(__xludf.DUMMYFUNCTION("""COMPUTED_VALUE"""),55961.56843912793)</f>
        <v>55961.56844</v>
      </c>
      <c r="F586" s="3" t="str">
        <f>IFERROR(__xludf.DUMMYFUNCTION("""COMPUTED_VALUE"""),"AVAX")</f>
        <v>AVAX</v>
      </c>
      <c r="G586" s="3"/>
    </row>
    <row r="587">
      <c r="A587" s="3" t="str">
        <f>IFERROR(__xludf.DUMMYFUNCTION("""COMPUTED_VALUE"""),"2022-09-19T00:00:00Z")</f>
        <v>2022-09-19T00:00:00Z</v>
      </c>
      <c r="B587" s="3">
        <f>IFERROR(__xludf.DUMMYFUNCTION("""COMPUTED_VALUE"""),16.707328)</f>
        <v>16.707328</v>
      </c>
      <c r="C587" s="3">
        <f>IFERROR(__xludf.DUMMYFUNCTION("""COMPUTED_VALUE"""),2.9575067254789E8)</f>
        <v>295750672.5</v>
      </c>
      <c r="D587" s="3">
        <f>IFERROR(__xludf.DUMMYFUNCTION("""COMPUTED_VALUE"""),21428.996488034725)</f>
        <v>21428.99649</v>
      </c>
      <c r="E587" s="3">
        <f>IFERROR(__xludf.DUMMYFUNCTION("""COMPUTED_VALUE"""),358021.2730364442)</f>
        <v>358021.273</v>
      </c>
      <c r="F587" s="3" t="str">
        <f>IFERROR(__xludf.DUMMYFUNCTION("""COMPUTED_VALUE"""),"AVAX")</f>
        <v>AVAX</v>
      </c>
      <c r="G587" s="3"/>
    </row>
    <row r="588">
      <c r="A588" s="3" t="str">
        <f>IFERROR(__xludf.DUMMYFUNCTION("""COMPUTED_VALUE"""),"2022-09-20T00:00:00Z")</f>
        <v>2022-09-20T00:00:00Z</v>
      </c>
      <c r="B588" s="3">
        <f>IFERROR(__xludf.DUMMYFUNCTION("""COMPUTED_VALUE"""),17.283267)</f>
        <v>17.283267</v>
      </c>
      <c r="C588" s="3">
        <f>IFERROR(__xludf.DUMMYFUNCTION("""COMPUTED_VALUE"""),2.95768410611556E8)</f>
        <v>295768410.6</v>
      </c>
      <c r="D588" s="3">
        <f>IFERROR(__xludf.DUMMYFUNCTION("""COMPUTED_VALUE"""),17738.06366598606)</f>
        <v>17738.06367</v>
      </c>
      <c r="E588" s="3">
        <f>IFERROR(__xludf.DUMMYFUNCTION("""COMPUTED_VALUE"""),306571.6904022359)</f>
        <v>306571.6904</v>
      </c>
      <c r="F588" s="3" t="str">
        <f>IFERROR(__xludf.DUMMYFUNCTION("""COMPUTED_VALUE"""),"AVAX")</f>
        <v>AVAX</v>
      </c>
      <c r="G588" s="3"/>
    </row>
    <row r="589">
      <c r="A589" s="3" t="str">
        <f>IFERROR(__xludf.DUMMYFUNCTION("""COMPUTED_VALUE"""),"2022-09-21T00:00:00Z")</f>
        <v>2022-09-21T00:00:00Z</v>
      </c>
      <c r="B589" s="3">
        <f>IFERROR(__xludf.DUMMYFUNCTION("""COMPUTED_VALUE"""),16.650762)</f>
        <v>16.650762</v>
      </c>
      <c r="C589" s="3">
        <f>IFERROR(__xludf.DUMMYFUNCTION("""COMPUTED_VALUE"""),2.95829968224493E8)</f>
        <v>295829968.2</v>
      </c>
      <c r="D589" s="3">
        <f>IFERROR(__xludf.DUMMYFUNCTION("""COMPUTED_VALUE"""),61557.61293703318)</f>
        <v>61557.61294</v>
      </c>
      <c r="E589" s="3">
        <f>IFERROR(__xludf.DUMMYFUNCTION("""COMPUTED_VALUE"""),4.925794393373596E9)</f>
        <v>4925794393</v>
      </c>
      <c r="F589" s="3" t="str">
        <f>IFERROR(__xludf.DUMMYFUNCTION("""COMPUTED_VALUE"""),"AVAX")</f>
        <v>AVAX</v>
      </c>
      <c r="G589" s="3"/>
    </row>
    <row r="590">
      <c r="A590" s="3" t="str">
        <f>IFERROR(__xludf.DUMMYFUNCTION("""COMPUTED_VALUE"""),"2022-09-22T00:00:00Z")</f>
        <v>2022-09-22T00:00:00Z</v>
      </c>
      <c r="B590" s="3">
        <f>IFERROR(__xludf.DUMMYFUNCTION("""COMPUTED_VALUE"""),16.540644)</f>
        <v>16.540644</v>
      </c>
      <c r="C590" s="3">
        <f>IFERROR(__xludf.DUMMYFUNCTION("""COMPUTED_VALUE"""),2.95863687218282E8)</f>
        <v>295863687.2</v>
      </c>
      <c r="D590" s="3">
        <f>IFERROR(__xludf.DUMMYFUNCTION("""COMPUTED_VALUE"""),33718.993788957596)</f>
        <v>33718.99379</v>
      </c>
      <c r="E590" s="3">
        <f>IFERROR(__xludf.DUMMYFUNCTION("""COMPUTED_VALUE"""),557733.8723013587)</f>
        <v>557733.8723</v>
      </c>
      <c r="F590" s="3" t="str">
        <f>IFERROR(__xludf.DUMMYFUNCTION("""COMPUTED_VALUE"""),"AVAX")</f>
        <v>AVAX</v>
      </c>
      <c r="G590" s="3"/>
    </row>
    <row r="591">
      <c r="A591" s="3" t="str">
        <f>IFERROR(__xludf.DUMMYFUNCTION("""COMPUTED_VALUE"""),"2022-09-23T00:00:00Z")</f>
        <v>2022-09-23T00:00:00Z</v>
      </c>
      <c r="B591" s="3">
        <f>IFERROR(__xludf.DUMMYFUNCTION("""COMPUTED_VALUE"""),17.684581)</f>
        <v>17.684581</v>
      </c>
      <c r="C591" s="3">
        <f>IFERROR(__xludf.DUMMYFUNCTION("""COMPUTED_VALUE"""),2.95870213964861E8)</f>
        <v>295870214</v>
      </c>
      <c r="D591" s="3">
        <f>IFERROR(__xludf.DUMMYFUNCTION("""COMPUTED_VALUE"""),6526.746578991413)</f>
        <v>6526.746579</v>
      </c>
      <c r="E591" s="3">
        <f>IFERROR(__xludf.DUMMYFUNCTION("""COMPUTED_VALUE"""),115422.77854264656)</f>
        <v>115422.7785</v>
      </c>
      <c r="F591" s="3" t="str">
        <f>IFERROR(__xludf.DUMMYFUNCTION("""COMPUTED_VALUE"""),"AVAX")</f>
        <v>AVAX</v>
      </c>
      <c r="G591" s="3"/>
    </row>
    <row r="592">
      <c r="A592" s="3" t="str">
        <f>IFERROR(__xludf.DUMMYFUNCTION("""COMPUTED_VALUE"""),"2022-09-24T00:00:00Z")</f>
        <v>2022-09-24T00:00:00Z</v>
      </c>
      <c r="B592" s="3">
        <f>IFERROR(__xludf.DUMMYFUNCTION("""COMPUTED_VALUE"""),17.972192)</f>
        <v>17.972192</v>
      </c>
      <c r="C592" s="3">
        <f>IFERROR(__xludf.DUMMYFUNCTION("""COMPUTED_VALUE"""),2.95879429900028E8)</f>
        <v>295879429.9</v>
      </c>
      <c r="D592" s="3">
        <f>IFERROR(__xludf.DUMMYFUNCTION("""COMPUTED_VALUE"""),9215.935167014599)</f>
        <v>9215.935167</v>
      </c>
      <c r="E592" s="3">
        <f>IFERROR(__xludf.DUMMYFUNCTION("""COMPUTED_VALUE"""),165630.55628113844)</f>
        <v>165630.5563</v>
      </c>
      <c r="F592" s="3" t="str">
        <f>IFERROR(__xludf.DUMMYFUNCTION("""COMPUTED_VALUE"""),"AVAX")</f>
        <v>AVAX</v>
      </c>
      <c r="G592" s="3"/>
    </row>
    <row r="593">
      <c r="A593" s="3" t="str">
        <f>IFERROR(__xludf.DUMMYFUNCTION("""COMPUTED_VALUE"""),"2022-09-25T00:00:00Z")</f>
        <v>2022-09-25T00:00:00Z</v>
      </c>
      <c r="B593" s="3">
        <f>IFERROR(__xludf.DUMMYFUNCTION("""COMPUTED_VALUE"""),17.606335)</f>
        <v>17.606335</v>
      </c>
      <c r="C593" s="3">
        <f>IFERROR(__xludf.DUMMYFUNCTION("""COMPUTED_VALUE"""),2.95884246255808E8)</f>
        <v>295884246.3</v>
      </c>
      <c r="D593" s="3">
        <f>IFERROR(__xludf.DUMMYFUNCTION("""COMPUTED_VALUE"""),4816.355780005455)</f>
        <v>4816.35578</v>
      </c>
      <c r="E593" s="3">
        <f>IFERROR(__xludf.DUMMYFUNCTION("""COMPUTED_VALUE"""),84798.37334196235)</f>
        <v>84798.37334</v>
      </c>
      <c r="F593" s="3" t="str">
        <f>IFERROR(__xludf.DUMMYFUNCTION("""COMPUTED_VALUE"""),"AVAX")</f>
        <v>AVAX</v>
      </c>
      <c r="G593" s="3"/>
    </row>
    <row r="594">
      <c r="A594" s="3" t="str">
        <f>IFERROR(__xludf.DUMMYFUNCTION("""COMPUTED_VALUE"""),"2022-05-01T00:00:00Z")</f>
        <v>2022-05-01T00:00:00Z</v>
      </c>
      <c r="B594" s="3">
        <f>IFERROR(__xludf.DUMMYFUNCTION("""COMPUTED_VALUE"""),6.752732)</f>
        <v>6.752732</v>
      </c>
      <c r="C594" s="3">
        <f>IFERROR(__xludf.DUMMYFUNCTION("""COMPUTED_VALUE"""),4.56489583401055E8)</f>
        <v>456489583.4</v>
      </c>
      <c r="D594" s="3">
        <f>IFERROR(__xludf.DUMMYFUNCTION("""COMPUTED_VALUE"""),0.0)</f>
        <v>0</v>
      </c>
      <c r="E594" s="3">
        <f>IFERROR(__xludf.DUMMYFUNCTION("""COMPUTED_VALUE"""),0.0)</f>
        <v>0</v>
      </c>
      <c r="F594" s="3" t="str">
        <f>IFERROR(__xludf.DUMMYFUNCTION("""COMPUTED_VALUE"""),"UNI")</f>
        <v>UNI</v>
      </c>
      <c r="G594" s="3"/>
    </row>
    <row r="595">
      <c r="A595" s="3" t="str">
        <f>IFERROR(__xludf.DUMMYFUNCTION("""COMPUTED_VALUE"""),"2022-05-02T00:00:00Z")</f>
        <v>2022-05-02T00:00:00Z</v>
      </c>
      <c r="B595" s="3">
        <f>IFERROR(__xludf.DUMMYFUNCTION("""COMPUTED_VALUE"""),7.114579)</f>
        <v>7.114579</v>
      </c>
      <c r="C595" s="3">
        <f>IFERROR(__xludf.DUMMYFUNCTION("""COMPUTED_VALUE"""),4.56489583401055E8)</f>
        <v>456489583.4</v>
      </c>
      <c r="D595" s="3">
        <f>IFERROR(__xludf.DUMMYFUNCTION("""COMPUTED_VALUE"""),0.0)</f>
        <v>0</v>
      </c>
      <c r="E595" s="3">
        <f>IFERROR(__xludf.DUMMYFUNCTION("""COMPUTED_VALUE"""),0.0)</f>
        <v>0</v>
      </c>
      <c r="F595" s="3" t="str">
        <f>IFERROR(__xludf.DUMMYFUNCTION("""COMPUTED_VALUE"""),"UNI")</f>
        <v>UNI</v>
      </c>
      <c r="G595" s="3"/>
    </row>
    <row r="596">
      <c r="A596" s="3" t="str">
        <f>IFERROR(__xludf.DUMMYFUNCTION("""COMPUTED_VALUE"""),"2022-05-03T00:00:00Z")</f>
        <v>2022-05-03T00:00:00Z</v>
      </c>
      <c r="B596" s="3">
        <f>IFERROR(__xludf.DUMMYFUNCTION("""COMPUTED_VALUE"""),6.929338)</f>
        <v>6.929338</v>
      </c>
      <c r="C596" s="3">
        <f>IFERROR(__xludf.DUMMYFUNCTION("""COMPUTED_VALUE"""),4.56489583401055E8)</f>
        <v>456489583.4</v>
      </c>
      <c r="D596" s="3">
        <f>IFERROR(__xludf.DUMMYFUNCTION("""COMPUTED_VALUE"""),0.0)</f>
        <v>0</v>
      </c>
      <c r="E596" s="3">
        <f>IFERROR(__xludf.DUMMYFUNCTION("""COMPUTED_VALUE"""),0.0)</f>
        <v>0</v>
      </c>
      <c r="F596" s="3" t="str">
        <f>IFERROR(__xludf.DUMMYFUNCTION("""COMPUTED_VALUE"""),"UNI")</f>
        <v>UNI</v>
      </c>
      <c r="G596" s="3"/>
    </row>
    <row r="597">
      <c r="A597" s="3" t="str">
        <f>IFERROR(__xludf.DUMMYFUNCTION("""COMPUTED_VALUE"""),"2022-05-04T00:00:00Z")</f>
        <v>2022-05-04T00:00:00Z</v>
      </c>
      <c r="B597" s="3">
        <f>IFERROR(__xludf.DUMMYFUNCTION("""COMPUTED_VALUE"""),6.856312)</f>
        <v>6.856312</v>
      </c>
      <c r="C597" s="3">
        <f>IFERROR(__xludf.DUMMYFUNCTION("""COMPUTED_VALUE"""),4.56489583401055E8)</f>
        <v>456489583.4</v>
      </c>
      <c r="D597" s="3">
        <f>IFERROR(__xludf.DUMMYFUNCTION("""COMPUTED_VALUE"""),0.0)</f>
        <v>0</v>
      </c>
      <c r="E597" s="3">
        <f>IFERROR(__xludf.DUMMYFUNCTION("""COMPUTED_VALUE"""),0.0)</f>
        <v>0</v>
      </c>
      <c r="F597" s="3" t="str">
        <f>IFERROR(__xludf.DUMMYFUNCTION("""COMPUTED_VALUE"""),"UNI")</f>
        <v>UNI</v>
      </c>
      <c r="G597" s="3"/>
    </row>
    <row r="598">
      <c r="A598" s="3" t="str">
        <f>IFERROR(__xludf.DUMMYFUNCTION("""COMPUTED_VALUE"""),"2022-05-05T00:00:00Z")</f>
        <v>2022-05-05T00:00:00Z</v>
      </c>
      <c r="B598" s="3">
        <f>IFERROR(__xludf.DUMMYFUNCTION("""COMPUTED_VALUE"""),7.936684)</f>
        <v>7.936684</v>
      </c>
      <c r="C598" s="3">
        <f>IFERROR(__xludf.DUMMYFUNCTION("""COMPUTED_VALUE"""),4.56489583401055E8)</f>
        <v>456489583.4</v>
      </c>
      <c r="D598" s="3">
        <f>IFERROR(__xludf.DUMMYFUNCTION("""COMPUTED_VALUE"""),0.0)</f>
        <v>0</v>
      </c>
      <c r="E598" s="3">
        <f>IFERROR(__xludf.DUMMYFUNCTION("""COMPUTED_VALUE"""),0.0)</f>
        <v>0</v>
      </c>
      <c r="F598" s="3" t="str">
        <f>IFERROR(__xludf.DUMMYFUNCTION("""COMPUTED_VALUE"""),"UNI")</f>
        <v>UNI</v>
      </c>
      <c r="G598" s="3"/>
    </row>
    <row r="599">
      <c r="A599" s="3" t="str">
        <f>IFERROR(__xludf.DUMMYFUNCTION("""COMPUTED_VALUE"""),"2022-05-06T00:00:00Z")</f>
        <v>2022-05-06T00:00:00Z</v>
      </c>
      <c r="B599" s="3">
        <f>IFERROR(__xludf.DUMMYFUNCTION("""COMPUTED_VALUE"""),7.347492)</f>
        <v>7.347492</v>
      </c>
      <c r="C599" s="3">
        <f>IFERROR(__xludf.DUMMYFUNCTION("""COMPUTED_VALUE"""),4.56489583401055E8)</f>
        <v>456489583.4</v>
      </c>
      <c r="D599" s="3">
        <f>IFERROR(__xludf.DUMMYFUNCTION("""COMPUTED_VALUE"""),0.0)</f>
        <v>0</v>
      </c>
      <c r="E599" s="3">
        <f>IFERROR(__xludf.DUMMYFUNCTION("""COMPUTED_VALUE"""),0.0)</f>
        <v>0</v>
      </c>
      <c r="F599" s="3" t="str">
        <f>IFERROR(__xludf.DUMMYFUNCTION("""COMPUTED_VALUE"""),"UNI")</f>
        <v>UNI</v>
      </c>
      <c r="G599" s="3"/>
    </row>
    <row r="600">
      <c r="A600" s="3" t="str">
        <f>IFERROR(__xludf.DUMMYFUNCTION("""COMPUTED_VALUE"""),"2022-05-07T00:00:00Z")</f>
        <v>2022-05-07T00:00:00Z</v>
      </c>
      <c r="B600" s="3">
        <f>IFERROR(__xludf.DUMMYFUNCTION("""COMPUTED_VALUE"""),7.584601)</f>
        <v>7.584601</v>
      </c>
      <c r="C600" s="3">
        <f>IFERROR(__xludf.DUMMYFUNCTION("""COMPUTED_VALUE"""),4.56489583401055E8)</f>
        <v>456489583.4</v>
      </c>
      <c r="D600" s="3">
        <f>IFERROR(__xludf.DUMMYFUNCTION("""COMPUTED_VALUE"""),0.0)</f>
        <v>0</v>
      </c>
      <c r="E600" s="3">
        <f>IFERROR(__xludf.DUMMYFUNCTION("""COMPUTED_VALUE"""),0.0)</f>
        <v>0</v>
      </c>
      <c r="F600" s="3" t="str">
        <f>IFERROR(__xludf.DUMMYFUNCTION("""COMPUTED_VALUE"""),"UNI")</f>
        <v>UNI</v>
      </c>
      <c r="G600" s="3"/>
    </row>
    <row r="601">
      <c r="A601" s="3" t="str">
        <f>IFERROR(__xludf.DUMMYFUNCTION("""COMPUTED_VALUE"""),"2022-05-08T00:00:00Z")</f>
        <v>2022-05-08T00:00:00Z</v>
      </c>
      <c r="B601" s="3">
        <f>IFERROR(__xludf.DUMMYFUNCTION("""COMPUTED_VALUE"""),7.171079)</f>
        <v>7.171079</v>
      </c>
      <c r="C601" s="3">
        <f>IFERROR(__xludf.DUMMYFUNCTION("""COMPUTED_VALUE"""),4.56489583401055E8)</f>
        <v>456489583.4</v>
      </c>
      <c r="D601" s="3">
        <f>IFERROR(__xludf.DUMMYFUNCTION("""COMPUTED_VALUE"""),0.0)</f>
        <v>0</v>
      </c>
      <c r="E601" s="3">
        <f>IFERROR(__xludf.DUMMYFUNCTION("""COMPUTED_VALUE"""),0.0)</f>
        <v>0</v>
      </c>
      <c r="F601" s="3" t="str">
        <f>IFERROR(__xludf.DUMMYFUNCTION("""COMPUTED_VALUE"""),"UNI")</f>
        <v>UNI</v>
      </c>
      <c r="G601" s="3"/>
    </row>
    <row r="602">
      <c r="A602" s="3" t="str">
        <f>IFERROR(__xludf.DUMMYFUNCTION("""COMPUTED_VALUE"""),"2022-05-09T00:00:00Z")</f>
        <v>2022-05-09T00:00:00Z</v>
      </c>
      <c r="B602" s="3">
        <f>IFERROR(__xludf.DUMMYFUNCTION("""COMPUTED_VALUE"""),7.098135)</f>
        <v>7.098135</v>
      </c>
      <c r="C602" s="3">
        <f>IFERROR(__xludf.DUMMYFUNCTION("""COMPUTED_VALUE"""),4.56489583401055E8)</f>
        <v>456489583.4</v>
      </c>
      <c r="D602" s="3">
        <f>IFERROR(__xludf.DUMMYFUNCTION("""COMPUTED_VALUE"""),0.0)</f>
        <v>0</v>
      </c>
      <c r="E602" s="3">
        <f>IFERROR(__xludf.DUMMYFUNCTION("""COMPUTED_VALUE"""),0.0)</f>
        <v>0</v>
      </c>
      <c r="F602" s="3" t="str">
        <f>IFERROR(__xludf.DUMMYFUNCTION("""COMPUTED_VALUE"""),"UNI")</f>
        <v>UNI</v>
      </c>
      <c r="G602" s="3"/>
    </row>
    <row r="603">
      <c r="A603" s="3" t="str">
        <f>IFERROR(__xludf.DUMMYFUNCTION("""COMPUTED_VALUE"""),"2022-05-10T00:00:00Z")</f>
        <v>2022-05-10T00:00:00Z</v>
      </c>
      <c r="B603" s="3">
        <f>IFERROR(__xludf.DUMMYFUNCTION("""COMPUTED_VALUE"""),5.954821)</f>
        <v>5.954821</v>
      </c>
      <c r="C603" s="3">
        <f>IFERROR(__xludf.DUMMYFUNCTION("""COMPUTED_VALUE"""),4.56489583401055E8)</f>
        <v>456489583.4</v>
      </c>
      <c r="D603" s="3">
        <f>IFERROR(__xludf.DUMMYFUNCTION("""COMPUTED_VALUE"""),0.0)</f>
        <v>0</v>
      </c>
      <c r="E603" s="3">
        <f>IFERROR(__xludf.DUMMYFUNCTION("""COMPUTED_VALUE"""),0.0)</f>
        <v>0</v>
      </c>
      <c r="F603" s="3" t="str">
        <f>IFERROR(__xludf.DUMMYFUNCTION("""COMPUTED_VALUE"""),"UNI")</f>
        <v>UNI</v>
      </c>
      <c r="G603" s="3"/>
    </row>
    <row r="604">
      <c r="A604" s="3" t="str">
        <f>IFERROR(__xludf.DUMMYFUNCTION("""COMPUTED_VALUE"""),"2022-05-11T00:00:00Z")</f>
        <v>2022-05-11T00:00:00Z</v>
      </c>
      <c r="B604" s="3">
        <f>IFERROR(__xludf.DUMMYFUNCTION("""COMPUTED_VALUE"""),6.069774)</f>
        <v>6.069774</v>
      </c>
      <c r="C604" s="3">
        <f>IFERROR(__xludf.DUMMYFUNCTION("""COMPUTED_VALUE"""),4.56489583401055E8)</f>
        <v>456489583.4</v>
      </c>
      <c r="D604" s="3">
        <f>IFERROR(__xludf.DUMMYFUNCTION("""COMPUTED_VALUE"""),0.0)</f>
        <v>0</v>
      </c>
      <c r="E604" s="3">
        <f>IFERROR(__xludf.DUMMYFUNCTION("""COMPUTED_VALUE"""),0.0)</f>
        <v>0</v>
      </c>
      <c r="F604" s="3" t="str">
        <f>IFERROR(__xludf.DUMMYFUNCTION("""COMPUTED_VALUE"""),"UNI")</f>
        <v>UNI</v>
      </c>
      <c r="G604" s="3"/>
    </row>
    <row r="605">
      <c r="A605" s="3" t="str">
        <f>IFERROR(__xludf.DUMMYFUNCTION("""COMPUTED_VALUE"""),"2022-05-12T00:00:00Z")</f>
        <v>2022-05-12T00:00:00Z</v>
      </c>
      <c r="B605" s="3">
        <f>IFERROR(__xludf.DUMMYFUNCTION("""COMPUTED_VALUE"""),4.892984)</f>
        <v>4.892984</v>
      </c>
      <c r="C605" s="3">
        <f>IFERROR(__xludf.DUMMYFUNCTION("""COMPUTED_VALUE"""),4.56489583401055E8)</f>
        <v>456489583.4</v>
      </c>
      <c r="D605" s="3">
        <f>IFERROR(__xludf.DUMMYFUNCTION("""COMPUTED_VALUE"""),0.0)</f>
        <v>0</v>
      </c>
      <c r="E605" s="3">
        <f>IFERROR(__xludf.DUMMYFUNCTION("""COMPUTED_VALUE"""),0.0)</f>
        <v>0</v>
      </c>
      <c r="F605" s="3" t="str">
        <f>IFERROR(__xludf.DUMMYFUNCTION("""COMPUTED_VALUE"""),"UNI")</f>
        <v>UNI</v>
      </c>
      <c r="G605" s="3"/>
    </row>
    <row r="606">
      <c r="A606" s="3" t="str">
        <f>IFERROR(__xludf.DUMMYFUNCTION("""COMPUTED_VALUE"""),"2022-05-13T00:00:00Z")</f>
        <v>2022-05-13T00:00:00Z</v>
      </c>
      <c r="B606" s="3">
        <f>IFERROR(__xludf.DUMMYFUNCTION("""COMPUTED_VALUE"""),4.656379)</f>
        <v>4.656379</v>
      </c>
      <c r="C606" s="3">
        <f>IFERROR(__xludf.DUMMYFUNCTION("""COMPUTED_VALUE"""),4.56489583401055E8)</f>
        <v>456489583.4</v>
      </c>
      <c r="D606" s="3">
        <f>IFERROR(__xludf.DUMMYFUNCTION("""COMPUTED_VALUE"""),0.0)</f>
        <v>0</v>
      </c>
      <c r="E606" s="3">
        <f>IFERROR(__xludf.DUMMYFUNCTION("""COMPUTED_VALUE"""),0.0)</f>
        <v>0</v>
      </c>
      <c r="F606" s="3" t="str">
        <f>IFERROR(__xludf.DUMMYFUNCTION("""COMPUTED_VALUE"""),"UNI")</f>
        <v>UNI</v>
      </c>
      <c r="G606" s="3"/>
    </row>
    <row r="607">
      <c r="A607" s="3" t="str">
        <f>IFERROR(__xludf.DUMMYFUNCTION("""COMPUTED_VALUE"""),"2022-05-14T00:00:00Z")</f>
        <v>2022-05-14T00:00:00Z</v>
      </c>
      <c r="B607" s="3">
        <f>IFERROR(__xludf.DUMMYFUNCTION("""COMPUTED_VALUE"""),5.127297)</f>
        <v>5.127297</v>
      </c>
      <c r="C607" s="3">
        <f>IFERROR(__xludf.DUMMYFUNCTION("""COMPUTED_VALUE"""),4.56489583401055E8)</f>
        <v>456489583.4</v>
      </c>
      <c r="D607" s="3">
        <f>IFERROR(__xludf.DUMMYFUNCTION("""COMPUTED_VALUE"""),0.0)</f>
        <v>0</v>
      </c>
      <c r="E607" s="3">
        <f>IFERROR(__xludf.DUMMYFUNCTION("""COMPUTED_VALUE"""),0.0)</f>
        <v>0</v>
      </c>
      <c r="F607" s="3" t="str">
        <f>IFERROR(__xludf.DUMMYFUNCTION("""COMPUTED_VALUE"""),"UNI")</f>
        <v>UNI</v>
      </c>
      <c r="G607" s="3"/>
    </row>
    <row r="608">
      <c r="A608" s="3" t="str">
        <f>IFERROR(__xludf.DUMMYFUNCTION("""COMPUTED_VALUE"""),"2022-05-15T00:00:00Z")</f>
        <v>2022-05-15T00:00:00Z</v>
      </c>
      <c r="B608" s="3">
        <f>IFERROR(__xludf.DUMMYFUNCTION("""COMPUTED_VALUE"""),5.169285)</f>
        <v>5.169285</v>
      </c>
      <c r="C608" s="3">
        <f>IFERROR(__xludf.DUMMYFUNCTION("""COMPUTED_VALUE"""),4.56489583401055E8)</f>
        <v>456489583.4</v>
      </c>
      <c r="D608" s="3">
        <f>IFERROR(__xludf.DUMMYFUNCTION("""COMPUTED_VALUE"""),0.0)</f>
        <v>0</v>
      </c>
      <c r="E608" s="3">
        <f>IFERROR(__xludf.DUMMYFUNCTION("""COMPUTED_VALUE"""),0.0)</f>
        <v>0</v>
      </c>
      <c r="F608" s="3" t="str">
        <f>IFERROR(__xludf.DUMMYFUNCTION("""COMPUTED_VALUE"""),"UNI")</f>
        <v>UNI</v>
      </c>
      <c r="G608" s="3"/>
    </row>
    <row r="609">
      <c r="A609" s="3" t="str">
        <f>IFERROR(__xludf.DUMMYFUNCTION("""COMPUTED_VALUE"""),"2022-05-16T00:00:00Z")</f>
        <v>2022-05-16T00:00:00Z</v>
      </c>
      <c r="B609" s="3">
        <f>IFERROR(__xludf.DUMMYFUNCTION("""COMPUTED_VALUE"""),5.443996)</f>
        <v>5.443996</v>
      </c>
      <c r="C609" s="3">
        <f>IFERROR(__xludf.DUMMYFUNCTION("""COMPUTED_VALUE"""),4.56489583401055E8)</f>
        <v>456489583.4</v>
      </c>
      <c r="D609" s="3">
        <f>IFERROR(__xludf.DUMMYFUNCTION("""COMPUTED_VALUE"""),0.0)</f>
        <v>0</v>
      </c>
      <c r="E609" s="3">
        <f>IFERROR(__xludf.DUMMYFUNCTION("""COMPUTED_VALUE"""),0.0)</f>
        <v>0</v>
      </c>
      <c r="F609" s="3" t="str">
        <f>IFERROR(__xludf.DUMMYFUNCTION("""COMPUTED_VALUE"""),"UNI")</f>
        <v>UNI</v>
      </c>
      <c r="G609" s="3"/>
    </row>
    <row r="610">
      <c r="A610" s="3" t="str">
        <f>IFERROR(__xludf.DUMMYFUNCTION("""COMPUTED_VALUE"""),"2022-05-17T00:00:00Z")</f>
        <v>2022-05-17T00:00:00Z</v>
      </c>
      <c r="B610" s="3">
        <f>IFERROR(__xludf.DUMMYFUNCTION("""COMPUTED_VALUE"""),5.052133)</f>
        <v>5.052133</v>
      </c>
      <c r="C610" s="3">
        <f>IFERROR(__xludf.DUMMYFUNCTION("""COMPUTED_VALUE"""),4.56489583401055E8)</f>
        <v>456489583.4</v>
      </c>
      <c r="D610" s="3">
        <f>IFERROR(__xludf.DUMMYFUNCTION("""COMPUTED_VALUE"""),0.0)</f>
        <v>0</v>
      </c>
      <c r="E610" s="3">
        <f>IFERROR(__xludf.DUMMYFUNCTION("""COMPUTED_VALUE"""),0.0)</f>
        <v>0</v>
      </c>
      <c r="F610" s="3" t="str">
        <f>IFERROR(__xludf.DUMMYFUNCTION("""COMPUTED_VALUE"""),"UNI")</f>
        <v>UNI</v>
      </c>
      <c r="G610" s="3"/>
    </row>
    <row r="611">
      <c r="A611" s="3" t="str">
        <f>IFERROR(__xludf.DUMMYFUNCTION("""COMPUTED_VALUE"""),"2022-05-18T00:00:00Z")</f>
        <v>2022-05-18T00:00:00Z</v>
      </c>
      <c r="B611" s="3">
        <f>IFERROR(__xludf.DUMMYFUNCTION("""COMPUTED_VALUE"""),5.459629)</f>
        <v>5.459629</v>
      </c>
      <c r="C611" s="3">
        <f>IFERROR(__xludf.DUMMYFUNCTION("""COMPUTED_VALUE"""),4.56489583401055E8)</f>
        <v>456489583.4</v>
      </c>
      <c r="D611" s="3">
        <f>IFERROR(__xludf.DUMMYFUNCTION("""COMPUTED_VALUE"""),0.0)</f>
        <v>0</v>
      </c>
      <c r="E611" s="3">
        <f>IFERROR(__xludf.DUMMYFUNCTION("""COMPUTED_VALUE"""),0.0)</f>
        <v>0</v>
      </c>
      <c r="F611" s="3" t="str">
        <f>IFERROR(__xludf.DUMMYFUNCTION("""COMPUTED_VALUE"""),"UNI")</f>
        <v>UNI</v>
      </c>
      <c r="G611" s="3"/>
    </row>
    <row r="612">
      <c r="A612" s="3" t="str">
        <f>IFERROR(__xludf.DUMMYFUNCTION("""COMPUTED_VALUE"""),"2022-05-19T00:00:00Z")</f>
        <v>2022-05-19T00:00:00Z</v>
      </c>
      <c r="B612" s="3">
        <f>IFERROR(__xludf.DUMMYFUNCTION("""COMPUTED_VALUE"""),4.922264)</f>
        <v>4.922264</v>
      </c>
      <c r="C612" s="3">
        <f>IFERROR(__xludf.DUMMYFUNCTION("""COMPUTED_VALUE"""),4.56489583401055E8)</f>
        <v>456489583.4</v>
      </c>
      <c r="D612" s="3">
        <f>IFERROR(__xludf.DUMMYFUNCTION("""COMPUTED_VALUE"""),0.0)</f>
        <v>0</v>
      </c>
      <c r="E612" s="3">
        <f>IFERROR(__xludf.DUMMYFUNCTION("""COMPUTED_VALUE"""),0.0)</f>
        <v>0</v>
      </c>
      <c r="F612" s="3" t="str">
        <f>IFERROR(__xludf.DUMMYFUNCTION("""COMPUTED_VALUE"""),"UNI")</f>
        <v>UNI</v>
      </c>
      <c r="G612" s="3"/>
    </row>
    <row r="613">
      <c r="A613" s="3" t="str">
        <f>IFERROR(__xludf.DUMMYFUNCTION("""COMPUTED_VALUE"""),"2022-05-20T00:00:00Z")</f>
        <v>2022-05-20T00:00:00Z</v>
      </c>
      <c r="B613" s="3">
        <f>IFERROR(__xludf.DUMMYFUNCTION("""COMPUTED_VALUE"""),5.185391)</f>
        <v>5.185391</v>
      </c>
      <c r="C613" s="3">
        <f>IFERROR(__xludf.DUMMYFUNCTION("""COMPUTED_VALUE"""),4.56489583401055E8)</f>
        <v>456489583.4</v>
      </c>
      <c r="D613" s="3">
        <f>IFERROR(__xludf.DUMMYFUNCTION("""COMPUTED_VALUE"""),0.0)</f>
        <v>0</v>
      </c>
      <c r="E613" s="3">
        <f>IFERROR(__xludf.DUMMYFUNCTION("""COMPUTED_VALUE"""),0.0)</f>
        <v>0</v>
      </c>
      <c r="F613" s="3" t="str">
        <f>IFERROR(__xludf.DUMMYFUNCTION("""COMPUTED_VALUE"""),"UNI")</f>
        <v>UNI</v>
      </c>
      <c r="G613" s="3"/>
    </row>
    <row r="614">
      <c r="A614" s="3" t="str">
        <f>IFERROR(__xludf.DUMMYFUNCTION("""COMPUTED_VALUE"""),"2022-05-21T00:00:00Z")</f>
        <v>2022-05-21T00:00:00Z</v>
      </c>
      <c r="B614" s="3">
        <f>IFERROR(__xludf.DUMMYFUNCTION("""COMPUTED_VALUE"""),5.088243)</f>
        <v>5.088243</v>
      </c>
      <c r="C614" s="3">
        <f>IFERROR(__xludf.DUMMYFUNCTION("""COMPUTED_VALUE"""),4.56489583401055E8)</f>
        <v>456489583.4</v>
      </c>
      <c r="D614" s="3">
        <f>IFERROR(__xludf.DUMMYFUNCTION("""COMPUTED_VALUE"""),0.0)</f>
        <v>0</v>
      </c>
      <c r="E614" s="3">
        <f>IFERROR(__xludf.DUMMYFUNCTION("""COMPUTED_VALUE"""),0.0)</f>
        <v>0</v>
      </c>
      <c r="F614" s="3" t="str">
        <f>IFERROR(__xludf.DUMMYFUNCTION("""COMPUTED_VALUE"""),"UNI")</f>
        <v>UNI</v>
      </c>
      <c r="G614" s="3"/>
    </row>
    <row r="615">
      <c r="A615" s="3" t="str">
        <f>IFERROR(__xludf.DUMMYFUNCTION("""COMPUTED_VALUE"""),"2022-05-22T00:00:00Z")</f>
        <v>2022-05-22T00:00:00Z</v>
      </c>
      <c r="B615" s="3">
        <f>IFERROR(__xludf.DUMMYFUNCTION("""COMPUTED_VALUE"""),5.22356)</f>
        <v>5.22356</v>
      </c>
      <c r="C615" s="3">
        <f>IFERROR(__xludf.DUMMYFUNCTION("""COMPUTED_VALUE"""),4.56489583401055E8)</f>
        <v>456489583.4</v>
      </c>
      <c r="D615" s="3">
        <f>IFERROR(__xludf.DUMMYFUNCTION("""COMPUTED_VALUE"""),0.0)</f>
        <v>0</v>
      </c>
      <c r="E615" s="3">
        <f>IFERROR(__xludf.DUMMYFUNCTION("""COMPUTED_VALUE"""),0.0)</f>
        <v>0</v>
      </c>
      <c r="F615" s="3" t="str">
        <f>IFERROR(__xludf.DUMMYFUNCTION("""COMPUTED_VALUE"""),"UNI")</f>
        <v>UNI</v>
      </c>
      <c r="G615" s="3"/>
    </row>
    <row r="616">
      <c r="A616" s="3" t="str">
        <f>IFERROR(__xludf.DUMMYFUNCTION("""COMPUTED_VALUE"""),"2022-05-23T00:00:00Z")</f>
        <v>2022-05-23T00:00:00Z</v>
      </c>
      <c r="B616" s="3">
        <f>IFERROR(__xludf.DUMMYFUNCTION("""COMPUTED_VALUE"""),5.47627)</f>
        <v>5.47627</v>
      </c>
      <c r="C616" s="3">
        <f>IFERROR(__xludf.DUMMYFUNCTION("""COMPUTED_VALUE"""),4.56489583401055E8)</f>
        <v>456489583.4</v>
      </c>
      <c r="D616" s="3">
        <f>IFERROR(__xludf.DUMMYFUNCTION("""COMPUTED_VALUE"""),0.0)</f>
        <v>0</v>
      </c>
      <c r="E616" s="3">
        <f>IFERROR(__xludf.DUMMYFUNCTION("""COMPUTED_VALUE"""),0.0)</f>
        <v>0</v>
      </c>
      <c r="F616" s="3" t="str">
        <f>IFERROR(__xludf.DUMMYFUNCTION("""COMPUTED_VALUE"""),"UNI")</f>
        <v>UNI</v>
      </c>
      <c r="G616" s="3"/>
    </row>
    <row r="617">
      <c r="A617" s="3" t="str">
        <f>IFERROR(__xludf.DUMMYFUNCTION("""COMPUTED_VALUE"""),"2022-05-24T00:00:00Z")</f>
        <v>2022-05-24T00:00:00Z</v>
      </c>
      <c r="B617" s="3">
        <f>IFERROR(__xludf.DUMMYFUNCTION("""COMPUTED_VALUE"""),5.625066)</f>
        <v>5.625066</v>
      </c>
      <c r="C617" s="3">
        <f>IFERROR(__xludf.DUMMYFUNCTION("""COMPUTED_VALUE"""),4.56489583401055E8)</f>
        <v>456489583.4</v>
      </c>
      <c r="D617" s="3">
        <f>IFERROR(__xludf.DUMMYFUNCTION("""COMPUTED_VALUE"""),0.0)</f>
        <v>0</v>
      </c>
      <c r="E617" s="3">
        <f>IFERROR(__xludf.DUMMYFUNCTION("""COMPUTED_VALUE"""),0.0)</f>
        <v>0</v>
      </c>
      <c r="F617" s="3" t="str">
        <f>IFERROR(__xludf.DUMMYFUNCTION("""COMPUTED_VALUE"""),"UNI")</f>
        <v>UNI</v>
      </c>
      <c r="G617" s="3"/>
    </row>
    <row r="618">
      <c r="A618" s="3" t="str">
        <f>IFERROR(__xludf.DUMMYFUNCTION("""COMPUTED_VALUE"""),"2022-05-25T00:00:00Z")</f>
        <v>2022-05-25T00:00:00Z</v>
      </c>
      <c r="B618" s="3">
        <f>IFERROR(__xludf.DUMMYFUNCTION("""COMPUTED_VALUE"""),5.590588)</f>
        <v>5.590588</v>
      </c>
      <c r="C618" s="3">
        <f>IFERROR(__xludf.DUMMYFUNCTION("""COMPUTED_VALUE"""),4.56489583401055E8)</f>
        <v>456489583.4</v>
      </c>
      <c r="D618" s="3">
        <f>IFERROR(__xludf.DUMMYFUNCTION("""COMPUTED_VALUE"""),0.0)</f>
        <v>0</v>
      </c>
      <c r="E618" s="3">
        <f>IFERROR(__xludf.DUMMYFUNCTION("""COMPUTED_VALUE"""),0.0)</f>
        <v>0</v>
      </c>
      <c r="F618" s="3" t="str">
        <f>IFERROR(__xludf.DUMMYFUNCTION("""COMPUTED_VALUE"""),"UNI")</f>
        <v>UNI</v>
      </c>
      <c r="G618" s="3"/>
    </row>
    <row r="619">
      <c r="A619" s="3" t="str">
        <f>IFERROR(__xludf.DUMMYFUNCTION("""COMPUTED_VALUE"""),"2022-05-26T00:00:00Z")</f>
        <v>2022-05-26T00:00:00Z</v>
      </c>
      <c r="B619" s="3">
        <f>IFERROR(__xludf.DUMMYFUNCTION("""COMPUTED_VALUE"""),5.618831)</f>
        <v>5.618831</v>
      </c>
      <c r="C619" s="3">
        <f>IFERROR(__xludf.DUMMYFUNCTION("""COMPUTED_VALUE"""),4.56489583401055E8)</f>
        <v>456489583.4</v>
      </c>
      <c r="D619" s="3">
        <f>IFERROR(__xludf.DUMMYFUNCTION("""COMPUTED_VALUE"""),0.0)</f>
        <v>0</v>
      </c>
      <c r="E619" s="3">
        <f>IFERROR(__xludf.DUMMYFUNCTION("""COMPUTED_VALUE"""),0.0)</f>
        <v>0</v>
      </c>
      <c r="F619" s="3" t="str">
        <f>IFERROR(__xludf.DUMMYFUNCTION("""COMPUTED_VALUE"""),"UNI")</f>
        <v>UNI</v>
      </c>
      <c r="G619" s="3"/>
    </row>
    <row r="620">
      <c r="A620" s="3" t="str">
        <f>IFERROR(__xludf.DUMMYFUNCTION("""COMPUTED_VALUE"""),"2022-05-27T00:00:00Z")</f>
        <v>2022-05-27T00:00:00Z</v>
      </c>
      <c r="B620" s="3">
        <f>IFERROR(__xludf.DUMMYFUNCTION("""COMPUTED_VALUE"""),4.942806)</f>
        <v>4.942806</v>
      </c>
      <c r="C620" s="3">
        <f>IFERROR(__xludf.DUMMYFUNCTION("""COMPUTED_VALUE"""),4.56489583401055E8)</f>
        <v>456489583.4</v>
      </c>
      <c r="D620" s="3">
        <f>IFERROR(__xludf.DUMMYFUNCTION("""COMPUTED_VALUE"""),0.0)</f>
        <v>0</v>
      </c>
      <c r="E620" s="3">
        <f>IFERROR(__xludf.DUMMYFUNCTION("""COMPUTED_VALUE"""),0.0)</f>
        <v>0</v>
      </c>
      <c r="F620" s="3" t="str">
        <f>IFERROR(__xludf.DUMMYFUNCTION("""COMPUTED_VALUE"""),"UNI")</f>
        <v>UNI</v>
      </c>
      <c r="G620" s="3"/>
    </row>
    <row r="621">
      <c r="A621" s="3" t="str">
        <f>IFERROR(__xludf.DUMMYFUNCTION("""COMPUTED_VALUE"""),"2022-05-28T00:00:00Z")</f>
        <v>2022-05-28T00:00:00Z</v>
      </c>
      <c r="B621" s="3">
        <f>IFERROR(__xludf.DUMMYFUNCTION("""COMPUTED_VALUE"""),4.692841)</f>
        <v>4.692841</v>
      </c>
      <c r="C621" s="3">
        <f>IFERROR(__xludf.DUMMYFUNCTION("""COMPUTED_VALUE"""),4.56489583401055E8)</f>
        <v>456489583.4</v>
      </c>
      <c r="D621" s="3">
        <f>IFERROR(__xludf.DUMMYFUNCTION("""COMPUTED_VALUE"""),0.0)</f>
        <v>0</v>
      </c>
      <c r="E621" s="3">
        <f>IFERROR(__xludf.DUMMYFUNCTION("""COMPUTED_VALUE"""),0.0)</f>
        <v>0</v>
      </c>
      <c r="F621" s="3" t="str">
        <f>IFERROR(__xludf.DUMMYFUNCTION("""COMPUTED_VALUE"""),"UNI")</f>
        <v>UNI</v>
      </c>
      <c r="G621" s="3"/>
    </row>
    <row r="622">
      <c r="A622" s="3" t="str">
        <f>IFERROR(__xludf.DUMMYFUNCTION("""COMPUTED_VALUE"""),"2022-05-29T00:00:00Z")</f>
        <v>2022-05-29T00:00:00Z</v>
      </c>
      <c r="B622" s="3">
        <f>IFERROR(__xludf.DUMMYFUNCTION("""COMPUTED_VALUE"""),4.980048)</f>
        <v>4.980048</v>
      </c>
      <c r="C622" s="3">
        <f>IFERROR(__xludf.DUMMYFUNCTION("""COMPUTED_VALUE"""),4.56489583401055E8)</f>
        <v>456489583.4</v>
      </c>
      <c r="D622" s="3">
        <f>IFERROR(__xludf.DUMMYFUNCTION("""COMPUTED_VALUE"""),0.0)</f>
        <v>0</v>
      </c>
      <c r="E622" s="3">
        <f>IFERROR(__xludf.DUMMYFUNCTION("""COMPUTED_VALUE"""),0.0)</f>
        <v>0</v>
      </c>
      <c r="F622" s="3" t="str">
        <f>IFERROR(__xludf.DUMMYFUNCTION("""COMPUTED_VALUE"""),"UNI")</f>
        <v>UNI</v>
      </c>
      <c r="G622" s="3"/>
    </row>
    <row r="623">
      <c r="A623" s="3" t="str">
        <f>IFERROR(__xludf.DUMMYFUNCTION("""COMPUTED_VALUE"""),"2022-05-30T00:00:00Z")</f>
        <v>2022-05-30T00:00:00Z</v>
      </c>
      <c r="B623" s="3">
        <f>IFERROR(__xludf.DUMMYFUNCTION("""COMPUTED_VALUE"""),4.942211)</f>
        <v>4.942211</v>
      </c>
      <c r="C623" s="3">
        <f>IFERROR(__xludf.DUMMYFUNCTION("""COMPUTED_VALUE"""),4.56489583401055E8)</f>
        <v>456489583.4</v>
      </c>
      <c r="D623" s="3">
        <f>IFERROR(__xludf.DUMMYFUNCTION("""COMPUTED_VALUE"""),0.0)</f>
        <v>0</v>
      </c>
      <c r="E623" s="3">
        <f>IFERROR(__xludf.DUMMYFUNCTION("""COMPUTED_VALUE"""),0.0)</f>
        <v>0</v>
      </c>
      <c r="F623" s="3" t="str">
        <f>IFERROR(__xludf.DUMMYFUNCTION("""COMPUTED_VALUE"""),"UNI")</f>
        <v>UNI</v>
      </c>
      <c r="G623" s="3"/>
    </row>
    <row r="624">
      <c r="A624" s="3" t="str">
        <f>IFERROR(__xludf.DUMMYFUNCTION("""COMPUTED_VALUE"""),"2022-05-31T00:00:00Z")</f>
        <v>2022-05-31T00:00:00Z</v>
      </c>
      <c r="B624" s="3">
        <f>IFERROR(__xludf.DUMMYFUNCTION("""COMPUTED_VALUE"""),5.652219)</f>
        <v>5.652219</v>
      </c>
      <c r="C624" s="3">
        <f>IFERROR(__xludf.DUMMYFUNCTION("""COMPUTED_VALUE"""),4.56489583401055E8)</f>
        <v>456489583.4</v>
      </c>
      <c r="D624" s="3">
        <f>IFERROR(__xludf.DUMMYFUNCTION("""COMPUTED_VALUE"""),0.0)</f>
        <v>0</v>
      </c>
      <c r="E624" s="3">
        <f>IFERROR(__xludf.DUMMYFUNCTION("""COMPUTED_VALUE"""),0.0)</f>
        <v>0</v>
      </c>
      <c r="F624" s="3" t="str">
        <f>IFERROR(__xludf.DUMMYFUNCTION("""COMPUTED_VALUE"""),"UNI")</f>
        <v>UNI</v>
      </c>
      <c r="G624" s="3"/>
    </row>
    <row r="625">
      <c r="A625" s="3" t="str">
        <f>IFERROR(__xludf.DUMMYFUNCTION("""COMPUTED_VALUE"""),"2022-06-01T00:00:00Z")</f>
        <v>2022-06-01T00:00:00Z</v>
      </c>
      <c r="B625" s="3">
        <f>IFERROR(__xludf.DUMMYFUNCTION("""COMPUTED_VALUE"""),5.687735)</f>
        <v>5.687735</v>
      </c>
      <c r="C625" s="3">
        <f>IFERROR(__xludf.DUMMYFUNCTION("""COMPUTED_VALUE"""),4.56489583401055E8)</f>
        <v>456489583.4</v>
      </c>
      <c r="D625" s="3">
        <f>IFERROR(__xludf.DUMMYFUNCTION("""COMPUTED_VALUE"""),0.0)</f>
        <v>0</v>
      </c>
      <c r="E625" s="3">
        <f>IFERROR(__xludf.DUMMYFUNCTION("""COMPUTED_VALUE"""),0.0)</f>
        <v>0</v>
      </c>
      <c r="F625" s="3" t="str">
        <f>IFERROR(__xludf.DUMMYFUNCTION("""COMPUTED_VALUE"""),"UNI")</f>
        <v>UNI</v>
      </c>
      <c r="G625" s="3"/>
    </row>
    <row r="626">
      <c r="A626" s="3" t="str">
        <f>IFERROR(__xludf.DUMMYFUNCTION("""COMPUTED_VALUE"""),"2022-06-02T00:00:00Z")</f>
        <v>2022-06-02T00:00:00Z</v>
      </c>
      <c r="B626" s="3">
        <f>IFERROR(__xludf.DUMMYFUNCTION("""COMPUTED_VALUE"""),5.141428)</f>
        <v>5.141428</v>
      </c>
      <c r="C626" s="3">
        <f>IFERROR(__xludf.DUMMYFUNCTION("""COMPUTED_VALUE"""),4.56489583401055E8)</f>
        <v>456489583.4</v>
      </c>
      <c r="D626" s="3">
        <f>IFERROR(__xludf.DUMMYFUNCTION("""COMPUTED_VALUE"""),0.0)</f>
        <v>0</v>
      </c>
      <c r="E626" s="3">
        <f>IFERROR(__xludf.DUMMYFUNCTION("""COMPUTED_VALUE"""),0.0)</f>
        <v>0</v>
      </c>
      <c r="F626" s="3" t="str">
        <f>IFERROR(__xludf.DUMMYFUNCTION("""COMPUTED_VALUE"""),"UNI")</f>
        <v>UNI</v>
      </c>
      <c r="G626" s="3"/>
    </row>
    <row r="627">
      <c r="A627" s="3" t="str">
        <f>IFERROR(__xludf.DUMMYFUNCTION("""COMPUTED_VALUE"""),"2022-06-03T00:00:00Z")</f>
        <v>2022-06-03T00:00:00Z</v>
      </c>
      <c r="B627" s="3">
        <f>IFERROR(__xludf.DUMMYFUNCTION("""COMPUTED_VALUE"""),5.280675)</f>
        <v>5.280675</v>
      </c>
      <c r="C627" s="3">
        <f>IFERROR(__xludf.DUMMYFUNCTION("""COMPUTED_VALUE"""),4.56489583401055E8)</f>
        <v>456489583.4</v>
      </c>
      <c r="D627" s="3">
        <f>IFERROR(__xludf.DUMMYFUNCTION("""COMPUTED_VALUE"""),0.0)</f>
        <v>0</v>
      </c>
      <c r="E627" s="3">
        <f>IFERROR(__xludf.DUMMYFUNCTION("""COMPUTED_VALUE"""),0.0)</f>
        <v>0</v>
      </c>
      <c r="F627" s="3" t="str">
        <f>IFERROR(__xludf.DUMMYFUNCTION("""COMPUTED_VALUE"""),"UNI")</f>
        <v>UNI</v>
      </c>
      <c r="G627" s="3"/>
    </row>
    <row r="628">
      <c r="A628" s="3" t="str">
        <f>IFERROR(__xludf.DUMMYFUNCTION("""COMPUTED_VALUE"""),"2022-06-04T00:00:00Z")</f>
        <v>2022-06-04T00:00:00Z</v>
      </c>
      <c r="B628" s="3">
        <f>IFERROR(__xludf.DUMMYFUNCTION("""COMPUTED_VALUE"""),5.072912)</f>
        <v>5.072912</v>
      </c>
      <c r="C628" s="3">
        <f>IFERROR(__xludf.DUMMYFUNCTION("""COMPUTED_VALUE"""),4.56489583401055E8)</f>
        <v>456489583.4</v>
      </c>
      <c r="D628" s="3">
        <f>IFERROR(__xludf.DUMMYFUNCTION("""COMPUTED_VALUE"""),0.0)</f>
        <v>0</v>
      </c>
      <c r="E628" s="3">
        <f>IFERROR(__xludf.DUMMYFUNCTION("""COMPUTED_VALUE"""),0.0)</f>
        <v>0</v>
      </c>
      <c r="F628" s="3" t="str">
        <f>IFERROR(__xludf.DUMMYFUNCTION("""COMPUTED_VALUE"""),"UNI")</f>
        <v>UNI</v>
      </c>
      <c r="G628" s="3"/>
    </row>
    <row r="629">
      <c r="A629" s="3" t="str">
        <f>IFERROR(__xludf.DUMMYFUNCTION("""COMPUTED_VALUE"""),"2022-06-05T00:00:00Z")</f>
        <v>2022-06-05T00:00:00Z</v>
      </c>
      <c r="B629" s="3">
        <f>IFERROR(__xludf.DUMMYFUNCTION("""COMPUTED_VALUE"""),5.112042)</f>
        <v>5.112042</v>
      </c>
      <c r="C629" s="3">
        <f>IFERROR(__xludf.DUMMYFUNCTION("""COMPUTED_VALUE"""),4.56489583401055E8)</f>
        <v>456489583.4</v>
      </c>
      <c r="D629" s="3">
        <f>IFERROR(__xludf.DUMMYFUNCTION("""COMPUTED_VALUE"""),0.0)</f>
        <v>0</v>
      </c>
      <c r="E629" s="3">
        <f>IFERROR(__xludf.DUMMYFUNCTION("""COMPUTED_VALUE"""),0.0)</f>
        <v>0</v>
      </c>
      <c r="F629" s="3" t="str">
        <f>IFERROR(__xludf.DUMMYFUNCTION("""COMPUTED_VALUE"""),"UNI")</f>
        <v>UNI</v>
      </c>
      <c r="G629" s="3"/>
    </row>
    <row r="630">
      <c r="A630" s="3" t="str">
        <f>IFERROR(__xludf.DUMMYFUNCTION("""COMPUTED_VALUE"""),"2022-06-06T00:00:00Z")</f>
        <v>2022-06-06T00:00:00Z</v>
      </c>
      <c r="B630" s="3">
        <f>IFERROR(__xludf.DUMMYFUNCTION("""COMPUTED_VALUE"""),5.087729)</f>
        <v>5.087729</v>
      </c>
      <c r="C630" s="3">
        <f>IFERROR(__xludf.DUMMYFUNCTION("""COMPUTED_VALUE"""),4.56489583401055E8)</f>
        <v>456489583.4</v>
      </c>
      <c r="D630" s="3">
        <f>IFERROR(__xludf.DUMMYFUNCTION("""COMPUTED_VALUE"""),0.0)</f>
        <v>0</v>
      </c>
      <c r="E630" s="3">
        <f>IFERROR(__xludf.DUMMYFUNCTION("""COMPUTED_VALUE"""),0.0)</f>
        <v>0</v>
      </c>
      <c r="F630" s="3" t="str">
        <f>IFERROR(__xludf.DUMMYFUNCTION("""COMPUTED_VALUE"""),"UNI")</f>
        <v>UNI</v>
      </c>
      <c r="G630" s="3"/>
    </row>
    <row r="631">
      <c r="A631" s="3" t="str">
        <f>IFERROR(__xludf.DUMMYFUNCTION("""COMPUTED_VALUE"""),"2022-06-07T00:00:00Z")</f>
        <v>2022-06-07T00:00:00Z</v>
      </c>
      <c r="B631" s="3">
        <f>IFERROR(__xludf.DUMMYFUNCTION("""COMPUTED_VALUE"""),5.346567)</f>
        <v>5.346567</v>
      </c>
      <c r="C631" s="3">
        <f>IFERROR(__xludf.DUMMYFUNCTION("""COMPUTED_VALUE"""),4.56489583401055E8)</f>
        <v>456489583.4</v>
      </c>
      <c r="D631" s="3">
        <f>IFERROR(__xludf.DUMMYFUNCTION("""COMPUTED_VALUE"""),0.0)</f>
        <v>0</v>
      </c>
      <c r="E631" s="3">
        <f>IFERROR(__xludf.DUMMYFUNCTION("""COMPUTED_VALUE"""),0.0)</f>
        <v>0</v>
      </c>
      <c r="F631" s="3" t="str">
        <f>IFERROR(__xludf.DUMMYFUNCTION("""COMPUTED_VALUE"""),"UNI")</f>
        <v>UNI</v>
      </c>
      <c r="G631" s="3"/>
    </row>
    <row r="632">
      <c r="A632" s="3" t="str">
        <f>IFERROR(__xludf.DUMMYFUNCTION("""COMPUTED_VALUE"""),"2022-06-08T00:00:00Z")</f>
        <v>2022-06-08T00:00:00Z</v>
      </c>
      <c r="B632" s="3">
        <f>IFERROR(__xludf.DUMMYFUNCTION("""COMPUTED_VALUE"""),5.213563)</f>
        <v>5.213563</v>
      </c>
      <c r="C632" s="3">
        <f>IFERROR(__xludf.DUMMYFUNCTION("""COMPUTED_VALUE"""),4.56489583401055E8)</f>
        <v>456489583.4</v>
      </c>
      <c r="D632" s="3">
        <f>IFERROR(__xludf.DUMMYFUNCTION("""COMPUTED_VALUE"""),0.0)</f>
        <v>0</v>
      </c>
      <c r="E632" s="3">
        <f>IFERROR(__xludf.DUMMYFUNCTION("""COMPUTED_VALUE"""),0.0)</f>
        <v>0</v>
      </c>
      <c r="F632" s="3" t="str">
        <f>IFERROR(__xludf.DUMMYFUNCTION("""COMPUTED_VALUE"""),"UNI")</f>
        <v>UNI</v>
      </c>
      <c r="G632" s="3"/>
    </row>
    <row r="633">
      <c r="A633" s="3" t="str">
        <f>IFERROR(__xludf.DUMMYFUNCTION("""COMPUTED_VALUE"""),"2022-06-09T00:00:00Z")</f>
        <v>2022-06-09T00:00:00Z</v>
      </c>
      <c r="B633" s="3">
        <f>IFERROR(__xludf.DUMMYFUNCTION("""COMPUTED_VALUE"""),5.079823)</f>
        <v>5.079823</v>
      </c>
      <c r="C633" s="3">
        <f>IFERROR(__xludf.DUMMYFUNCTION("""COMPUTED_VALUE"""),4.56489583401055E8)</f>
        <v>456489583.4</v>
      </c>
      <c r="D633" s="3">
        <f>IFERROR(__xludf.DUMMYFUNCTION("""COMPUTED_VALUE"""),0.0)</f>
        <v>0</v>
      </c>
      <c r="E633" s="3">
        <f>IFERROR(__xludf.DUMMYFUNCTION("""COMPUTED_VALUE"""),0.0)</f>
        <v>0</v>
      </c>
      <c r="F633" s="3" t="str">
        <f>IFERROR(__xludf.DUMMYFUNCTION("""COMPUTED_VALUE"""),"UNI")</f>
        <v>UNI</v>
      </c>
      <c r="G633" s="3"/>
    </row>
    <row r="634">
      <c r="A634" s="3" t="str">
        <f>IFERROR(__xludf.DUMMYFUNCTION("""COMPUTED_VALUE"""),"2022-06-10T00:00:00Z")</f>
        <v>2022-06-10T00:00:00Z</v>
      </c>
      <c r="B634" s="3">
        <f>IFERROR(__xludf.DUMMYFUNCTION("""COMPUTED_VALUE"""),5.19541)</f>
        <v>5.19541</v>
      </c>
      <c r="C634" s="3">
        <f>IFERROR(__xludf.DUMMYFUNCTION("""COMPUTED_VALUE"""),4.56489583401055E8)</f>
        <v>456489583.4</v>
      </c>
      <c r="D634" s="3">
        <f>IFERROR(__xludf.DUMMYFUNCTION("""COMPUTED_VALUE"""),0.0)</f>
        <v>0</v>
      </c>
      <c r="E634" s="3">
        <f>IFERROR(__xludf.DUMMYFUNCTION("""COMPUTED_VALUE"""),0.0)</f>
        <v>0</v>
      </c>
      <c r="F634" s="3" t="str">
        <f>IFERROR(__xludf.DUMMYFUNCTION("""COMPUTED_VALUE"""),"UNI")</f>
        <v>UNI</v>
      </c>
      <c r="G634" s="3"/>
    </row>
    <row r="635">
      <c r="A635" s="3" t="str">
        <f>IFERROR(__xludf.DUMMYFUNCTION("""COMPUTED_VALUE"""),"2022-06-11T00:00:00Z")</f>
        <v>2022-06-11T00:00:00Z</v>
      </c>
      <c r="B635" s="3">
        <f>IFERROR(__xludf.DUMMYFUNCTION("""COMPUTED_VALUE"""),4.812547)</f>
        <v>4.812547</v>
      </c>
      <c r="C635" s="3">
        <f>IFERROR(__xludf.DUMMYFUNCTION("""COMPUTED_VALUE"""),4.56489583401055E8)</f>
        <v>456489583.4</v>
      </c>
      <c r="D635" s="3">
        <f>IFERROR(__xludf.DUMMYFUNCTION("""COMPUTED_VALUE"""),0.0)</f>
        <v>0</v>
      </c>
      <c r="E635" s="3">
        <f>IFERROR(__xludf.DUMMYFUNCTION("""COMPUTED_VALUE"""),0.0)</f>
        <v>0</v>
      </c>
      <c r="F635" s="3" t="str">
        <f>IFERROR(__xludf.DUMMYFUNCTION("""COMPUTED_VALUE"""),"UNI")</f>
        <v>UNI</v>
      </c>
      <c r="G635" s="3"/>
    </row>
    <row r="636">
      <c r="A636" s="3" t="str">
        <f>IFERROR(__xludf.DUMMYFUNCTION("""COMPUTED_VALUE"""),"2022-06-12T00:00:00Z")</f>
        <v>2022-06-12T00:00:00Z</v>
      </c>
      <c r="B636" s="3">
        <f>IFERROR(__xludf.DUMMYFUNCTION("""COMPUTED_VALUE"""),4.383471)</f>
        <v>4.383471</v>
      </c>
      <c r="C636" s="3">
        <f>IFERROR(__xludf.DUMMYFUNCTION("""COMPUTED_VALUE"""),4.56489583401055E8)</f>
        <v>456489583.4</v>
      </c>
      <c r="D636" s="3">
        <f>IFERROR(__xludf.DUMMYFUNCTION("""COMPUTED_VALUE"""),0.0)</f>
        <v>0</v>
      </c>
      <c r="E636" s="3">
        <f>IFERROR(__xludf.DUMMYFUNCTION("""COMPUTED_VALUE"""),0.0)</f>
        <v>0</v>
      </c>
      <c r="F636" s="3" t="str">
        <f>IFERROR(__xludf.DUMMYFUNCTION("""COMPUTED_VALUE"""),"UNI")</f>
        <v>UNI</v>
      </c>
      <c r="G636" s="3"/>
    </row>
    <row r="637">
      <c r="A637" s="3" t="str">
        <f>IFERROR(__xludf.DUMMYFUNCTION("""COMPUTED_VALUE"""),"2022-06-13T00:00:00Z")</f>
        <v>2022-06-13T00:00:00Z</v>
      </c>
      <c r="B637" s="3">
        <f>IFERROR(__xludf.DUMMYFUNCTION("""COMPUTED_VALUE"""),4.056605)</f>
        <v>4.056605</v>
      </c>
      <c r="C637" s="3">
        <f>IFERROR(__xludf.DUMMYFUNCTION("""COMPUTED_VALUE"""),4.56489583401055E8)</f>
        <v>456489583.4</v>
      </c>
      <c r="D637" s="3">
        <f>IFERROR(__xludf.DUMMYFUNCTION("""COMPUTED_VALUE"""),0.0)</f>
        <v>0</v>
      </c>
      <c r="E637" s="3">
        <f>IFERROR(__xludf.DUMMYFUNCTION("""COMPUTED_VALUE"""),0.0)</f>
        <v>0</v>
      </c>
      <c r="F637" s="3" t="str">
        <f>IFERROR(__xludf.DUMMYFUNCTION("""COMPUTED_VALUE"""),"UNI")</f>
        <v>UNI</v>
      </c>
      <c r="G637" s="3"/>
    </row>
    <row r="638">
      <c r="A638" s="3" t="str">
        <f>IFERROR(__xludf.DUMMYFUNCTION("""COMPUTED_VALUE"""),"2022-06-14T00:00:00Z")</f>
        <v>2022-06-14T00:00:00Z</v>
      </c>
      <c r="B638" s="3">
        <f>IFERROR(__xludf.DUMMYFUNCTION("""COMPUTED_VALUE"""),3.664061)</f>
        <v>3.664061</v>
      </c>
      <c r="C638" s="3">
        <f>IFERROR(__xludf.DUMMYFUNCTION("""COMPUTED_VALUE"""),4.56489583401055E8)</f>
        <v>456489583.4</v>
      </c>
      <c r="D638" s="3">
        <f>IFERROR(__xludf.DUMMYFUNCTION("""COMPUTED_VALUE"""),0.0)</f>
        <v>0</v>
      </c>
      <c r="E638" s="3">
        <f>IFERROR(__xludf.DUMMYFUNCTION("""COMPUTED_VALUE"""),0.0)</f>
        <v>0</v>
      </c>
      <c r="F638" s="3" t="str">
        <f>IFERROR(__xludf.DUMMYFUNCTION("""COMPUTED_VALUE"""),"UNI")</f>
        <v>UNI</v>
      </c>
      <c r="G638" s="3"/>
    </row>
    <row r="639">
      <c r="A639" s="3" t="str">
        <f>IFERROR(__xludf.DUMMYFUNCTION("""COMPUTED_VALUE"""),"2022-06-15T00:00:00Z")</f>
        <v>2022-06-15T00:00:00Z</v>
      </c>
      <c r="B639" s="3">
        <f>IFERROR(__xludf.DUMMYFUNCTION("""COMPUTED_VALUE"""),3.861913)</f>
        <v>3.861913</v>
      </c>
      <c r="C639" s="3">
        <f>IFERROR(__xludf.DUMMYFUNCTION("""COMPUTED_VALUE"""),4.56489583401055E8)</f>
        <v>456489583.4</v>
      </c>
      <c r="D639" s="3">
        <f>IFERROR(__xludf.DUMMYFUNCTION("""COMPUTED_VALUE"""),0.0)</f>
        <v>0</v>
      </c>
      <c r="E639" s="3">
        <f>IFERROR(__xludf.DUMMYFUNCTION("""COMPUTED_VALUE"""),0.0)</f>
        <v>0</v>
      </c>
      <c r="F639" s="3" t="str">
        <f>IFERROR(__xludf.DUMMYFUNCTION("""COMPUTED_VALUE"""),"UNI")</f>
        <v>UNI</v>
      </c>
      <c r="G639" s="3"/>
    </row>
    <row r="640">
      <c r="A640" s="3" t="str">
        <f>IFERROR(__xludf.DUMMYFUNCTION("""COMPUTED_VALUE"""),"2022-06-16T00:00:00Z")</f>
        <v>2022-06-16T00:00:00Z</v>
      </c>
      <c r="B640" s="3">
        <f>IFERROR(__xludf.DUMMYFUNCTION("""COMPUTED_VALUE"""),4.42163)</f>
        <v>4.42163</v>
      </c>
      <c r="C640" s="3">
        <f>IFERROR(__xludf.DUMMYFUNCTION("""COMPUTED_VALUE"""),4.56489583401055E8)</f>
        <v>456489583.4</v>
      </c>
      <c r="D640" s="3">
        <f>IFERROR(__xludf.DUMMYFUNCTION("""COMPUTED_VALUE"""),0.0)</f>
        <v>0</v>
      </c>
      <c r="E640" s="3">
        <f>IFERROR(__xludf.DUMMYFUNCTION("""COMPUTED_VALUE"""),0.0)</f>
        <v>0</v>
      </c>
      <c r="F640" s="3" t="str">
        <f>IFERROR(__xludf.DUMMYFUNCTION("""COMPUTED_VALUE"""),"UNI")</f>
        <v>UNI</v>
      </c>
      <c r="G640" s="3"/>
    </row>
    <row r="641">
      <c r="A641" s="3" t="str">
        <f>IFERROR(__xludf.DUMMYFUNCTION("""COMPUTED_VALUE"""),"2022-06-17T00:00:00Z")</f>
        <v>2022-06-17T00:00:00Z</v>
      </c>
      <c r="B641" s="3">
        <f>IFERROR(__xludf.DUMMYFUNCTION("""COMPUTED_VALUE"""),3.835729)</f>
        <v>3.835729</v>
      </c>
      <c r="C641" s="3">
        <f>IFERROR(__xludf.DUMMYFUNCTION("""COMPUTED_VALUE"""),4.56489583401055E8)</f>
        <v>456489583.4</v>
      </c>
      <c r="D641" s="3">
        <f>IFERROR(__xludf.DUMMYFUNCTION("""COMPUTED_VALUE"""),0.0)</f>
        <v>0</v>
      </c>
      <c r="E641" s="3">
        <f>IFERROR(__xludf.DUMMYFUNCTION("""COMPUTED_VALUE"""),0.0)</f>
        <v>0</v>
      </c>
      <c r="F641" s="3" t="str">
        <f>IFERROR(__xludf.DUMMYFUNCTION("""COMPUTED_VALUE"""),"UNI")</f>
        <v>UNI</v>
      </c>
      <c r="G641" s="3"/>
    </row>
    <row r="642">
      <c r="A642" s="3" t="str">
        <f>IFERROR(__xludf.DUMMYFUNCTION("""COMPUTED_VALUE"""),"2022-06-18T00:00:00Z")</f>
        <v>2022-06-18T00:00:00Z</v>
      </c>
      <c r="B642" s="3">
        <f>IFERROR(__xludf.DUMMYFUNCTION("""COMPUTED_VALUE"""),3.93036)</f>
        <v>3.93036</v>
      </c>
      <c r="C642" s="3">
        <f>IFERROR(__xludf.DUMMYFUNCTION("""COMPUTED_VALUE"""),4.56489583401055E8)</f>
        <v>456489583.4</v>
      </c>
      <c r="D642" s="3">
        <f>IFERROR(__xludf.DUMMYFUNCTION("""COMPUTED_VALUE"""),0.0)</f>
        <v>0</v>
      </c>
      <c r="E642" s="3">
        <f>IFERROR(__xludf.DUMMYFUNCTION("""COMPUTED_VALUE"""),0.0)</f>
        <v>0</v>
      </c>
      <c r="F642" s="3" t="str">
        <f>IFERROR(__xludf.DUMMYFUNCTION("""COMPUTED_VALUE"""),"UNI")</f>
        <v>UNI</v>
      </c>
      <c r="G642" s="3"/>
    </row>
    <row r="643">
      <c r="A643" s="3" t="str">
        <f>IFERROR(__xludf.DUMMYFUNCTION("""COMPUTED_VALUE"""),"2022-06-19T00:00:00Z")</f>
        <v>2022-06-19T00:00:00Z</v>
      </c>
      <c r="B643" s="3">
        <f>IFERROR(__xludf.DUMMYFUNCTION("""COMPUTED_VALUE"""),3.642738)</f>
        <v>3.642738</v>
      </c>
      <c r="C643" s="3">
        <f>IFERROR(__xludf.DUMMYFUNCTION("""COMPUTED_VALUE"""),4.56489583401055E8)</f>
        <v>456489583.4</v>
      </c>
      <c r="D643" s="3">
        <f>IFERROR(__xludf.DUMMYFUNCTION("""COMPUTED_VALUE"""),0.0)</f>
        <v>0</v>
      </c>
      <c r="E643" s="3">
        <f>IFERROR(__xludf.DUMMYFUNCTION("""COMPUTED_VALUE"""),0.0)</f>
        <v>0</v>
      </c>
      <c r="F643" s="3" t="str">
        <f>IFERROR(__xludf.DUMMYFUNCTION("""COMPUTED_VALUE"""),"UNI")</f>
        <v>UNI</v>
      </c>
      <c r="G643" s="3"/>
    </row>
    <row r="644">
      <c r="A644" s="3" t="str">
        <f>IFERROR(__xludf.DUMMYFUNCTION("""COMPUTED_VALUE"""),"2022-06-20T00:00:00Z")</f>
        <v>2022-06-20T00:00:00Z</v>
      </c>
      <c r="B644" s="3">
        <f>IFERROR(__xludf.DUMMYFUNCTION("""COMPUTED_VALUE"""),4.186464)</f>
        <v>4.186464</v>
      </c>
      <c r="C644" s="3">
        <f>IFERROR(__xludf.DUMMYFUNCTION("""COMPUTED_VALUE"""),4.56489583401055E8)</f>
        <v>456489583.4</v>
      </c>
      <c r="D644" s="3">
        <f>IFERROR(__xludf.DUMMYFUNCTION("""COMPUTED_VALUE"""),0.0)</f>
        <v>0</v>
      </c>
      <c r="E644" s="3">
        <f>IFERROR(__xludf.DUMMYFUNCTION("""COMPUTED_VALUE"""),0.0)</f>
        <v>0</v>
      </c>
      <c r="F644" s="3" t="str">
        <f>IFERROR(__xludf.DUMMYFUNCTION("""COMPUTED_VALUE"""),"UNI")</f>
        <v>UNI</v>
      </c>
      <c r="G644" s="3"/>
    </row>
    <row r="645">
      <c r="A645" s="3" t="str">
        <f>IFERROR(__xludf.DUMMYFUNCTION("""COMPUTED_VALUE"""),"2022-06-21T00:00:00Z")</f>
        <v>2022-06-21T00:00:00Z</v>
      </c>
      <c r="B645" s="3">
        <f>IFERROR(__xludf.DUMMYFUNCTION("""COMPUTED_VALUE"""),4.289353)</f>
        <v>4.289353</v>
      </c>
      <c r="C645" s="3">
        <f>IFERROR(__xludf.DUMMYFUNCTION("""COMPUTED_VALUE"""),4.56489583401055E8)</f>
        <v>456489583.4</v>
      </c>
      <c r="D645" s="3">
        <f>IFERROR(__xludf.DUMMYFUNCTION("""COMPUTED_VALUE"""),0.0)</f>
        <v>0</v>
      </c>
      <c r="E645" s="3">
        <f>IFERROR(__xludf.DUMMYFUNCTION("""COMPUTED_VALUE"""),0.0)</f>
        <v>0</v>
      </c>
      <c r="F645" s="3" t="str">
        <f>IFERROR(__xludf.DUMMYFUNCTION("""COMPUTED_VALUE"""),"UNI")</f>
        <v>UNI</v>
      </c>
      <c r="G645" s="3"/>
    </row>
    <row r="646">
      <c r="A646" s="3" t="str">
        <f>IFERROR(__xludf.DUMMYFUNCTION("""COMPUTED_VALUE"""),"2022-06-22T00:00:00Z")</f>
        <v>2022-06-22T00:00:00Z</v>
      </c>
      <c r="B646" s="3">
        <f>IFERROR(__xludf.DUMMYFUNCTION("""COMPUTED_VALUE"""),4.773112)</f>
        <v>4.773112</v>
      </c>
      <c r="C646" s="3">
        <f>IFERROR(__xludf.DUMMYFUNCTION("""COMPUTED_VALUE"""),4.56489583401055E8)</f>
        <v>456489583.4</v>
      </c>
      <c r="D646" s="3">
        <f>IFERROR(__xludf.DUMMYFUNCTION("""COMPUTED_VALUE"""),0.0)</f>
        <v>0</v>
      </c>
      <c r="E646" s="3">
        <f>IFERROR(__xludf.DUMMYFUNCTION("""COMPUTED_VALUE"""),0.0)</f>
        <v>0</v>
      </c>
      <c r="F646" s="3" t="str">
        <f>IFERROR(__xludf.DUMMYFUNCTION("""COMPUTED_VALUE"""),"UNI")</f>
        <v>UNI</v>
      </c>
      <c r="G646" s="3"/>
    </row>
    <row r="647">
      <c r="A647" s="3" t="str">
        <f>IFERROR(__xludf.DUMMYFUNCTION("""COMPUTED_VALUE"""),"2022-06-23T00:00:00Z")</f>
        <v>2022-06-23T00:00:00Z</v>
      </c>
      <c r="B647" s="3">
        <f>IFERROR(__xludf.DUMMYFUNCTION("""COMPUTED_VALUE"""),4.982678)</f>
        <v>4.982678</v>
      </c>
      <c r="C647" s="3">
        <f>IFERROR(__xludf.DUMMYFUNCTION("""COMPUTED_VALUE"""),4.56489583401055E8)</f>
        <v>456489583.4</v>
      </c>
      <c r="D647" s="3">
        <f>IFERROR(__xludf.DUMMYFUNCTION("""COMPUTED_VALUE"""),0.0)</f>
        <v>0</v>
      </c>
      <c r="E647" s="3">
        <f>IFERROR(__xludf.DUMMYFUNCTION("""COMPUTED_VALUE"""),0.0)</f>
        <v>0</v>
      </c>
      <c r="F647" s="3" t="str">
        <f>IFERROR(__xludf.DUMMYFUNCTION("""COMPUTED_VALUE"""),"UNI")</f>
        <v>UNI</v>
      </c>
      <c r="G647" s="3"/>
    </row>
    <row r="648">
      <c r="A648" s="3" t="str">
        <f>IFERROR(__xludf.DUMMYFUNCTION("""COMPUTED_VALUE"""),"2022-06-24T00:00:00Z")</f>
        <v>2022-06-24T00:00:00Z</v>
      </c>
      <c r="B648" s="3">
        <f>IFERROR(__xludf.DUMMYFUNCTION("""COMPUTED_VALUE"""),5.605006)</f>
        <v>5.605006</v>
      </c>
      <c r="C648" s="3">
        <f>IFERROR(__xludf.DUMMYFUNCTION("""COMPUTED_VALUE"""),4.56489583401055E8)</f>
        <v>456489583.4</v>
      </c>
      <c r="D648" s="3">
        <f>IFERROR(__xludf.DUMMYFUNCTION("""COMPUTED_VALUE"""),0.0)</f>
        <v>0</v>
      </c>
      <c r="E648" s="3">
        <f>IFERROR(__xludf.DUMMYFUNCTION("""COMPUTED_VALUE"""),0.0)</f>
        <v>0</v>
      </c>
      <c r="F648" s="3" t="str">
        <f>IFERROR(__xludf.DUMMYFUNCTION("""COMPUTED_VALUE"""),"UNI")</f>
        <v>UNI</v>
      </c>
      <c r="G648" s="3"/>
    </row>
    <row r="649">
      <c r="A649" s="3" t="str">
        <f>IFERROR(__xludf.DUMMYFUNCTION("""COMPUTED_VALUE"""),"2022-06-25T00:00:00Z")</f>
        <v>2022-06-25T00:00:00Z</v>
      </c>
      <c r="B649" s="3">
        <f>IFERROR(__xludf.DUMMYFUNCTION("""COMPUTED_VALUE"""),5.455058)</f>
        <v>5.455058</v>
      </c>
      <c r="C649" s="3">
        <f>IFERROR(__xludf.DUMMYFUNCTION("""COMPUTED_VALUE"""),4.56489583401055E8)</f>
        <v>456489583.4</v>
      </c>
      <c r="D649" s="3">
        <f>IFERROR(__xludf.DUMMYFUNCTION("""COMPUTED_VALUE"""),0.0)</f>
        <v>0</v>
      </c>
      <c r="E649" s="3">
        <f>IFERROR(__xludf.DUMMYFUNCTION("""COMPUTED_VALUE"""),0.0)</f>
        <v>0</v>
      </c>
      <c r="F649" s="3" t="str">
        <f>IFERROR(__xludf.DUMMYFUNCTION("""COMPUTED_VALUE"""),"UNI")</f>
        <v>UNI</v>
      </c>
      <c r="G649" s="3"/>
    </row>
    <row r="650">
      <c r="A650" s="3" t="str">
        <f>IFERROR(__xludf.DUMMYFUNCTION("""COMPUTED_VALUE"""),"2022-06-26T00:00:00Z")</f>
        <v>2022-06-26T00:00:00Z</v>
      </c>
      <c r="B650" s="3">
        <f>IFERROR(__xludf.DUMMYFUNCTION("""COMPUTED_VALUE"""),5.618101)</f>
        <v>5.618101</v>
      </c>
      <c r="C650" s="3">
        <f>IFERROR(__xludf.DUMMYFUNCTION("""COMPUTED_VALUE"""),4.56489583401055E8)</f>
        <v>456489583.4</v>
      </c>
      <c r="D650" s="3">
        <f>IFERROR(__xludf.DUMMYFUNCTION("""COMPUTED_VALUE"""),0.0)</f>
        <v>0</v>
      </c>
      <c r="E650" s="3">
        <f>IFERROR(__xludf.DUMMYFUNCTION("""COMPUTED_VALUE"""),0.0)</f>
        <v>0</v>
      </c>
      <c r="F650" s="3" t="str">
        <f>IFERROR(__xludf.DUMMYFUNCTION("""COMPUTED_VALUE"""),"UNI")</f>
        <v>UNI</v>
      </c>
      <c r="G650" s="3"/>
    </row>
    <row r="651">
      <c r="A651" s="3" t="str">
        <f>IFERROR(__xludf.DUMMYFUNCTION("""COMPUTED_VALUE"""),"2022-06-27T00:00:00Z")</f>
        <v>2022-06-27T00:00:00Z</v>
      </c>
      <c r="B651" s="3">
        <f>IFERROR(__xludf.DUMMYFUNCTION("""COMPUTED_VALUE"""),5.591552)</f>
        <v>5.591552</v>
      </c>
      <c r="C651" s="3">
        <f>IFERROR(__xludf.DUMMYFUNCTION("""COMPUTED_VALUE"""),4.56489583401055E8)</f>
        <v>456489583.4</v>
      </c>
      <c r="D651" s="3">
        <f>IFERROR(__xludf.DUMMYFUNCTION("""COMPUTED_VALUE"""),0.0)</f>
        <v>0</v>
      </c>
      <c r="E651" s="3">
        <f>IFERROR(__xludf.DUMMYFUNCTION("""COMPUTED_VALUE"""),0.0)</f>
        <v>0</v>
      </c>
      <c r="F651" s="3" t="str">
        <f>IFERROR(__xludf.DUMMYFUNCTION("""COMPUTED_VALUE"""),"UNI")</f>
        <v>UNI</v>
      </c>
      <c r="G651" s="3"/>
    </row>
    <row r="652">
      <c r="A652" s="3" t="str">
        <f>IFERROR(__xludf.DUMMYFUNCTION("""COMPUTED_VALUE"""),"2022-06-28T00:00:00Z")</f>
        <v>2022-06-28T00:00:00Z</v>
      </c>
      <c r="B652" s="3">
        <f>IFERROR(__xludf.DUMMYFUNCTION("""COMPUTED_VALUE"""),5.333516)</f>
        <v>5.333516</v>
      </c>
      <c r="C652" s="3">
        <f>IFERROR(__xludf.DUMMYFUNCTION("""COMPUTED_VALUE"""),4.56489583401055E8)</f>
        <v>456489583.4</v>
      </c>
      <c r="D652" s="3">
        <f>IFERROR(__xludf.DUMMYFUNCTION("""COMPUTED_VALUE"""),0.0)</f>
        <v>0</v>
      </c>
      <c r="E652" s="3">
        <f>IFERROR(__xludf.DUMMYFUNCTION("""COMPUTED_VALUE"""),0.0)</f>
        <v>0</v>
      </c>
      <c r="F652" s="3" t="str">
        <f>IFERROR(__xludf.DUMMYFUNCTION("""COMPUTED_VALUE"""),"UNI")</f>
        <v>UNI</v>
      </c>
      <c r="G652" s="3"/>
    </row>
    <row r="653">
      <c r="A653" s="3" t="str">
        <f>IFERROR(__xludf.DUMMYFUNCTION("""COMPUTED_VALUE"""),"2022-06-29T00:00:00Z")</f>
        <v>2022-06-29T00:00:00Z</v>
      </c>
      <c r="B653" s="3">
        <f>IFERROR(__xludf.DUMMYFUNCTION("""COMPUTED_VALUE"""),4.915156)</f>
        <v>4.915156</v>
      </c>
      <c r="C653" s="3">
        <f>IFERROR(__xludf.DUMMYFUNCTION("""COMPUTED_VALUE"""),4.56489583401055E8)</f>
        <v>456489583.4</v>
      </c>
      <c r="D653" s="3">
        <f>IFERROR(__xludf.DUMMYFUNCTION("""COMPUTED_VALUE"""),0.0)</f>
        <v>0</v>
      </c>
      <c r="E653" s="3">
        <f>IFERROR(__xludf.DUMMYFUNCTION("""COMPUTED_VALUE"""),0.0)</f>
        <v>0</v>
      </c>
      <c r="F653" s="3" t="str">
        <f>IFERROR(__xludf.DUMMYFUNCTION("""COMPUTED_VALUE"""),"UNI")</f>
        <v>UNI</v>
      </c>
      <c r="G653" s="3"/>
    </row>
    <row r="654">
      <c r="A654" s="3" t="str">
        <f>IFERROR(__xludf.DUMMYFUNCTION("""COMPUTED_VALUE"""),"2022-06-30T00:00:00Z")</f>
        <v>2022-06-30T00:00:00Z</v>
      </c>
      <c r="B654" s="3">
        <f>IFERROR(__xludf.DUMMYFUNCTION("""COMPUTED_VALUE"""),5.109)</f>
        <v>5.109</v>
      </c>
      <c r="C654" s="3">
        <f>IFERROR(__xludf.DUMMYFUNCTION("""COMPUTED_VALUE"""),4.56489583401055E8)</f>
        <v>456489583.4</v>
      </c>
      <c r="D654" s="3">
        <f>IFERROR(__xludf.DUMMYFUNCTION("""COMPUTED_VALUE"""),0.0)</f>
        <v>0</v>
      </c>
      <c r="E654" s="3">
        <f>IFERROR(__xludf.DUMMYFUNCTION("""COMPUTED_VALUE"""),0.0)</f>
        <v>0</v>
      </c>
      <c r="F654" s="3" t="str">
        <f>IFERROR(__xludf.DUMMYFUNCTION("""COMPUTED_VALUE"""),"UNI")</f>
        <v>UNI</v>
      </c>
      <c r="G654" s="3"/>
    </row>
    <row r="655">
      <c r="A655" s="3" t="str">
        <f>IFERROR(__xludf.DUMMYFUNCTION("""COMPUTED_VALUE"""),"2022-07-01T00:00:00Z")</f>
        <v>2022-07-01T00:00:00Z</v>
      </c>
      <c r="B655" s="3">
        <f>IFERROR(__xludf.DUMMYFUNCTION("""COMPUTED_VALUE"""),4.996136)</f>
        <v>4.996136</v>
      </c>
      <c r="C655" s="3">
        <f>IFERROR(__xludf.DUMMYFUNCTION("""COMPUTED_VALUE"""),4.56489583401055E8)</f>
        <v>456489583.4</v>
      </c>
      <c r="D655" s="3">
        <f>IFERROR(__xludf.DUMMYFUNCTION("""COMPUTED_VALUE"""),0.0)</f>
        <v>0</v>
      </c>
      <c r="E655" s="3">
        <f>IFERROR(__xludf.DUMMYFUNCTION("""COMPUTED_VALUE"""),0.0)</f>
        <v>0</v>
      </c>
      <c r="F655" s="3" t="str">
        <f>IFERROR(__xludf.DUMMYFUNCTION("""COMPUTED_VALUE"""),"UNI")</f>
        <v>UNI</v>
      </c>
      <c r="G655" s="3"/>
    </row>
    <row r="656">
      <c r="A656" s="3" t="str">
        <f>IFERROR(__xludf.DUMMYFUNCTION("""COMPUTED_VALUE"""),"2022-07-02T00:00:00Z")</f>
        <v>2022-07-02T00:00:00Z</v>
      </c>
      <c r="B656" s="3">
        <f>IFERROR(__xludf.DUMMYFUNCTION("""COMPUTED_VALUE"""),4.855572)</f>
        <v>4.855572</v>
      </c>
      <c r="C656" s="3">
        <f>IFERROR(__xludf.DUMMYFUNCTION("""COMPUTED_VALUE"""),4.56489583401055E8)</f>
        <v>456489583.4</v>
      </c>
      <c r="D656" s="3">
        <f>IFERROR(__xludf.DUMMYFUNCTION("""COMPUTED_VALUE"""),0.0)</f>
        <v>0</v>
      </c>
      <c r="E656" s="3">
        <f>IFERROR(__xludf.DUMMYFUNCTION("""COMPUTED_VALUE"""),0.0)</f>
        <v>0</v>
      </c>
      <c r="F656" s="3" t="str">
        <f>IFERROR(__xludf.DUMMYFUNCTION("""COMPUTED_VALUE"""),"UNI")</f>
        <v>UNI</v>
      </c>
      <c r="G656" s="3"/>
    </row>
    <row r="657">
      <c r="A657" s="3" t="str">
        <f>IFERROR(__xludf.DUMMYFUNCTION("""COMPUTED_VALUE"""),"2022-07-03T00:00:00Z")</f>
        <v>2022-07-03T00:00:00Z</v>
      </c>
      <c r="B657" s="3">
        <f>IFERROR(__xludf.DUMMYFUNCTION("""COMPUTED_VALUE"""),4.90749)</f>
        <v>4.90749</v>
      </c>
      <c r="C657" s="3">
        <f>IFERROR(__xludf.DUMMYFUNCTION("""COMPUTED_VALUE"""),4.56489583401055E8)</f>
        <v>456489583.4</v>
      </c>
      <c r="D657" s="3">
        <f>IFERROR(__xludf.DUMMYFUNCTION("""COMPUTED_VALUE"""),0.0)</f>
        <v>0</v>
      </c>
      <c r="E657" s="3">
        <f>IFERROR(__xludf.DUMMYFUNCTION("""COMPUTED_VALUE"""),0.0)</f>
        <v>0</v>
      </c>
      <c r="F657" s="3" t="str">
        <f>IFERROR(__xludf.DUMMYFUNCTION("""COMPUTED_VALUE"""),"UNI")</f>
        <v>UNI</v>
      </c>
      <c r="G657" s="3"/>
    </row>
    <row r="658">
      <c r="A658" s="3" t="str">
        <f>IFERROR(__xludf.DUMMYFUNCTION("""COMPUTED_VALUE"""),"2022-07-04T00:00:00Z")</f>
        <v>2022-07-04T00:00:00Z</v>
      </c>
      <c r="B658" s="3">
        <f>IFERROR(__xludf.DUMMYFUNCTION("""COMPUTED_VALUE"""),4.912893)</f>
        <v>4.912893</v>
      </c>
      <c r="C658" s="3">
        <f>IFERROR(__xludf.DUMMYFUNCTION("""COMPUTED_VALUE"""),4.56489583401055E8)</f>
        <v>456489583.4</v>
      </c>
      <c r="D658" s="3">
        <f>IFERROR(__xludf.DUMMYFUNCTION("""COMPUTED_VALUE"""),0.0)</f>
        <v>0</v>
      </c>
      <c r="E658" s="3">
        <f>IFERROR(__xludf.DUMMYFUNCTION("""COMPUTED_VALUE"""),0.0)</f>
        <v>0</v>
      </c>
      <c r="F658" s="3" t="str">
        <f>IFERROR(__xludf.DUMMYFUNCTION("""COMPUTED_VALUE"""),"UNI")</f>
        <v>UNI</v>
      </c>
      <c r="G658" s="3"/>
    </row>
    <row r="659">
      <c r="A659" s="3" t="str">
        <f>IFERROR(__xludf.DUMMYFUNCTION("""COMPUTED_VALUE"""),"2022-07-05T00:00:00Z")</f>
        <v>2022-07-05T00:00:00Z</v>
      </c>
      <c r="B659" s="3">
        <f>IFERROR(__xludf.DUMMYFUNCTION("""COMPUTED_VALUE"""),5.324687)</f>
        <v>5.324687</v>
      </c>
      <c r="C659" s="3">
        <f>IFERROR(__xludf.DUMMYFUNCTION("""COMPUTED_VALUE"""),4.56489583401055E8)</f>
        <v>456489583.4</v>
      </c>
      <c r="D659" s="3">
        <f>IFERROR(__xludf.DUMMYFUNCTION("""COMPUTED_VALUE"""),0.0)</f>
        <v>0</v>
      </c>
      <c r="E659" s="3">
        <f>IFERROR(__xludf.DUMMYFUNCTION("""COMPUTED_VALUE"""),0.0)</f>
        <v>0</v>
      </c>
      <c r="F659" s="3" t="str">
        <f>IFERROR(__xludf.DUMMYFUNCTION("""COMPUTED_VALUE"""),"UNI")</f>
        <v>UNI</v>
      </c>
      <c r="G659" s="3"/>
    </row>
    <row r="660">
      <c r="A660" s="3" t="str">
        <f>IFERROR(__xludf.DUMMYFUNCTION("""COMPUTED_VALUE"""),"2022-07-06T00:00:00Z")</f>
        <v>2022-07-06T00:00:00Z</v>
      </c>
      <c r="B660" s="3">
        <f>IFERROR(__xludf.DUMMYFUNCTION("""COMPUTED_VALUE"""),5.301804)</f>
        <v>5.301804</v>
      </c>
      <c r="C660" s="3">
        <f>IFERROR(__xludf.DUMMYFUNCTION("""COMPUTED_VALUE"""),4.56489583401055E8)</f>
        <v>456489583.4</v>
      </c>
      <c r="D660" s="3">
        <f>IFERROR(__xludf.DUMMYFUNCTION("""COMPUTED_VALUE"""),0.0)</f>
        <v>0</v>
      </c>
      <c r="E660" s="3">
        <f>IFERROR(__xludf.DUMMYFUNCTION("""COMPUTED_VALUE"""),0.0)</f>
        <v>0</v>
      </c>
      <c r="F660" s="3" t="str">
        <f>IFERROR(__xludf.DUMMYFUNCTION("""COMPUTED_VALUE"""),"UNI")</f>
        <v>UNI</v>
      </c>
      <c r="G660" s="3"/>
    </row>
    <row r="661">
      <c r="A661" s="3" t="str">
        <f>IFERROR(__xludf.DUMMYFUNCTION("""COMPUTED_VALUE"""),"2022-07-07T00:00:00Z")</f>
        <v>2022-07-07T00:00:00Z</v>
      </c>
      <c r="B661" s="3">
        <f>IFERROR(__xludf.DUMMYFUNCTION("""COMPUTED_VALUE"""),5.349806)</f>
        <v>5.349806</v>
      </c>
      <c r="C661" s="3">
        <f>IFERROR(__xludf.DUMMYFUNCTION("""COMPUTED_VALUE"""),4.56489583401055E8)</f>
        <v>456489583.4</v>
      </c>
      <c r="D661" s="3">
        <f>IFERROR(__xludf.DUMMYFUNCTION("""COMPUTED_VALUE"""),0.0)</f>
        <v>0</v>
      </c>
      <c r="E661" s="3">
        <f>IFERROR(__xludf.DUMMYFUNCTION("""COMPUTED_VALUE"""),0.0)</f>
        <v>0</v>
      </c>
      <c r="F661" s="3" t="str">
        <f>IFERROR(__xludf.DUMMYFUNCTION("""COMPUTED_VALUE"""),"UNI")</f>
        <v>UNI</v>
      </c>
      <c r="G661" s="3"/>
    </row>
    <row r="662">
      <c r="A662" s="3" t="str">
        <f>IFERROR(__xludf.DUMMYFUNCTION("""COMPUTED_VALUE"""),"2022-07-08T00:00:00Z")</f>
        <v>2022-07-08T00:00:00Z</v>
      </c>
      <c r="B662" s="3">
        <f>IFERROR(__xludf.DUMMYFUNCTION("""COMPUTED_VALUE"""),5.729551)</f>
        <v>5.729551</v>
      </c>
      <c r="C662" s="3">
        <f>IFERROR(__xludf.DUMMYFUNCTION("""COMPUTED_VALUE"""),4.56489583401055E8)</f>
        <v>456489583.4</v>
      </c>
      <c r="D662" s="3">
        <f>IFERROR(__xludf.DUMMYFUNCTION("""COMPUTED_VALUE"""),0.0)</f>
        <v>0</v>
      </c>
      <c r="E662" s="3">
        <f>IFERROR(__xludf.DUMMYFUNCTION("""COMPUTED_VALUE"""),0.0)</f>
        <v>0</v>
      </c>
      <c r="F662" s="3" t="str">
        <f>IFERROR(__xludf.DUMMYFUNCTION("""COMPUTED_VALUE"""),"UNI")</f>
        <v>UNI</v>
      </c>
      <c r="G662" s="3"/>
    </row>
    <row r="663">
      <c r="A663" s="3" t="str">
        <f>IFERROR(__xludf.DUMMYFUNCTION("""COMPUTED_VALUE"""),"2022-07-09T00:00:00Z")</f>
        <v>2022-07-09T00:00:00Z</v>
      </c>
      <c r="B663" s="3">
        <f>IFERROR(__xludf.DUMMYFUNCTION("""COMPUTED_VALUE"""),5.796142)</f>
        <v>5.796142</v>
      </c>
      <c r="C663" s="3">
        <f>IFERROR(__xludf.DUMMYFUNCTION("""COMPUTED_VALUE"""),4.56489583401055E8)</f>
        <v>456489583.4</v>
      </c>
      <c r="D663" s="3">
        <f>IFERROR(__xludf.DUMMYFUNCTION("""COMPUTED_VALUE"""),0.0)</f>
        <v>0</v>
      </c>
      <c r="E663" s="3">
        <f>IFERROR(__xludf.DUMMYFUNCTION("""COMPUTED_VALUE"""),0.0)</f>
        <v>0</v>
      </c>
      <c r="F663" s="3" t="str">
        <f>IFERROR(__xludf.DUMMYFUNCTION("""COMPUTED_VALUE"""),"UNI")</f>
        <v>UNI</v>
      </c>
      <c r="G663" s="3"/>
    </row>
    <row r="664">
      <c r="A664" s="3" t="str">
        <f>IFERROR(__xludf.DUMMYFUNCTION("""COMPUTED_VALUE"""),"2022-07-10T00:00:00Z")</f>
        <v>2022-07-10T00:00:00Z</v>
      </c>
      <c r="B664" s="3">
        <f>IFERROR(__xludf.DUMMYFUNCTION("""COMPUTED_VALUE"""),6.452374)</f>
        <v>6.452374</v>
      </c>
      <c r="C664" s="3">
        <f>IFERROR(__xludf.DUMMYFUNCTION("""COMPUTED_VALUE"""),4.56489583401055E8)</f>
        <v>456489583.4</v>
      </c>
      <c r="D664" s="3">
        <f>IFERROR(__xludf.DUMMYFUNCTION("""COMPUTED_VALUE"""),0.0)</f>
        <v>0</v>
      </c>
      <c r="E664" s="3">
        <f>IFERROR(__xludf.DUMMYFUNCTION("""COMPUTED_VALUE"""),0.0)</f>
        <v>0</v>
      </c>
      <c r="F664" s="3" t="str">
        <f>IFERROR(__xludf.DUMMYFUNCTION("""COMPUTED_VALUE"""),"UNI")</f>
        <v>UNI</v>
      </c>
      <c r="G664" s="3"/>
    </row>
    <row r="665">
      <c r="A665" s="3" t="str">
        <f>IFERROR(__xludf.DUMMYFUNCTION("""COMPUTED_VALUE"""),"2022-07-11T00:00:00Z")</f>
        <v>2022-07-11T00:00:00Z</v>
      </c>
      <c r="B665" s="3">
        <f>IFERROR(__xludf.DUMMYFUNCTION("""COMPUTED_VALUE"""),6.232659)</f>
        <v>6.232659</v>
      </c>
      <c r="C665" s="3">
        <f>IFERROR(__xludf.DUMMYFUNCTION("""COMPUTED_VALUE"""),4.56489583401055E8)</f>
        <v>456489583.4</v>
      </c>
      <c r="D665" s="3">
        <f>IFERROR(__xludf.DUMMYFUNCTION("""COMPUTED_VALUE"""),0.0)</f>
        <v>0</v>
      </c>
      <c r="E665" s="3">
        <f>IFERROR(__xludf.DUMMYFUNCTION("""COMPUTED_VALUE"""),0.0)</f>
        <v>0</v>
      </c>
      <c r="F665" s="3" t="str">
        <f>IFERROR(__xludf.DUMMYFUNCTION("""COMPUTED_VALUE"""),"UNI")</f>
        <v>UNI</v>
      </c>
      <c r="G665" s="3"/>
    </row>
    <row r="666">
      <c r="A666" s="3" t="str">
        <f>IFERROR(__xludf.DUMMYFUNCTION("""COMPUTED_VALUE"""),"2022-07-12T00:00:00Z")</f>
        <v>2022-07-12T00:00:00Z</v>
      </c>
      <c r="B666" s="3">
        <f>IFERROR(__xludf.DUMMYFUNCTION("""COMPUTED_VALUE"""),5.560908)</f>
        <v>5.560908</v>
      </c>
      <c r="C666" s="3">
        <f>IFERROR(__xludf.DUMMYFUNCTION("""COMPUTED_VALUE"""),4.56489583401055E8)</f>
        <v>456489583.4</v>
      </c>
      <c r="D666" s="3">
        <f>IFERROR(__xludf.DUMMYFUNCTION("""COMPUTED_VALUE"""),0.0)</f>
        <v>0</v>
      </c>
      <c r="E666" s="3">
        <f>IFERROR(__xludf.DUMMYFUNCTION("""COMPUTED_VALUE"""),0.0)</f>
        <v>0</v>
      </c>
      <c r="F666" s="3" t="str">
        <f>IFERROR(__xludf.DUMMYFUNCTION("""COMPUTED_VALUE"""),"UNI")</f>
        <v>UNI</v>
      </c>
      <c r="G666" s="3"/>
    </row>
    <row r="667">
      <c r="A667" s="3" t="str">
        <f>IFERROR(__xludf.DUMMYFUNCTION("""COMPUTED_VALUE"""),"2022-07-13T00:00:00Z")</f>
        <v>2022-07-13T00:00:00Z</v>
      </c>
      <c r="B667" s="3">
        <f>IFERROR(__xludf.DUMMYFUNCTION("""COMPUTED_VALUE"""),5.531975)</f>
        <v>5.531975</v>
      </c>
      <c r="C667" s="3">
        <f>IFERROR(__xludf.DUMMYFUNCTION("""COMPUTED_VALUE"""),4.56489583401055E8)</f>
        <v>456489583.4</v>
      </c>
      <c r="D667" s="3">
        <f>IFERROR(__xludf.DUMMYFUNCTION("""COMPUTED_VALUE"""),0.0)</f>
        <v>0</v>
      </c>
      <c r="E667" s="3">
        <f>IFERROR(__xludf.DUMMYFUNCTION("""COMPUTED_VALUE"""),0.0)</f>
        <v>0</v>
      </c>
      <c r="F667" s="3" t="str">
        <f>IFERROR(__xludf.DUMMYFUNCTION("""COMPUTED_VALUE"""),"UNI")</f>
        <v>UNI</v>
      </c>
      <c r="G667" s="3"/>
    </row>
    <row r="668">
      <c r="A668" s="3" t="str">
        <f>IFERROR(__xludf.DUMMYFUNCTION("""COMPUTED_VALUE"""),"2022-07-14T00:00:00Z")</f>
        <v>2022-07-14T00:00:00Z</v>
      </c>
      <c r="B668" s="3">
        <f>IFERROR(__xludf.DUMMYFUNCTION("""COMPUTED_VALUE"""),6.11417)</f>
        <v>6.11417</v>
      </c>
      <c r="C668" s="3">
        <f>IFERROR(__xludf.DUMMYFUNCTION("""COMPUTED_VALUE"""),4.56489583401055E8)</f>
        <v>456489583.4</v>
      </c>
      <c r="D668" s="3">
        <f>IFERROR(__xludf.DUMMYFUNCTION("""COMPUTED_VALUE"""),0.0)</f>
        <v>0</v>
      </c>
      <c r="E668" s="3">
        <f>IFERROR(__xludf.DUMMYFUNCTION("""COMPUTED_VALUE"""),0.0)</f>
        <v>0</v>
      </c>
      <c r="F668" s="3" t="str">
        <f>IFERROR(__xludf.DUMMYFUNCTION("""COMPUTED_VALUE"""),"UNI")</f>
        <v>UNI</v>
      </c>
      <c r="G668" s="3"/>
    </row>
    <row r="669">
      <c r="A669" s="3" t="str">
        <f>IFERROR(__xludf.DUMMYFUNCTION("""COMPUTED_VALUE"""),"2022-07-15T00:00:00Z")</f>
        <v>2022-07-15T00:00:00Z</v>
      </c>
      <c r="B669" s="3">
        <f>IFERROR(__xludf.DUMMYFUNCTION("""COMPUTED_VALUE"""),7.009815)</f>
        <v>7.009815</v>
      </c>
      <c r="C669" s="3">
        <f>IFERROR(__xludf.DUMMYFUNCTION("""COMPUTED_VALUE"""),4.56489583401055E8)</f>
        <v>456489583.4</v>
      </c>
      <c r="D669" s="3">
        <f>IFERROR(__xludf.DUMMYFUNCTION("""COMPUTED_VALUE"""),0.0)</f>
        <v>0</v>
      </c>
      <c r="E669" s="3">
        <f>IFERROR(__xludf.DUMMYFUNCTION("""COMPUTED_VALUE"""),0.0)</f>
        <v>0</v>
      </c>
      <c r="F669" s="3" t="str">
        <f>IFERROR(__xludf.DUMMYFUNCTION("""COMPUTED_VALUE"""),"UNI")</f>
        <v>UNI</v>
      </c>
      <c r="G669" s="3"/>
    </row>
    <row r="670">
      <c r="A670" s="3" t="str">
        <f>IFERROR(__xludf.DUMMYFUNCTION("""COMPUTED_VALUE"""),"2022-07-16T00:00:00Z")</f>
        <v>2022-07-16T00:00:00Z</v>
      </c>
      <c r="B670" s="3">
        <f>IFERROR(__xludf.DUMMYFUNCTION("""COMPUTED_VALUE"""),6.778151)</f>
        <v>6.778151</v>
      </c>
      <c r="C670" s="3">
        <f>IFERROR(__xludf.DUMMYFUNCTION("""COMPUTED_VALUE"""),4.56489583401055E8)</f>
        <v>456489583.4</v>
      </c>
      <c r="D670" s="3">
        <f>IFERROR(__xludf.DUMMYFUNCTION("""COMPUTED_VALUE"""),0.0)</f>
        <v>0</v>
      </c>
      <c r="E670" s="3">
        <f>IFERROR(__xludf.DUMMYFUNCTION("""COMPUTED_VALUE"""),0.0)</f>
        <v>0</v>
      </c>
      <c r="F670" s="3" t="str">
        <f>IFERROR(__xludf.DUMMYFUNCTION("""COMPUTED_VALUE"""),"UNI")</f>
        <v>UNI</v>
      </c>
      <c r="G670" s="3"/>
    </row>
    <row r="671">
      <c r="A671" s="3" t="str">
        <f>IFERROR(__xludf.DUMMYFUNCTION("""COMPUTED_VALUE"""),"2022-07-17T00:00:00Z")</f>
        <v>2022-07-17T00:00:00Z</v>
      </c>
      <c r="B671" s="3">
        <f>IFERROR(__xludf.DUMMYFUNCTION("""COMPUTED_VALUE"""),7.374646)</f>
        <v>7.374646</v>
      </c>
      <c r="C671" s="3">
        <f>IFERROR(__xludf.DUMMYFUNCTION("""COMPUTED_VALUE"""),4.56489583401055E8)</f>
        <v>456489583.4</v>
      </c>
      <c r="D671" s="3">
        <f>IFERROR(__xludf.DUMMYFUNCTION("""COMPUTED_VALUE"""),0.0)</f>
        <v>0</v>
      </c>
      <c r="E671" s="3">
        <f>IFERROR(__xludf.DUMMYFUNCTION("""COMPUTED_VALUE"""),0.0)</f>
        <v>0</v>
      </c>
      <c r="F671" s="3" t="str">
        <f>IFERROR(__xludf.DUMMYFUNCTION("""COMPUTED_VALUE"""),"UNI")</f>
        <v>UNI</v>
      </c>
      <c r="G671" s="3"/>
    </row>
    <row r="672">
      <c r="A672" s="3" t="str">
        <f>IFERROR(__xludf.DUMMYFUNCTION("""COMPUTED_VALUE"""),"2022-07-18T00:00:00Z")</f>
        <v>2022-07-18T00:00:00Z</v>
      </c>
      <c r="B672" s="3">
        <f>IFERROR(__xludf.DUMMYFUNCTION("""COMPUTED_VALUE"""),6.942805)</f>
        <v>6.942805</v>
      </c>
      <c r="C672" s="3">
        <f>IFERROR(__xludf.DUMMYFUNCTION("""COMPUTED_VALUE"""),4.56489583401055E8)</f>
        <v>456489583.4</v>
      </c>
      <c r="D672" s="3">
        <f>IFERROR(__xludf.DUMMYFUNCTION("""COMPUTED_VALUE"""),0.0)</f>
        <v>0</v>
      </c>
      <c r="E672" s="3">
        <f>IFERROR(__xludf.DUMMYFUNCTION("""COMPUTED_VALUE"""),0.0)</f>
        <v>0</v>
      </c>
      <c r="F672" s="3" t="str">
        <f>IFERROR(__xludf.DUMMYFUNCTION("""COMPUTED_VALUE"""),"UNI")</f>
        <v>UNI</v>
      </c>
      <c r="G672" s="3"/>
    </row>
    <row r="673">
      <c r="A673" s="3" t="str">
        <f>IFERROR(__xludf.DUMMYFUNCTION("""COMPUTED_VALUE"""),"2022-07-19T00:00:00Z")</f>
        <v>2022-07-19T00:00:00Z</v>
      </c>
      <c r="B673" s="3">
        <f>IFERROR(__xludf.DUMMYFUNCTION("""COMPUTED_VALUE"""),7.324554)</f>
        <v>7.324554</v>
      </c>
      <c r="C673" s="3">
        <f>IFERROR(__xludf.DUMMYFUNCTION("""COMPUTED_VALUE"""),4.56489583401055E8)</f>
        <v>456489583.4</v>
      </c>
      <c r="D673" s="3">
        <f>IFERROR(__xludf.DUMMYFUNCTION("""COMPUTED_VALUE"""),0.0)</f>
        <v>0</v>
      </c>
      <c r="E673" s="3">
        <f>IFERROR(__xludf.DUMMYFUNCTION("""COMPUTED_VALUE"""),0.0)</f>
        <v>0</v>
      </c>
      <c r="F673" s="3" t="str">
        <f>IFERROR(__xludf.DUMMYFUNCTION("""COMPUTED_VALUE"""),"UNI")</f>
        <v>UNI</v>
      </c>
      <c r="G673" s="3"/>
    </row>
    <row r="674">
      <c r="A674" s="3" t="str">
        <f>IFERROR(__xludf.DUMMYFUNCTION("""COMPUTED_VALUE"""),"2022-07-20T00:00:00Z")</f>
        <v>2022-07-20T00:00:00Z</v>
      </c>
      <c r="B674" s="3">
        <f>IFERROR(__xludf.DUMMYFUNCTION("""COMPUTED_VALUE"""),7.349089)</f>
        <v>7.349089</v>
      </c>
      <c r="C674" s="3">
        <f>IFERROR(__xludf.DUMMYFUNCTION("""COMPUTED_VALUE"""),4.56489583401055E8)</f>
        <v>456489583.4</v>
      </c>
      <c r="D674" s="3">
        <f>IFERROR(__xludf.DUMMYFUNCTION("""COMPUTED_VALUE"""),0.0)</f>
        <v>0</v>
      </c>
      <c r="E674" s="3">
        <f>IFERROR(__xludf.DUMMYFUNCTION("""COMPUTED_VALUE"""),0.0)</f>
        <v>0</v>
      </c>
      <c r="F674" s="3" t="str">
        <f>IFERROR(__xludf.DUMMYFUNCTION("""COMPUTED_VALUE"""),"UNI")</f>
        <v>UNI</v>
      </c>
      <c r="G674" s="3"/>
    </row>
    <row r="675">
      <c r="A675" s="3" t="str">
        <f>IFERROR(__xludf.DUMMYFUNCTION("""COMPUTED_VALUE"""),"2022-07-21T00:00:00Z")</f>
        <v>2022-07-21T00:00:00Z</v>
      </c>
      <c r="B675" s="3">
        <f>IFERROR(__xludf.DUMMYFUNCTION("""COMPUTED_VALUE"""),6.858587)</f>
        <v>6.858587</v>
      </c>
      <c r="C675" s="3">
        <f>IFERROR(__xludf.DUMMYFUNCTION("""COMPUTED_VALUE"""),4.56489583401055E8)</f>
        <v>456489583.4</v>
      </c>
      <c r="D675" s="3">
        <f>IFERROR(__xludf.DUMMYFUNCTION("""COMPUTED_VALUE"""),0.0)</f>
        <v>0</v>
      </c>
      <c r="E675" s="3">
        <f>IFERROR(__xludf.DUMMYFUNCTION("""COMPUTED_VALUE"""),0.0)</f>
        <v>0</v>
      </c>
      <c r="F675" s="3" t="str">
        <f>IFERROR(__xludf.DUMMYFUNCTION("""COMPUTED_VALUE"""),"UNI")</f>
        <v>UNI</v>
      </c>
      <c r="G675" s="3"/>
    </row>
    <row r="676">
      <c r="A676" s="3" t="str">
        <f>IFERROR(__xludf.DUMMYFUNCTION("""COMPUTED_VALUE"""),"2022-07-22T00:00:00Z")</f>
        <v>2022-07-22T00:00:00Z</v>
      </c>
      <c r="B676" s="3">
        <f>IFERROR(__xludf.DUMMYFUNCTION("""COMPUTED_VALUE"""),7.229573)</f>
        <v>7.229573</v>
      </c>
      <c r="C676" s="3">
        <f>IFERROR(__xludf.DUMMYFUNCTION("""COMPUTED_VALUE"""),4.56489583401055E8)</f>
        <v>456489583.4</v>
      </c>
      <c r="D676" s="3">
        <f>IFERROR(__xludf.DUMMYFUNCTION("""COMPUTED_VALUE"""),0.0)</f>
        <v>0</v>
      </c>
      <c r="E676" s="3">
        <f>IFERROR(__xludf.DUMMYFUNCTION("""COMPUTED_VALUE"""),0.0)</f>
        <v>0</v>
      </c>
      <c r="F676" s="3" t="str">
        <f>IFERROR(__xludf.DUMMYFUNCTION("""COMPUTED_VALUE"""),"UNI")</f>
        <v>UNI</v>
      </c>
      <c r="G676" s="3"/>
    </row>
    <row r="677">
      <c r="A677" s="3" t="str">
        <f>IFERROR(__xludf.DUMMYFUNCTION("""COMPUTED_VALUE"""),"2022-07-23T00:00:00Z")</f>
        <v>2022-07-23T00:00:00Z</v>
      </c>
      <c r="B677" s="3">
        <f>IFERROR(__xludf.DUMMYFUNCTION("""COMPUTED_VALUE"""),6.889708)</f>
        <v>6.889708</v>
      </c>
      <c r="C677" s="3">
        <f>IFERROR(__xludf.DUMMYFUNCTION("""COMPUTED_VALUE"""),4.56489583401055E8)</f>
        <v>456489583.4</v>
      </c>
      <c r="D677" s="3">
        <f>IFERROR(__xludf.DUMMYFUNCTION("""COMPUTED_VALUE"""),0.0)</f>
        <v>0</v>
      </c>
      <c r="E677" s="3">
        <f>IFERROR(__xludf.DUMMYFUNCTION("""COMPUTED_VALUE"""),0.0)</f>
        <v>0</v>
      </c>
      <c r="F677" s="3" t="str">
        <f>IFERROR(__xludf.DUMMYFUNCTION("""COMPUTED_VALUE"""),"UNI")</f>
        <v>UNI</v>
      </c>
      <c r="G677" s="3"/>
    </row>
    <row r="678">
      <c r="A678" s="3" t="str">
        <f>IFERROR(__xludf.DUMMYFUNCTION("""COMPUTED_VALUE"""),"2022-07-24T00:00:00Z")</f>
        <v>2022-07-24T00:00:00Z</v>
      </c>
      <c r="B678" s="3">
        <f>IFERROR(__xludf.DUMMYFUNCTION("""COMPUTED_VALUE"""),6.957151)</f>
        <v>6.957151</v>
      </c>
      <c r="C678" s="3">
        <f>IFERROR(__xludf.DUMMYFUNCTION("""COMPUTED_VALUE"""),4.56489583401055E8)</f>
        <v>456489583.4</v>
      </c>
      <c r="D678" s="3">
        <f>IFERROR(__xludf.DUMMYFUNCTION("""COMPUTED_VALUE"""),0.0)</f>
        <v>0</v>
      </c>
      <c r="E678" s="3">
        <f>IFERROR(__xludf.DUMMYFUNCTION("""COMPUTED_VALUE"""),0.0)</f>
        <v>0</v>
      </c>
      <c r="F678" s="3" t="str">
        <f>IFERROR(__xludf.DUMMYFUNCTION("""COMPUTED_VALUE"""),"UNI")</f>
        <v>UNI</v>
      </c>
      <c r="G678" s="3"/>
    </row>
    <row r="679">
      <c r="A679" s="3" t="str">
        <f>IFERROR(__xludf.DUMMYFUNCTION("""COMPUTED_VALUE"""),"2022-07-25T00:00:00Z")</f>
        <v>2022-07-25T00:00:00Z</v>
      </c>
      <c r="B679" s="3">
        <f>IFERROR(__xludf.DUMMYFUNCTION("""COMPUTED_VALUE"""),7.246643)</f>
        <v>7.246643</v>
      </c>
      <c r="C679" s="3">
        <f>IFERROR(__xludf.DUMMYFUNCTION("""COMPUTED_VALUE"""),4.56489583401055E8)</f>
        <v>456489583.4</v>
      </c>
      <c r="D679" s="3">
        <f>IFERROR(__xludf.DUMMYFUNCTION("""COMPUTED_VALUE"""),0.0)</f>
        <v>0</v>
      </c>
      <c r="E679" s="3">
        <f>IFERROR(__xludf.DUMMYFUNCTION("""COMPUTED_VALUE"""),0.0)</f>
        <v>0</v>
      </c>
      <c r="F679" s="3" t="str">
        <f>IFERROR(__xludf.DUMMYFUNCTION("""COMPUTED_VALUE"""),"UNI")</f>
        <v>UNI</v>
      </c>
      <c r="G679" s="3"/>
    </row>
    <row r="680">
      <c r="A680" s="3" t="str">
        <f>IFERROR(__xludf.DUMMYFUNCTION("""COMPUTED_VALUE"""),"2022-07-26T00:00:00Z")</f>
        <v>2022-07-26T00:00:00Z</v>
      </c>
      <c r="B680" s="3">
        <f>IFERROR(__xludf.DUMMYFUNCTION("""COMPUTED_VALUE"""),7.045829)</f>
        <v>7.045829</v>
      </c>
      <c r="C680" s="3">
        <f>IFERROR(__xludf.DUMMYFUNCTION("""COMPUTED_VALUE"""),4.56489583401055E8)</f>
        <v>456489583.4</v>
      </c>
      <c r="D680" s="3">
        <f>IFERROR(__xludf.DUMMYFUNCTION("""COMPUTED_VALUE"""),0.0)</f>
        <v>0</v>
      </c>
      <c r="E680" s="3">
        <f>IFERROR(__xludf.DUMMYFUNCTION("""COMPUTED_VALUE"""),0.0)</f>
        <v>0</v>
      </c>
      <c r="F680" s="3" t="str">
        <f>IFERROR(__xludf.DUMMYFUNCTION("""COMPUTED_VALUE"""),"UNI")</f>
        <v>UNI</v>
      </c>
      <c r="G680" s="3"/>
    </row>
    <row r="681">
      <c r="A681" s="3" t="str">
        <f>IFERROR(__xludf.DUMMYFUNCTION("""COMPUTED_VALUE"""),"2022-07-27T00:00:00Z")</f>
        <v>2022-07-27T00:00:00Z</v>
      </c>
      <c r="B681" s="3">
        <f>IFERROR(__xludf.DUMMYFUNCTION("""COMPUTED_VALUE"""),6.654496)</f>
        <v>6.654496</v>
      </c>
      <c r="C681" s="3">
        <f>IFERROR(__xludf.DUMMYFUNCTION("""COMPUTED_VALUE"""),4.56489583401055E8)</f>
        <v>456489583.4</v>
      </c>
      <c r="D681" s="3">
        <f>IFERROR(__xludf.DUMMYFUNCTION("""COMPUTED_VALUE"""),0.0)</f>
        <v>0</v>
      </c>
      <c r="E681" s="3">
        <f>IFERROR(__xludf.DUMMYFUNCTION("""COMPUTED_VALUE"""),0.0)</f>
        <v>0</v>
      </c>
      <c r="F681" s="3" t="str">
        <f>IFERROR(__xludf.DUMMYFUNCTION("""COMPUTED_VALUE"""),"UNI")</f>
        <v>UNI</v>
      </c>
      <c r="G681" s="3"/>
    </row>
    <row r="682">
      <c r="A682" s="3" t="str">
        <f>IFERROR(__xludf.DUMMYFUNCTION("""COMPUTED_VALUE"""),"2022-07-28T00:00:00Z")</f>
        <v>2022-07-28T00:00:00Z</v>
      </c>
      <c r="B682" s="3">
        <f>IFERROR(__xludf.DUMMYFUNCTION("""COMPUTED_VALUE"""),8.056056)</f>
        <v>8.056056</v>
      </c>
      <c r="C682" s="3">
        <f>IFERROR(__xludf.DUMMYFUNCTION("""COMPUTED_VALUE"""),4.56489583401055E8)</f>
        <v>456489583.4</v>
      </c>
      <c r="D682" s="3">
        <f>IFERROR(__xludf.DUMMYFUNCTION("""COMPUTED_VALUE"""),0.0)</f>
        <v>0</v>
      </c>
      <c r="E682" s="3">
        <f>IFERROR(__xludf.DUMMYFUNCTION("""COMPUTED_VALUE"""),0.0)</f>
        <v>0</v>
      </c>
      <c r="F682" s="3" t="str">
        <f>IFERROR(__xludf.DUMMYFUNCTION("""COMPUTED_VALUE"""),"UNI")</f>
        <v>UNI</v>
      </c>
      <c r="G682" s="3"/>
    </row>
    <row r="683">
      <c r="A683" s="3" t="str">
        <f>IFERROR(__xludf.DUMMYFUNCTION("""COMPUTED_VALUE"""),"2022-07-29T00:00:00Z")</f>
        <v>2022-07-29T00:00:00Z</v>
      </c>
      <c r="B683" s="3">
        <f>IFERROR(__xludf.DUMMYFUNCTION("""COMPUTED_VALUE"""),9.284156)</f>
        <v>9.284156</v>
      </c>
      <c r="C683" s="3">
        <f>IFERROR(__xludf.DUMMYFUNCTION("""COMPUTED_VALUE"""),4.56489583401055E8)</f>
        <v>456489583.4</v>
      </c>
      <c r="D683" s="3">
        <f>IFERROR(__xludf.DUMMYFUNCTION("""COMPUTED_VALUE"""),0.0)</f>
        <v>0</v>
      </c>
      <c r="E683" s="3">
        <f>IFERROR(__xludf.DUMMYFUNCTION("""COMPUTED_VALUE"""),0.0)</f>
        <v>0</v>
      </c>
      <c r="F683" s="3" t="str">
        <f>IFERROR(__xludf.DUMMYFUNCTION("""COMPUTED_VALUE"""),"UNI")</f>
        <v>UNI</v>
      </c>
      <c r="G683" s="3"/>
    </row>
    <row r="684">
      <c r="A684" s="3" t="str">
        <f>IFERROR(__xludf.DUMMYFUNCTION("""COMPUTED_VALUE"""),"2022-07-30T00:00:00Z")</f>
        <v>2022-07-30T00:00:00Z</v>
      </c>
      <c r="B684" s="3">
        <f>IFERROR(__xludf.DUMMYFUNCTION("""COMPUTED_VALUE"""),9.091775)</f>
        <v>9.091775</v>
      </c>
      <c r="C684" s="3">
        <f>IFERROR(__xludf.DUMMYFUNCTION("""COMPUTED_VALUE"""),4.56489583401055E8)</f>
        <v>456489583.4</v>
      </c>
      <c r="D684" s="3">
        <f>IFERROR(__xludf.DUMMYFUNCTION("""COMPUTED_VALUE"""),0.0)</f>
        <v>0</v>
      </c>
      <c r="E684" s="3">
        <f>IFERROR(__xludf.DUMMYFUNCTION("""COMPUTED_VALUE"""),0.0)</f>
        <v>0</v>
      </c>
      <c r="F684" s="3" t="str">
        <f>IFERROR(__xludf.DUMMYFUNCTION("""COMPUTED_VALUE"""),"UNI")</f>
        <v>UNI</v>
      </c>
      <c r="G684" s="3"/>
    </row>
    <row r="685">
      <c r="A685" s="3" t="str">
        <f>IFERROR(__xludf.DUMMYFUNCTION("""COMPUTED_VALUE"""),"2022-07-31T00:00:00Z")</f>
        <v>2022-07-31T00:00:00Z</v>
      </c>
      <c r="B685" s="3">
        <f>IFERROR(__xludf.DUMMYFUNCTION("""COMPUTED_VALUE"""),8.777603)</f>
        <v>8.777603</v>
      </c>
      <c r="C685" s="3">
        <f>IFERROR(__xludf.DUMMYFUNCTION("""COMPUTED_VALUE"""),4.56489583401055E8)</f>
        <v>456489583.4</v>
      </c>
      <c r="D685" s="3">
        <f>IFERROR(__xludf.DUMMYFUNCTION("""COMPUTED_VALUE"""),0.0)</f>
        <v>0</v>
      </c>
      <c r="E685" s="3">
        <f>IFERROR(__xludf.DUMMYFUNCTION("""COMPUTED_VALUE"""),0.0)</f>
        <v>0</v>
      </c>
      <c r="F685" s="3" t="str">
        <f>IFERROR(__xludf.DUMMYFUNCTION("""COMPUTED_VALUE"""),"UNI")</f>
        <v>UNI</v>
      </c>
      <c r="G685" s="3"/>
    </row>
    <row r="686">
      <c r="A686" s="3" t="str">
        <f>IFERROR(__xludf.DUMMYFUNCTION("""COMPUTED_VALUE"""),"2022-08-01T00:00:00Z")</f>
        <v>2022-08-01T00:00:00Z</v>
      </c>
      <c r="B686" s="3">
        <f>IFERROR(__xludf.DUMMYFUNCTION("""COMPUTED_VALUE"""),8.332774)</f>
        <v>8.332774</v>
      </c>
      <c r="C686" s="3">
        <f>IFERROR(__xludf.DUMMYFUNCTION("""COMPUTED_VALUE"""),4.56489583401055E8)</f>
        <v>456489583.4</v>
      </c>
      <c r="D686" s="3">
        <f>IFERROR(__xludf.DUMMYFUNCTION("""COMPUTED_VALUE"""),0.0)</f>
        <v>0</v>
      </c>
      <c r="E686" s="3">
        <f>IFERROR(__xludf.DUMMYFUNCTION("""COMPUTED_VALUE"""),0.0)</f>
        <v>0</v>
      </c>
      <c r="F686" s="3" t="str">
        <f>IFERROR(__xludf.DUMMYFUNCTION("""COMPUTED_VALUE"""),"UNI")</f>
        <v>UNI</v>
      </c>
      <c r="G686" s="3"/>
    </row>
    <row r="687">
      <c r="A687" s="3" t="str">
        <f>IFERROR(__xludf.DUMMYFUNCTION("""COMPUTED_VALUE"""),"2022-08-02T00:00:00Z")</f>
        <v>2022-08-02T00:00:00Z</v>
      </c>
      <c r="B687" s="3">
        <f>IFERROR(__xludf.DUMMYFUNCTION("""COMPUTED_VALUE"""),8.347577)</f>
        <v>8.347577</v>
      </c>
      <c r="C687" s="3">
        <f>IFERROR(__xludf.DUMMYFUNCTION("""COMPUTED_VALUE"""),4.56489583401055E8)</f>
        <v>456489583.4</v>
      </c>
      <c r="D687" s="3">
        <f>IFERROR(__xludf.DUMMYFUNCTION("""COMPUTED_VALUE"""),0.0)</f>
        <v>0</v>
      </c>
      <c r="E687" s="3">
        <f>IFERROR(__xludf.DUMMYFUNCTION("""COMPUTED_VALUE"""),0.0)</f>
        <v>0</v>
      </c>
      <c r="F687" s="3" t="str">
        <f>IFERROR(__xludf.DUMMYFUNCTION("""COMPUTED_VALUE"""),"UNI")</f>
        <v>UNI</v>
      </c>
      <c r="G687" s="3"/>
    </row>
    <row r="688">
      <c r="A688" s="3" t="str">
        <f>IFERROR(__xludf.DUMMYFUNCTION("""COMPUTED_VALUE"""),"2022-08-03T00:00:00Z")</f>
        <v>2022-08-03T00:00:00Z</v>
      </c>
      <c r="B688" s="3">
        <f>IFERROR(__xludf.DUMMYFUNCTION("""COMPUTED_VALUE"""),8.258928)</f>
        <v>8.258928</v>
      </c>
      <c r="C688" s="3">
        <f>IFERROR(__xludf.DUMMYFUNCTION("""COMPUTED_VALUE"""),4.56489583401055E8)</f>
        <v>456489583.4</v>
      </c>
      <c r="D688" s="3">
        <f>IFERROR(__xludf.DUMMYFUNCTION("""COMPUTED_VALUE"""),0.0)</f>
        <v>0</v>
      </c>
      <c r="E688" s="3">
        <f>IFERROR(__xludf.DUMMYFUNCTION("""COMPUTED_VALUE"""),0.0)</f>
        <v>0</v>
      </c>
      <c r="F688" s="3" t="str">
        <f>IFERROR(__xludf.DUMMYFUNCTION("""COMPUTED_VALUE"""),"UNI")</f>
        <v>UNI</v>
      </c>
      <c r="G688" s="3"/>
    </row>
    <row r="689">
      <c r="A689" s="3" t="str">
        <f>IFERROR(__xludf.DUMMYFUNCTION("""COMPUTED_VALUE"""),"2022-08-04T00:00:00Z")</f>
        <v>2022-08-04T00:00:00Z</v>
      </c>
      <c r="B689" s="3">
        <f>IFERROR(__xludf.DUMMYFUNCTION("""COMPUTED_VALUE"""),8.927123)</f>
        <v>8.927123</v>
      </c>
      <c r="C689" s="3">
        <f>IFERROR(__xludf.DUMMYFUNCTION("""COMPUTED_VALUE"""),4.56489583401055E8)</f>
        <v>456489583.4</v>
      </c>
      <c r="D689" s="3">
        <f>IFERROR(__xludf.DUMMYFUNCTION("""COMPUTED_VALUE"""),0.0)</f>
        <v>0</v>
      </c>
      <c r="E689" s="3">
        <f>IFERROR(__xludf.DUMMYFUNCTION("""COMPUTED_VALUE"""),0.0)</f>
        <v>0</v>
      </c>
      <c r="F689" s="3" t="str">
        <f>IFERROR(__xludf.DUMMYFUNCTION("""COMPUTED_VALUE"""),"UNI")</f>
        <v>UNI</v>
      </c>
      <c r="G689" s="3"/>
    </row>
    <row r="690">
      <c r="A690" s="3" t="str">
        <f>IFERROR(__xludf.DUMMYFUNCTION("""COMPUTED_VALUE"""),"2022-08-05T00:00:00Z")</f>
        <v>2022-08-05T00:00:00Z</v>
      </c>
      <c r="B690" s="3">
        <f>IFERROR(__xludf.DUMMYFUNCTION("""COMPUTED_VALUE"""),8.818838)</f>
        <v>8.818838</v>
      </c>
      <c r="C690" s="3">
        <f>IFERROR(__xludf.DUMMYFUNCTION("""COMPUTED_VALUE"""),4.56489583401055E8)</f>
        <v>456489583.4</v>
      </c>
      <c r="D690" s="3">
        <f>IFERROR(__xludf.DUMMYFUNCTION("""COMPUTED_VALUE"""),0.0)</f>
        <v>0</v>
      </c>
      <c r="E690" s="3">
        <f>IFERROR(__xludf.DUMMYFUNCTION("""COMPUTED_VALUE"""),0.0)</f>
        <v>0</v>
      </c>
      <c r="F690" s="3" t="str">
        <f>IFERROR(__xludf.DUMMYFUNCTION("""COMPUTED_VALUE"""),"UNI")</f>
        <v>UNI</v>
      </c>
      <c r="G690" s="3"/>
    </row>
    <row r="691">
      <c r="A691" s="3" t="str">
        <f>IFERROR(__xludf.DUMMYFUNCTION("""COMPUTED_VALUE"""),"2022-08-06T00:00:00Z")</f>
        <v>2022-08-06T00:00:00Z</v>
      </c>
      <c r="B691" s="3">
        <f>IFERROR(__xludf.DUMMYFUNCTION("""COMPUTED_VALUE"""),8.978772)</f>
        <v>8.978772</v>
      </c>
      <c r="C691" s="3">
        <f>IFERROR(__xludf.DUMMYFUNCTION("""COMPUTED_VALUE"""),4.56489583401055E8)</f>
        <v>456489583.4</v>
      </c>
      <c r="D691" s="3">
        <f>IFERROR(__xludf.DUMMYFUNCTION("""COMPUTED_VALUE"""),0.0)</f>
        <v>0</v>
      </c>
      <c r="E691" s="3">
        <f>IFERROR(__xludf.DUMMYFUNCTION("""COMPUTED_VALUE"""),0.0)</f>
        <v>0</v>
      </c>
      <c r="F691" s="3" t="str">
        <f>IFERROR(__xludf.DUMMYFUNCTION("""COMPUTED_VALUE"""),"UNI")</f>
        <v>UNI</v>
      </c>
      <c r="G691" s="3"/>
    </row>
    <row r="692">
      <c r="A692" s="3" t="str">
        <f>IFERROR(__xludf.DUMMYFUNCTION("""COMPUTED_VALUE"""),"2022-08-07T00:00:00Z")</f>
        <v>2022-08-07T00:00:00Z</v>
      </c>
      <c r="B692" s="3">
        <f>IFERROR(__xludf.DUMMYFUNCTION("""COMPUTED_VALUE"""),8.776418)</f>
        <v>8.776418</v>
      </c>
      <c r="C692" s="3">
        <f>IFERROR(__xludf.DUMMYFUNCTION("""COMPUTED_VALUE"""),4.56489583401055E8)</f>
        <v>456489583.4</v>
      </c>
      <c r="D692" s="3">
        <f>IFERROR(__xludf.DUMMYFUNCTION("""COMPUTED_VALUE"""),0.0)</f>
        <v>0</v>
      </c>
      <c r="E692" s="3">
        <f>IFERROR(__xludf.DUMMYFUNCTION("""COMPUTED_VALUE"""),0.0)</f>
        <v>0</v>
      </c>
      <c r="F692" s="3" t="str">
        <f>IFERROR(__xludf.DUMMYFUNCTION("""COMPUTED_VALUE"""),"UNI")</f>
        <v>UNI</v>
      </c>
      <c r="G692" s="3"/>
    </row>
    <row r="693">
      <c r="A693" s="3" t="str">
        <f>IFERROR(__xludf.DUMMYFUNCTION("""COMPUTED_VALUE"""),"2022-08-08T00:00:00Z")</f>
        <v>2022-08-08T00:00:00Z</v>
      </c>
      <c r="B693" s="3">
        <f>IFERROR(__xludf.DUMMYFUNCTION("""COMPUTED_VALUE"""),8.790583)</f>
        <v>8.790583</v>
      </c>
      <c r="C693" s="3">
        <f>IFERROR(__xludf.DUMMYFUNCTION("""COMPUTED_VALUE"""),4.56489583401055E8)</f>
        <v>456489583.4</v>
      </c>
      <c r="D693" s="3">
        <f>IFERROR(__xludf.DUMMYFUNCTION("""COMPUTED_VALUE"""),0.0)</f>
        <v>0</v>
      </c>
      <c r="E693" s="3">
        <f>IFERROR(__xludf.DUMMYFUNCTION("""COMPUTED_VALUE"""),0.0)</f>
        <v>0</v>
      </c>
      <c r="F693" s="3" t="str">
        <f>IFERROR(__xludf.DUMMYFUNCTION("""COMPUTED_VALUE"""),"UNI")</f>
        <v>UNI</v>
      </c>
      <c r="G693" s="3"/>
    </row>
    <row r="694">
      <c r="A694" s="3" t="str">
        <f>IFERROR(__xludf.DUMMYFUNCTION("""COMPUTED_VALUE"""),"2022-08-09T00:00:00Z")</f>
        <v>2022-08-09T00:00:00Z</v>
      </c>
      <c r="B694" s="3">
        <f>IFERROR(__xludf.DUMMYFUNCTION("""COMPUTED_VALUE"""),8.788493)</f>
        <v>8.788493</v>
      </c>
      <c r="C694" s="3">
        <f>IFERROR(__xludf.DUMMYFUNCTION("""COMPUTED_VALUE"""),4.56489583401055E8)</f>
        <v>456489583.4</v>
      </c>
      <c r="D694" s="3">
        <f>IFERROR(__xludf.DUMMYFUNCTION("""COMPUTED_VALUE"""),0.0)</f>
        <v>0</v>
      </c>
      <c r="E694" s="3">
        <f>IFERROR(__xludf.DUMMYFUNCTION("""COMPUTED_VALUE"""),0.0)</f>
        <v>0</v>
      </c>
      <c r="F694" s="3" t="str">
        <f>IFERROR(__xludf.DUMMYFUNCTION("""COMPUTED_VALUE"""),"UNI")</f>
        <v>UNI</v>
      </c>
      <c r="G694" s="3"/>
    </row>
    <row r="695">
      <c r="A695" s="3" t="str">
        <f>IFERROR(__xludf.DUMMYFUNCTION("""COMPUTED_VALUE"""),"2022-08-10T00:00:00Z")</f>
        <v>2022-08-10T00:00:00Z</v>
      </c>
      <c r="B695" s="3">
        <f>IFERROR(__xludf.DUMMYFUNCTION("""COMPUTED_VALUE"""),8.44037)</f>
        <v>8.44037</v>
      </c>
      <c r="C695" s="3">
        <f>IFERROR(__xludf.DUMMYFUNCTION("""COMPUTED_VALUE"""),4.56489583401055E8)</f>
        <v>456489583.4</v>
      </c>
      <c r="D695" s="3">
        <f>IFERROR(__xludf.DUMMYFUNCTION("""COMPUTED_VALUE"""),0.0)</f>
        <v>0</v>
      </c>
      <c r="E695" s="3">
        <f>IFERROR(__xludf.DUMMYFUNCTION("""COMPUTED_VALUE"""),0.0)</f>
        <v>0</v>
      </c>
      <c r="F695" s="3" t="str">
        <f>IFERROR(__xludf.DUMMYFUNCTION("""COMPUTED_VALUE"""),"UNI")</f>
        <v>UNI</v>
      </c>
      <c r="G695" s="3"/>
    </row>
    <row r="696">
      <c r="A696" s="3" t="str">
        <f>IFERROR(__xludf.DUMMYFUNCTION("""COMPUTED_VALUE"""),"2022-08-11T00:00:00Z")</f>
        <v>2022-08-11T00:00:00Z</v>
      </c>
      <c r="B696" s="3">
        <f>IFERROR(__xludf.DUMMYFUNCTION("""COMPUTED_VALUE"""),9.22111)</f>
        <v>9.22111</v>
      </c>
      <c r="C696" s="3">
        <f>IFERROR(__xludf.DUMMYFUNCTION("""COMPUTED_VALUE"""),4.56489583401055E8)</f>
        <v>456489583.4</v>
      </c>
      <c r="D696" s="3">
        <f>IFERROR(__xludf.DUMMYFUNCTION("""COMPUTED_VALUE"""),0.0)</f>
        <v>0</v>
      </c>
      <c r="E696" s="3">
        <f>IFERROR(__xludf.DUMMYFUNCTION("""COMPUTED_VALUE"""),0.0)</f>
        <v>0</v>
      </c>
      <c r="F696" s="3" t="str">
        <f>IFERROR(__xludf.DUMMYFUNCTION("""COMPUTED_VALUE"""),"UNI")</f>
        <v>UNI</v>
      </c>
      <c r="G696" s="3"/>
    </row>
    <row r="697">
      <c r="A697" s="3" t="str">
        <f>IFERROR(__xludf.DUMMYFUNCTION("""COMPUTED_VALUE"""),"2022-08-12T00:00:00Z")</f>
        <v>2022-08-12T00:00:00Z</v>
      </c>
      <c r="B697" s="3">
        <f>IFERROR(__xludf.DUMMYFUNCTION("""COMPUTED_VALUE"""),8.964899)</f>
        <v>8.964899</v>
      </c>
      <c r="C697" s="3">
        <f>IFERROR(__xludf.DUMMYFUNCTION("""COMPUTED_VALUE"""),4.56489583401055E8)</f>
        <v>456489583.4</v>
      </c>
      <c r="D697" s="3">
        <f>IFERROR(__xludf.DUMMYFUNCTION("""COMPUTED_VALUE"""),0.0)</f>
        <v>0</v>
      </c>
      <c r="E697" s="3">
        <f>IFERROR(__xludf.DUMMYFUNCTION("""COMPUTED_VALUE"""),0.0)</f>
        <v>0</v>
      </c>
      <c r="F697" s="3" t="str">
        <f>IFERROR(__xludf.DUMMYFUNCTION("""COMPUTED_VALUE"""),"UNI")</f>
        <v>UNI</v>
      </c>
      <c r="G697" s="3"/>
    </row>
    <row r="698">
      <c r="A698" s="3" t="str">
        <f>IFERROR(__xludf.DUMMYFUNCTION("""COMPUTED_VALUE"""),"2022-08-13T00:00:00Z")</f>
        <v>2022-08-13T00:00:00Z</v>
      </c>
      <c r="B698" s="3">
        <f>IFERROR(__xludf.DUMMYFUNCTION("""COMPUTED_VALUE"""),9.209798)</f>
        <v>9.209798</v>
      </c>
      <c r="C698" s="3">
        <f>IFERROR(__xludf.DUMMYFUNCTION("""COMPUTED_VALUE"""),4.56489583401055E8)</f>
        <v>456489583.4</v>
      </c>
      <c r="D698" s="3">
        <f>IFERROR(__xludf.DUMMYFUNCTION("""COMPUTED_VALUE"""),0.0)</f>
        <v>0</v>
      </c>
      <c r="E698" s="3">
        <f>IFERROR(__xludf.DUMMYFUNCTION("""COMPUTED_VALUE"""),0.0)</f>
        <v>0</v>
      </c>
      <c r="F698" s="3" t="str">
        <f>IFERROR(__xludf.DUMMYFUNCTION("""COMPUTED_VALUE"""),"UNI")</f>
        <v>UNI</v>
      </c>
      <c r="G698" s="3"/>
    </row>
    <row r="699">
      <c r="A699" s="3" t="str">
        <f>IFERROR(__xludf.DUMMYFUNCTION("""COMPUTED_VALUE"""),"2022-08-14T00:00:00Z")</f>
        <v>2022-08-14T00:00:00Z</v>
      </c>
      <c r="B699" s="3">
        <f>IFERROR(__xludf.DUMMYFUNCTION("""COMPUTED_VALUE"""),8.987442)</f>
        <v>8.987442</v>
      </c>
      <c r="C699" s="3">
        <f>IFERROR(__xludf.DUMMYFUNCTION("""COMPUTED_VALUE"""),4.56489583401055E8)</f>
        <v>456489583.4</v>
      </c>
      <c r="D699" s="3">
        <f>IFERROR(__xludf.DUMMYFUNCTION("""COMPUTED_VALUE"""),0.0)</f>
        <v>0</v>
      </c>
      <c r="E699" s="3">
        <f>IFERROR(__xludf.DUMMYFUNCTION("""COMPUTED_VALUE"""),0.0)</f>
        <v>0</v>
      </c>
      <c r="F699" s="3" t="str">
        <f>IFERROR(__xludf.DUMMYFUNCTION("""COMPUTED_VALUE"""),"UNI")</f>
        <v>UNI</v>
      </c>
      <c r="G699" s="3"/>
    </row>
    <row r="700">
      <c r="A700" s="3" t="str">
        <f>IFERROR(__xludf.DUMMYFUNCTION("""COMPUTED_VALUE"""),"2022-08-15T00:00:00Z")</f>
        <v>2022-08-15T00:00:00Z</v>
      </c>
      <c r="B700" s="3">
        <f>IFERROR(__xludf.DUMMYFUNCTION("""COMPUTED_VALUE"""),8.881124)</f>
        <v>8.881124</v>
      </c>
      <c r="C700" s="3">
        <f>IFERROR(__xludf.DUMMYFUNCTION("""COMPUTED_VALUE"""),4.56489583401055E8)</f>
        <v>456489583.4</v>
      </c>
      <c r="D700" s="3">
        <f>IFERROR(__xludf.DUMMYFUNCTION("""COMPUTED_VALUE"""),0.0)</f>
        <v>0</v>
      </c>
      <c r="E700" s="3">
        <f>IFERROR(__xludf.DUMMYFUNCTION("""COMPUTED_VALUE"""),0.0)</f>
        <v>0</v>
      </c>
      <c r="F700" s="3" t="str">
        <f>IFERROR(__xludf.DUMMYFUNCTION("""COMPUTED_VALUE"""),"UNI")</f>
        <v>UNI</v>
      </c>
      <c r="G700" s="3"/>
    </row>
    <row r="701">
      <c r="A701" s="3" t="str">
        <f>IFERROR(__xludf.DUMMYFUNCTION("""COMPUTED_VALUE"""),"2022-08-16T00:00:00Z")</f>
        <v>2022-08-16T00:00:00Z</v>
      </c>
      <c r="B701" s="3">
        <f>IFERROR(__xludf.DUMMYFUNCTION("""COMPUTED_VALUE"""),8.468508)</f>
        <v>8.468508</v>
      </c>
      <c r="C701" s="3">
        <f>IFERROR(__xludf.DUMMYFUNCTION("""COMPUTED_VALUE"""),4.56489583401055E8)</f>
        <v>456489583.4</v>
      </c>
      <c r="D701" s="3">
        <f>IFERROR(__xludf.DUMMYFUNCTION("""COMPUTED_VALUE"""),0.0)</f>
        <v>0</v>
      </c>
      <c r="E701" s="3">
        <f>IFERROR(__xludf.DUMMYFUNCTION("""COMPUTED_VALUE"""),0.0)</f>
        <v>0</v>
      </c>
      <c r="F701" s="3" t="str">
        <f>IFERROR(__xludf.DUMMYFUNCTION("""COMPUTED_VALUE"""),"UNI")</f>
        <v>UNI</v>
      </c>
      <c r="G701" s="3"/>
    </row>
    <row r="702">
      <c r="A702" s="3" t="str">
        <f>IFERROR(__xludf.DUMMYFUNCTION("""COMPUTED_VALUE"""),"2022-08-17T00:00:00Z")</f>
        <v>2022-08-17T00:00:00Z</v>
      </c>
      <c r="B702" s="3">
        <f>IFERROR(__xludf.DUMMYFUNCTION("""COMPUTED_VALUE"""),8.339581)</f>
        <v>8.339581</v>
      </c>
      <c r="C702" s="3">
        <f>IFERROR(__xludf.DUMMYFUNCTION("""COMPUTED_VALUE"""),4.56489583401055E8)</f>
        <v>456489583.4</v>
      </c>
      <c r="D702" s="3">
        <f>IFERROR(__xludf.DUMMYFUNCTION("""COMPUTED_VALUE"""),0.0)</f>
        <v>0</v>
      </c>
      <c r="E702" s="3">
        <f>IFERROR(__xludf.DUMMYFUNCTION("""COMPUTED_VALUE"""),0.0)</f>
        <v>0</v>
      </c>
      <c r="F702" s="3" t="str">
        <f>IFERROR(__xludf.DUMMYFUNCTION("""COMPUTED_VALUE"""),"UNI")</f>
        <v>UNI</v>
      </c>
      <c r="G702" s="3"/>
    </row>
    <row r="703">
      <c r="A703" s="3" t="str">
        <f>IFERROR(__xludf.DUMMYFUNCTION("""COMPUTED_VALUE"""),"2022-08-18T00:00:00Z")</f>
        <v>2022-08-18T00:00:00Z</v>
      </c>
      <c r="B703" s="3">
        <f>IFERROR(__xludf.DUMMYFUNCTION("""COMPUTED_VALUE"""),7.958688)</f>
        <v>7.958688</v>
      </c>
      <c r="C703" s="3">
        <f>IFERROR(__xludf.DUMMYFUNCTION("""COMPUTED_VALUE"""),4.56489583401055E8)</f>
        <v>456489583.4</v>
      </c>
      <c r="D703" s="3">
        <f>IFERROR(__xludf.DUMMYFUNCTION("""COMPUTED_VALUE"""),0.0)</f>
        <v>0</v>
      </c>
      <c r="E703" s="3">
        <f>IFERROR(__xludf.DUMMYFUNCTION("""COMPUTED_VALUE"""),0.0)</f>
        <v>0</v>
      </c>
      <c r="F703" s="3" t="str">
        <f>IFERROR(__xludf.DUMMYFUNCTION("""COMPUTED_VALUE"""),"UNI")</f>
        <v>UNI</v>
      </c>
      <c r="G703" s="3"/>
    </row>
    <row r="704">
      <c r="A704" s="3" t="str">
        <f>IFERROR(__xludf.DUMMYFUNCTION("""COMPUTED_VALUE"""),"2022-08-19T00:00:00Z")</f>
        <v>2022-08-19T00:00:00Z</v>
      </c>
      <c r="B704" s="3">
        <f>IFERROR(__xludf.DUMMYFUNCTION("""COMPUTED_VALUE"""),7.574364)</f>
        <v>7.574364</v>
      </c>
      <c r="C704" s="3">
        <f>IFERROR(__xludf.DUMMYFUNCTION("""COMPUTED_VALUE"""),4.56489583401055E8)</f>
        <v>456489583.4</v>
      </c>
      <c r="D704" s="3">
        <f>IFERROR(__xludf.DUMMYFUNCTION("""COMPUTED_VALUE"""),0.0)</f>
        <v>0</v>
      </c>
      <c r="E704" s="3">
        <f>IFERROR(__xludf.DUMMYFUNCTION("""COMPUTED_VALUE"""),0.0)</f>
        <v>0</v>
      </c>
      <c r="F704" s="3" t="str">
        <f>IFERROR(__xludf.DUMMYFUNCTION("""COMPUTED_VALUE"""),"UNI")</f>
        <v>UNI</v>
      </c>
      <c r="G704" s="3"/>
    </row>
    <row r="705">
      <c r="A705" s="3" t="str">
        <f>IFERROR(__xludf.DUMMYFUNCTION("""COMPUTED_VALUE"""),"2022-08-20T00:00:00Z")</f>
        <v>2022-08-20T00:00:00Z</v>
      </c>
      <c r="B705" s="3">
        <f>IFERROR(__xludf.DUMMYFUNCTION("""COMPUTED_VALUE"""),6.896528)</f>
        <v>6.896528</v>
      </c>
      <c r="C705" s="3">
        <f>IFERROR(__xludf.DUMMYFUNCTION("""COMPUTED_VALUE"""),4.56489583401055E8)</f>
        <v>456489583.4</v>
      </c>
      <c r="D705" s="3">
        <f>IFERROR(__xludf.DUMMYFUNCTION("""COMPUTED_VALUE"""),0.0)</f>
        <v>0</v>
      </c>
      <c r="E705" s="3">
        <f>IFERROR(__xludf.DUMMYFUNCTION("""COMPUTED_VALUE"""),0.0)</f>
        <v>0</v>
      </c>
      <c r="F705" s="3" t="str">
        <f>IFERROR(__xludf.DUMMYFUNCTION("""COMPUTED_VALUE"""),"UNI")</f>
        <v>UNI</v>
      </c>
      <c r="G705" s="3"/>
    </row>
    <row r="706">
      <c r="A706" s="3" t="str">
        <f>IFERROR(__xludf.DUMMYFUNCTION("""COMPUTED_VALUE"""),"2022-08-21T00:00:00Z")</f>
        <v>2022-08-21T00:00:00Z</v>
      </c>
      <c r="B706" s="3">
        <f>IFERROR(__xludf.DUMMYFUNCTION("""COMPUTED_VALUE"""),7.006636)</f>
        <v>7.006636</v>
      </c>
      <c r="C706" s="3">
        <f>IFERROR(__xludf.DUMMYFUNCTION("""COMPUTED_VALUE"""),4.56489583401055E8)</f>
        <v>456489583.4</v>
      </c>
      <c r="D706" s="3">
        <f>IFERROR(__xludf.DUMMYFUNCTION("""COMPUTED_VALUE"""),0.0)</f>
        <v>0</v>
      </c>
      <c r="E706" s="3">
        <f>IFERROR(__xludf.DUMMYFUNCTION("""COMPUTED_VALUE"""),0.0)</f>
        <v>0</v>
      </c>
      <c r="F706" s="3" t="str">
        <f>IFERROR(__xludf.DUMMYFUNCTION("""COMPUTED_VALUE"""),"UNI")</f>
        <v>UNI</v>
      </c>
      <c r="G706" s="3"/>
    </row>
    <row r="707">
      <c r="A707" s="3" t="str">
        <f>IFERROR(__xludf.DUMMYFUNCTION("""COMPUTED_VALUE"""),"2022-08-22T00:00:00Z")</f>
        <v>2022-08-22T00:00:00Z</v>
      </c>
      <c r="B707" s="3">
        <f>IFERROR(__xludf.DUMMYFUNCTION("""COMPUTED_VALUE"""),7.210728)</f>
        <v>7.210728</v>
      </c>
      <c r="C707" s="3">
        <f>IFERROR(__xludf.DUMMYFUNCTION("""COMPUTED_VALUE"""),4.56489583401055E8)</f>
        <v>456489583.4</v>
      </c>
      <c r="D707" s="3">
        <f>IFERROR(__xludf.DUMMYFUNCTION("""COMPUTED_VALUE"""),0.0)</f>
        <v>0</v>
      </c>
      <c r="E707" s="3">
        <f>IFERROR(__xludf.DUMMYFUNCTION("""COMPUTED_VALUE"""),0.0)</f>
        <v>0</v>
      </c>
      <c r="F707" s="3" t="str">
        <f>IFERROR(__xludf.DUMMYFUNCTION("""COMPUTED_VALUE"""),"UNI")</f>
        <v>UNI</v>
      </c>
      <c r="G707" s="3"/>
    </row>
    <row r="708">
      <c r="A708" s="3" t="str">
        <f>IFERROR(__xludf.DUMMYFUNCTION("""COMPUTED_VALUE"""),"2022-08-23T00:00:00Z")</f>
        <v>2022-08-23T00:00:00Z</v>
      </c>
      <c r="B708" s="3">
        <f>IFERROR(__xludf.DUMMYFUNCTION("""COMPUTED_VALUE"""),6.985236)</f>
        <v>6.985236</v>
      </c>
      <c r="C708" s="3">
        <f>IFERROR(__xludf.DUMMYFUNCTION("""COMPUTED_VALUE"""),4.56489583401055E8)</f>
        <v>456489583.4</v>
      </c>
      <c r="D708" s="3">
        <f>IFERROR(__xludf.DUMMYFUNCTION("""COMPUTED_VALUE"""),0.0)</f>
        <v>0</v>
      </c>
      <c r="E708" s="3">
        <f>IFERROR(__xludf.DUMMYFUNCTION("""COMPUTED_VALUE"""),0.0)</f>
        <v>0</v>
      </c>
      <c r="F708" s="3" t="str">
        <f>IFERROR(__xludf.DUMMYFUNCTION("""COMPUTED_VALUE"""),"UNI")</f>
        <v>UNI</v>
      </c>
      <c r="G708" s="3"/>
    </row>
    <row r="709">
      <c r="A709" s="3" t="str">
        <f>IFERROR(__xludf.DUMMYFUNCTION("""COMPUTED_VALUE"""),"2022-08-24T00:00:00Z")</f>
        <v>2022-08-24T00:00:00Z</v>
      </c>
      <c r="B709" s="3">
        <f>IFERROR(__xludf.DUMMYFUNCTION("""COMPUTED_VALUE"""),7.11976)</f>
        <v>7.11976</v>
      </c>
      <c r="C709" s="3">
        <f>IFERROR(__xludf.DUMMYFUNCTION("""COMPUTED_VALUE"""),4.56489583401055E8)</f>
        <v>456489583.4</v>
      </c>
      <c r="D709" s="3">
        <f>IFERROR(__xludf.DUMMYFUNCTION("""COMPUTED_VALUE"""),0.0)</f>
        <v>0</v>
      </c>
      <c r="E709" s="3">
        <f>IFERROR(__xludf.DUMMYFUNCTION("""COMPUTED_VALUE"""),0.0)</f>
        <v>0</v>
      </c>
      <c r="F709" s="3" t="str">
        <f>IFERROR(__xludf.DUMMYFUNCTION("""COMPUTED_VALUE"""),"UNI")</f>
        <v>UNI</v>
      </c>
      <c r="G709" s="3"/>
    </row>
    <row r="710">
      <c r="A710" s="3" t="str">
        <f>IFERROR(__xludf.DUMMYFUNCTION("""COMPUTED_VALUE"""),"2022-08-25T00:00:00Z")</f>
        <v>2022-08-25T00:00:00Z</v>
      </c>
      <c r="B710" s="3">
        <f>IFERROR(__xludf.DUMMYFUNCTION("""COMPUTED_VALUE"""),7.045186)</f>
        <v>7.045186</v>
      </c>
      <c r="C710" s="3">
        <f>IFERROR(__xludf.DUMMYFUNCTION("""COMPUTED_VALUE"""),4.56489583401055E8)</f>
        <v>456489583.4</v>
      </c>
      <c r="D710" s="3">
        <f>IFERROR(__xludf.DUMMYFUNCTION("""COMPUTED_VALUE"""),0.0)</f>
        <v>0</v>
      </c>
      <c r="E710" s="3">
        <f>IFERROR(__xludf.DUMMYFUNCTION("""COMPUTED_VALUE"""),0.0)</f>
        <v>0</v>
      </c>
      <c r="F710" s="3" t="str">
        <f>IFERROR(__xludf.DUMMYFUNCTION("""COMPUTED_VALUE"""),"UNI")</f>
        <v>UNI</v>
      </c>
      <c r="G710" s="3"/>
    </row>
    <row r="711">
      <c r="A711" s="3" t="str">
        <f>IFERROR(__xludf.DUMMYFUNCTION("""COMPUTED_VALUE"""),"2022-08-26T00:00:00Z")</f>
        <v>2022-08-26T00:00:00Z</v>
      </c>
      <c r="B711" s="3">
        <f>IFERROR(__xludf.DUMMYFUNCTION("""COMPUTED_VALUE"""),7.023473)</f>
        <v>7.023473</v>
      </c>
      <c r="C711" s="3">
        <f>IFERROR(__xludf.DUMMYFUNCTION("""COMPUTED_VALUE"""),4.56489583401055E8)</f>
        <v>456489583.4</v>
      </c>
      <c r="D711" s="3">
        <f>IFERROR(__xludf.DUMMYFUNCTION("""COMPUTED_VALUE"""),0.0)</f>
        <v>0</v>
      </c>
      <c r="E711" s="3">
        <f>IFERROR(__xludf.DUMMYFUNCTION("""COMPUTED_VALUE"""),0.0)</f>
        <v>0</v>
      </c>
      <c r="F711" s="3" t="str">
        <f>IFERROR(__xludf.DUMMYFUNCTION("""COMPUTED_VALUE"""),"UNI")</f>
        <v>UNI</v>
      </c>
      <c r="G711" s="3"/>
    </row>
    <row r="712">
      <c r="A712" s="3" t="str">
        <f>IFERROR(__xludf.DUMMYFUNCTION("""COMPUTED_VALUE"""),"2022-08-27T00:00:00Z")</f>
        <v>2022-08-27T00:00:00Z</v>
      </c>
      <c r="B712" s="3">
        <f>IFERROR(__xludf.DUMMYFUNCTION("""COMPUTED_VALUE"""),6.153411)</f>
        <v>6.153411</v>
      </c>
      <c r="C712" s="3">
        <f>IFERROR(__xludf.DUMMYFUNCTION("""COMPUTED_VALUE"""),4.56489583401055E8)</f>
        <v>456489583.4</v>
      </c>
      <c r="D712" s="3">
        <f>IFERROR(__xludf.DUMMYFUNCTION("""COMPUTED_VALUE"""),0.0)</f>
        <v>0</v>
      </c>
      <c r="E712" s="3">
        <f>IFERROR(__xludf.DUMMYFUNCTION("""COMPUTED_VALUE"""),0.0)</f>
        <v>0</v>
      </c>
      <c r="F712" s="3" t="str">
        <f>IFERROR(__xludf.DUMMYFUNCTION("""COMPUTED_VALUE"""),"UNI")</f>
        <v>UNI</v>
      </c>
      <c r="G712" s="3"/>
    </row>
    <row r="713">
      <c r="A713" s="3" t="str">
        <f>IFERROR(__xludf.DUMMYFUNCTION("""COMPUTED_VALUE"""),"2022-08-28T00:00:00Z")</f>
        <v>2022-08-28T00:00:00Z</v>
      </c>
      <c r="B713" s="3">
        <f>IFERROR(__xludf.DUMMYFUNCTION("""COMPUTED_VALUE"""),6.057207)</f>
        <v>6.057207</v>
      </c>
      <c r="C713" s="3">
        <f>IFERROR(__xludf.DUMMYFUNCTION("""COMPUTED_VALUE"""),4.56489583401055E8)</f>
        <v>456489583.4</v>
      </c>
      <c r="D713" s="3">
        <f>IFERROR(__xludf.DUMMYFUNCTION("""COMPUTED_VALUE"""),0.0)</f>
        <v>0</v>
      </c>
      <c r="E713" s="3">
        <f>IFERROR(__xludf.DUMMYFUNCTION("""COMPUTED_VALUE"""),0.0)</f>
        <v>0</v>
      </c>
      <c r="F713" s="3" t="str">
        <f>IFERROR(__xludf.DUMMYFUNCTION("""COMPUTED_VALUE"""),"UNI")</f>
        <v>UNI</v>
      </c>
      <c r="G713" s="3"/>
    </row>
    <row r="714">
      <c r="A714" s="3" t="str">
        <f>IFERROR(__xludf.DUMMYFUNCTION("""COMPUTED_VALUE"""),"2022-08-29T00:00:00Z")</f>
        <v>2022-08-29T00:00:00Z</v>
      </c>
      <c r="B714" s="3">
        <f>IFERROR(__xludf.DUMMYFUNCTION("""COMPUTED_VALUE"""),5.742847)</f>
        <v>5.742847</v>
      </c>
      <c r="C714" s="3">
        <f>IFERROR(__xludf.DUMMYFUNCTION("""COMPUTED_VALUE"""),4.56489583401055E8)</f>
        <v>456489583.4</v>
      </c>
      <c r="D714" s="3">
        <f>IFERROR(__xludf.DUMMYFUNCTION("""COMPUTED_VALUE"""),0.0)</f>
        <v>0</v>
      </c>
      <c r="E714" s="3">
        <f>IFERROR(__xludf.DUMMYFUNCTION("""COMPUTED_VALUE"""),0.0)</f>
        <v>0</v>
      </c>
      <c r="F714" s="3" t="str">
        <f>IFERROR(__xludf.DUMMYFUNCTION("""COMPUTED_VALUE"""),"UNI")</f>
        <v>UNI</v>
      </c>
      <c r="G714" s="3"/>
    </row>
    <row r="715">
      <c r="A715" s="3" t="str">
        <f>IFERROR(__xludf.DUMMYFUNCTION("""COMPUTED_VALUE"""),"2022-08-30T00:00:00Z")</f>
        <v>2022-08-30T00:00:00Z</v>
      </c>
      <c r="B715" s="3">
        <f>IFERROR(__xludf.DUMMYFUNCTION("""COMPUTED_VALUE"""),6.334643)</f>
        <v>6.334643</v>
      </c>
      <c r="C715" s="3">
        <f>IFERROR(__xludf.DUMMYFUNCTION("""COMPUTED_VALUE"""),4.56489583401055E8)</f>
        <v>456489583.4</v>
      </c>
      <c r="D715" s="3">
        <f>IFERROR(__xludf.DUMMYFUNCTION("""COMPUTED_VALUE"""),0.0)</f>
        <v>0</v>
      </c>
      <c r="E715" s="3">
        <f>IFERROR(__xludf.DUMMYFUNCTION("""COMPUTED_VALUE"""),0.0)</f>
        <v>0</v>
      </c>
      <c r="F715" s="3" t="str">
        <f>IFERROR(__xludf.DUMMYFUNCTION("""COMPUTED_VALUE"""),"UNI")</f>
        <v>UNI</v>
      </c>
      <c r="G715" s="3"/>
    </row>
    <row r="716">
      <c r="A716" s="3" t="str">
        <f>IFERROR(__xludf.DUMMYFUNCTION("""COMPUTED_VALUE"""),"2022-08-31T00:00:00Z")</f>
        <v>2022-08-31T00:00:00Z</v>
      </c>
      <c r="B716" s="3">
        <f>IFERROR(__xludf.DUMMYFUNCTION("""COMPUTED_VALUE"""),6.178623)</f>
        <v>6.178623</v>
      </c>
      <c r="C716" s="3">
        <f>IFERROR(__xludf.DUMMYFUNCTION("""COMPUTED_VALUE"""),4.56489583401055E8)</f>
        <v>456489583.4</v>
      </c>
      <c r="D716" s="3">
        <f>IFERROR(__xludf.DUMMYFUNCTION("""COMPUTED_VALUE"""),0.0)</f>
        <v>0</v>
      </c>
      <c r="E716" s="3">
        <f>IFERROR(__xludf.DUMMYFUNCTION("""COMPUTED_VALUE"""),0.0)</f>
        <v>0</v>
      </c>
      <c r="F716" s="3" t="str">
        <f>IFERROR(__xludf.DUMMYFUNCTION("""COMPUTED_VALUE"""),"UNI")</f>
        <v>UNI</v>
      </c>
      <c r="G716" s="3"/>
    </row>
    <row r="717">
      <c r="A717" s="3" t="str">
        <f>IFERROR(__xludf.DUMMYFUNCTION("""COMPUTED_VALUE"""),"2022-09-01T00:00:00Z")</f>
        <v>2022-09-01T00:00:00Z</v>
      </c>
      <c r="B717" s="3">
        <f>IFERROR(__xludf.DUMMYFUNCTION("""COMPUTED_VALUE"""),6.141155)</f>
        <v>6.141155</v>
      </c>
      <c r="C717" s="3">
        <f>IFERROR(__xludf.DUMMYFUNCTION("""COMPUTED_VALUE"""),4.56489583401055E8)</f>
        <v>456489583.4</v>
      </c>
      <c r="D717" s="3">
        <f>IFERROR(__xludf.DUMMYFUNCTION("""COMPUTED_VALUE"""),0.0)</f>
        <v>0</v>
      </c>
      <c r="E717" s="3">
        <f>IFERROR(__xludf.DUMMYFUNCTION("""COMPUTED_VALUE"""),0.0)</f>
        <v>0</v>
      </c>
      <c r="F717" s="3" t="str">
        <f>IFERROR(__xludf.DUMMYFUNCTION("""COMPUTED_VALUE"""),"UNI")</f>
        <v>UNI</v>
      </c>
      <c r="G717" s="3"/>
    </row>
    <row r="718">
      <c r="A718" s="3" t="str">
        <f>IFERROR(__xludf.DUMMYFUNCTION("""COMPUTED_VALUE"""),"2022-09-02T00:00:00Z")</f>
        <v>2022-09-02T00:00:00Z</v>
      </c>
      <c r="B718" s="3">
        <f>IFERROR(__xludf.DUMMYFUNCTION("""COMPUTED_VALUE"""),6.317773)</f>
        <v>6.317773</v>
      </c>
      <c r="C718" s="3">
        <f>IFERROR(__xludf.DUMMYFUNCTION("""COMPUTED_VALUE"""),4.56489583401055E8)</f>
        <v>456489583.4</v>
      </c>
      <c r="D718" s="3">
        <f>IFERROR(__xludf.DUMMYFUNCTION("""COMPUTED_VALUE"""),0.0)</f>
        <v>0</v>
      </c>
      <c r="E718" s="3">
        <f>IFERROR(__xludf.DUMMYFUNCTION("""COMPUTED_VALUE"""),0.0)</f>
        <v>0</v>
      </c>
      <c r="F718" s="3" t="str">
        <f>IFERROR(__xludf.DUMMYFUNCTION("""COMPUTED_VALUE"""),"UNI")</f>
        <v>UNI</v>
      </c>
      <c r="G718" s="3"/>
    </row>
    <row r="719">
      <c r="A719" s="3" t="str">
        <f>IFERROR(__xludf.DUMMYFUNCTION("""COMPUTED_VALUE"""),"2022-09-03T00:00:00Z")</f>
        <v>2022-09-03T00:00:00Z</v>
      </c>
      <c r="B719" s="3">
        <f>IFERROR(__xludf.DUMMYFUNCTION("""COMPUTED_VALUE"""),6.406291)</f>
        <v>6.406291</v>
      </c>
      <c r="C719" s="3">
        <f>IFERROR(__xludf.DUMMYFUNCTION("""COMPUTED_VALUE"""),4.56489583401055E8)</f>
        <v>456489583.4</v>
      </c>
      <c r="D719" s="3">
        <f>IFERROR(__xludf.DUMMYFUNCTION("""COMPUTED_VALUE"""),0.0)</f>
        <v>0</v>
      </c>
      <c r="E719" s="3">
        <f>IFERROR(__xludf.DUMMYFUNCTION("""COMPUTED_VALUE"""),0.0)</f>
        <v>0</v>
      </c>
      <c r="F719" s="3" t="str">
        <f>IFERROR(__xludf.DUMMYFUNCTION("""COMPUTED_VALUE"""),"UNI")</f>
        <v>UNI</v>
      </c>
      <c r="G719" s="3"/>
    </row>
    <row r="720">
      <c r="A720" s="3" t="str">
        <f>IFERROR(__xludf.DUMMYFUNCTION("""COMPUTED_VALUE"""),"2022-09-04T00:00:00Z")</f>
        <v>2022-09-04T00:00:00Z</v>
      </c>
      <c r="B720" s="3">
        <f>IFERROR(__xludf.DUMMYFUNCTION("""COMPUTED_VALUE"""),6.307268)</f>
        <v>6.307268</v>
      </c>
      <c r="C720" s="3">
        <f>IFERROR(__xludf.DUMMYFUNCTION("""COMPUTED_VALUE"""),4.56489583401055E8)</f>
        <v>456489583.4</v>
      </c>
      <c r="D720" s="3">
        <f>IFERROR(__xludf.DUMMYFUNCTION("""COMPUTED_VALUE"""),0.0)</f>
        <v>0</v>
      </c>
      <c r="E720" s="3">
        <f>IFERROR(__xludf.DUMMYFUNCTION("""COMPUTED_VALUE"""),0.0)</f>
        <v>0</v>
      </c>
      <c r="F720" s="3" t="str">
        <f>IFERROR(__xludf.DUMMYFUNCTION("""COMPUTED_VALUE"""),"UNI")</f>
        <v>UNI</v>
      </c>
      <c r="G720" s="3"/>
    </row>
    <row r="721">
      <c r="A721" s="3" t="str">
        <f>IFERROR(__xludf.DUMMYFUNCTION("""COMPUTED_VALUE"""),"2022-09-05T00:00:00Z")</f>
        <v>2022-09-05T00:00:00Z</v>
      </c>
      <c r="B721" s="3">
        <f>IFERROR(__xludf.DUMMYFUNCTION("""COMPUTED_VALUE"""),6.486349)</f>
        <v>6.486349</v>
      </c>
      <c r="C721" s="3">
        <f>IFERROR(__xludf.DUMMYFUNCTION("""COMPUTED_VALUE"""),4.56489583401055E8)</f>
        <v>456489583.4</v>
      </c>
      <c r="D721" s="3">
        <f>IFERROR(__xludf.DUMMYFUNCTION("""COMPUTED_VALUE"""),0.0)</f>
        <v>0</v>
      </c>
      <c r="E721" s="3">
        <f>IFERROR(__xludf.DUMMYFUNCTION("""COMPUTED_VALUE"""),0.0)</f>
        <v>0</v>
      </c>
      <c r="F721" s="3" t="str">
        <f>IFERROR(__xludf.DUMMYFUNCTION("""COMPUTED_VALUE"""),"UNI")</f>
        <v>UNI</v>
      </c>
      <c r="G721" s="3"/>
    </row>
    <row r="722">
      <c r="A722" s="3" t="str">
        <f>IFERROR(__xludf.DUMMYFUNCTION("""COMPUTED_VALUE"""),"2022-09-06T00:00:00Z")</f>
        <v>2022-09-06T00:00:00Z</v>
      </c>
      <c r="B722" s="3">
        <f>IFERROR(__xludf.DUMMYFUNCTION("""COMPUTED_VALUE"""),6.581667)</f>
        <v>6.581667</v>
      </c>
      <c r="C722" s="3">
        <f>IFERROR(__xludf.DUMMYFUNCTION("""COMPUTED_VALUE"""),7.53766667E8)</f>
        <v>753766667</v>
      </c>
      <c r="D722" s="3">
        <f>IFERROR(__xludf.DUMMYFUNCTION("""COMPUTED_VALUE"""),2.97277083598945E8)</f>
        <v>297277083.6</v>
      </c>
      <c r="E722" s="3">
        <f>IFERROR(__xludf.DUMMYFUNCTION("""COMPUTED_VALUE"""),1.9565787709794178E9)</f>
        <v>1956578771</v>
      </c>
      <c r="F722" s="3" t="str">
        <f>IFERROR(__xludf.DUMMYFUNCTION("""COMPUTED_VALUE"""),"UNI")</f>
        <v>UNI</v>
      </c>
      <c r="G722" s="3"/>
    </row>
    <row r="723">
      <c r="A723" s="3" t="str">
        <f>IFERROR(__xludf.DUMMYFUNCTION("""COMPUTED_VALUE"""),"2022-09-07T00:00:00Z")</f>
        <v>2022-09-07T00:00:00Z</v>
      </c>
      <c r="B723" s="3">
        <f>IFERROR(__xludf.DUMMYFUNCTION("""COMPUTED_VALUE"""),5.832356)</f>
        <v>5.832356</v>
      </c>
      <c r="C723" s="3">
        <f>IFERROR(__xludf.DUMMYFUNCTION("""COMPUTED_VALUE"""),7.53766667E8)</f>
        <v>753766667</v>
      </c>
      <c r="D723" s="3">
        <f>IFERROR(__xludf.DUMMYFUNCTION("""COMPUTED_VALUE"""),0.0)</f>
        <v>0</v>
      </c>
      <c r="E723" s="3">
        <f>IFERROR(__xludf.DUMMYFUNCTION("""COMPUTED_VALUE"""),0.0)</f>
        <v>0</v>
      </c>
      <c r="F723" s="3" t="str">
        <f>IFERROR(__xludf.DUMMYFUNCTION("""COMPUTED_VALUE"""),"UNI")</f>
        <v>UNI</v>
      </c>
      <c r="G723" s="3"/>
    </row>
    <row r="724">
      <c r="A724" s="3" t="str">
        <f>IFERROR(__xludf.DUMMYFUNCTION("""COMPUTED_VALUE"""),"2022-09-08T00:00:00Z")</f>
        <v>2022-09-08T00:00:00Z</v>
      </c>
      <c r="B724" s="3">
        <f>IFERROR(__xludf.DUMMYFUNCTION("""COMPUTED_VALUE"""),6.117602)</f>
        <v>6.117602</v>
      </c>
      <c r="C724" s="3">
        <f>IFERROR(__xludf.DUMMYFUNCTION("""COMPUTED_VALUE"""),7.53766667E8)</f>
        <v>753766667</v>
      </c>
      <c r="D724" s="3">
        <f>IFERROR(__xludf.DUMMYFUNCTION("""COMPUTED_VALUE"""),0.0)</f>
        <v>0</v>
      </c>
      <c r="E724" s="3">
        <f>IFERROR(__xludf.DUMMYFUNCTION("""COMPUTED_VALUE"""),0.0)</f>
        <v>0</v>
      </c>
      <c r="F724" s="3" t="str">
        <f>IFERROR(__xludf.DUMMYFUNCTION("""COMPUTED_VALUE"""),"UNI")</f>
        <v>UNI</v>
      </c>
      <c r="G724" s="3"/>
    </row>
    <row r="725">
      <c r="A725" s="3" t="str">
        <f>IFERROR(__xludf.DUMMYFUNCTION("""COMPUTED_VALUE"""),"2022-09-09T00:00:00Z")</f>
        <v>2022-09-09T00:00:00Z</v>
      </c>
      <c r="B725" s="3">
        <f>IFERROR(__xludf.DUMMYFUNCTION("""COMPUTED_VALUE"""),6.172375)</f>
        <v>6.172375</v>
      </c>
      <c r="C725" s="3">
        <f>IFERROR(__xludf.DUMMYFUNCTION("""COMPUTED_VALUE"""),7.53766667E8)</f>
        <v>753766667</v>
      </c>
      <c r="D725" s="3">
        <f>IFERROR(__xludf.DUMMYFUNCTION("""COMPUTED_VALUE"""),0.0)</f>
        <v>0</v>
      </c>
      <c r="E725" s="3">
        <f>IFERROR(__xludf.DUMMYFUNCTION("""COMPUTED_VALUE"""),0.0)</f>
        <v>0</v>
      </c>
      <c r="F725" s="3" t="str">
        <f>IFERROR(__xludf.DUMMYFUNCTION("""COMPUTED_VALUE"""),"UNI")</f>
        <v>UNI</v>
      </c>
      <c r="G725" s="3"/>
    </row>
    <row r="726">
      <c r="A726" s="3" t="str">
        <f>IFERROR(__xludf.DUMMYFUNCTION("""COMPUTED_VALUE"""),"2022-09-10T00:00:00Z")</f>
        <v>2022-09-10T00:00:00Z</v>
      </c>
      <c r="B726" s="3">
        <f>IFERROR(__xludf.DUMMYFUNCTION("""COMPUTED_VALUE"""),6.507156)</f>
        <v>6.507156</v>
      </c>
      <c r="C726" s="3">
        <f>IFERROR(__xludf.DUMMYFUNCTION("""COMPUTED_VALUE"""),7.53766667E8)</f>
        <v>753766667</v>
      </c>
      <c r="D726" s="3">
        <f>IFERROR(__xludf.DUMMYFUNCTION("""COMPUTED_VALUE"""),0.0)</f>
        <v>0</v>
      </c>
      <c r="E726" s="3">
        <f>IFERROR(__xludf.DUMMYFUNCTION("""COMPUTED_VALUE"""),0.0)</f>
        <v>0</v>
      </c>
      <c r="F726" s="3" t="str">
        <f>IFERROR(__xludf.DUMMYFUNCTION("""COMPUTED_VALUE"""),"UNI")</f>
        <v>UNI</v>
      </c>
      <c r="G726" s="3"/>
    </row>
    <row r="727">
      <c r="A727" s="3" t="str">
        <f>IFERROR(__xludf.DUMMYFUNCTION("""COMPUTED_VALUE"""),"2022-09-11T00:00:00Z")</f>
        <v>2022-09-11T00:00:00Z</v>
      </c>
      <c r="B727" s="3">
        <f>IFERROR(__xludf.DUMMYFUNCTION("""COMPUTED_VALUE"""),6.679381)</f>
        <v>6.679381</v>
      </c>
      <c r="C727" s="3">
        <f>IFERROR(__xludf.DUMMYFUNCTION("""COMPUTED_VALUE"""),7.53766667E8)</f>
        <v>753766667</v>
      </c>
      <c r="D727" s="3">
        <f>IFERROR(__xludf.DUMMYFUNCTION("""COMPUTED_VALUE"""),0.0)</f>
        <v>0</v>
      </c>
      <c r="E727" s="3">
        <f>IFERROR(__xludf.DUMMYFUNCTION("""COMPUTED_VALUE"""),0.0)</f>
        <v>0</v>
      </c>
      <c r="F727" s="3" t="str">
        <f>IFERROR(__xludf.DUMMYFUNCTION("""COMPUTED_VALUE"""),"UNI")</f>
        <v>UNI</v>
      </c>
      <c r="G727" s="3"/>
    </row>
    <row r="728">
      <c r="A728" s="3" t="str">
        <f>IFERROR(__xludf.DUMMYFUNCTION("""COMPUTED_VALUE"""),"2022-09-12T00:00:00Z")</f>
        <v>2022-09-12T00:00:00Z</v>
      </c>
      <c r="B728" s="3">
        <f>IFERROR(__xludf.DUMMYFUNCTION("""COMPUTED_VALUE"""),6.490423)</f>
        <v>6.490423</v>
      </c>
      <c r="C728" s="3">
        <f>IFERROR(__xludf.DUMMYFUNCTION("""COMPUTED_VALUE"""),7.53766667E8)</f>
        <v>753766667</v>
      </c>
      <c r="D728" s="3">
        <f>IFERROR(__xludf.DUMMYFUNCTION("""COMPUTED_VALUE"""),0.0)</f>
        <v>0</v>
      </c>
      <c r="E728" s="3">
        <f>IFERROR(__xludf.DUMMYFUNCTION("""COMPUTED_VALUE"""),0.0)</f>
        <v>0</v>
      </c>
      <c r="F728" s="3" t="str">
        <f>IFERROR(__xludf.DUMMYFUNCTION("""COMPUTED_VALUE"""),"UNI")</f>
        <v>UNI</v>
      </c>
      <c r="G728" s="3"/>
    </row>
    <row r="729">
      <c r="A729" s="3" t="str">
        <f>IFERROR(__xludf.DUMMYFUNCTION("""COMPUTED_VALUE"""),"2022-09-13T00:00:00Z")</f>
        <v>2022-09-13T00:00:00Z</v>
      </c>
      <c r="B729" s="3">
        <f>IFERROR(__xludf.DUMMYFUNCTION("""COMPUTED_VALUE"""),6.659445)</f>
        <v>6.659445</v>
      </c>
      <c r="C729" s="3">
        <f>IFERROR(__xludf.DUMMYFUNCTION("""COMPUTED_VALUE"""),7.53766667E8)</f>
        <v>753766667</v>
      </c>
      <c r="D729" s="3">
        <f>IFERROR(__xludf.DUMMYFUNCTION("""COMPUTED_VALUE"""),0.0)</f>
        <v>0</v>
      </c>
      <c r="E729" s="3">
        <f>IFERROR(__xludf.DUMMYFUNCTION("""COMPUTED_VALUE"""),0.0)</f>
        <v>0</v>
      </c>
      <c r="F729" s="3" t="str">
        <f>IFERROR(__xludf.DUMMYFUNCTION("""COMPUTED_VALUE"""),"UNI")</f>
        <v>UNI</v>
      </c>
      <c r="G729" s="3"/>
    </row>
    <row r="730">
      <c r="A730" s="3" t="str">
        <f>IFERROR(__xludf.DUMMYFUNCTION("""COMPUTED_VALUE"""),"2022-09-14T00:00:00Z")</f>
        <v>2022-09-14T00:00:00Z</v>
      </c>
      <c r="B730" s="3">
        <f>IFERROR(__xludf.DUMMYFUNCTION("""COMPUTED_VALUE"""),6.035812)</f>
        <v>6.035812</v>
      </c>
      <c r="C730" s="3">
        <f>IFERROR(__xludf.DUMMYFUNCTION("""COMPUTED_VALUE"""),7.53766667E8)</f>
        <v>753766667</v>
      </c>
      <c r="D730" s="3">
        <f>IFERROR(__xludf.DUMMYFUNCTION("""COMPUTED_VALUE"""),0.0)</f>
        <v>0</v>
      </c>
      <c r="E730" s="3">
        <f>IFERROR(__xludf.DUMMYFUNCTION("""COMPUTED_VALUE"""),0.0)</f>
        <v>0</v>
      </c>
      <c r="F730" s="3" t="str">
        <f>IFERROR(__xludf.DUMMYFUNCTION("""COMPUTED_VALUE"""),"UNI")</f>
        <v>UNI</v>
      </c>
      <c r="G730" s="3"/>
    </row>
    <row r="731">
      <c r="A731" s="3" t="str">
        <f>IFERROR(__xludf.DUMMYFUNCTION("""COMPUTED_VALUE"""),"2022-09-15T00:00:00Z")</f>
        <v>2022-09-15T00:00:00Z</v>
      </c>
      <c r="B731" s="3">
        <f>IFERROR(__xludf.DUMMYFUNCTION("""COMPUTED_VALUE"""),6.178736)</f>
        <v>6.178736</v>
      </c>
      <c r="C731" s="3">
        <f>IFERROR(__xludf.DUMMYFUNCTION("""COMPUTED_VALUE"""),7.53766667E8)</f>
        <v>753766667</v>
      </c>
      <c r="D731" s="3">
        <f>IFERROR(__xludf.DUMMYFUNCTION("""COMPUTED_VALUE"""),0.0)</f>
        <v>0</v>
      </c>
      <c r="E731" s="3">
        <f>IFERROR(__xludf.DUMMYFUNCTION("""COMPUTED_VALUE"""),0.0)</f>
        <v>0</v>
      </c>
      <c r="F731" s="3" t="str">
        <f>IFERROR(__xludf.DUMMYFUNCTION("""COMPUTED_VALUE"""),"UNI")</f>
        <v>UNI</v>
      </c>
      <c r="G731" s="3"/>
    </row>
    <row r="732">
      <c r="A732" s="3" t="str">
        <f>IFERROR(__xludf.DUMMYFUNCTION("""COMPUTED_VALUE"""),"2022-09-16T00:00:00Z")</f>
        <v>2022-09-16T00:00:00Z</v>
      </c>
      <c r="B732" s="3">
        <f>IFERROR(__xludf.DUMMYFUNCTION("""COMPUTED_VALUE"""),5.889071)</f>
        <v>5.889071</v>
      </c>
      <c r="C732" s="3">
        <f>IFERROR(__xludf.DUMMYFUNCTION("""COMPUTED_VALUE"""),7.53766667E8)</f>
        <v>753766667</v>
      </c>
      <c r="D732" s="3">
        <f>IFERROR(__xludf.DUMMYFUNCTION("""COMPUTED_VALUE"""),0.0)</f>
        <v>0</v>
      </c>
      <c r="E732" s="3">
        <f>IFERROR(__xludf.DUMMYFUNCTION("""COMPUTED_VALUE"""),0.0)</f>
        <v>0</v>
      </c>
      <c r="F732" s="3" t="str">
        <f>IFERROR(__xludf.DUMMYFUNCTION("""COMPUTED_VALUE"""),"UNI")</f>
        <v>UNI</v>
      </c>
      <c r="G732" s="3"/>
    </row>
    <row r="733">
      <c r="A733" s="3" t="str">
        <f>IFERROR(__xludf.DUMMYFUNCTION("""COMPUTED_VALUE"""),"2022-09-17T00:00:00Z")</f>
        <v>2022-09-17T00:00:00Z</v>
      </c>
      <c r="B733" s="3">
        <f>IFERROR(__xludf.DUMMYFUNCTION("""COMPUTED_VALUE"""),5.82076)</f>
        <v>5.82076</v>
      </c>
      <c r="C733" s="3">
        <f>IFERROR(__xludf.DUMMYFUNCTION("""COMPUTED_VALUE"""),7.53766667E8)</f>
        <v>753766667</v>
      </c>
      <c r="D733" s="3">
        <f>IFERROR(__xludf.DUMMYFUNCTION("""COMPUTED_VALUE"""),0.0)</f>
        <v>0</v>
      </c>
      <c r="E733" s="3">
        <f>IFERROR(__xludf.DUMMYFUNCTION("""COMPUTED_VALUE"""),0.0)</f>
        <v>0</v>
      </c>
      <c r="F733" s="3" t="str">
        <f>IFERROR(__xludf.DUMMYFUNCTION("""COMPUTED_VALUE"""),"UNI")</f>
        <v>UNI</v>
      </c>
      <c r="G733" s="3"/>
    </row>
    <row r="734">
      <c r="A734" s="3" t="str">
        <f>IFERROR(__xludf.DUMMYFUNCTION("""COMPUTED_VALUE"""),"2022-09-18T00:00:00Z")</f>
        <v>2022-09-18T00:00:00Z</v>
      </c>
      <c r="B734" s="3">
        <f>IFERROR(__xludf.DUMMYFUNCTION("""COMPUTED_VALUE"""),6.016193)</f>
        <v>6.016193</v>
      </c>
      <c r="C734" s="3">
        <f>IFERROR(__xludf.DUMMYFUNCTION("""COMPUTED_VALUE"""),7.53766667E8)</f>
        <v>753766667</v>
      </c>
      <c r="D734" s="3">
        <f>IFERROR(__xludf.DUMMYFUNCTION("""COMPUTED_VALUE"""),0.0)</f>
        <v>0</v>
      </c>
      <c r="E734" s="3">
        <f>IFERROR(__xludf.DUMMYFUNCTION("""COMPUTED_VALUE"""),0.0)</f>
        <v>0</v>
      </c>
      <c r="F734" s="3" t="str">
        <f>IFERROR(__xludf.DUMMYFUNCTION("""COMPUTED_VALUE"""),"UNI")</f>
        <v>UNI</v>
      </c>
      <c r="G734" s="3"/>
    </row>
    <row r="735">
      <c r="A735" s="3" t="str">
        <f>IFERROR(__xludf.DUMMYFUNCTION("""COMPUTED_VALUE"""),"2022-09-19T00:00:00Z")</f>
        <v>2022-09-19T00:00:00Z</v>
      </c>
      <c r="B735" s="3">
        <f>IFERROR(__xludf.DUMMYFUNCTION("""COMPUTED_VALUE"""),5.466205)</f>
        <v>5.466205</v>
      </c>
      <c r="C735" s="3">
        <f>IFERROR(__xludf.DUMMYFUNCTION("""COMPUTED_VALUE"""),7.53766667E8)</f>
        <v>753766667</v>
      </c>
      <c r="D735" s="3">
        <f>IFERROR(__xludf.DUMMYFUNCTION("""COMPUTED_VALUE"""),0.0)</f>
        <v>0</v>
      </c>
      <c r="E735" s="3">
        <f>IFERROR(__xludf.DUMMYFUNCTION("""COMPUTED_VALUE"""),0.0)</f>
        <v>0</v>
      </c>
      <c r="F735" s="3" t="str">
        <f>IFERROR(__xludf.DUMMYFUNCTION("""COMPUTED_VALUE"""),"UNI")</f>
        <v>UNI</v>
      </c>
      <c r="G735" s="3"/>
    </row>
    <row r="736">
      <c r="A736" s="3" t="str">
        <f>IFERROR(__xludf.DUMMYFUNCTION("""COMPUTED_VALUE"""),"2022-09-20T00:00:00Z")</f>
        <v>2022-09-20T00:00:00Z</v>
      </c>
      <c r="B736" s="3">
        <f>IFERROR(__xludf.DUMMYFUNCTION("""COMPUTED_VALUE"""),5.479943)</f>
        <v>5.479943</v>
      </c>
      <c r="C736" s="3">
        <f>IFERROR(__xludf.DUMMYFUNCTION("""COMPUTED_VALUE"""),7.53766667E8)</f>
        <v>753766667</v>
      </c>
      <c r="D736" s="3">
        <f>IFERROR(__xludf.DUMMYFUNCTION("""COMPUTED_VALUE"""),0.0)</f>
        <v>0</v>
      </c>
      <c r="E736" s="3">
        <f>IFERROR(__xludf.DUMMYFUNCTION("""COMPUTED_VALUE"""),0.0)</f>
        <v>0</v>
      </c>
      <c r="F736" s="3" t="str">
        <f>IFERROR(__xludf.DUMMYFUNCTION("""COMPUTED_VALUE"""),"UNI")</f>
        <v>UNI</v>
      </c>
      <c r="G736" s="3"/>
    </row>
    <row r="737">
      <c r="A737" s="3" t="str">
        <f>IFERROR(__xludf.DUMMYFUNCTION("""COMPUTED_VALUE"""),"2022-09-21T00:00:00Z")</f>
        <v>2022-09-21T00:00:00Z</v>
      </c>
      <c r="B737" s="3">
        <f>IFERROR(__xludf.DUMMYFUNCTION("""COMPUTED_VALUE"""),5.296895)</f>
        <v>5.296895</v>
      </c>
      <c r="C737" s="3">
        <f>IFERROR(__xludf.DUMMYFUNCTION("""COMPUTED_VALUE"""),7.53766667E8)</f>
        <v>753766667</v>
      </c>
      <c r="D737" s="3">
        <f>IFERROR(__xludf.DUMMYFUNCTION("""COMPUTED_VALUE"""),0.0)</f>
        <v>0</v>
      </c>
      <c r="E737" s="3">
        <f>IFERROR(__xludf.DUMMYFUNCTION("""COMPUTED_VALUE"""),0.0)</f>
        <v>0</v>
      </c>
      <c r="F737" s="3" t="str">
        <f>IFERROR(__xludf.DUMMYFUNCTION("""COMPUTED_VALUE"""),"UNI")</f>
        <v>UNI</v>
      </c>
      <c r="G737" s="3"/>
    </row>
    <row r="738">
      <c r="A738" s="3" t="str">
        <f>IFERROR(__xludf.DUMMYFUNCTION("""COMPUTED_VALUE"""),"2022-09-22T00:00:00Z")</f>
        <v>2022-09-22T00:00:00Z</v>
      </c>
      <c r="B738" s="3">
        <f>IFERROR(__xludf.DUMMYFUNCTION("""COMPUTED_VALUE"""),5.336488)</f>
        <v>5.336488</v>
      </c>
      <c r="C738" s="3">
        <f>IFERROR(__xludf.DUMMYFUNCTION("""COMPUTED_VALUE"""),7.53766667E8)</f>
        <v>753766667</v>
      </c>
      <c r="D738" s="3">
        <f>IFERROR(__xludf.DUMMYFUNCTION("""COMPUTED_VALUE"""),0.0)</f>
        <v>0</v>
      </c>
      <c r="E738" s="3">
        <f>IFERROR(__xludf.DUMMYFUNCTION("""COMPUTED_VALUE"""),0.0)</f>
        <v>0</v>
      </c>
      <c r="F738" s="3" t="str">
        <f>IFERROR(__xludf.DUMMYFUNCTION("""COMPUTED_VALUE"""),"UNI")</f>
        <v>UNI</v>
      </c>
      <c r="G738" s="3"/>
    </row>
    <row r="739">
      <c r="A739" s="3" t="str">
        <f>IFERROR(__xludf.DUMMYFUNCTION("""COMPUTED_VALUE"""),"2022-09-23T00:00:00Z")</f>
        <v>2022-09-23T00:00:00Z</v>
      </c>
      <c r="B739" s="3">
        <f>IFERROR(__xludf.DUMMYFUNCTION("""COMPUTED_VALUE"""),5.732318)</f>
        <v>5.732318</v>
      </c>
      <c r="C739" s="3">
        <f>IFERROR(__xludf.DUMMYFUNCTION("""COMPUTED_VALUE"""),7.53766667E8)</f>
        <v>753766667</v>
      </c>
      <c r="D739" s="3">
        <f>IFERROR(__xludf.DUMMYFUNCTION("""COMPUTED_VALUE"""),0.0)</f>
        <v>0</v>
      </c>
      <c r="E739" s="3">
        <f>IFERROR(__xludf.DUMMYFUNCTION("""COMPUTED_VALUE"""),0.0)</f>
        <v>0</v>
      </c>
      <c r="F739" s="3" t="str">
        <f>IFERROR(__xludf.DUMMYFUNCTION("""COMPUTED_VALUE"""),"UNI")</f>
        <v>UNI</v>
      </c>
      <c r="G739" s="3"/>
    </row>
    <row r="740">
      <c r="A740" s="3" t="str">
        <f>IFERROR(__xludf.DUMMYFUNCTION("""COMPUTED_VALUE"""),"2022-09-24T00:00:00Z")</f>
        <v>2022-09-24T00:00:00Z</v>
      </c>
      <c r="B740" s="3">
        <f>IFERROR(__xludf.DUMMYFUNCTION("""COMPUTED_VALUE"""),5.916344)</f>
        <v>5.916344</v>
      </c>
      <c r="C740" s="3">
        <f>IFERROR(__xludf.DUMMYFUNCTION("""COMPUTED_VALUE"""),7.53766667E8)</f>
        <v>753766667</v>
      </c>
      <c r="D740" s="3">
        <f>IFERROR(__xludf.DUMMYFUNCTION("""COMPUTED_VALUE"""),0.0)</f>
        <v>0</v>
      </c>
      <c r="E740" s="3">
        <f>IFERROR(__xludf.DUMMYFUNCTION("""COMPUTED_VALUE"""),0.0)</f>
        <v>0</v>
      </c>
      <c r="F740" s="3" t="str">
        <f>IFERROR(__xludf.DUMMYFUNCTION("""COMPUTED_VALUE"""),"UNI")</f>
        <v>UNI</v>
      </c>
      <c r="G740" s="3"/>
    </row>
    <row r="741">
      <c r="A741" s="3" t="str">
        <f>IFERROR(__xludf.DUMMYFUNCTION("""COMPUTED_VALUE"""),"2022-09-25T00:00:00Z")</f>
        <v>2022-09-25T00:00:00Z</v>
      </c>
      <c r="B741" s="3">
        <f>IFERROR(__xludf.DUMMYFUNCTION("""COMPUTED_VALUE"""),5.797094)</f>
        <v>5.797094</v>
      </c>
      <c r="C741" s="3">
        <f>IFERROR(__xludf.DUMMYFUNCTION("""COMPUTED_VALUE"""),7.53766667E8)</f>
        <v>753766667</v>
      </c>
      <c r="D741" s="3">
        <f>IFERROR(__xludf.DUMMYFUNCTION("""COMPUTED_VALUE"""),0.0)</f>
        <v>0</v>
      </c>
      <c r="E741" s="3">
        <f>IFERROR(__xludf.DUMMYFUNCTION("""COMPUTED_VALUE"""),0.0)</f>
        <v>0</v>
      </c>
      <c r="F741" s="3" t="str">
        <f>IFERROR(__xludf.DUMMYFUNCTION("""COMPUTED_VALUE"""),"UNI")</f>
        <v>UNI</v>
      </c>
      <c r="G741" s="3"/>
    </row>
    <row r="742">
      <c r="A742" s="3" t="str">
        <f>IFERROR(__xludf.DUMMYFUNCTION("""COMPUTED_VALUE"""),"2022-05-01T00:00:00Z")</f>
        <v>2022-05-01T00:00:00Z</v>
      </c>
      <c r="B742" s="3">
        <f>IFERROR(__xludf.DUMMYFUNCTION("""COMPUTED_VALUE"""),142.232089)</f>
        <v>142.232089</v>
      </c>
      <c r="C742" s="3">
        <f>IFERROR(__xludf.DUMMYFUNCTION("""COMPUTED_VALUE"""),1.3699944191652E7)</f>
        <v>13699944.19</v>
      </c>
      <c r="D742" s="3">
        <f>IFERROR(__xludf.DUMMYFUNCTION("""COMPUTED_VALUE"""),0.0)</f>
        <v>0</v>
      </c>
      <c r="E742" s="3">
        <f>IFERROR(__xludf.DUMMYFUNCTION("""COMPUTED_VALUE"""),0.0)</f>
        <v>0</v>
      </c>
      <c r="F742" s="3" t="str">
        <f>IFERROR(__xludf.DUMMYFUNCTION("""COMPUTED_VALUE"""),"AAVE")</f>
        <v>AAVE</v>
      </c>
      <c r="G742" s="3"/>
    </row>
    <row r="743">
      <c r="A743" s="3" t="str">
        <f>IFERROR(__xludf.DUMMYFUNCTION("""COMPUTED_VALUE"""),"2022-05-02T00:00:00Z")</f>
        <v>2022-05-02T00:00:00Z</v>
      </c>
      <c r="B743" s="3">
        <f>IFERROR(__xludf.DUMMYFUNCTION("""COMPUTED_VALUE"""),146.5505)</f>
        <v>146.5505</v>
      </c>
      <c r="C743" s="3">
        <f>IFERROR(__xludf.DUMMYFUNCTION("""COMPUTED_VALUE"""),1.3702598419827E7)</f>
        <v>13702598.42</v>
      </c>
      <c r="D743" s="3">
        <f>IFERROR(__xludf.DUMMYFUNCTION("""COMPUTED_VALUE"""),2654.2281749993563)</f>
        <v>2654.228175</v>
      </c>
      <c r="E743" s="3">
        <f>IFERROR(__xludf.DUMMYFUNCTION("""COMPUTED_VALUE"""),388978.46616024314)</f>
        <v>388978.4662</v>
      </c>
      <c r="F743" s="3" t="str">
        <f>IFERROR(__xludf.DUMMYFUNCTION("""COMPUTED_VALUE"""),"AAVE")</f>
        <v>AAVE</v>
      </c>
      <c r="G743" s="3"/>
    </row>
    <row r="744">
      <c r="A744" s="3" t="str">
        <f>IFERROR(__xludf.DUMMYFUNCTION("""COMPUTED_VALUE"""),"2022-05-03T00:00:00Z")</f>
        <v>2022-05-03T00:00:00Z</v>
      </c>
      <c r="B744" s="3">
        <f>IFERROR(__xludf.DUMMYFUNCTION("""COMPUTED_VALUE"""),144.167525)</f>
        <v>144.167525</v>
      </c>
      <c r="C744" s="3">
        <f>IFERROR(__xludf.DUMMYFUNCTION("""COMPUTED_VALUE"""),1.3703063093253E7)</f>
        <v>13703063.09</v>
      </c>
      <c r="D744" s="3">
        <f>IFERROR(__xludf.DUMMYFUNCTION("""COMPUTED_VALUE"""),464.6734260004014)</f>
        <v>464.673426</v>
      </c>
      <c r="E744" s="3">
        <f>IFERROR(__xludf.DUMMYFUNCTION("""COMPUTED_VALUE"""),66990.81775974852)</f>
        <v>66990.81776</v>
      </c>
      <c r="F744" s="3" t="str">
        <f>IFERROR(__xludf.DUMMYFUNCTION("""COMPUTED_VALUE"""),"AAVE")</f>
        <v>AAVE</v>
      </c>
      <c r="G744" s="3"/>
    </row>
    <row r="745">
      <c r="A745" s="3" t="str">
        <f>IFERROR(__xludf.DUMMYFUNCTION("""COMPUTED_VALUE"""),"2022-05-04T00:00:00Z")</f>
        <v>2022-05-04T00:00:00Z</v>
      </c>
      <c r="B745" s="3">
        <f>IFERROR(__xludf.DUMMYFUNCTION("""COMPUTED_VALUE"""),141.11723)</f>
        <v>141.11723</v>
      </c>
      <c r="C745" s="3">
        <f>IFERROR(__xludf.DUMMYFUNCTION("""COMPUTED_VALUE"""),1.3703543949879E7)</f>
        <v>13703543.95</v>
      </c>
      <c r="D745" s="3">
        <f>IFERROR(__xludf.DUMMYFUNCTION("""COMPUTED_VALUE"""),480.85662600025535)</f>
        <v>480.856626</v>
      </c>
      <c r="E745" s="3">
        <f>IFERROR(__xludf.DUMMYFUNCTION("""COMPUTED_VALUE"""),67857.15508830201)</f>
        <v>67857.15509</v>
      </c>
      <c r="F745" s="3" t="str">
        <f>IFERROR(__xludf.DUMMYFUNCTION("""COMPUTED_VALUE"""),"AAVE")</f>
        <v>AAVE</v>
      </c>
      <c r="G745" s="3"/>
    </row>
    <row r="746">
      <c r="A746" s="3" t="str">
        <f>IFERROR(__xludf.DUMMYFUNCTION("""COMPUTED_VALUE"""),"2022-05-05T00:00:00Z")</f>
        <v>2022-05-05T00:00:00Z</v>
      </c>
      <c r="B746" s="3">
        <f>IFERROR(__xludf.DUMMYFUNCTION("""COMPUTED_VALUE"""),159.568297)</f>
        <v>159.568297</v>
      </c>
      <c r="C746" s="3">
        <f>IFERROR(__xludf.DUMMYFUNCTION("""COMPUTED_VALUE"""),1.3703786958541E7)</f>
        <v>13703786.96</v>
      </c>
      <c r="D746" s="3">
        <f>IFERROR(__xludf.DUMMYFUNCTION("""COMPUTED_VALUE"""),243.0086620002985)</f>
        <v>243.008662</v>
      </c>
      <c r="E746" s="3">
        <f>IFERROR(__xludf.DUMMYFUNCTION("""COMPUTED_VALUE"""),38776.478351636244)</f>
        <v>38776.47835</v>
      </c>
      <c r="F746" s="3" t="str">
        <f>IFERROR(__xludf.DUMMYFUNCTION("""COMPUTED_VALUE"""),"AAVE")</f>
        <v>AAVE</v>
      </c>
      <c r="G746" s="3"/>
    </row>
    <row r="747">
      <c r="A747" s="3" t="str">
        <f>IFERROR(__xludf.DUMMYFUNCTION("""COMPUTED_VALUE"""),"2022-05-06T00:00:00Z")</f>
        <v>2022-05-06T00:00:00Z</v>
      </c>
      <c r="B747" s="3">
        <f>IFERROR(__xludf.DUMMYFUNCTION("""COMPUTED_VALUE"""),141.347477)</f>
        <v>141.347477</v>
      </c>
      <c r="C747" s="3">
        <f>IFERROR(__xludf.DUMMYFUNCTION("""COMPUTED_VALUE"""),1.3703982686233E7)</f>
        <v>13703982.69</v>
      </c>
      <c r="D747" s="3">
        <f>IFERROR(__xludf.DUMMYFUNCTION("""COMPUTED_VALUE"""),195.7276920005679)</f>
        <v>195.727692</v>
      </c>
      <c r="E747" s="3">
        <f>IFERROR(__xludf.DUMMYFUNCTION("""COMPUTED_VALUE"""),27665.615443313356)</f>
        <v>27665.61544</v>
      </c>
      <c r="F747" s="3" t="str">
        <f>IFERROR(__xludf.DUMMYFUNCTION("""COMPUTED_VALUE"""),"AAVE")</f>
        <v>AAVE</v>
      </c>
      <c r="G747" s="3"/>
    </row>
    <row r="748">
      <c r="A748" s="3" t="str">
        <f>IFERROR(__xludf.DUMMYFUNCTION("""COMPUTED_VALUE"""),"2022-05-07T00:00:00Z")</f>
        <v>2022-05-07T00:00:00Z</v>
      </c>
      <c r="B748" s="3">
        <f>IFERROR(__xludf.DUMMYFUNCTION("""COMPUTED_VALUE"""),138.374756)</f>
        <v>138.374756</v>
      </c>
      <c r="C748" s="3">
        <f>IFERROR(__xludf.DUMMYFUNCTION("""COMPUTED_VALUE"""),1.3712569481324E7)</f>
        <v>13712569.48</v>
      </c>
      <c r="D748" s="3">
        <f>IFERROR(__xludf.DUMMYFUNCTION("""COMPUTED_VALUE"""),8586.795090999454)</f>
        <v>8586.795091</v>
      </c>
      <c r="E748" s="3">
        <f>IFERROR(__xludf.DUMMYFUNCTION("""COMPUTED_VALUE"""),1188195.6755390472)</f>
        <v>1188195.676</v>
      </c>
      <c r="F748" s="3" t="str">
        <f>IFERROR(__xludf.DUMMYFUNCTION("""COMPUTED_VALUE"""),"AAVE")</f>
        <v>AAVE</v>
      </c>
      <c r="G748" s="3"/>
    </row>
    <row r="749">
      <c r="A749" s="3" t="str">
        <f>IFERROR(__xludf.DUMMYFUNCTION("""COMPUTED_VALUE"""),"2022-05-08T00:00:00Z")</f>
        <v>2022-05-08T00:00:00Z</v>
      </c>
      <c r="B749" s="3">
        <f>IFERROR(__xludf.DUMMYFUNCTION("""COMPUTED_VALUE"""),132.18587)</f>
        <v>132.18587</v>
      </c>
      <c r="C749" s="3">
        <f>IFERROR(__xludf.DUMMYFUNCTION("""COMPUTED_VALUE"""),1.3713001881858E7)</f>
        <v>13713001.88</v>
      </c>
      <c r="D749" s="3">
        <f>IFERROR(__xludf.DUMMYFUNCTION("""COMPUTED_VALUE"""),432.4005340002477)</f>
        <v>432.400534</v>
      </c>
      <c r="E749" s="3">
        <f>IFERROR(__xludf.DUMMYFUNCTION("""COMPUTED_VALUE"""),57157.24077528732)</f>
        <v>57157.24078</v>
      </c>
      <c r="F749" s="3" t="str">
        <f>IFERROR(__xludf.DUMMYFUNCTION("""COMPUTED_VALUE"""),"AAVE")</f>
        <v>AAVE</v>
      </c>
      <c r="G749" s="3"/>
    </row>
    <row r="750">
      <c r="A750" s="3" t="str">
        <f>IFERROR(__xludf.DUMMYFUNCTION("""COMPUTED_VALUE"""),"2022-05-09T00:00:00Z")</f>
        <v>2022-05-09T00:00:00Z</v>
      </c>
      <c r="B750" s="3">
        <f>IFERROR(__xludf.DUMMYFUNCTION("""COMPUTED_VALUE"""),125.988821)</f>
        <v>125.988821</v>
      </c>
      <c r="C750" s="3">
        <f>IFERROR(__xludf.DUMMYFUNCTION("""COMPUTED_VALUE"""),1.3713208650376E7)</f>
        <v>13713208.65</v>
      </c>
      <c r="D750" s="3">
        <f>IFERROR(__xludf.DUMMYFUNCTION("""COMPUTED_VALUE"""),206.7685179989785)</f>
        <v>206.768518</v>
      </c>
      <c r="E750" s="3">
        <f>IFERROR(__xludf.DUMMYFUNCTION("""COMPUTED_VALUE"""),26050.52180260858)</f>
        <v>26050.5218</v>
      </c>
      <c r="F750" s="3" t="str">
        <f>IFERROR(__xludf.DUMMYFUNCTION("""COMPUTED_VALUE"""),"AAVE")</f>
        <v>AAVE</v>
      </c>
      <c r="G750" s="3"/>
    </row>
    <row r="751">
      <c r="A751" s="3" t="str">
        <f>IFERROR(__xludf.DUMMYFUNCTION("""COMPUTED_VALUE"""),"2022-05-10T00:00:00Z")</f>
        <v>2022-05-10T00:00:00Z</v>
      </c>
      <c r="B751" s="3">
        <f>IFERROR(__xludf.DUMMYFUNCTION("""COMPUTED_VALUE"""),99.348682)</f>
        <v>99.348682</v>
      </c>
      <c r="C751" s="3">
        <f>IFERROR(__xludf.DUMMYFUNCTION("""COMPUTED_VALUE"""),1.371334374639E7)</f>
        <v>13713343.75</v>
      </c>
      <c r="D751" s="3">
        <f>IFERROR(__xludf.DUMMYFUNCTION("""COMPUTED_VALUE"""),135.0960140004754)</f>
        <v>135.096014</v>
      </c>
      <c r="E751" s="3">
        <f>IFERROR(__xludf.DUMMYFUNCTION("""COMPUTED_VALUE"""),13421.610934400778)</f>
        <v>13421.61093</v>
      </c>
      <c r="F751" s="3" t="str">
        <f>IFERROR(__xludf.DUMMYFUNCTION("""COMPUTED_VALUE"""),"AAVE")</f>
        <v>AAVE</v>
      </c>
      <c r="G751" s="3"/>
    </row>
    <row r="752">
      <c r="A752" s="3" t="str">
        <f>IFERROR(__xludf.DUMMYFUNCTION("""COMPUTED_VALUE"""),"2022-05-11T00:00:00Z")</f>
        <v>2022-05-11T00:00:00Z</v>
      </c>
      <c r="B752" s="3">
        <f>IFERROR(__xludf.DUMMYFUNCTION("""COMPUTED_VALUE"""),105.141455)</f>
        <v>105.141455</v>
      </c>
      <c r="C752" s="3">
        <f>IFERROR(__xludf.DUMMYFUNCTION("""COMPUTED_VALUE"""),1.3714930715086E7)</f>
        <v>13714930.72</v>
      </c>
      <c r="D752" s="3">
        <f>IFERROR(__xludf.DUMMYFUNCTION("""COMPUTED_VALUE"""),1586.9686960000545)</f>
        <v>1586.968696</v>
      </c>
      <c r="E752" s="3">
        <f>IFERROR(__xludf.DUMMYFUNCTION("""COMPUTED_VALUE"""),166856.1977368984)</f>
        <v>166856.1977</v>
      </c>
      <c r="F752" s="3" t="str">
        <f>IFERROR(__xludf.DUMMYFUNCTION("""COMPUTED_VALUE"""),"AAVE")</f>
        <v>AAVE</v>
      </c>
      <c r="G752" s="3"/>
    </row>
    <row r="753">
      <c r="A753" s="3" t="str">
        <f>IFERROR(__xludf.DUMMYFUNCTION("""COMPUTED_VALUE"""),"2022-05-12T00:00:00Z")</f>
        <v>2022-05-12T00:00:00Z</v>
      </c>
      <c r="B753" s="3">
        <f>IFERROR(__xludf.DUMMYFUNCTION("""COMPUTED_VALUE"""),82.203149)</f>
        <v>82.203149</v>
      </c>
      <c r="C753" s="3">
        <f>IFERROR(__xludf.DUMMYFUNCTION("""COMPUTED_VALUE"""),1.3715328309443E7)</f>
        <v>13715328.31</v>
      </c>
      <c r="D753" s="3">
        <f>IFERROR(__xludf.DUMMYFUNCTION("""COMPUTED_VALUE"""),397.5943570006639)</f>
        <v>397.594357</v>
      </c>
      <c r="E753" s="3">
        <f>IFERROR(__xludf.DUMMYFUNCTION("""COMPUTED_VALUE"""),32683.508170084766)</f>
        <v>32683.50817</v>
      </c>
      <c r="F753" s="3" t="str">
        <f>IFERROR(__xludf.DUMMYFUNCTION("""COMPUTED_VALUE"""),"AAVE")</f>
        <v>AAVE</v>
      </c>
      <c r="G753" s="3"/>
    </row>
    <row r="754">
      <c r="A754" s="3" t="str">
        <f>IFERROR(__xludf.DUMMYFUNCTION("""COMPUTED_VALUE"""),"2022-05-13T00:00:00Z")</f>
        <v>2022-05-13T00:00:00Z</v>
      </c>
      <c r="B754" s="3">
        <f>IFERROR(__xludf.DUMMYFUNCTION("""COMPUTED_VALUE"""),76.900714)</f>
        <v>76.900714</v>
      </c>
      <c r="C754" s="3">
        <f>IFERROR(__xludf.DUMMYFUNCTION("""COMPUTED_VALUE"""),1.3715598184228E7)</f>
        <v>13715598.18</v>
      </c>
      <c r="D754" s="3">
        <f>IFERROR(__xludf.DUMMYFUNCTION("""COMPUTED_VALUE"""),269.8747849985957)</f>
        <v>269.874785</v>
      </c>
      <c r="E754" s="3">
        <f>IFERROR(__xludf.DUMMYFUNCTION("""COMPUTED_VALUE"""),20753.5636569885)</f>
        <v>20753.56366</v>
      </c>
      <c r="F754" s="3" t="str">
        <f>IFERROR(__xludf.DUMMYFUNCTION("""COMPUTED_VALUE"""),"AAVE")</f>
        <v>AAVE</v>
      </c>
      <c r="G754" s="3"/>
    </row>
    <row r="755">
      <c r="A755" s="3" t="str">
        <f>IFERROR(__xludf.DUMMYFUNCTION("""COMPUTED_VALUE"""),"2022-05-14T00:00:00Z")</f>
        <v>2022-05-14T00:00:00Z</v>
      </c>
      <c r="B755" s="3">
        <f>IFERROR(__xludf.DUMMYFUNCTION("""COMPUTED_VALUE"""),82.341252)</f>
        <v>82.341252</v>
      </c>
      <c r="C755" s="3">
        <f>IFERROR(__xludf.DUMMYFUNCTION("""COMPUTED_VALUE"""),1.3715737491974E7)</f>
        <v>13715737.49</v>
      </c>
      <c r="D755" s="3">
        <f>IFERROR(__xludf.DUMMYFUNCTION("""COMPUTED_VALUE"""),139.30774600058794)</f>
        <v>139.307746</v>
      </c>
      <c r="E755" s="3">
        <f>IFERROR(__xludf.DUMMYFUNCTION("""COMPUTED_VALUE"""),11470.774218986404)</f>
        <v>11470.77422</v>
      </c>
      <c r="F755" s="3" t="str">
        <f>IFERROR(__xludf.DUMMYFUNCTION("""COMPUTED_VALUE"""),"AAVE")</f>
        <v>AAVE</v>
      </c>
      <c r="G755" s="3"/>
    </row>
    <row r="756">
      <c r="A756" s="3" t="str">
        <f>IFERROR(__xludf.DUMMYFUNCTION("""COMPUTED_VALUE"""),"2022-05-15T00:00:00Z")</f>
        <v>2022-05-15T00:00:00Z</v>
      </c>
      <c r="B756" s="3">
        <f>IFERROR(__xludf.DUMMYFUNCTION("""COMPUTED_VALUE"""),86.515951)</f>
        <v>86.515951</v>
      </c>
      <c r="C756" s="3">
        <f>IFERROR(__xludf.DUMMYFUNCTION("""COMPUTED_VALUE"""),1.3715854964589E7)</f>
        <v>13715854.96</v>
      </c>
      <c r="D756" s="3">
        <f>IFERROR(__xludf.DUMMYFUNCTION("""COMPUTED_VALUE"""),117.47261499986053)</f>
        <v>117.472615</v>
      </c>
      <c r="E756" s="3">
        <f>IFERROR(__xludf.DUMMYFUNCTION("""COMPUTED_VALUE"""),10163.2550031698)</f>
        <v>10163.255</v>
      </c>
      <c r="F756" s="3" t="str">
        <f>IFERROR(__xludf.DUMMYFUNCTION("""COMPUTED_VALUE"""),"AAVE")</f>
        <v>AAVE</v>
      </c>
      <c r="G756" s="3"/>
    </row>
    <row r="757">
      <c r="A757" s="3" t="str">
        <f>IFERROR(__xludf.DUMMYFUNCTION("""COMPUTED_VALUE"""),"2022-05-16T00:00:00Z")</f>
        <v>2022-05-16T00:00:00Z</v>
      </c>
      <c r="B757" s="3">
        <f>IFERROR(__xludf.DUMMYFUNCTION("""COMPUTED_VALUE"""),91.982302)</f>
        <v>91.982302</v>
      </c>
      <c r="C757" s="3">
        <f>IFERROR(__xludf.DUMMYFUNCTION("""COMPUTED_VALUE"""),1.3738607957077E7)</f>
        <v>13738607.96</v>
      </c>
      <c r="D757" s="3">
        <f>IFERROR(__xludf.DUMMYFUNCTION("""COMPUTED_VALUE"""),22752.992488000542)</f>
        <v>22752.99249</v>
      </c>
      <c r="E757" s="3">
        <f>IFERROR(__xludf.DUMMYFUNCTION("""COMPUTED_VALUE"""),2092872.6264349974)</f>
        <v>2092872.626</v>
      </c>
      <c r="F757" s="3" t="str">
        <f>IFERROR(__xludf.DUMMYFUNCTION("""COMPUTED_VALUE"""),"AAVE")</f>
        <v>AAVE</v>
      </c>
      <c r="G757" s="3"/>
    </row>
    <row r="758">
      <c r="A758" s="3" t="str">
        <f>IFERROR(__xludf.DUMMYFUNCTION("""COMPUTED_VALUE"""),"2022-05-17T00:00:00Z")</f>
        <v>2022-05-17T00:00:00Z</v>
      </c>
      <c r="B758" s="3">
        <f>IFERROR(__xludf.DUMMYFUNCTION("""COMPUTED_VALUE"""),83.895907)</f>
        <v>83.895907</v>
      </c>
      <c r="C758" s="3">
        <f>IFERROR(__xludf.DUMMYFUNCTION("""COMPUTED_VALUE"""),1.3739134444061E7)</f>
        <v>13739134.44</v>
      </c>
      <c r="D758" s="3">
        <f>IFERROR(__xludf.DUMMYFUNCTION("""COMPUTED_VALUE"""),526.48698399961)</f>
        <v>526.486984</v>
      </c>
      <c r="E758" s="3">
        <f>IFERROR(__xludf.DUMMYFUNCTION("""COMPUTED_VALUE"""),44170.10304634176)</f>
        <v>44170.10305</v>
      </c>
      <c r="F758" s="3" t="str">
        <f>IFERROR(__xludf.DUMMYFUNCTION("""COMPUTED_VALUE"""),"AAVE")</f>
        <v>AAVE</v>
      </c>
      <c r="G758" s="3"/>
    </row>
    <row r="759">
      <c r="A759" s="3" t="str">
        <f>IFERROR(__xludf.DUMMYFUNCTION("""COMPUTED_VALUE"""),"2022-05-18T00:00:00Z")</f>
        <v>2022-05-18T00:00:00Z</v>
      </c>
      <c r="B759" s="3">
        <f>IFERROR(__xludf.DUMMYFUNCTION("""COMPUTED_VALUE"""),92.560855)</f>
        <v>92.560855</v>
      </c>
      <c r="C759" s="3">
        <f>IFERROR(__xludf.DUMMYFUNCTION("""COMPUTED_VALUE"""),1.3739430663771E7)</f>
        <v>13739430.66</v>
      </c>
      <c r="D759" s="3">
        <f>IFERROR(__xludf.DUMMYFUNCTION("""COMPUTED_VALUE"""),296.21970999985933)</f>
        <v>296.21971</v>
      </c>
      <c r="E759" s="3">
        <f>IFERROR(__xludf.DUMMYFUNCTION("""COMPUTED_VALUE"""),27418.34962543903)</f>
        <v>27418.34963</v>
      </c>
      <c r="F759" s="3" t="str">
        <f>IFERROR(__xludf.DUMMYFUNCTION("""COMPUTED_VALUE"""),"AAVE")</f>
        <v>AAVE</v>
      </c>
      <c r="G759" s="3"/>
    </row>
    <row r="760">
      <c r="A760" s="3" t="str">
        <f>IFERROR(__xludf.DUMMYFUNCTION("""COMPUTED_VALUE"""),"2022-05-19T00:00:00Z")</f>
        <v>2022-05-19T00:00:00Z</v>
      </c>
      <c r="B760" s="3">
        <f>IFERROR(__xludf.DUMMYFUNCTION("""COMPUTED_VALUE"""),81.870482)</f>
        <v>81.870482</v>
      </c>
      <c r="C760" s="3">
        <f>IFERROR(__xludf.DUMMYFUNCTION("""COMPUTED_VALUE"""),1.3739777975918E7)</f>
        <v>13739777.98</v>
      </c>
      <c r="D760" s="3">
        <f>IFERROR(__xludf.DUMMYFUNCTION("""COMPUTED_VALUE"""),347.31214700080454)</f>
        <v>347.312147</v>
      </c>
      <c r="E760" s="3">
        <f>IFERROR(__xludf.DUMMYFUNCTION("""COMPUTED_VALUE"""),28434.61287941072)</f>
        <v>28434.61288</v>
      </c>
      <c r="F760" s="3" t="str">
        <f>IFERROR(__xludf.DUMMYFUNCTION("""COMPUTED_VALUE"""),"AAVE")</f>
        <v>AAVE</v>
      </c>
      <c r="G760" s="3"/>
    </row>
    <row r="761">
      <c r="A761" s="3" t="str">
        <f>IFERROR(__xludf.DUMMYFUNCTION("""COMPUTED_VALUE"""),"2022-05-20T00:00:00Z")</f>
        <v>2022-05-20T00:00:00Z</v>
      </c>
      <c r="B761" s="3">
        <f>IFERROR(__xludf.DUMMYFUNCTION("""COMPUTED_VALUE"""),91.710091)</f>
        <v>91.710091</v>
      </c>
      <c r="C761" s="3">
        <f>IFERROR(__xludf.DUMMYFUNCTION("""COMPUTED_VALUE"""),1.3740264570167E7)</f>
        <v>13740264.57</v>
      </c>
      <c r="D761" s="3">
        <f>IFERROR(__xludf.DUMMYFUNCTION("""COMPUTED_VALUE"""),486.5942489989102)</f>
        <v>486.594249</v>
      </c>
      <c r="E761" s="3">
        <f>IFERROR(__xludf.DUMMYFUNCTION("""COMPUTED_VALUE"""),44625.602855766716)</f>
        <v>44625.60286</v>
      </c>
      <c r="F761" s="3" t="str">
        <f>IFERROR(__xludf.DUMMYFUNCTION("""COMPUTED_VALUE"""),"AAVE")</f>
        <v>AAVE</v>
      </c>
      <c r="G761" s="3"/>
    </row>
    <row r="762">
      <c r="A762" s="3" t="str">
        <f>IFERROR(__xludf.DUMMYFUNCTION("""COMPUTED_VALUE"""),"2022-05-21T00:00:00Z")</f>
        <v>2022-05-21T00:00:00Z</v>
      </c>
      <c r="B762" s="3">
        <f>IFERROR(__xludf.DUMMYFUNCTION("""COMPUTED_VALUE"""),90.133435)</f>
        <v>90.133435</v>
      </c>
      <c r="C762" s="3">
        <f>IFERROR(__xludf.DUMMYFUNCTION("""COMPUTED_VALUE"""),1.3740382806348E7)</f>
        <v>13740382.81</v>
      </c>
      <c r="D762" s="3">
        <f>IFERROR(__xludf.DUMMYFUNCTION("""COMPUTED_VALUE"""),118.2361810002476)</f>
        <v>118.236181</v>
      </c>
      <c r="E762" s="3">
        <f>IFERROR(__xludf.DUMMYFUNCTION("""COMPUTED_VALUE"""),10657.033134834053)</f>
        <v>10657.03313</v>
      </c>
      <c r="F762" s="3" t="str">
        <f>IFERROR(__xludf.DUMMYFUNCTION("""COMPUTED_VALUE"""),"AAVE")</f>
        <v>AAVE</v>
      </c>
      <c r="G762" s="3"/>
    </row>
    <row r="763">
      <c r="A763" s="3" t="str">
        <f>IFERROR(__xludf.DUMMYFUNCTION("""COMPUTED_VALUE"""),"2022-05-22T00:00:00Z")</f>
        <v>2022-05-22T00:00:00Z</v>
      </c>
      <c r="B763" s="3">
        <f>IFERROR(__xludf.DUMMYFUNCTION("""COMPUTED_VALUE"""),91.162551)</f>
        <v>91.162551</v>
      </c>
      <c r="C763" s="3">
        <f>IFERROR(__xludf.DUMMYFUNCTION("""COMPUTED_VALUE"""),1.374057886971E7)</f>
        <v>13740578.87</v>
      </c>
      <c r="D763" s="3">
        <f>IFERROR(__xludf.DUMMYFUNCTION("""COMPUTED_VALUE"""),196.0633620005101)</f>
        <v>196.063362</v>
      </c>
      <c r="E763" s="3">
        <f>IFERROR(__xludf.DUMMYFUNCTION("""COMPUTED_VALUE"""),17873.63623760296)</f>
        <v>17873.63624</v>
      </c>
      <c r="F763" s="3" t="str">
        <f>IFERROR(__xludf.DUMMYFUNCTION("""COMPUTED_VALUE"""),"AAVE")</f>
        <v>AAVE</v>
      </c>
      <c r="G763" s="3"/>
    </row>
    <row r="764">
      <c r="A764" s="3" t="str">
        <f>IFERROR(__xludf.DUMMYFUNCTION("""COMPUTED_VALUE"""),"2022-05-23T00:00:00Z")</f>
        <v>2022-05-23T00:00:00Z</v>
      </c>
      <c r="B764" s="3">
        <f>IFERROR(__xludf.DUMMYFUNCTION("""COMPUTED_VALUE"""),93.996349)</f>
        <v>93.996349</v>
      </c>
      <c r="C764" s="3">
        <f>IFERROR(__xludf.DUMMYFUNCTION("""COMPUTED_VALUE"""),1.3741188314339E7)</f>
        <v>13741188.31</v>
      </c>
      <c r="D764" s="3">
        <f>IFERROR(__xludf.DUMMYFUNCTION("""COMPUTED_VALUE"""),609.4446290004998)</f>
        <v>609.444629</v>
      </c>
      <c r="E764" s="3">
        <f>IFERROR(__xludf.DUMMYFUNCTION("""COMPUTED_VALUE"""),57285.5700437065)</f>
        <v>57285.57004</v>
      </c>
      <c r="F764" s="3" t="str">
        <f>IFERROR(__xludf.DUMMYFUNCTION("""COMPUTED_VALUE"""),"AAVE")</f>
        <v>AAVE</v>
      </c>
      <c r="G764" s="3"/>
    </row>
    <row r="765">
      <c r="A765" s="3" t="str">
        <f>IFERROR(__xludf.DUMMYFUNCTION("""COMPUTED_VALUE"""),"2022-05-24T00:00:00Z")</f>
        <v>2022-05-24T00:00:00Z</v>
      </c>
      <c r="B765" s="3">
        <f>IFERROR(__xludf.DUMMYFUNCTION("""COMPUTED_VALUE"""),99.176523)</f>
        <v>99.176523</v>
      </c>
      <c r="C765" s="3">
        <f>IFERROR(__xludf.DUMMYFUNCTION("""COMPUTED_VALUE"""),1.3741518392489E7)</f>
        <v>13741518.39</v>
      </c>
      <c r="D765" s="3">
        <f>IFERROR(__xludf.DUMMYFUNCTION("""COMPUTED_VALUE"""),330.07814999856055)</f>
        <v>330.07815</v>
      </c>
      <c r="E765" s="3">
        <f>IFERROR(__xludf.DUMMYFUNCTION("""COMPUTED_VALUE"""),32736.00323512969)</f>
        <v>32736.00324</v>
      </c>
      <c r="F765" s="3" t="str">
        <f>IFERROR(__xludf.DUMMYFUNCTION("""COMPUTED_VALUE"""),"AAVE")</f>
        <v>AAVE</v>
      </c>
      <c r="G765" s="3"/>
    </row>
    <row r="766">
      <c r="A766" s="3" t="str">
        <f>IFERROR(__xludf.DUMMYFUNCTION("""COMPUTED_VALUE"""),"2022-05-25T00:00:00Z")</f>
        <v>2022-05-25T00:00:00Z</v>
      </c>
      <c r="B766" s="3">
        <f>IFERROR(__xludf.DUMMYFUNCTION("""COMPUTED_VALUE"""),106.403542)</f>
        <v>106.403542</v>
      </c>
      <c r="C766" s="3">
        <f>IFERROR(__xludf.DUMMYFUNCTION("""COMPUTED_VALUE"""),1.38678387261E7)</f>
        <v>13867838.73</v>
      </c>
      <c r="D766" s="3">
        <f>IFERROR(__xludf.DUMMYFUNCTION("""COMPUTED_VALUE"""),126320.33361100033)</f>
        <v>126320.3336</v>
      </c>
      <c r="E766" s="3">
        <f>IFERROR(__xludf.DUMMYFUNCTION("""COMPUTED_VALUE"""),1.3440930922832085E7)</f>
        <v>13440930.92</v>
      </c>
      <c r="F766" s="3" t="str">
        <f>IFERROR(__xludf.DUMMYFUNCTION("""COMPUTED_VALUE"""),"AAVE")</f>
        <v>AAVE</v>
      </c>
      <c r="G766" s="3"/>
    </row>
    <row r="767">
      <c r="A767" s="3" t="str">
        <f>IFERROR(__xludf.DUMMYFUNCTION("""COMPUTED_VALUE"""),"2022-05-26T00:00:00Z")</f>
        <v>2022-05-26T00:00:00Z</v>
      </c>
      <c r="B767" s="3">
        <f>IFERROR(__xludf.DUMMYFUNCTION("""COMPUTED_VALUE"""),101.925442)</f>
        <v>101.925442</v>
      </c>
      <c r="C767" s="3">
        <f>IFERROR(__xludf.DUMMYFUNCTION("""COMPUTED_VALUE"""),1.3868266051267E7)</f>
        <v>13868266.05</v>
      </c>
      <c r="D767" s="3">
        <f>IFERROR(__xludf.DUMMYFUNCTION("""COMPUTED_VALUE"""),427.32516700029373)</f>
        <v>427.325167</v>
      </c>
      <c r="E767" s="3">
        <f>IFERROR(__xludf.DUMMYFUNCTION("""COMPUTED_VALUE"""),43555.306524228756)</f>
        <v>43555.30652</v>
      </c>
      <c r="F767" s="3" t="str">
        <f>IFERROR(__xludf.DUMMYFUNCTION("""COMPUTED_VALUE"""),"AAVE")</f>
        <v>AAVE</v>
      </c>
      <c r="G767" s="3"/>
    </row>
    <row r="768">
      <c r="A768" s="3" t="str">
        <f>IFERROR(__xludf.DUMMYFUNCTION("""COMPUTED_VALUE"""),"2022-05-27T00:00:00Z")</f>
        <v>2022-05-27T00:00:00Z</v>
      </c>
      <c r="B768" s="3">
        <f>IFERROR(__xludf.DUMMYFUNCTION("""COMPUTED_VALUE"""),100.896645)</f>
        <v>100.896645</v>
      </c>
      <c r="C768" s="3">
        <f>IFERROR(__xludf.DUMMYFUNCTION("""COMPUTED_VALUE"""),1.3868450653964E7)</f>
        <v>13868450.65</v>
      </c>
      <c r="D768" s="3">
        <f>IFERROR(__xludf.DUMMYFUNCTION("""COMPUTED_VALUE"""),184.6026969999075)</f>
        <v>184.602697</v>
      </c>
      <c r="E768" s="3">
        <f>IFERROR(__xludf.DUMMYFUNCTION("""COMPUTED_VALUE"""),18625.792785242233)</f>
        <v>18625.79279</v>
      </c>
      <c r="F768" s="3" t="str">
        <f>IFERROR(__xludf.DUMMYFUNCTION("""COMPUTED_VALUE"""),"AAVE")</f>
        <v>AAVE</v>
      </c>
      <c r="G768" s="3"/>
    </row>
    <row r="769">
      <c r="A769" s="3" t="str">
        <f>IFERROR(__xludf.DUMMYFUNCTION("""COMPUTED_VALUE"""),"2022-05-28T00:00:00Z")</f>
        <v>2022-05-28T00:00:00Z</v>
      </c>
      <c r="B769" s="3">
        <f>IFERROR(__xludf.DUMMYFUNCTION("""COMPUTED_VALUE"""),92.320174)</f>
        <v>92.320174</v>
      </c>
      <c r="C769" s="3">
        <f>IFERROR(__xludf.DUMMYFUNCTION("""COMPUTED_VALUE"""),1.3868571145333E7)</f>
        <v>13868571.15</v>
      </c>
      <c r="D769" s="3">
        <f>IFERROR(__xludf.DUMMYFUNCTION("""COMPUTED_VALUE"""),120.49136899970472)</f>
        <v>120.491369</v>
      </c>
      <c r="E769" s="3">
        <f>IFERROR(__xludf.DUMMYFUNCTION("""COMPUTED_VALUE"""),11123.784151550944)</f>
        <v>11123.78415</v>
      </c>
      <c r="F769" s="3" t="str">
        <f>IFERROR(__xludf.DUMMYFUNCTION("""COMPUTED_VALUE"""),"AAVE")</f>
        <v>AAVE</v>
      </c>
      <c r="G769" s="3"/>
    </row>
    <row r="770">
      <c r="A770" s="3" t="str">
        <f>IFERROR(__xludf.DUMMYFUNCTION("""COMPUTED_VALUE"""),"2022-05-29T00:00:00Z")</f>
        <v>2022-05-29T00:00:00Z</v>
      </c>
      <c r="B770" s="3">
        <f>IFERROR(__xludf.DUMMYFUNCTION("""COMPUTED_VALUE"""),95.399369)</f>
        <v>95.399369</v>
      </c>
      <c r="C770" s="3">
        <f>IFERROR(__xludf.DUMMYFUNCTION("""COMPUTED_VALUE"""),1.3868703616022E7)</f>
        <v>13868703.62</v>
      </c>
      <c r="D770" s="3">
        <f>IFERROR(__xludf.DUMMYFUNCTION("""COMPUTED_VALUE"""),132.47068900056183)</f>
        <v>132.470689</v>
      </c>
      <c r="E770" s="3">
        <f>IFERROR(__xludf.DUMMYFUNCTION("""COMPUTED_VALUE"""),12637.620141648838)</f>
        <v>12637.62014</v>
      </c>
      <c r="F770" s="3" t="str">
        <f>IFERROR(__xludf.DUMMYFUNCTION("""COMPUTED_VALUE"""),"AAVE")</f>
        <v>AAVE</v>
      </c>
      <c r="G770" s="3"/>
    </row>
    <row r="771">
      <c r="A771" s="3" t="str">
        <f>IFERROR(__xludf.DUMMYFUNCTION("""COMPUTED_VALUE"""),"2022-05-30T00:00:00Z")</f>
        <v>2022-05-30T00:00:00Z</v>
      </c>
      <c r="B771" s="3">
        <f>IFERROR(__xludf.DUMMYFUNCTION("""COMPUTED_VALUE"""),95.413491)</f>
        <v>95.413491</v>
      </c>
      <c r="C771" s="3">
        <f>IFERROR(__xludf.DUMMYFUNCTION("""COMPUTED_VALUE"""),1.3869745501634E7)</f>
        <v>13869745.5</v>
      </c>
      <c r="D771" s="3">
        <f>IFERROR(__xludf.DUMMYFUNCTION("""COMPUTED_VALUE"""),1041.88561199978)</f>
        <v>1041.885612</v>
      </c>
      <c r="E771" s="3">
        <f>IFERROR(__xludf.DUMMYFUNCTION("""COMPUTED_VALUE"""),99409.94346357048)</f>
        <v>99409.94346</v>
      </c>
      <c r="F771" s="3" t="str">
        <f>IFERROR(__xludf.DUMMYFUNCTION("""COMPUTED_VALUE"""),"AAVE")</f>
        <v>AAVE</v>
      </c>
      <c r="G771" s="3"/>
    </row>
    <row r="772">
      <c r="A772" s="3" t="str">
        <f>IFERROR(__xludf.DUMMYFUNCTION("""COMPUTED_VALUE"""),"2022-05-31T00:00:00Z")</f>
        <v>2022-05-31T00:00:00Z</v>
      </c>
      <c r="B772" s="3">
        <f>IFERROR(__xludf.DUMMYFUNCTION("""COMPUTED_VALUE"""),117.207908)</f>
        <v>117.207908</v>
      </c>
      <c r="C772" s="3">
        <f>IFERROR(__xludf.DUMMYFUNCTION("""COMPUTED_VALUE"""),1.388106468028E7)</f>
        <v>13881064.68</v>
      </c>
      <c r="D772" s="3">
        <f>IFERROR(__xludf.DUMMYFUNCTION("""COMPUTED_VALUE"""),11319.178646000102)</f>
        <v>11319.17865</v>
      </c>
      <c r="E772" s="3">
        <f>IFERROR(__xludf.DUMMYFUNCTION("""COMPUTED_VALUE"""),1326697.2493759445)</f>
        <v>1326697.249</v>
      </c>
      <c r="F772" s="3" t="str">
        <f>IFERROR(__xludf.DUMMYFUNCTION("""COMPUTED_VALUE"""),"AAVE")</f>
        <v>AAVE</v>
      </c>
      <c r="G772" s="3"/>
    </row>
    <row r="773">
      <c r="A773" s="3" t="str">
        <f>IFERROR(__xludf.DUMMYFUNCTION("""COMPUTED_VALUE"""),"2022-06-01T00:00:00Z")</f>
        <v>2022-06-01T00:00:00Z</v>
      </c>
      <c r="B773" s="3">
        <f>IFERROR(__xludf.DUMMYFUNCTION("""COMPUTED_VALUE"""),112.828191)</f>
        <v>112.828191</v>
      </c>
      <c r="C773" s="3">
        <f>IFERROR(__xludf.DUMMYFUNCTION("""COMPUTED_VALUE"""),1.388131789986E7)</f>
        <v>13881317.9</v>
      </c>
      <c r="D773" s="3">
        <f>IFERROR(__xludf.DUMMYFUNCTION("""COMPUTED_VALUE"""),253.21958000026643)</f>
        <v>253.21958</v>
      </c>
      <c r="E773" s="3">
        <f>IFERROR(__xludf.DUMMYFUNCTION("""COMPUTED_VALUE"""),28570.307137209842)</f>
        <v>28570.30714</v>
      </c>
      <c r="F773" s="3" t="str">
        <f>IFERROR(__xludf.DUMMYFUNCTION("""COMPUTED_VALUE"""),"AAVE")</f>
        <v>AAVE</v>
      </c>
      <c r="G773" s="3"/>
    </row>
    <row r="774">
      <c r="A774" s="3" t="str">
        <f>IFERROR(__xludf.DUMMYFUNCTION("""COMPUTED_VALUE"""),"2022-06-02T00:00:00Z")</f>
        <v>2022-06-02T00:00:00Z</v>
      </c>
      <c r="B774" s="3">
        <f>IFERROR(__xludf.DUMMYFUNCTION("""COMPUTED_VALUE"""),106.318607)</f>
        <v>106.318607</v>
      </c>
      <c r="C774" s="3">
        <f>IFERROR(__xludf.DUMMYFUNCTION("""COMPUTED_VALUE"""),1.3882130317065E7)</f>
        <v>13882130.32</v>
      </c>
      <c r="D774" s="3">
        <f>IFERROR(__xludf.DUMMYFUNCTION("""COMPUTED_VALUE"""),812.4172050002962)</f>
        <v>812.417205</v>
      </c>
      <c r="E774" s="3">
        <f>IFERROR(__xludf.DUMMYFUNCTION("""COMPUTED_VALUE"""),86375.06553846493)</f>
        <v>86375.06554</v>
      </c>
      <c r="F774" s="3" t="str">
        <f>IFERROR(__xludf.DUMMYFUNCTION("""COMPUTED_VALUE"""),"AAVE")</f>
        <v>AAVE</v>
      </c>
      <c r="G774" s="3"/>
    </row>
    <row r="775">
      <c r="A775" s="3" t="str">
        <f>IFERROR(__xludf.DUMMYFUNCTION("""COMPUTED_VALUE"""),"2022-06-03T00:00:00Z")</f>
        <v>2022-06-03T00:00:00Z</v>
      </c>
      <c r="B775" s="3">
        <f>IFERROR(__xludf.DUMMYFUNCTION("""COMPUTED_VALUE"""),110.963515)</f>
        <v>110.963515</v>
      </c>
      <c r="C775" s="3">
        <f>IFERROR(__xludf.DUMMYFUNCTION("""COMPUTED_VALUE"""),1.3882270073301E7)</f>
        <v>13882270.07</v>
      </c>
      <c r="D775" s="3">
        <f>IFERROR(__xludf.DUMMYFUNCTION("""COMPUTED_VALUE"""),139.75623599998653)</f>
        <v>139.756236</v>
      </c>
      <c r="E775" s="3">
        <f>IFERROR(__xludf.DUMMYFUNCTION("""COMPUTED_VALUE"""),15507.843189728046)</f>
        <v>15507.84319</v>
      </c>
      <c r="F775" s="3" t="str">
        <f>IFERROR(__xludf.DUMMYFUNCTION("""COMPUTED_VALUE"""),"AAVE")</f>
        <v>AAVE</v>
      </c>
      <c r="G775" s="3"/>
    </row>
    <row r="776">
      <c r="A776" s="3" t="str">
        <f>IFERROR(__xludf.DUMMYFUNCTION("""COMPUTED_VALUE"""),"2022-06-04T00:00:00Z")</f>
        <v>2022-06-04T00:00:00Z</v>
      </c>
      <c r="B776" s="3">
        <f>IFERROR(__xludf.DUMMYFUNCTION("""COMPUTED_VALUE"""),106.888531)</f>
        <v>106.888531</v>
      </c>
      <c r="C776" s="3">
        <f>IFERROR(__xludf.DUMMYFUNCTION("""COMPUTED_VALUE"""),1.3882311792519E7)</f>
        <v>13882311.79</v>
      </c>
      <c r="D776" s="3">
        <f>IFERROR(__xludf.DUMMYFUNCTION("""COMPUTED_VALUE"""),41.71921799890697)</f>
        <v>41.719218</v>
      </c>
      <c r="E776" s="3">
        <f>IFERROR(__xludf.DUMMYFUNCTION("""COMPUTED_VALUE"""),4459.305926371926)</f>
        <v>4459.305926</v>
      </c>
      <c r="F776" s="3" t="str">
        <f>IFERROR(__xludf.DUMMYFUNCTION("""COMPUTED_VALUE"""),"AAVE")</f>
        <v>AAVE</v>
      </c>
      <c r="G776" s="3"/>
    </row>
    <row r="777">
      <c r="A777" s="3" t="str">
        <f>IFERROR(__xludf.DUMMYFUNCTION("""COMPUTED_VALUE"""),"2022-06-05T00:00:00Z")</f>
        <v>2022-06-05T00:00:00Z</v>
      </c>
      <c r="B777" s="3">
        <f>IFERROR(__xludf.DUMMYFUNCTION("""COMPUTED_VALUE"""),106.904204)</f>
        <v>106.904204</v>
      </c>
      <c r="C777" s="3">
        <f>IFERROR(__xludf.DUMMYFUNCTION("""COMPUTED_VALUE"""),1.3882529140867E7)</f>
        <v>13882529.14</v>
      </c>
      <c r="D777" s="3">
        <f>IFERROR(__xludf.DUMMYFUNCTION("""COMPUTED_VALUE"""),217.34834800101817)</f>
        <v>217.348348</v>
      </c>
      <c r="E777" s="3">
        <f>IFERROR(__xludf.DUMMYFUNCTION("""COMPUTED_VALUE"""),23235.452133763836)</f>
        <v>23235.45213</v>
      </c>
      <c r="F777" s="3" t="str">
        <f>IFERROR(__xludf.DUMMYFUNCTION("""COMPUTED_VALUE"""),"AAVE")</f>
        <v>AAVE</v>
      </c>
      <c r="G777" s="3"/>
    </row>
    <row r="778">
      <c r="A778" s="3" t="str">
        <f>IFERROR(__xludf.DUMMYFUNCTION("""COMPUTED_VALUE"""),"2022-06-06T00:00:00Z")</f>
        <v>2022-06-06T00:00:00Z</v>
      </c>
      <c r="B778" s="3">
        <f>IFERROR(__xludf.DUMMYFUNCTION("""COMPUTED_VALUE"""),103.559044)</f>
        <v>103.559044</v>
      </c>
      <c r="C778" s="3">
        <f>IFERROR(__xludf.DUMMYFUNCTION("""COMPUTED_VALUE"""),1.3882811051638E7)</f>
        <v>13882811.05</v>
      </c>
      <c r="D778" s="3">
        <f>IFERROR(__xludf.DUMMYFUNCTION("""COMPUTED_VALUE"""),281.9107709992677)</f>
        <v>281.910771</v>
      </c>
      <c r="E778" s="3">
        <f>IFERROR(__xludf.DUMMYFUNCTION("""COMPUTED_VALUE"""),29194.409937987086)</f>
        <v>29194.40994</v>
      </c>
      <c r="F778" s="3" t="str">
        <f>IFERROR(__xludf.DUMMYFUNCTION("""COMPUTED_VALUE"""),"AAVE")</f>
        <v>AAVE</v>
      </c>
      <c r="G778" s="3"/>
    </row>
    <row r="779">
      <c r="A779" s="3" t="str">
        <f>IFERROR(__xludf.DUMMYFUNCTION("""COMPUTED_VALUE"""),"2022-06-07T00:00:00Z")</f>
        <v>2022-06-07T00:00:00Z</v>
      </c>
      <c r="B779" s="3">
        <f>IFERROR(__xludf.DUMMYFUNCTION("""COMPUTED_VALUE"""),105.896453)</f>
        <v>105.896453</v>
      </c>
      <c r="C779" s="3">
        <f>IFERROR(__xludf.DUMMYFUNCTION("""COMPUTED_VALUE"""),1.388291972502E7)</f>
        <v>13882919.73</v>
      </c>
      <c r="D779" s="3">
        <f>IFERROR(__xludf.DUMMYFUNCTION("""COMPUTED_VALUE"""),108.67338200099766)</f>
        <v>108.673382</v>
      </c>
      <c r="E779" s="3">
        <f>IFERROR(__xludf.DUMMYFUNCTION("""COMPUTED_VALUE"""),11508.125689419694)</f>
        <v>11508.12569</v>
      </c>
      <c r="F779" s="3" t="str">
        <f>IFERROR(__xludf.DUMMYFUNCTION("""COMPUTED_VALUE"""),"AAVE")</f>
        <v>AAVE</v>
      </c>
      <c r="G779" s="3"/>
    </row>
    <row r="780">
      <c r="A780" s="3" t="str">
        <f>IFERROR(__xludf.DUMMYFUNCTION("""COMPUTED_VALUE"""),"2022-06-08T00:00:00Z")</f>
        <v>2022-06-08T00:00:00Z</v>
      </c>
      <c r="B780" s="3">
        <f>IFERROR(__xludf.DUMMYFUNCTION("""COMPUTED_VALUE"""),99.179132)</f>
        <v>99.179132</v>
      </c>
      <c r="C780" s="3">
        <f>IFERROR(__xludf.DUMMYFUNCTION("""COMPUTED_VALUE"""),1.3882989913355E7)</f>
        <v>13882989.91</v>
      </c>
      <c r="D780" s="3">
        <f>IFERROR(__xludf.DUMMYFUNCTION("""COMPUTED_VALUE"""),70.18833499960601)</f>
        <v>70.188335</v>
      </c>
      <c r="E780" s="3">
        <f>IFERROR(__xludf.DUMMYFUNCTION("""COMPUTED_VALUE"""),6961.218141786145)</f>
        <v>6961.218142</v>
      </c>
      <c r="F780" s="3" t="str">
        <f>IFERROR(__xludf.DUMMYFUNCTION("""COMPUTED_VALUE"""),"AAVE")</f>
        <v>AAVE</v>
      </c>
      <c r="G780" s="3"/>
    </row>
    <row r="781">
      <c r="A781" s="3" t="str">
        <f>IFERROR(__xludf.DUMMYFUNCTION("""COMPUTED_VALUE"""),"2022-06-09T00:00:00Z")</f>
        <v>2022-06-09T00:00:00Z</v>
      </c>
      <c r="B781" s="3">
        <f>IFERROR(__xludf.DUMMYFUNCTION("""COMPUTED_VALUE"""),96.458873)</f>
        <v>96.458873</v>
      </c>
      <c r="C781" s="3">
        <f>IFERROR(__xludf.DUMMYFUNCTION("""COMPUTED_VALUE"""),1.3883056283663E7)</f>
        <v>13883056.28</v>
      </c>
      <c r="D781" s="3">
        <f>IFERROR(__xludf.DUMMYFUNCTION("""COMPUTED_VALUE"""),66.37030800059438)</f>
        <v>66.370308</v>
      </c>
      <c r="E781" s="3">
        <f>IFERROR(__xludf.DUMMYFUNCTION("""COMPUTED_VALUE"""),6402.005110400217)</f>
        <v>6402.00511</v>
      </c>
      <c r="F781" s="3" t="str">
        <f>IFERROR(__xludf.DUMMYFUNCTION("""COMPUTED_VALUE"""),"AAVE")</f>
        <v>AAVE</v>
      </c>
      <c r="G781" s="3"/>
    </row>
    <row r="782">
      <c r="A782" s="3" t="str">
        <f>IFERROR(__xludf.DUMMYFUNCTION("""COMPUTED_VALUE"""),"2022-06-10T00:00:00Z")</f>
        <v>2022-06-10T00:00:00Z</v>
      </c>
      <c r="B782" s="3">
        <f>IFERROR(__xludf.DUMMYFUNCTION("""COMPUTED_VALUE"""),95.631085)</f>
        <v>95.631085</v>
      </c>
      <c r="C782" s="3">
        <f>IFERROR(__xludf.DUMMYFUNCTION("""COMPUTED_VALUE"""),1.3883915936695E7)</f>
        <v>13883915.94</v>
      </c>
      <c r="D782" s="3">
        <f>IFERROR(__xludf.DUMMYFUNCTION("""COMPUTED_VALUE"""),859.6530319992453)</f>
        <v>859.653032</v>
      </c>
      <c r="E782" s="3">
        <f>IFERROR(__xludf.DUMMYFUNCTION("""COMPUTED_VALUE"""),82209.55217362754)</f>
        <v>82209.55217</v>
      </c>
      <c r="F782" s="3" t="str">
        <f>IFERROR(__xludf.DUMMYFUNCTION("""COMPUTED_VALUE"""),"AAVE")</f>
        <v>AAVE</v>
      </c>
      <c r="G782" s="3"/>
    </row>
    <row r="783">
      <c r="A783" s="3" t="str">
        <f>IFERROR(__xludf.DUMMYFUNCTION("""COMPUTED_VALUE"""),"2022-06-11T00:00:00Z")</f>
        <v>2022-06-11T00:00:00Z</v>
      </c>
      <c r="B783" s="3">
        <f>IFERROR(__xludf.DUMMYFUNCTION("""COMPUTED_VALUE"""),88.053995)</f>
        <v>88.053995</v>
      </c>
      <c r="C783" s="3">
        <f>IFERROR(__xludf.DUMMYFUNCTION("""COMPUTED_VALUE"""),1.3884614839317E7)</f>
        <v>13884614.84</v>
      </c>
      <c r="D783" s="3">
        <f>IFERROR(__xludf.DUMMYFUNCTION("""COMPUTED_VALUE"""),698.902621999383)</f>
        <v>698.902622</v>
      </c>
      <c r="E783" s="3">
        <f>IFERROR(__xludf.DUMMYFUNCTION("""COMPUTED_VALUE"""),61541.16798302056)</f>
        <v>61541.16798</v>
      </c>
      <c r="F783" s="3" t="str">
        <f>IFERROR(__xludf.DUMMYFUNCTION("""COMPUTED_VALUE"""),"AAVE")</f>
        <v>AAVE</v>
      </c>
      <c r="G783" s="3"/>
    </row>
    <row r="784">
      <c r="A784" s="3" t="str">
        <f>IFERROR(__xludf.DUMMYFUNCTION("""COMPUTED_VALUE"""),"2022-06-12T00:00:00Z")</f>
        <v>2022-06-12T00:00:00Z</v>
      </c>
      <c r="B784" s="3">
        <f>IFERROR(__xludf.DUMMYFUNCTION("""COMPUTED_VALUE"""),77.181857)</f>
        <v>77.181857</v>
      </c>
      <c r="C784" s="3">
        <f>IFERROR(__xludf.DUMMYFUNCTION("""COMPUTED_VALUE"""),1.3885058104627E7)</f>
        <v>13885058.1</v>
      </c>
      <c r="D784" s="3">
        <f>IFERROR(__xludf.DUMMYFUNCTION("""COMPUTED_VALUE"""),443.26531000062823)</f>
        <v>443.26531</v>
      </c>
      <c r="E784" s="3">
        <f>IFERROR(__xludf.DUMMYFUNCTION("""COMPUTED_VALUE"""),34212.039769529154)</f>
        <v>34212.03977</v>
      </c>
      <c r="F784" s="3" t="str">
        <f>IFERROR(__xludf.DUMMYFUNCTION("""COMPUTED_VALUE"""),"AAVE")</f>
        <v>AAVE</v>
      </c>
      <c r="G784" s="3"/>
    </row>
    <row r="785">
      <c r="A785" s="3" t="str">
        <f>IFERROR(__xludf.DUMMYFUNCTION("""COMPUTED_VALUE"""),"2022-06-13T00:00:00Z")</f>
        <v>2022-06-13T00:00:00Z</v>
      </c>
      <c r="B785" s="3">
        <f>IFERROR(__xludf.DUMMYFUNCTION("""COMPUTED_VALUE"""),70.333355)</f>
        <v>70.333355</v>
      </c>
      <c r="C785" s="3">
        <f>IFERROR(__xludf.DUMMYFUNCTION("""COMPUTED_VALUE"""),1.3885466334848E7)</f>
        <v>13885466.33</v>
      </c>
      <c r="D785" s="3">
        <f>IFERROR(__xludf.DUMMYFUNCTION("""COMPUTED_VALUE"""),408.2302209995687)</f>
        <v>408.230221</v>
      </c>
      <c r="E785" s="3">
        <f>IFERROR(__xludf.DUMMYFUNCTION("""COMPUTED_VALUE"""),28712.20105529112)</f>
        <v>28712.20106</v>
      </c>
      <c r="F785" s="3" t="str">
        <f>IFERROR(__xludf.DUMMYFUNCTION("""COMPUTED_VALUE"""),"AAVE")</f>
        <v>AAVE</v>
      </c>
      <c r="G785" s="3"/>
    </row>
    <row r="786">
      <c r="A786" s="3" t="str">
        <f>IFERROR(__xludf.DUMMYFUNCTION("""COMPUTED_VALUE"""),"2022-06-14T00:00:00Z")</f>
        <v>2022-06-14T00:00:00Z</v>
      </c>
      <c r="B786" s="3">
        <f>IFERROR(__xludf.DUMMYFUNCTION("""COMPUTED_VALUE"""),59.655845)</f>
        <v>59.655845</v>
      </c>
      <c r="C786" s="3">
        <f>IFERROR(__xludf.DUMMYFUNCTION("""COMPUTED_VALUE"""),1.388580839075E7)</f>
        <v>13885808.39</v>
      </c>
      <c r="D786" s="3">
        <f>IFERROR(__xludf.DUMMYFUNCTION("""COMPUTED_VALUE"""),342.05590200051665)</f>
        <v>342.055902</v>
      </c>
      <c r="E786" s="3">
        <f>IFERROR(__xludf.DUMMYFUNCTION("""COMPUTED_VALUE"""),20405.63387107801)</f>
        <v>20405.63387</v>
      </c>
      <c r="F786" s="3" t="str">
        <f>IFERROR(__xludf.DUMMYFUNCTION("""COMPUTED_VALUE"""),"AAVE")</f>
        <v>AAVE</v>
      </c>
      <c r="G786" s="3"/>
    </row>
    <row r="787">
      <c r="A787" s="3" t="str">
        <f>IFERROR(__xludf.DUMMYFUNCTION("""COMPUTED_VALUE"""),"2022-06-15T00:00:00Z")</f>
        <v>2022-06-15T00:00:00Z</v>
      </c>
      <c r="B787" s="3">
        <f>IFERROR(__xludf.DUMMYFUNCTION("""COMPUTED_VALUE"""),62.114023)</f>
        <v>62.114023</v>
      </c>
      <c r="C787" s="3">
        <f>IFERROR(__xludf.DUMMYFUNCTION("""COMPUTED_VALUE"""),1.3886053937994E7)</f>
        <v>13886053.94</v>
      </c>
      <c r="D787" s="3">
        <f>IFERROR(__xludf.DUMMYFUNCTION("""COMPUTED_VALUE"""),245.5472439993173)</f>
        <v>245.547244</v>
      </c>
      <c r="E787" s="3">
        <f>IFERROR(__xludf.DUMMYFUNCTION("""COMPUTED_VALUE"""),15251.927161360207)</f>
        <v>15251.92716</v>
      </c>
      <c r="F787" s="3" t="str">
        <f>IFERROR(__xludf.DUMMYFUNCTION("""COMPUTED_VALUE"""),"AAVE")</f>
        <v>AAVE</v>
      </c>
      <c r="G787" s="3"/>
    </row>
    <row r="788">
      <c r="A788" s="3" t="str">
        <f>IFERROR(__xludf.DUMMYFUNCTION("""COMPUTED_VALUE"""),"2022-06-16T00:00:00Z")</f>
        <v>2022-06-16T00:00:00Z</v>
      </c>
      <c r="B788" s="3">
        <f>IFERROR(__xludf.DUMMYFUNCTION("""COMPUTED_VALUE"""),66.547277)</f>
        <v>66.547277</v>
      </c>
      <c r="C788" s="3">
        <f>IFERROR(__xludf.DUMMYFUNCTION("""COMPUTED_VALUE"""),1.3889091434545E7)</f>
        <v>13889091.43</v>
      </c>
      <c r="D788" s="3">
        <f>IFERROR(__xludf.DUMMYFUNCTION("""COMPUTED_VALUE"""),3037.496550999582)</f>
        <v>3037.496551</v>
      </c>
      <c r="E788" s="3">
        <f>IFERROR(__xludf.DUMMYFUNCTION("""COMPUTED_VALUE"""),202137.12436591377)</f>
        <v>202137.1244</v>
      </c>
      <c r="F788" s="3" t="str">
        <f>IFERROR(__xludf.DUMMYFUNCTION("""COMPUTED_VALUE"""),"AAVE")</f>
        <v>AAVE</v>
      </c>
      <c r="G788" s="3"/>
    </row>
    <row r="789">
      <c r="A789" s="3" t="str">
        <f>IFERROR(__xludf.DUMMYFUNCTION("""COMPUTED_VALUE"""),"2022-06-17T00:00:00Z")</f>
        <v>2022-06-17T00:00:00Z</v>
      </c>
      <c r="B789" s="3">
        <f>IFERROR(__xludf.DUMMYFUNCTION("""COMPUTED_VALUE"""),56.569649)</f>
        <v>56.569649</v>
      </c>
      <c r="C789" s="3">
        <f>IFERROR(__xludf.DUMMYFUNCTION("""COMPUTED_VALUE"""),1.3889417595406E7)</f>
        <v>13889417.6</v>
      </c>
      <c r="D789" s="3">
        <f>IFERROR(__xludf.DUMMYFUNCTION("""COMPUTED_VALUE"""),326.16086100041866)</f>
        <v>326.160861</v>
      </c>
      <c r="E789" s="3">
        <f>IFERROR(__xludf.DUMMYFUNCTION("""COMPUTED_VALUE"""),18450.805424331473)</f>
        <v>18450.80542</v>
      </c>
      <c r="F789" s="3" t="str">
        <f>IFERROR(__xludf.DUMMYFUNCTION("""COMPUTED_VALUE"""),"AAVE")</f>
        <v>AAVE</v>
      </c>
      <c r="G789" s="3"/>
    </row>
    <row r="790">
      <c r="A790" s="3" t="str">
        <f>IFERROR(__xludf.DUMMYFUNCTION("""COMPUTED_VALUE"""),"2022-06-18T00:00:00Z")</f>
        <v>2022-06-18T00:00:00Z</v>
      </c>
      <c r="B790" s="3">
        <f>IFERROR(__xludf.DUMMYFUNCTION("""COMPUTED_VALUE"""),57.303359)</f>
        <v>57.303359</v>
      </c>
      <c r="C790" s="3">
        <f>IFERROR(__xludf.DUMMYFUNCTION("""COMPUTED_VALUE"""),1.3889592206744E7)</f>
        <v>13889592.21</v>
      </c>
      <c r="D790" s="3">
        <f>IFERROR(__xludf.DUMMYFUNCTION("""COMPUTED_VALUE"""),174.61133800074458)</f>
        <v>174.611338</v>
      </c>
      <c r="E790" s="3">
        <f>IFERROR(__xludf.DUMMYFUNCTION("""COMPUTED_VALUE"""),10005.81618692701)</f>
        <v>10005.81619</v>
      </c>
      <c r="F790" s="3" t="str">
        <f>IFERROR(__xludf.DUMMYFUNCTION("""COMPUTED_VALUE"""),"AAVE")</f>
        <v>AAVE</v>
      </c>
      <c r="G790" s="3"/>
    </row>
    <row r="791">
      <c r="A791" s="3" t="str">
        <f>IFERROR(__xludf.DUMMYFUNCTION("""COMPUTED_VALUE"""),"2022-06-19T00:00:00Z")</f>
        <v>2022-06-19T00:00:00Z</v>
      </c>
      <c r="B791" s="3">
        <f>IFERROR(__xludf.DUMMYFUNCTION("""COMPUTED_VALUE"""),49.579584)</f>
        <v>49.579584</v>
      </c>
      <c r="C791" s="3">
        <f>IFERROR(__xludf.DUMMYFUNCTION("""COMPUTED_VALUE"""),1.3890139150933E7)</f>
        <v>13890139.15</v>
      </c>
      <c r="D791" s="3">
        <f>IFERROR(__xludf.DUMMYFUNCTION("""COMPUTED_VALUE"""),546.9441889990121)</f>
        <v>546.944189</v>
      </c>
      <c r="E791" s="3">
        <f>IFERROR(__xludf.DUMMYFUNCTION("""COMPUTED_VALUE"""),27117.265361788395)</f>
        <v>27117.26536</v>
      </c>
      <c r="F791" s="3" t="str">
        <f>IFERROR(__xludf.DUMMYFUNCTION("""COMPUTED_VALUE"""),"AAVE")</f>
        <v>AAVE</v>
      </c>
      <c r="G791" s="3"/>
    </row>
    <row r="792">
      <c r="A792" s="3" t="str">
        <f>IFERROR(__xludf.DUMMYFUNCTION("""COMPUTED_VALUE"""),"2022-06-20T00:00:00Z")</f>
        <v>2022-06-20T00:00:00Z</v>
      </c>
      <c r="B792" s="3">
        <f>IFERROR(__xludf.DUMMYFUNCTION("""COMPUTED_VALUE"""),53.989446)</f>
        <v>53.989446</v>
      </c>
      <c r="C792" s="3">
        <f>IFERROR(__xludf.DUMMYFUNCTION("""COMPUTED_VALUE"""),1.3896884734533E7)</f>
        <v>13896884.73</v>
      </c>
      <c r="D792" s="3">
        <f>IFERROR(__xludf.DUMMYFUNCTION("""COMPUTED_VALUE"""),6745.58360000141)</f>
        <v>6745.5836</v>
      </c>
      <c r="E792" s="3">
        <f>IFERROR(__xludf.DUMMYFUNCTION("""COMPUTED_VALUE"""),364190.3215107617)</f>
        <v>364190.3215</v>
      </c>
      <c r="F792" s="3" t="str">
        <f>IFERROR(__xludf.DUMMYFUNCTION("""COMPUTED_VALUE"""),"AAVE")</f>
        <v>AAVE</v>
      </c>
      <c r="G792" s="3"/>
    </row>
    <row r="793">
      <c r="A793" s="3" t="str">
        <f>IFERROR(__xludf.DUMMYFUNCTION("""COMPUTED_VALUE"""),"2022-06-21T00:00:00Z")</f>
        <v>2022-06-21T00:00:00Z</v>
      </c>
      <c r="B793" s="3">
        <f>IFERROR(__xludf.DUMMYFUNCTION("""COMPUTED_VALUE"""),61.513371)</f>
        <v>61.513371</v>
      </c>
      <c r="C793" s="3">
        <f>IFERROR(__xludf.DUMMYFUNCTION("""COMPUTED_VALUE"""),1.3897329082054E7)</f>
        <v>13897329.08</v>
      </c>
      <c r="D793" s="3">
        <f>IFERROR(__xludf.DUMMYFUNCTION("""COMPUTED_VALUE"""),444.3475209996104)</f>
        <v>444.347521</v>
      </c>
      <c r="E793" s="3">
        <f>IFERROR(__xludf.DUMMYFUNCTION("""COMPUTED_VALUE"""),27333.31391217933)</f>
        <v>27333.31391</v>
      </c>
      <c r="F793" s="3" t="str">
        <f>IFERROR(__xludf.DUMMYFUNCTION("""COMPUTED_VALUE"""),"AAVE")</f>
        <v>AAVE</v>
      </c>
      <c r="G793" s="3"/>
    </row>
    <row r="794">
      <c r="A794" s="3" t="str">
        <f>IFERROR(__xludf.DUMMYFUNCTION("""COMPUTED_VALUE"""),"2022-06-22T00:00:00Z")</f>
        <v>2022-06-22T00:00:00Z</v>
      </c>
      <c r="B794" s="3">
        <f>IFERROR(__xludf.DUMMYFUNCTION("""COMPUTED_VALUE"""),66.324997)</f>
        <v>66.324997</v>
      </c>
      <c r="C794" s="3">
        <f>IFERROR(__xludf.DUMMYFUNCTION("""COMPUTED_VALUE"""),1.3898117592803E7)</f>
        <v>13898117.59</v>
      </c>
      <c r="D794" s="3">
        <f>IFERROR(__xludf.DUMMYFUNCTION("""COMPUTED_VALUE"""),788.5107489991933)</f>
        <v>788.510749</v>
      </c>
      <c r="E794" s="3">
        <f>IFERROR(__xludf.DUMMYFUNCTION("""COMPUTED_VALUE"""),52297.97306183925)</f>
        <v>52297.97306</v>
      </c>
      <c r="F794" s="3" t="str">
        <f>IFERROR(__xludf.DUMMYFUNCTION("""COMPUTED_VALUE"""),"AAVE")</f>
        <v>AAVE</v>
      </c>
      <c r="G794" s="3"/>
    </row>
    <row r="795">
      <c r="A795" s="3" t="str">
        <f>IFERROR(__xludf.DUMMYFUNCTION("""COMPUTED_VALUE"""),"2022-06-23T00:00:00Z")</f>
        <v>2022-06-23T00:00:00Z</v>
      </c>
      <c r="B795" s="3">
        <f>IFERROR(__xludf.DUMMYFUNCTION("""COMPUTED_VALUE"""),61.898415)</f>
        <v>61.898415</v>
      </c>
      <c r="C795" s="3">
        <f>IFERROR(__xludf.DUMMYFUNCTION("""COMPUTED_VALUE"""),1.389826379441E7)</f>
        <v>13898263.79</v>
      </c>
      <c r="D795" s="3">
        <f>IFERROR(__xludf.DUMMYFUNCTION("""COMPUTED_VALUE"""),146.20160700008273)</f>
        <v>146.201607</v>
      </c>
      <c r="E795" s="3">
        <f>IFERROR(__xludf.DUMMYFUNCTION("""COMPUTED_VALUE"""),9049.647743758025)</f>
        <v>9049.647744</v>
      </c>
      <c r="F795" s="3" t="str">
        <f>IFERROR(__xludf.DUMMYFUNCTION("""COMPUTED_VALUE"""),"AAVE")</f>
        <v>AAVE</v>
      </c>
      <c r="G795" s="3"/>
    </row>
    <row r="796">
      <c r="A796" s="3" t="str">
        <f>IFERROR(__xludf.DUMMYFUNCTION("""COMPUTED_VALUE"""),"2022-06-24T00:00:00Z")</f>
        <v>2022-06-24T00:00:00Z</v>
      </c>
      <c r="B796" s="3">
        <f>IFERROR(__xludf.DUMMYFUNCTION("""COMPUTED_VALUE"""),67.949347)</f>
        <v>67.949347</v>
      </c>
      <c r="C796" s="3">
        <f>IFERROR(__xludf.DUMMYFUNCTION("""COMPUTED_VALUE"""),1.3898463061216E7)</f>
        <v>13898463.06</v>
      </c>
      <c r="D796" s="3">
        <f>IFERROR(__xludf.DUMMYFUNCTION("""COMPUTED_VALUE"""),199.26680600084364)</f>
        <v>199.266806</v>
      </c>
      <c r="E796" s="3">
        <f>IFERROR(__xludf.DUMMYFUNCTION("""COMPUTED_VALUE"""),13540.049346533007)</f>
        <v>13540.04935</v>
      </c>
      <c r="F796" s="3" t="str">
        <f>IFERROR(__xludf.DUMMYFUNCTION("""COMPUTED_VALUE"""),"AAVE")</f>
        <v>AAVE</v>
      </c>
      <c r="G796" s="3"/>
    </row>
    <row r="797">
      <c r="A797" s="3" t="str">
        <f>IFERROR(__xludf.DUMMYFUNCTION("""COMPUTED_VALUE"""),"2022-06-25T00:00:00Z")</f>
        <v>2022-06-25T00:00:00Z</v>
      </c>
      <c r="B797" s="3">
        <f>IFERROR(__xludf.DUMMYFUNCTION("""COMPUTED_VALUE"""),70.911279)</f>
        <v>70.911279</v>
      </c>
      <c r="C797" s="3">
        <f>IFERROR(__xludf.DUMMYFUNCTION("""COMPUTED_VALUE"""),1.3899035201451E7)</f>
        <v>13899035.2</v>
      </c>
      <c r="D797" s="3">
        <f>IFERROR(__xludf.DUMMYFUNCTION("""COMPUTED_VALUE"""),572.1402349993587)</f>
        <v>572.140235</v>
      </c>
      <c r="E797" s="3">
        <f>IFERROR(__xludf.DUMMYFUNCTION("""COMPUTED_VALUE"""),40571.19583116508)</f>
        <v>40571.19583</v>
      </c>
      <c r="F797" s="3" t="str">
        <f>IFERROR(__xludf.DUMMYFUNCTION("""COMPUTED_VALUE"""),"AAVE")</f>
        <v>AAVE</v>
      </c>
      <c r="G797" s="3"/>
    </row>
    <row r="798">
      <c r="A798" s="3" t="str">
        <f>IFERROR(__xludf.DUMMYFUNCTION("""COMPUTED_VALUE"""),"2022-06-26T00:00:00Z")</f>
        <v>2022-06-26T00:00:00Z</v>
      </c>
      <c r="B798" s="3">
        <f>IFERROR(__xludf.DUMMYFUNCTION("""COMPUTED_VALUE"""),69.950212)</f>
        <v>69.950212</v>
      </c>
      <c r="C798" s="3">
        <f>IFERROR(__xludf.DUMMYFUNCTION("""COMPUTED_VALUE"""),1.3899456645666E7)</f>
        <v>13899456.65</v>
      </c>
      <c r="D798" s="3">
        <f>IFERROR(__xludf.DUMMYFUNCTION("""COMPUTED_VALUE"""),421.44421499967575)</f>
        <v>421.444215</v>
      </c>
      <c r="E798" s="3">
        <f>IFERROR(__xludf.DUMMYFUNCTION("""COMPUTED_VALUE"""),29480.112185400896)</f>
        <v>29480.11219</v>
      </c>
      <c r="F798" s="3" t="str">
        <f>IFERROR(__xludf.DUMMYFUNCTION("""COMPUTED_VALUE"""),"AAVE")</f>
        <v>AAVE</v>
      </c>
      <c r="G798" s="3"/>
    </row>
    <row r="799">
      <c r="A799" s="3" t="str">
        <f>IFERROR(__xludf.DUMMYFUNCTION("""COMPUTED_VALUE"""),"2022-06-27T00:00:00Z")</f>
        <v>2022-06-27T00:00:00Z</v>
      </c>
      <c r="B799" s="3">
        <f>IFERROR(__xludf.DUMMYFUNCTION("""COMPUTED_VALUE"""),65.356454)</f>
        <v>65.356454</v>
      </c>
      <c r="C799" s="3">
        <f>IFERROR(__xludf.DUMMYFUNCTION("""COMPUTED_VALUE"""),1.3899626193E7)</f>
        <v>13899626.19</v>
      </c>
      <c r="D799" s="3">
        <f>IFERROR(__xludf.DUMMYFUNCTION("""COMPUTED_VALUE"""),169.54733400046825)</f>
        <v>169.547334</v>
      </c>
      <c r="E799" s="3">
        <f>IFERROR(__xludf.DUMMYFUNCTION("""COMPUTED_VALUE"""),11081.01253542424)</f>
        <v>11081.01254</v>
      </c>
      <c r="F799" s="3" t="str">
        <f>IFERROR(__xludf.DUMMYFUNCTION("""COMPUTED_VALUE"""),"AAVE")</f>
        <v>AAVE</v>
      </c>
      <c r="G799" s="3"/>
    </row>
    <row r="800">
      <c r="A800" s="3" t="str">
        <f>IFERROR(__xludf.DUMMYFUNCTION("""COMPUTED_VALUE"""),"2022-06-28T00:00:00Z")</f>
        <v>2022-06-28T00:00:00Z</v>
      </c>
      <c r="B800" s="3">
        <f>IFERROR(__xludf.DUMMYFUNCTION("""COMPUTED_VALUE"""),65.52729)</f>
        <v>65.52729</v>
      </c>
      <c r="C800" s="3">
        <f>IFERROR(__xludf.DUMMYFUNCTION("""COMPUTED_VALUE"""),1.3900908443032E7)</f>
        <v>13900908.44</v>
      </c>
      <c r="D800" s="3">
        <f>IFERROR(__xludf.DUMMYFUNCTION("""COMPUTED_VALUE"""),1282.2500320002437)</f>
        <v>1282.250032</v>
      </c>
      <c r="E800" s="3">
        <f>IFERROR(__xludf.DUMMYFUNCTION("""COMPUTED_VALUE"""),84022.36969938924)</f>
        <v>84022.3697</v>
      </c>
      <c r="F800" s="3" t="str">
        <f>IFERROR(__xludf.DUMMYFUNCTION("""COMPUTED_VALUE"""),"AAVE")</f>
        <v>AAVE</v>
      </c>
      <c r="G800" s="3"/>
    </row>
    <row r="801">
      <c r="A801" s="3" t="str">
        <f>IFERROR(__xludf.DUMMYFUNCTION("""COMPUTED_VALUE"""),"2022-06-29T00:00:00Z")</f>
        <v>2022-06-29T00:00:00Z</v>
      </c>
      <c r="B801" s="3">
        <f>IFERROR(__xludf.DUMMYFUNCTION("""COMPUTED_VALUE"""),60.006214)</f>
        <v>60.006214</v>
      </c>
      <c r="C801" s="3">
        <f>IFERROR(__xludf.DUMMYFUNCTION("""COMPUTED_VALUE"""),1.3901055822138E7)</f>
        <v>13901055.82</v>
      </c>
      <c r="D801" s="3">
        <f>IFERROR(__xludf.DUMMYFUNCTION("""COMPUTED_VALUE"""),147.3791060000658)</f>
        <v>147.379106</v>
      </c>
      <c r="E801" s="3">
        <f>IFERROR(__xludf.DUMMYFUNCTION("""COMPUTED_VALUE"""),8843.662173768633)</f>
        <v>8843.662174</v>
      </c>
      <c r="F801" s="3" t="str">
        <f>IFERROR(__xludf.DUMMYFUNCTION("""COMPUTED_VALUE"""),"AAVE")</f>
        <v>AAVE</v>
      </c>
      <c r="G801" s="3"/>
    </row>
    <row r="802">
      <c r="A802" s="3" t="str">
        <f>IFERROR(__xludf.DUMMYFUNCTION("""COMPUTED_VALUE"""),"2022-06-30T00:00:00Z")</f>
        <v>2022-06-30T00:00:00Z</v>
      </c>
      <c r="B802" s="3">
        <f>IFERROR(__xludf.DUMMYFUNCTION("""COMPUTED_VALUE"""),59.820593)</f>
        <v>59.820593</v>
      </c>
      <c r="C802" s="3">
        <f>IFERROR(__xludf.DUMMYFUNCTION("""COMPUTED_VALUE"""),1.3916738547813E7)</f>
        <v>13916738.55</v>
      </c>
      <c r="D802" s="3">
        <f>IFERROR(__xludf.DUMMYFUNCTION("""COMPUTED_VALUE"""),15682.725674999878)</f>
        <v>15682.72567</v>
      </c>
      <c r="E802" s="3">
        <f>IFERROR(__xludf.DUMMYFUNCTION("""COMPUTED_VALUE"""),938149.949734818)</f>
        <v>938149.9497</v>
      </c>
      <c r="F802" s="3" t="str">
        <f>IFERROR(__xludf.DUMMYFUNCTION("""COMPUTED_VALUE"""),"AAVE")</f>
        <v>AAVE</v>
      </c>
      <c r="G802" s="3"/>
    </row>
    <row r="803">
      <c r="A803" s="3" t="str">
        <f>IFERROR(__xludf.DUMMYFUNCTION("""COMPUTED_VALUE"""),"2022-07-01T00:00:00Z")</f>
        <v>2022-07-01T00:00:00Z</v>
      </c>
      <c r="B803" s="3">
        <f>IFERROR(__xludf.DUMMYFUNCTION("""COMPUTED_VALUE"""),56.972626)</f>
        <v>56.972626</v>
      </c>
      <c r="C803" s="3">
        <f>IFERROR(__xludf.DUMMYFUNCTION("""COMPUTED_VALUE"""),1.3916977627046E7)</f>
        <v>13916977.63</v>
      </c>
      <c r="D803" s="3">
        <f>IFERROR(__xludf.DUMMYFUNCTION("""COMPUTED_VALUE"""),239.07923300005496)</f>
        <v>239.079233</v>
      </c>
      <c r="E803" s="3">
        <f>IFERROR(__xludf.DUMMYFUNCTION("""COMPUTED_VALUE"""),13620.97172607899)</f>
        <v>13620.97173</v>
      </c>
      <c r="F803" s="3" t="str">
        <f>IFERROR(__xludf.DUMMYFUNCTION("""COMPUTED_VALUE"""),"AAVE")</f>
        <v>AAVE</v>
      </c>
      <c r="G803" s="3"/>
    </row>
    <row r="804">
      <c r="A804" s="3" t="str">
        <f>IFERROR(__xludf.DUMMYFUNCTION("""COMPUTED_VALUE"""),"2022-07-02T00:00:00Z")</f>
        <v>2022-07-02T00:00:00Z</v>
      </c>
      <c r="B804" s="3">
        <f>IFERROR(__xludf.DUMMYFUNCTION("""COMPUTED_VALUE"""),56.308116)</f>
        <v>56.308116</v>
      </c>
      <c r="C804" s="3">
        <f>IFERROR(__xludf.DUMMYFUNCTION("""COMPUTED_VALUE"""),1.3919520801604E7)</f>
        <v>13919520.8</v>
      </c>
      <c r="D804" s="3">
        <f>IFERROR(__xludf.DUMMYFUNCTION("""COMPUTED_VALUE"""),2543.174558000639)</f>
        <v>2543.174558</v>
      </c>
      <c r="E804" s="3">
        <f>IFERROR(__xludf.DUMMYFUNCTION("""COMPUTED_VALUE"""),143201.36802014872)</f>
        <v>143201.368</v>
      </c>
      <c r="F804" s="3" t="str">
        <f>IFERROR(__xludf.DUMMYFUNCTION("""COMPUTED_VALUE"""),"AAVE")</f>
        <v>AAVE</v>
      </c>
      <c r="G804" s="3"/>
    </row>
    <row r="805">
      <c r="A805" s="3" t="str">
        <f>IFERROR(__xludf.DUMMYFUNCTION("""COMPUTED_VALUE"""),"2022-07-03T00:00:00Z")</f>
        <v>2022-07-03T00:00:00Z</v>
      </c>
      <c r="B805" s="3">
        <f>IFERROR(__xludf.DUMMYFUNCTION("""COMPUTED_VALUE"""),57.821796)</f>
        <v>57.821796</v>
      </c>
      <c r="C805" s="3">
        <f>IFERROR(__xludf.DUMMYFUNCTION("""COMPUTED_VALUE"""),1.3920097321374E7)</f>
        <v>13920097.32</v>
      </c>
      <c r="D805" s="3">
        <f>IFERROR(__xludf.DUMMYFUNCTION("""COMPUTED_VALUE"""),576.5197699982673)</f>
        <v>576.51977</v>
      </c>
      <c r="E805" s="3">
        <f>IFERROR(__xludf.DUMMYFUNCTION("""COMPUTED_VALUE"""),33335.40853080673)</f>
        <v>33335.40853</v>
      </c>
      <c r="F805" s="3" t="str">
        <f>IFERROR(__xludf.DUMMYFUNCTION("""COMPUTED_VALUE"""),"AAVE")</f>
        <v>AAVE</v>
      </c>
      <c r="G805" s="3"/>
    </row>
    <row r="806">
      <c r="A806" s="3" t="str">
        <f>IFERROR(__xludf.DUMMYFUNCTION("""COMPUTED_VALUE"""),"2022-07-04T00:00:00Z")</f>
        <v>2022-07-04T00:00:00Z</v>
      </c>
      <c r="B806" s="3">
        <f>IFERROR(__xludf.DUMMYFUNCTION("""COMPUTED_VALUE"""),57.573546)</f>
        <v>57.573546</v>
      </c>
      <c r="C806" s="3">
        <f>IFERROR(__xludf.DUMMYFUNCTION("""COMPUTED_VALUE"""),1.3920237281877E7)</f>
        <v>13920237.28</v>
      </c>
      <c r="D806" s="3">
        <f>IFERROR(__xludf.DUMMYFUNCTION("""COMPUTED_VALUE"""),139.96050300076604)</f>
        <v>139.960503</v>
      </c>
      <c r="E806" s="3">
        <f>IFERROR(__xludf.DUMMYFUNCTION("""COMPUTED_VALUE"""),8058.022457697742)</f>
        <v>8058.022458</v>
      </c>
      <c r="F806" s="3" t="str">
        <f>IFERROR(__xludf.DUMMYFUNCTION("""COMPUTED_VALUE"""),"AAVE")</f>
        <v>AAVE</v>
      </c>
      <c r="G806" s="3"/>
    </row>
    <row r="807">
      <c r="A807" s="3" t="str">
        <f>IFERROR(__xludf.DUMMYFUNCTION("""COMPUTED_VALUE"""),"2022-07-05T00:00:00Z")</f>
        <v>2022-07-05T00:00:00Z</v>
      </c>
      <c r="B807" s="3">
        <f>IFERROR(__xludf.DUMMYFUNCTION("""COMPUTED_VALUE"""),63.051996)</f>
        <v>63.051996</v>
      </c>
      <c r="C807" s="3">
        <f>IFERROR(__xludf.DUMMYFUNCTION("""COMPUTED_VALUE"""),1.3935294532885E7)</f>
        <v>13935294.53</v>
      </c>
      <c r="D807" s="3">
        <f>IFERROR(__xludf.DUMMYFUNCTION("""COMPUTED_VALUE"""),15057.251008000225)</f>
        <v>15057.25101</v>
      </c>
      <c r="E807" s="3">
        <f>IFERROR(__xludf.DUMMYFUNCTION("""COMPUTED_VALUE"""),949389.7303274262)</f>
        <v>949389.7303</v>
      </c>
      <c r="F807" s="3" t="str">
        <f>IFERROR(__xludf.DUMMYFUNCTION("""COMPUTED_VALUE"""),"AAVE")</f>
        <v>AAVE</v>
      </c>
      <c r="G807" s="3"/>
    </row>
    <row r="808">
      <c r="A808" s="3" t="str">
        <f>IFERROR(__xludf.DUMMYFUNCTION("""COMPUTED_VALUE"""),"2022-07-06T00:00:00Z")</f>
        <v>2022-07-06T00:00:00Z</v>
      </c>
      <c r="B808" s="3">
        <f>IFERROR(__xludf.DUMMYFUNCTION("""COMPUTED_VALUE"""),60.559089)</f>
        <v>60.559089</v>
      </c>
      <c r="C808" s="3">
        <f>IFERROR(__xludf.DUMMYFUNCTION("""COMPUTED_VALUE"""),1.3935543494584E7)</f>
        <v>13935543.49</v>
      </c>
      <c r="D808" s="3">
        <f>IFERROR(__xludf.DUMMYFUNCTION("""COMPUTED_VALUE"""),248.96169899962842)</f>
        <v>248.961699</v>
      </c>
      <c r="E808" s="3">
        <f>IFERROR(__xludf.DUMMYFUNCTION("""COMPUTED_VALUE"""),15076.893687309708)</f>
        <v>15076.89369</v>
      </c>
      <c r="F808" s="3" t="str">
        <f>IFERROR(__xludf.DUMMYFUNCTION("""COMPUTED_VALUE"""),"AAVE")</f>
        <v>AAVE</v>
      </c>
      <c r="G808" s="3"/>
    </row>
    <row r="809">
      <c r="A809" s="3" t="str">
        <f>IFERROR(__xludf.DUMMYFUNCTION("""COMPUTED_VALUE"""),"2022-07-07T00:00:00Z")</f>
        <v>2022-07-07T00:00:00Z</v>
      </c>
      <c r="B809" s="3">
        <f>IFERROR(__xludf.DUMMYFUNCTION("""COMPUTED_VALUE"""),62.943331)</f>
        <v>62.943331</v>
      </c>
      <c r="C809" s="3">
        <f>IFERROR(__xludf.DUMMYFUNCTION("""COMPUTED_VALUE"""),1.3936168559492E7)</f>
        <v>13936168.56</v>
      </c>
      <c r="D809" s="3">
        <f>IFERROR(__xludf.DUMMYFUNCTION("""COMPUTED_VALUE"""),625.0649079997092)</f>
        <v>625.064908</v>
      </c>
      <c r="E809" s="3">
        <f>IFERROR(__xludf.DUMMYFUNCTION("""COMPUTED_VALUE"""),39343.66740071025)</f>
        <v>39343.6674</v>
      </c>
      <c r="F809" s="3" t="str">
        <f>IFERROR(__xludf.DUMMYFUNCTION("""COMPUTED_VALUE"""),"AAVE")</f>
        <v>AAVE</v>
      </c>
      <c r="G809" s="3"/>
    </row>
    <row r="810">
      <c r="A810" s="3" t="str">
        <f>IFERROR(__xludf.DUMMYFUNCTION("""COMPUTED_VALUE"""),"2022-07-08T00:00:00Z")</f>
        <v>2022-07-08T00:00:00Z</v>
      </c>
      <c r="B810" s="3">
        <f>IFERROR(__xludf.DUMMYFUNCTION("""COMPUTED_VALUE"""),71.152454)</f>
        <v>71.152454</v>
      </c>
      <c r="C810" s="3">
        <f>IFERROR(__xludf.DUMMYFUNCTION("""COMPUTED_VALUE"""),1.393737922517E7)</f>
        <v>13937379.23</v>
      </c>
      <c r="D810" s="3">
        <f>IFERROR(__xludf.DUMMYFUNCTION("""COMPUTED_VALUE"""),1210.6656780000776)</f>
        <v>1210.665678</v>
      </c>
      <c r="E810" s="3">
        <f>IFERROR(__xludf.DUMMYFUNCTION("""COMPUTED_VALUE"""),86141.83396327934)</f>
        <v>86141.83396</v>
      </c>
      <c r="F810" s="3" t="str">
        <f>IFERROR(__xludf.DUMMYFUNCTION("""COMPUTED_VALUE"""),"AAVE")</f>
        <v>AAVE</v>
      </c>
      <c r="G810" s="3"/>
    </row>
    <row r="811">
      <c r="A811" s="3" t="str">
        <f>IFERROR(__xludf.DUMMYFUNCTION("""COMPUTED_VALUE"""),"2022-07-09T00:00:00Z")</f>
        <v>2022-07-09T00:00:00Z</v>
      </c>
      <c r="B811" s="3">
        <f>IFERROR(__xludf.DUMMYFUNCTION("""COMPUTED_VALUE"""),71.585682)</f>
        <v>71.585682</v>
      </c>
      <c r="C811" s="3">
        <f>IFERROR(__xludf.DUMMYFUNCTION("""COMPUTED_VALUE"""),1.3938807236841E7)</f>
        <v>13938807.24</v>
      </c>
      <c r="D811" s="3">
        <f>IFERROR(__xludf.DUMMYFUNCTION("""COMPUTED_VALUE"""),1428.0116710010916)</f>
        <v>1428.011671</v>
      </c>
      <c r="E811" s="3">
        <f>IFERROR(__xludf.DUMMYFUNCTION("""COMPUTED_VALUE"""),102225.18937257277)</f>
        <v>102225.1894</v>
      </c>
      <c r="F811" s="3" t="str">
        <f>IFERROR(__xludf.DUMMYFUNCTION("""COMPUTED_VALUE"""),"AAVE")</f>
        <v>AAVE</v>
      </c>
      <c r="G811" s="3"/>
    </row>
    <row r="812">
      <c r="A812" s="3" t="str">
        <f>IFERROR(__xludf.DUMMYFUNCTION("""COMPUTED_VALUE"""),"2022-07-10T00:00:00Z")</f>
        <v>2022-07-10T00:00:00Z</v>
      </c>
      <c r="B812" s="3">
        <f>IFERROR(__xludf.DUMMYFUNCTION("""COMPUTED_VALUE"""),81.925378)</f>
        <v>81.925378</v>
      </c>
      <c r="C812" s="3">
        <f>IFERROR(__xludf.DUMMYFUNCTION("""COMPUTED_VALUE"""),1.3939449655278E7)</f>
        <v>13939449.66</v>
      </c>
      <c r="D812" s="3">
        <f>IFERROR(__xludf.DUMMYFUNCTION("""COMPUTED_VALUE"""),642.4184369985014)</f>
        <v>642.418437</v>
      </c>
      <c r="E812" s="3">
        <f>IFERROR(__xludf.DUMMYFUNCTION("""COMPUTED_VALUE"""),52630.37328527141)</f>
        <v>52630.37329</v>
      </c>
      <c r="F812" s="3" t="str">
        <f>IFERROR(__xludf.DUMMYFUNCTION("""COMPUTED_VALUE"""),"AAVE")</f>
        <v>AAVE</v>
      </c>
      <c r="G812" s="3"/>
    </row>
    <row r="813">
      <c r="A813" s="3" t="str">
        <f>IFERROR(__xludf.DUMMYFUNCTION("""COMPUTED_VALUE"""),"2022-07-11T00:00:00Z")</f>
        <v>2022-07-11T00:00:00Z</v>
      </c>
      <c r="B813" s="3">
        <f>IFERROR(__xludf.DUMMYFUNCTION("""COMPUTED_VALUE"""),77.75512)</f>
        <v>77.75512</v>
      </c>
      <c r="C813" s="3">
        <f>IFERROR(__xludf.DUMMYFUNCTION("""COMPUTED_VALUE"""),1.3939960450084E7)</f>
        <v>13939960.45</v>
      </c>
      <c r="D813" s="3">
        <f>IFERROR(__xludf.DUMMYFUNCTION("""COMPUTED_VALUE"""),510.7948060017079)</f>
        <v>510.794806</v>
      </c>
      <c r="E813" s="3">
        <f>IFERROR(__xludf.DUMMYFUNCTION("""COMPUTED_VALUE"""),39716.91143603952)</f>
        <v>39716.91144</v>
      </c>
      <c r="F813" s="3" t="str">
        <f>IFERROR(__xludf.DUMMYFUNCTION("""COMPUTED_VALUE"""),"AAVE")</f>
        <v>AAVE</v>
      </c>
      <c r="G813" s="3"/>
    </row>
    <row r="814">
      <c r="A814" s="3" t="str">
        <f>IFERROR(__xludf.DUMMYFUNCTION("""COMPUTED_VALUE"""),"2022-07-12T00:00:00Z")</f>
        <v>2022-07-12T00:00:00Z</v>
      </c>
      <c r="B814" s="3">
        <f>IFERROR(__xludf.DUMMYFUNCTION("""COMPUTED_VALUE"""),69.812984)</f>
        <v>69.812984</v>
      </c>
      <c r="C814" s="3">
        <f>IFERROR(__xludf.DUMMYFUNCTION("""COMPUTED_VALUE"""),1.394059370686E7)</f>
        <v>13940593.71</v>
      </c>
      <c r="D814" s="3">
        <f>IFERROR(__xludf.DUMMYFUNCTION("""COMPUTED_VALUE"""),633.2567759994417)</f>
        <v>633.256776</v>
      </c>
      <c r="E814" s="3">
        <f>IFERROR(__xludf.DUMMYFUNCTION("""COMPUTED_VALUE"""),44209.54517074061)</f>
        <v>44209.54517</v>
      </c>
      <c r="F814" s="3" t="str">
        <f>IFERROR(__xludf.DUMMYFUNCTION("""COMPUTED_VALUE"""),"AAVE")</f>
        <v>AAVE</v>
      </c>
      <c r="G814" s="3"/>
    </row>
    <row r="815">
      <c r="A815" s="3" t="str">
        <f>IFERROR(__xludf.DUMMYFUNCTION("""COMPUTED_VALUE"""),"2022-07-13T00:00:00Z")</f>
        <v>2022-07-13T00:00:00Z</v>
      </c>
      <c r="B815" s="3">
        <f>IFERROR(__xludf.DUMMYFUNCTION("""COMPUTED_VALUE"""),68.318888)</f>
        <v>68.318888</v>
      </c>
      <c r="C815" s="3">
        <f>IFERROR(__xludf.DUMMYFUNCTION("""COMPUTED_VALUE"""),1.3940983739218E7)</f>
        <v>13940983.74</v>
      </c>
      <c r="D815" s="3">
        <f>IFERROR(__xludf.DUMMYFUNCTION("""COMPUTED_VALUE"""),390.03235800005496)</f>
        <v>390.032358</v>
      </c>
      <c r="E815" s="3">
        <f>IFERROR(__xludf.DUMMYFUNCTION("""COMPUTED_VALUE"""),26646.57698258166)</f>
        <v>26646.57698</v>
      </c>
      <c r="F815" s="3" t="str">
        <f>IFERROR(__xludf.DUMMYFUNCTION("""COMPUTED_VALUE"""),"AAVE")</f>
        <v>AAVE</v>
      </c>
      <c r="G815" s="3"/>
    </row>
    <row r="816">
      <c r="A816" s="3" t="str">
        <f>IFERROR(__xludf.DUMMYFUNCTION("""COMPUTED_VALUE"""),"2022-07-14T00:00:00Z")</f>
        <v>2022-07-14T00:00:00Z</v>
      </c>
      <c r="B816" s="3">
        <f>IFERROR(__xludf.DUMMYFUNCTION("""COMPUTED_VALUE"""),79.725446)</f>
        <v>79.725446</v>
      </c>
      <c r="C816" s="3">
        <f>IFERROR(__xludf.DUMMYFUNCTION("""COMPUTED_VALUE"""),1.3941382602635E7)</f>
        <v>13941382.6</v>
      </c>
      <c r="D816" s="3">
        <f>IFERROR(__xludf.DUMMYFUNCTION("""COMPUTED_VALUE"""),398.8634169995785)</f>
        <v>398.863417</v>
      </c>
      <c r="E816" s="3">
        <f>IFERROR(__xludf.DUMMYFUNCTION("""COMPUTED_VALUE"""),31799.56381337538)</f>
        <v>31799.56381</v>
      </c>
      <c r="F816" s="3" t="str">
        <f>IFERROR(__xludf.DUMMYFUNCTION("""COMPUTED_VALUE"""),"AAVE")</f>
        <v>AAVE</v>
      </c>
      <c r="G816" s="3"/>
    </row>
    <row r="817">
      <c r="A817" s="3" t="str">
        <f>IFERROR(__xludf.DUMMYFUNCTION("""COMPUTED_VALUE"""),"2022-07-15T00:00:00Z")</f>
        <v>2022-07-15T00:00:00Z</v>
      </c>
      <c r="B817" s="3">
        <f>IFERROR(__xludf.DUMMYFUNCTION("""COMPUTED_VALUE"""),91.189318)</f>
        <v>91.189318</v>
      </c>
      <c r="C817" s="3">
        <f>IFERROR(__xludf.DUMMYFUNCTION("""COMPUTED_VALUE"""),1.3947716238479E7)</f>
        <v>13947716.24</v>
      </c>
      <c r="D817" s="3">
        <f>IFERROR(__xludf.DUMMYFUNCTION("""COMPUTED_VALUE"""),6333.635843999684)</f>
        <v>6333.635844</v>
      </c>
      <c r="E817" s="3">
        <f>IFERROR(__xludf.DUMMYFUNCTION("""COMPUTED_VALUE"""),577559.9330746855)</f>
        <v>577559.9331</v>
      </c>
      <c r="F817" s="3" t="str">
        <f>IFERROR(__xludf.DUMMYFUNCTION("""COMPUTED_VALUE"""),"AAVE")</f>
        <v>AAVE</v>
      </c>
      <c r="G817" s="3"/>
    </row>
    <row r="818">
      <c r="A818" s="3" t="str">
        <f>IFERROR(__xludf.DUMMYFUNCTION("""COMPUTED_VALUE"""),"2022-07-16T00:00:00Z")</f>
        <v>2022-07-16T00:00:00Z</v>
      </c>
      <c r="B818" s="3">
        <f>IFERROR(__xludf.DUMMYFUNCTION("""COMPUTED_VALUE"""),90.390505)</f>
        <v>90.390505</v>
      </c>
      <c r="C818" s="3">
        <f>IFERROR(__xludf.DUMMYFUNCTION("""COMPUTED_VALUE"""),1.3948032327888E7)</f>
        <v>13948032.33</v>
      </c>
      <c r="D818" s="3">
        <f>IFERROR(__xludf.DUMMYFUNCTION("""COMPUTED_VALUE"""),316.0894090011716)</f>
        <v>316.089409</v>
      </c>
      <c r="E818" s="3">
        <f>IFERROR(__xludf.DUMMYFUNCTION("""COMPUTED_VALUE"""),28571.481304767447)</f>
        <v>28571.4813</v>
      </c>
      <c r="F818" s="3" t="str">
        <f>IFERROR(__xludf.DUMMYFUNCTION("""COMPUTED_VALUE"""),"AAVE")</f>
        <v>AAVE</v>
      </c>
      <c r="G818" s="3"/>
    </row>
    <row r="819">
      <c r="A819" s="3" t="str">
        <f>IFERROR(__xludf.DUMMYFUNCTION("""COMPUTED_VALUE"""),"2022-07-17T00:00:00Z")</f>
        <v>2022-07-17T00:00:00Z</v>
      </c>
      <c r="B819" s="3">
        <f>IFERROR(__xludf.DUMMYFUNCTION("""COMPUTED_VALUE"""),92.851955)</f>
        <v>92.851955</v>
      </c>
      <c r="C819" s="3">
        <f>IFERROR(__xludf.DUMMYFUNCTION("""COMPUTED_VALUE"""),1.3948351936471E7)</f>
        <v>13948351.94</v>
      </c>
      <c r="D819" s="3">
        <f>IFERROR(__xludf.DUMMYFUNCTION("""COMPUTED_VALUE"""),319.60858299955726)</f>
        <v>319.608583</v>
      </c>
      <c r="E819" s="3">
        <f>IFERROR(__xludf.DUMMYFUNCTION("""COMPUTED_VALUE"""),29676.281766288655)</f>
        <v>29676.28177</v>
      </c>
      <c r="F819" s="3" t="str">
        <f>IFERROR(__xludf.DUMMYFUNCTION("""COMPUTED_VALUE"""),"AAVE")</f>
        <v>AAVE</v>
      </c>
      <c r="G819" s="3"/>
    </row>
    <row r="820">
      <c r="A820" s="3" t="str">
        <f>IFERROR(__xludf.DUMMYFUNCTION("""COMPUTED_VALUE"""),"2022-07-18T00:00:00Z")</f>
        <v>2022-07-18T00:00:00Z</v>
      </c>
      <c r="B820" s="3">
        <f>IFERROR(__xludf.DUMMYFUNCTION("""COMPUTED_VALUE"""),88.260836)</f>
        <v>88.260836</v>
      </c>
      <c r="C820" s="3">
        <f>IFERROR(__xludf.DUMMYFUNCTION("""COMPUTED_VALUE"""),1.3948605151412E7)</f>
        <v>13948605.15</v>
      </c>
      <c r="D820" s="3">
        <f>IFERROR(__xludf.DUMMYFUNCTION("""COMPUTED_VALUE"""),253.2149410005659)</f>
        <v>253.214941</v>
      </c>
      <c r="E820" s="3">
        <f>IFERROR(__xludf.DUMMYFUNCTION("""COMPUTED_VALUE"""),22348.962380400622)</f>
        <v>22348.96238</v>
      </c>
      <c r="F820" s="3" t="str">
        <f>IFERROR(__xludf.DUMMYFUNCTION("""COMPUTED_VALUE"""),"AAVE")</f>
        <v>AAVE</v>
      </c>
      <c r="G820" s="3"/>
    </row>
    <row r="821">
      <c r="A821" s="3" t="str">
        <f>IFERROR(__xludf.DUMMYFUNCTION("""COMPUTED_VALUE"""),"2022-07-19T00:00:00Z")</f>
        <v>2022-07-19T00:00:00Z</v>
      </c>
      <c r="B821" s="3">
        <f>IFERROR(__xludf.DUMMYFUNCTION("""COMPUTED_VALUE"""),96.180348)</f>
        <v>96.180348</v>
      </c>
      <c r="C821" s="3">
        <f>IFERROR(__xludf.DUMMYFUNCTION("""COMPUTED_VALUE"""),1.39657753517E7)</f>
        <v>13965775.35</v>
      </c>
      <c r="D821" s="3">
        <f>IFERROR(__xludf.DUMMYFUNCTION("""COMPUTED_VALUE"""),17170.200287999585)</f>
        <v>17170.20029</v>
      </c>
      <c r="E821" s="3">
        <f>IFERROR(__xludf.DUMMYFUNCTION("""COMPUTED_VALUE"""),1651435.8389295002)</f>
        <v>1651435.839</v>
      </c>
      <c r="F821" s="3" t="str">
        <f>IFERROR(__xludf.DUMMYFUNCTION("""COMPUTED_VALUE"""),"AAVE")</f>
        <v>AAVE</v>
      </c>
      <c r="G821" s="3"/>
    </row>
    <row r="822">
      <c r="A822" s="3" t="str">
        <f>IFERROR(__xludf.DUMMYFUNCTION("""COMPUTED_VALUE"""),"2022-07-20T00:00:00Z")</f>
        <v>2022-07-20T00:00:00Z</v>
      </c>
      <c r="B822" s="3">
        <f>IFERROR(__xludf.DUMMYFUNCTION("""COMPUTED_VALUE"""),95.774096)</f>
        <v>95.774096</v>
      </c>
      <c r="C822" s="3">
        <f>IFERROR(__xludf.DUMMYFUNCTION("""COMPUTED_VALUE"""),1.396596177834E7)</f>
        <v>13965961.78</v>
      </c>
      <c r="D822" s="3">
        <f>IFERROR(__xludf.DUMMYFUNCTION("""COMPUTED_VALUE"""),186.4266400001943)</f>
        <v>186.42664</v>
      </c>
      <c r="E822" s="3">
        <f>IFERROR(__xludf.DUMMYFUNCTION("""COMPUTED_VALUE"""),17854.84291633605)</f>
        <v>17854.84292</v>
      </c>
      <c r="F822" s="3" t="str">
        <f>IFERROR(__xludf.DUMMYFUNCTION("""COMPUTED_VALUE"""),"AAVE")</f>
        <v>AAVE</v>
      </c>
      <c r="G822" s="3"/>
    </row>
    <row r="823">
      <c r="A823" s="3" t="str">
        <f>IFERROR(__xludf.DUMMYFUNCTION("""COMPUTED_VALUE"""),"2022-07-21T00:00:00Z")</f>
        <v>2022-07-21T00:00:00Z</v>
      </c>
      <c r="B823" s="3">
        <f>IFERROR(__xludf.DUMMYFUNCTION("""COMPUTED_VALUE"""),90.820371)</f>
        <v>90.820371</v>
      </c>
      <c r="C823" s="3">
        <f>IFERROR(__xludf.DUMMYFUNCTION("""COMPUTED_VALUE"""),1.396620323491E7)</f>
        <v>13966203.23</v>
      </c>
      <c r="D823" s="3">
        <f>IFERROR(__xludf.DUMMYFUNCTION("""COMPUTED_VALUE"""),241.4565699994564)</f>
        <v>241.45657</v>
      </c>
      <c r="E823" s="3">
        <f>IFERROR(__xludf.DUMMYFUNCTION("""COMPUTED_VALUE"""),21929.1752677381)</f>
        <v>21929.17527</v>
      </c>
      <c r="F823" s="3" t="str">
        <f>IFERROR(__xludf.DUMMYFUNCTION("""COMPUTED_VALUE"""),"AAVE")</f>
        <v>AAVE</v>
      </c>
      <c r="G823" s="3"/>
    </row>
    <row r="824">
      <c r="A824" s="3" t="str">
        <f>IFERROR(__xludf.DUMMYFUNCTION("""COMPUTED_VALUE"""),"2022-07-22T00:00:00Z")</f>
        <v>2022-07-22T00:00:00Z</v>
      </c>
      <c r="B824" s="3">
        <f>IFERROR(__xludf.DUMMYFUNCTION("""COMPUTED_VALUE"""),95.388771)</f>
        <v>95.388771</v>
      </c>
      <c r="C824" s="3">
        <f>IFERROR(__xludf.DUMMYFUNCTION("""COMPUTED_VALUE"""),1.3967238845596E7)</f>
        <v>13967238.85</v>
      </c>
      <c r="D824" s="3">
        <f>IFERROR(__xludf.DUMMYFUNCTION("""COMPUTED_VALUE"""),1035.6106860004365)</f>
        <v>1035.610686</v>
      </c>
      <c r="E824" s="3">
        <f>IFERROR(__xludf.DUMMYFUNCTION("""COMPUTED_VALUE"""),98785.63057204855)</f>
        <v>98785.63057</v>
      </c>
      <c r="F824" s="3" t="str">
        <f>IFERROR(__xludf.DUMMYFUNCTION("""COMPUTED_VALUE"""),"AAVE")</f>
        <v>AAVE</v>
      </c>
      <c r="G824" s="3"/>
    </row>
    <row r="825">
      <c r="A825" s="3" t="str">
        <f>IFERROR(__xludf.DUMMYFUNCTION("""COMPUTED_VALUE"""),"2022-07-23T00:00:00Z")</f>
        <v>2022-07-23T00:00:00Z</v>
      </c>
      <c r="B825" s="3">
        <f>IFERROR(__xludf.DUMMYFUNCTION("""COMPUTED_VALUE"""),89.511739)</f>
        <v>89.511739</v>
      </c>
      <c r="C825" s="3">
        <f>IFERROR(__xludf.DUMMYFUNCTION("""COMPUTED_VALUE"""),1.396748868251E7)</f>
        <v>13967488.68</v>
      </c>
      <c r="D825" s="3">
        <f>IFERROR(__xludf.DUMMYFUNCTION("""COMPUTED_VALUE"""),249.83691399917006)</f>
        <v>249.836914</v>
      </c>
      <c r="E825" s="3">
        <f>IFERROR(__xludf.DUMMYFUNCTION("""COMPUTED_VALUE"""),22363.336638459157)</f>
        <v>22363.33664</v>
      </c>
      <c r="F825" s="3" t="str">
        <f>IFERROR(__xludf.DUMMYFUNCTION("""COMPUTED_VALUE"""),"AAVE")</f>
        <v>AAVE</v>
      </c>
      <c r="G825" s="3"/>
    </row>
    <row r="826">
      <c r="A826" s="3" t="str">
        <f>IFERROR(__xludf.DUMMYFUNCTION("""COMPUTED_VALUE"""),"2022-07-24T00:00:00Z")</f>
        <v>2022-07-24T00:00:00Z</v>
      </c>
      <c r="B826" s="3">
        <f>IFERROR(__xludf.DUMMYFUNCTION("""COMPUTED_VALUE"""),89.224045)</f>
        <v>89.224045</v>
      </c>
      <c r="C826" s="3">
        <f>IFERROR(__xludf.DUMMYFUNCTION("""COMPUTED_VALUE"""),1.3967630476793E7)</f>
        <v>13967630.48</v>
      </c>
      <c r="D826" s="3">
        <f>IFERROR(__xludf.DUMMYFUNCTION("""COMPUTED_VALUE"""),141.79428300075233)</f>
        <v>141.794283</v>
      </c>
      <c r="E826" s="3">
        <f>IFERROR(__xludf.DUMMYFUNCTION("""COMPUTED_VALUE"""),12651.45948720186)</f>
        <v>12651.45949</v>
      </c>
      <c r="F826" s="3" t="str">
        <f>IFERROR(__xludf.DUMMYFUNCTION("""COMPUTED_VALUE"""),"AAVE")</f>
        <v>AAVE</v>
      </c>
      <c r="G826" s="3"/>
    </row>
    <row r="827">
      <c r="A827" s="3" t="str">
        <f>IFERROR(__xludf.DUMMYFUNCTION("""COMPUTED_VALUE"""),"2022-07-25T00:00:00Z")</f>
        <v>2022-07-25T00:00:00Z</v>
      </c>
      <c r="B827" s="3">
        <f>IFERROR(__xludf.DUMMYFUNCTION("""COMPUTED_VALUE"""),90.574826)</f>
        <v>90.574826</v>
      </c>
      <c r="C827" s="3">
        <f>IFERROR(__xludf.DUMMYFUNCTION("""COMPUTED_VALUE"""),1.3967845849607E7)</f>
        <v>13967845.85</v>
      </c>
      <c r="D827" s="3">
        <f>IFERROR(__xludf.DUMMYFUNCTION("""COMPUTED_VALUE"""),215.37281399965286)</f>
        <v>215.372814</v>
      </c>
      <c r="E827" s="3">
        <f>IFERROR(__xludf.DUMMYFUNCTION("""COMPUTED_VALUE"""),19507.35515314892)</f>
        <v>19507.35515</v>
      </c>
      <c r="F827" s="3" t="str">
        <f>IFERROR(__xludf.DUMMYFUNCTION("""COMPUTED_VALUE"""),"AAVE")</f>
        <v>AAVE</v>
      </c>
      <c r="G827" s="3"/>
    </row>
    <row r="828">
      <c r="A828" s="3" t="str">
        <f>IFERROR(__xludf.DUMMYFUNCTION("""COMPUTED_VALUE"""),"2022-07-26T00:00:00Z")</f>
        <v>2022-07-26T00:00:00Z</v>
      </c>
      <c r="B828" s="3">
        <f>IFERROR(__xludf.DUMMYFUNCTION("""COMPUTED_VALUE"""),81.367184)</f>
        <v>81.367184</v>
      </c>
      <c r="C828" s="3">
        <f>IFERROR(__xludf.DUMMYFUNCTION("""COMPUTED_VALUE"""),1.3968093794384E7)</f>
        <v>13968093.79</v>
      </c>
      <c r="D828" s="3">
        <f>IFERROR(__xludf.DUMMYFUNCTION("""COMPUTED_VALUE"""),247.94477700069547)</f>
        <v>247.944777</v>
      </c>
      <c r="E828" s="3">
        <f>IFERROR(__xludf.DUMMYFUNCTION("""COMPUTED_VALUE"""),20174.568292054555)</f>
        <v>20174.56829</v>
      </c>
      <c r="F828" s="3" t="str">
        <f>IFERROR(__xludf.DUMMYFUNCTION("""COMPUTED_VALUE"""),"AAVE")</f>
        <v>AAVE</v>
      </c>
      <c r="G828" s="3"/>
    </row>
    <row r="829">
      <c r="A829" s="3" t="str">
        <f>IFERROR(__xludf.DUMMYFUNCTION("""COMPUTED_VALUE"""),"2022-07-27T00:00:00Z")</f>
        <v>2022-07-27T00:00:00Z</v>
      </c>
      <c r="B829" s="3">
        <f>IFERROR(__xludf.DUMMYFUNCTION("""COMPUTED_VALUE"""),81.202389)</f>
        <v>81.202389</v>
      </c>
      <c r="C829" s="3">
        <f>IFERROR(__xludf.DUMMYFUNCTION("""COMPUTED_VALUE"""),1.3969492334459E7)</f>
        <v>13969492.33</v>
      </c>
      <c r="D829" s="3">
        <f>IFERROR(__xludf.DUMMYFUNCTION("""COMPUTED_VALUE"""),1398.5400749985129)</f>
        <v>1398.540075</v>
      </c>
      <c r="E829" s="3">
        <f>IFERROR(__xludf.DUMMYFUNCTION("""COMPUTED_VALUE"""),113564.79520211842)</f>
        <v>113564.7952</v>
      </c>
      <c r="F829" s="3" t="str">
        <f>IFERROR(__xludf.DUMMYFUNCTION("""COMPUTED_VALUE"""),"AAVE")</f>
        <v>AAVE</v>
      </c>
      <c r="G829" s="3"/>
    </row>
    <row r="830">
      <c r="A830" s="3" t="str">
        <f>IFERROR(__xludf.DUMMYFUNCTION("""COMPUTED_VALUE"""),"2022-07-28T00:00:00Z")</f>
        <v>2022-07-28T00:00:00Z</v>
      </c>
      <c r="B830" s="3">
        <f>IFERROR(__xludf.DUMMYFUNCTION("""COMPUTED_VALUE"""),94.953621)</f>
        <v>94.953621</v>
      </c>
      <c r="C830" s="3">
        <f>IFERROR(__xludf.DUMMYFUNCTION("""COMPUTED_VALUE"""),1.3969987657148E7)</f>
        <v>13969987.66</v>
      </c>
      <c r="D830" s="3">
        <f>IFERROR(__xludf.DUMMYFUNCTION("""COMPUTED_VALUE"""),495.32268900051713)</f>
        <v>495.322689</v>
      </c>
      <c r="E830" s="3">
        <f>IFERROR(__xludf.DUMMYFUNCTION("""COMPUTED_VALUE"""),47032.68288405597)</f>
        <v>47032.68288</v>
      </c>
      <c r="F830" s="3" t="str">
        <f>IFERROR(__xludf.DUMMYFUNCTION("""COMPUTED_VALUE"""),"AAVE")</f>
        <v>AAVE</v>
      </c>
      <c r="G830" s="3"/>
    </row>
    <row r="831">
      <c r="A831" s="3" t="str">
        <f>IFERROR(__xludf.DUMMYFUNCTION("""COMPUTED_VALUE"""),"2022-07-29T00:00:00Z")</f>
        <v>2022-07-29T00:00:00Z</v>
      </c>
      <c r="B831" s="3">
        <f>IFERROR(__xludf.DUMMYFUNCTION("""COMPUTED_VALUE"""),100.588593)</f>
        <v>100.588593</v>
      </c>
      <c r="C831" s="3">
        <f>IFERROR(__xludf.DUMMYFUNCTION("""COMPUTED_VALUE"""),1.3970457623399E7)</f>
        <v>13970457.62</v>
      </c>
      <c r="D831" s="3">
        <f>IFERROR(__xludf.DUMMYFUNCTION("""COMPUTED_VALUE"""),469.966251000762)</f>
        <v>469.966251</v>
      </c>
      <c r="E831" s="3">
        <f>IFERROR(__xludf.DUMMYFUNCTION("""COMPUTED_VALUE"""),47273.24394565149)</f>
        <v>47273.24395</v>
      </c>
      <c r="F831" s="3" t="str">
        <f>IFERROR(__xludf.DUMMYFUNCTION("""COMPUTED_VALUE"""),"AAVE")</f>
        <v>AAVE</v>
      </c>
      <c r="G831" s="3"/>
    </row>
    <row r="832">
      <c r="A832" s="3" t="str">
        <f>IFERROR(__xludf.DUMMYFUNCTION("""COMPUTED_VALUE"""),"2022-07-30T00:00:00Z")</f>
        <v>2022-07-30T00:00:00Z</v>
      </c>
      <c r="B832" s="3">
        <f>IFERROR(__xludf.DUMMYFUNCTION("""COMPUTED_VALUE"""),95.679284)</f>
        <v>95.679284</v>
      </c>
      <c r="C832" s="3">
        <f>IFERROR(__xludf.DUMMYFUNCTION("""COMPUTED_VALUE"""),1.3970634233726E7)</f>
        <v>13970634.23</v>
      </c>
      <c r="D832" s="3">
        <f>IFERROR(__xludf.DUMMYFUNCTION("""COMPUTED_VALUE"""),176.61032699979842)</f>
        <v>176.610327</v>
      </c>
      <c r="E832" s="3">
        <f>IFERROR(__xludf.DUMMYFUNCTION("""COMPUTED_VALUE"""),16897.94963434658)</f>
        <v>16897.94963</v>
      </c>
      <c r="F832" s="3" t="str">
        <f>IFERROR(__xludf.DUMMYFUNCTION("""COMPUTED_VALUE"""),"AAVE")</f>
        <v>AAVE</v>
      </c>
      <c r="G832" s="3"/>
    </row>
    <row r="833">
      <c r="A833" s="3" t="str">
        <f>IFERROR(__xludf.DUMMYFUNCTION("""COMPUTED_VALUE"""),"2022-07-31T00:00:00Z")</f>
        <v>2022-07-31T00:00:00Z</v>
      </c>
      <c r="B833" s="3">
        <f>IFERROR(__xludf.DUMMYFUNCTION("""COMPUTED_VALUE"""),95.34354)</f>
        <v>95.34354</v>
      </c>
      <c r="C833" s="3">
        <f>IFERROR(__xludf.DUMMYFUNCTION("""COMPUTED_VALUE"""),1.3971684612636E7)</f>
        <v>13971684.61</v>
      </c>
      <c r="D833" s="3">
        <f>IFERROR(__xludf.DUMMYFUNCTION("""COMPUTED_VALUE"""),1050.3789099995047)</f>
        <v>1050.37891</v>
      </c>
      <c r="E833" s="3">
        <f>IFERROR(__xludf.DUMMYFUNCTION("""COMPUTED_VALUE"""),100146.84362069418)</f>
        <v>100146.8436</v>
      </c>
      <c r="F833" s="3" t="str">
        <f>IFERROR(__xludf.DUMMYFUNCTION("""COMPUTED_VALUE"""),"AAVE")</f>
        <v>AAVE</v>
      </c>
      <c r="G833" s="3"/>
    </row>
    <row r="834">
      <c r="A834" s="3" t="str">
        <f>IFERROR(__xludf.DUMMYFUNCTION("""COMPUTED_VALUE"""),"2022-08-01T00:00:00Z")</f>
        <v>2022-08-01T00:00:00Z</v>
      </c>
      <c r="B834" s="3">
        <f>IFERROR(__xludf.DUMMYFUNCTION("""COMPUTED_VALUE"""),97.59643)</f>
        <v>97.59643</v>
      </c>
      <c r="C834" s="3">
        <f>IFERROR(__xludf.DUMMYFUNCTION("""COMPUTED_VALUE"""),1.3979116401164E7)</f>
        <v>13979116.4</v>
      </c>
      <c r="D834" s="3">
        <f>IFERROR(__xludf.DUMMYFUNCTION("""COMPUTED_VALUE"""),7431.788528000936)</f>
        <v>7431.788528</v>
      </c>
      <c r="E834" s="3">
        <f>IFERROR(__xludf.DUMMYFUNCTION("""COMPUTED_VALUE"""),725316.0288478463)</f>
        <v>725316.0288</v>
      </c>
      <c r="F834" s="3" t="str">
        <f>IFERROR(__xludf.DUMMYFUNCTION("""COMPUTED_VALUE"""),"AAVE")</f>
        <v>AAVE</v>
      </c>
      <c r="G834" s="3"/>
    </row>
    <row r="835">
      <c r="A835" s="3" t="str">
        <f>IFERROR(__xludf.DUMMYFUNCTION("""COMPUTED_VALUE"""),"2022-08-02T00:00:00Z")</f>
        <v>2022-08-02T00:00:00Z</v>
      </c>
      <c r="B835" s="3">
        <f>IFERROR(__xludf.DUMMYFUNCTION("""COMPUTED_VALUE"""),96.595081)</f>
        <v>96.595081</v>
      </c>
      <c r="C835" s="3">
        <f>IFERROR(__xludf.DUMMYFUNCTION("""COMPUTED_VALUE"""),1.3979201451471E7)</f>
        <v>13979201.45</v>
      </c>
      <c r="D835" s="3">
        <f>IFERROR(__xludf.DUMMYFUNCTION("""COMPUTED_VALUE"""),85.05030700005591)</f>
        <v>85.050307</v>
      </c>
      <c r="E835" s="3">
        <f>IFERROR(__xludf.DUMMYFUNCTION("""COMPUTED_VALUE"""),8215.441293745267)</f>
        <v>8215.441294</v>
      </c>
      <c r="F835" s="3" t="str">
        <f>IFERROR(__xludf.DUMMYFUNCTION("""COMPUTED_VALUE"""),"AAVE")</f>
        <v>AAVE</v>
      </c>
      <c r="G835" s="3"/>
    </row>
    <row r="836">
      <c r="A836" s="3" t="str">
        <f>IFERROR(__xludf.DUMMYFUNCTION("""COMPUTED_VALUE"""),"2022-08-03T00:00:00Z")</f>
        <v>2022-08-03T00:00:00Z</v>
      </c>
      <c r="B836" s="3">
        <f>IFERROR(__xludf.DUMMYFUNCTION("""COMPUTED_VALUE"""),93.492857)</f>
        <v>93.492857</v>
      </c>
      <c r="C836" s="3">
        <f>IFERROR(__xludf.DUMMYFUNCTION("""COMPUTED_VALUE"""),1.397965521628E7)</f>
        <v>13979655.22</v>
      </c>
      <c r="D836" s="3">
        <f>IFERROR(__xludf.DUMMYFUNCTION("""COMPUTED_VALUE"""),453.7648089993745)</f>
        <v>453.764809</v>
      </c>
      <c r="E836" s="3">
        <f>IFERROR(__xludf.DUMMYFUNCTION("""COMPUTED_VALUE"""),42423.76839941084)</f>
        <v>42423.7684</v>
      </c>
      <c r="F836" s="3" t="str">
        <f>IFERROR(__xludf.DUMMYFUNCTION("""COMPUTED_VALUE"""),"AAVE")</f>
        <v>AAVE</v>
      </c>
      <c r="G836" s="3"/>
    </row>
    <row r="837">
      <c r="A837" s="3" t="str">
        <f>IFERROR(__xludf.DUMMYFUNCTION("""COMPUTED_VALUE"""),"2022-08-04T00:00:00Z")</f>
        <v>2022-08-04T00:00:00Z</v>
      </c>
      <c r="B837" s="3">
        <f>IFERROR(__xludf.DUMMYFUNCTION("""COMPUTED_VALUE"""),94.92456)</f>
        <v>94.92456</v>
      </c>
      <c r="C837" s="3">
        <f>IFERROR(__xludf.DUMMYFUNCTION("""COMPUTED_VALUE"""),1.3981273942187E7)</f>
        <v>13981273.94</v>
      </c>
      <c r="D837" s="3">
        <f>IFERROR(__xludf.DUMMYFUNCTION("""COMPUTED_VALUE"""),1618.7259069997817)</f>
        <v>1618.725907</v>
      </c>
      <c r="E837" s="3">
        <f>IFERROR(__xludf.DUMMYFUNCTION("""COMPUTED_VALUE"""),153656.8444825552)</f>
        <v>153656.8445</v>
      </c>
      <c r="F837" s="3" t="str">
        <f>IFERROR(__xludf.DUMMYFUNCTION("""COMPUTED_VALUE"""),"AAVE")</f>
        <v>AAVE</v>
      </c>
      <c r="G837" s="3"/>
    </row>
    <row r="838">
      <c r="A838" s="3" t="str">
        <f>IFERROR(__xludf.DUMMYFUNCTION("""COMPUTED_VALUE"""),"2022-08-05T00:00:00Z")</f>
        <v>2022-08-05T00:00:00Z</v>
      </c>
      <c r="B838" s="3">
        <f>IFERROR(__xludf.DUMMYFUNCTION("""COMPUTED_VALUE"""),96.40166)</f>
        <v>96.40166</v>
      </c>
      <c r="C838" s="3">
        <f>IFERROR(__xludf.DUMMYFUNCTION("""COMPUTED_VALUE"""),1.3981879010132E7)</f>
        <v>13981879.01</v>
      </c>
      <c r="D838" s="3">
        <f>IFERROR(__xludf.DUMMYFUNCTION("""COMPUTED_VALUE"""),605.0679449997842)</f>
        <v>605.067945</v>
      </c>
      <c r="E838" s="3">
        <f>IFERROR(__xludf.DUMMYFUNCTION("""COMPUTED_VALUE"""),58329.554310767904)</f>
        <v>58329.55431</v>
      </c>
      <c r="F838" s="3" t="str">
        <f>IFERROR(__xludf.DUMMYFUNCTION("""COMPUTED_VALUE"""),"AAVE")</f>
        <v>AAVE</v>
      </c>
      <c r="G838" s="3"/>
    </row>
    <row r="839">
      <c r="A839" s="3" t="str">
        <f>IFERROR(__xludf.DUMMYFUNCTION("""COMPUTED_VALUE"""),"2022-08-06T00:00:00Z")</f>
        <v>2022-08-06T00:00:00Z</v>
      </c>
      <c r="B839" s="3">
        <f>IFERROR(__xludf.DUMMYFUNCTION("""COMPUTED_VALUE"""),102.823614)</f>
        <v>102.823614</v>
      </c>
      <c r="C839" s="3">
        <f>IFERROR(__xludf.DUMMYFUNCTION("""COMPUTED_VALUE"""),1.3982062159139E7)</f>
        <v>13982062.16</v>
      </c>
      <c r="D839" s="3">
        <f>IFERROR(__xludf.DUMMYFUNCTION("""COMPUTED_VALUE"""),183.1490070000291)</f>
        <v>183.149007</v>
      </c>
      <c r="E839" s="3">
        <f>IFERROR(__xludf.DUMMYFUNCTION("""COMPUTED_VALUE"""),18832.04280025429)</f>
        <v>18832.0428</v>
      </c>
      <c r="F839" s="3" t="str">
        <f>IFERROR(__xludf.DUMMYFUNCTION("""COMPUTED_VALUE"""),"AAVE")</f>
        <v>AAVE</v>
      </c>
      <c r="G839" s="3"/>
    </row>
    <row r="840">
      <c r="A840" s="3" t="str">
        <f>IFERROR(__xludf.DUMMYFUNCTION("""COMPUTED_VALUE"""),"2022-08-07T00:00:00Z")</f>
        <v>2022-08-07T00:00:00Z</v>
      </c>
      <c r="B840" s="3">
        <f>IFERROR(__xludf.DUMMYFUNCTION("""COMPUTED_VALUE"""),99.045797)</f>
        <v>99.045797</v>
      </c>
      <c r="C840" s="3">
        <f>IFERROR(__xludf.DUMMYFUNCTION("""COMPUTED_VALUE"""),1.3982526729287E7)</f>
        <v>13982526.73</v>
      </c>
      <c r="D840" s="3">
        <f>IFERROR(__xludf.DUMMYFUNCTION("""COMPUTED_VALUE"""),464.57014800049365)</f>
        <v>464.570148</v>
      </c>
      <c r="E840" s="3">
        <f>IFERROR(__xludf.DUMMYFUNCTION("""COMPUTED_VALUE"""),46013.72057111685)</f>
        <v>46013.72057</v>
      </c>
      <c r="F840" s="3" t="str">
        <f>IFERROR(__xludf.DUMMYFUNCTION("""COMPUTED_VALUE"""),"AAVE")</f>
        <v>AAVE</v>
      </c>
      <c r="G840" s="3"/>
    </row>
    <row r="841">
      <c r="A841" s="3" t="str">
        <f>IFERROR(__xludf.DUMMYFUNCTION("""COMPUTED_VALUE"""),"2022-08-08T00:00:00Z")</f>
        <v>2022-08-08T00:00:00Z</v>
      </c>
      <c r="B841" s="3">
        <f>IFERROR(__xludf.DUMMYFUNCTION("""COMPUTED_VALUE"""),101.314926)</f>
        <v>101.314926</v>
      </c>
      <c r="C841" s="3">
        <f>IFERROR(__xludf.DUMMYFUNCTION("""COMPUTED_VALUE"""),1.3983251850727E7)</f>
        <v>13983251.85</v>
      </c>
      <c r="D841" s="3">
        <f>IFERROR(__xludf.DUMMYFUNCTION("""COMPUTED_VALUE"""),725.1214399989694)</f>
        <v>725.12144</v>
      </c>
      <c r="E841" s="3">
        <f>IFERROR(__xludf.DUMMYFUNCTION("""COMPUTED_VALUE"""),73465.62503450902)</f>
        <v>73465.62503</v>
      </c>
      <c r="F841" s="3" t="str">
        <f>IFERROR(__xludf.DUMMYFUNCTION("""COMPUTED_VALUE"""),"AAVE")</f>
        <v>AAVE</v>
      </c>
      <c r="G841" s="3"/>
    </row>
    <row r="842">
      <c r="A842" s="3" t="str">
        <f>IFERROR(__xludf.DUMMYFUNCTION("""COMPUTED_VALUE"""),"2022-08-09T00:00:00Z")</f>
        <v>2022-08-09T00:00:00Z</v>
      </c>
      <c r="B842" s="3">
        <f>IFERROR(__xludf.DUMMYFUNCTION("""COMPUTED_VALUE"""),102.513976)</f>
        <v>102.513976</v>
      </c>
      <c r="C842" s="3">
        <f>IFERROR(__xludf.DUMMYFUNCTION("""COMPUTED_VALUE"""),1.3984389853509E7)</f>
        <v>13984389.85</v>
      </c>
      <c r="D842" s="3">
        <f>IFERROR(__xludf.DUMMYFUNCTION("""COMPUTED_VALUE"""),1138.0027820002288)</f>
        <v>1138.002782</v>
      </c>
      <c r="E842" s="3">
        <f>IFERROR(__xludf.DUMMYFUNCTION("""COMPUTED_VALUE"""),116661.18988190468)</f>
        <v>116661.1899</v>
      </c>
      <c r="F842" s="3" t="str">
        <f>IFERROR(__xludf.DUMMYFUNCTION("""COMPUTED_VALUE"""),"AAVE")</f>
        <v>AAVE</v>
      </c>
      <c r="G842" s="3"/>
    </row>
    <row r="843">
      <c r="A843" s="3" t="str">
        <f>IFERROR(__xludf.DUMMYFUNCTION("""COMPUTED_VALUE"""),"2022-08-10T00:00:00Z")</f>
        <v>2022-08-10T00:00:00Z</v>
      </c>
      <c r="B843" s="3">
        <f>IFERROR(__xludf.DUMMYFUNCTION("""COMPUTED_VALUE"""),97.861442)</f>
        <v>97.861442</v>
      </c>
      <c r="C843" s="3">
        <f>IFERROR(__xludf.DUMMYFUNCTION("""COMPUTED_VALUE"""),1.3985115713716E7)</f>
        <v>13985115.71</v>
      </c>
      <c r="D843" s="3">
        <f>IFERROR(__xludf.DUMMYFUNCTION("""COMPUTED_VALUE"""),725.8602070007473)</f>
        <v>725.860207</v>
      </c>
      <c r="E843" s="3">
        <f>IFERROR(__xludf.DUMMYFUNCTION("""COMPUTED_VALUE"""),71033.72654751163)</f>
        <v>71033.72655</v>
      </c>
      <c r="F843" s="3" t="str">
        <f>IFERROR(__xludf.DUMMYFUNCTION("""COMPUTED_VALUE"""),"AAVE")</f>
        <v>AAVE</v>
      </c>
      <c r="G843" s="3"/>
    </row>
    <row r="844">
      <c r="A844" s="3" t="str">
        <f>IFERROR(__xludf.DUMMYFUNCTION("""COMPUTED_VALUE"""),"2022-08-11T00:00:00Z")</f>
        <v>2022-08-11T00:00:00Z</v>
      </c>
      <c r="B844" s="3">
        <f>IFERROR(__xludf.DUMMYFUNCTION("""COMPUTED_VALUE"""),111.121577)</f>
        <v>111.121577</v>
      </c>
      <c r="C844" s="3">
        <f>IFERROR(__xludf.DUMMYFUNCTION("""COMPUTED_VALUE"""),1.3985739718079E7)</f>
        <v>13985739.72</v>
      </c>
      <c r="D844" s="3">
        <f>IFERROR(__xludf.DUMMYFUNCTION("""COMPUTED_VALUE"""),624.0043630003929)</f>
        <v>624.004363</v>
      </c>
      <c r="E844" s="3">
        <f>IFERROR(__xludf.DUMMYFUNCTION("""COMPUTED_VALUE"""),69340.34887148411)</f>
        <v>69340.34887</v>
      </c>
      <c r="F844" s="3" t="str">
        <f>IFERROR(__xludf.DUMMYFUNCTION("""COMPUTED_VALUE"""),"AAVE")</f>
        <v>AAVE</v>
      </c>
      <c r="G844" s="3"/>
    </row>
    <row r="845">
      <c r="A845" s="3" t="str">
        <f>IFERROR(__xludf.DUMMYFUNCTION("""COMPUTED_VALUE"""),"2022-08-12T00:00:00Z")</f>
        <v>2022-08-12T00:00:00Z</v>
      </c>
      <c r="B845" s="3">
        <f>IFERROR(__xludf.DUMMYFUNCTION("""COMPUTED_VALUE"""),107.609485)</f>
        <v>107.609485</v>
      </c>
      <c r="C845" s="3">
        <f>IFERROR(__xludf.DUMMYFUNCTION("""COMPUTED_VALUE"""),1.3986421258289E7)</f>
        <v>13986421.26</v>
      </c>
      <c r="D845" s="3">
        <f>IFERROR(__xludf.DUMMYFUNCTION("""COMPUTED_VALUE"""),681.540209999308)</f>
        <v>681.54021</v>
      </c>
      <c r="E845" s="3">
        <f>IFERROR(__xludf.DUMMYFUNCTION("""COMPUTED_VALUE"""),73340.19100481739)</f>
        <v>73340.191</v>
      </c>
      <c r="F845" s="3" t="str">
        <f>IFERROR(__xludf.DUMMYFUNCTION("""COMPUTED_VALUE"""),"AAVE")</f>
        <v>AAVE</v>
      </c>
      <c r="G845" s="3"/>
    </row>
    <row r="846">
      <c r="A846" s="3" t="str">
        <f>IFERROR(__xludf.DUMMYFUNCTION("""COMPUTED_VALUE"""),"2022-08-13T00:00:00Z")</f>
        <v>2022-08-13T00:00:00Z</v>
      </c>
      <c r="B846" s="3">
        <f>IFERROR(__xludf.DUMMYFUNCTION("""COMPUTED_VALUE"""),114.777628)</f>
        <v>114.777628</v>
      </c>
      <c r="C846" s="3">
        <f>IFERROR(__xludf.DUMMYFUNCTION("""COMPUTED_VALUE"""),1.398712499968E7)</f>
        <v>13987125</v>
      </c>
      <c r="D846" s="3">
        <f>IFERROR(__xludf.DUMMYFUNCTION("""COMPUTED_VALUE"""),703.7413909994066)</f>
        <v>703.741391</v>
      </c>
      <c r="E846" s="3">
        <f>IFERROR(__xludf.DUMMYFUNCTION("""COMPUTED_VALUE"""),80773.76758433244)</f>
        <v>80773.76758</v>
      </c>
      <c r="F846" s="3" t="str">
        <f>IFERROR(__xludf.DUMMYFUNCTION("""COMPUTED_VALUE"""),"AAVE")</f>
        <v>AAVE</v>
      </c>
      <c r="G846" s="3"/>
    </row>
    <row r="847">
      <c r="A847" s="3" t="str">
        <f>IFERROR(__xludf.DUMMYFUNCTION("""COMPUTED_VALUE"""),"2022-08-14T00:00:00Z")</f>
        <v>2022-08-14T00:00:00Z</v>
      </c>
      <c r="B847" s="3">
        <f>IFERROR(__xludf.DUMMYFUNCTION("""COMPUTED_VALUE"""),110.571893)</f>
        <v>110.571893</v>
      </c>
      <c r="C847" s="3">
        <f>IFERROR(__xludf.DUMMYFUNCTION("""COMPUTED_VALUE"""),1.3987700923547E7)</f>
        <v>13987700.92</v>
      </c>
      <c r="D847" s="3">
        <f>IFERROR(__xludf.DUMMYFUNCTION("""COMPUTED_VALUE"""),575.9238670002669)</f>
        <v>575.923867</v>
      </c>
      <c r="E847" s="3">
        <f>IFERROR(__xludf.DUMMYFUNCTION("""COMPUTED_VALUE"""),63680.992198099746)</f>
        <v>63680.9922</v>
      </c>
      <c r="F847" s="3" t="str">
        <f>IFERROR(__xludf.DUMMYFUNCTION("""COMPUTED_VALUE"""),"AAVE")</f>
        <v>AAVE</v>
      </c>
      <c r="G847" s="3"/>
    </row>
    <row r="848">
      <c r="A848" s="3" t="str">
        <f>IFERROR(__xludf.DUMMYFUNCTION("""COMPUTED_VALUE"""),"2022-08-15T00:00:00Z")</f>
        <v>2022-08-15T00:00:00Z</v>
      </c>
      <c r="B848" s="3">
        <f>IFERROR(__xludf.DUMMYFUNCTION("""COMPUTED_VALUE"""),107.470623)</f>
        <v>107.470623</v>
      </c>
      <c r="C848" s="3">
        <f>IFERROR(__xludf.DUMMYFUNCTION("""COMPUTED_VALUE"""),1.3987862289871E7)</f>
        <v>13987862.29</v>
      </c>
      <c r="D848" s="3">
        <f>IFERROR(__xludf.DUMMYFUNCTION("""COMPUTED_VALUE"""),161.36632400006056)</f>
        <v>161.366324</v>
      </c>
      <c r="E848" s="3">
        <f>IFERROR(__xludf.DUMMYFUNCTION("""COMPUTED_VALUE"""),17342.13937150636)</f>
        <v>17342.13937</v>
      </c>
      <c r="F848" s="3" t="str">
        <f>IFERROR(__xludf.DUMMYFUNCTION("""COMPUTED_VALUE"""),"AAVE")</f>
        <v>AAVE</v>
      </c>
      <c r="G848" s="3"/>
    </row>
    <row r="849">
      <c r="A849" s="3" t="str">
        <f>IFERROR(__xludf.DUMMYFUNCTION("""COMPUTED_VALUE"""),"2022-08-16T00:00:00Z")</f>
        <v>2022-08-16T00:00:00Z</v>
      </c>
      <c r="B849" s="3">
        <f>IFERROR(__xludf.DUMMYFUNCTION("""COMPUTED_VALUE"""),107.070623)</f>
        <v>107.070623</v>
      </c>
      <c r="C849" s="3">
        <f>IFERROR(__xludf.DUMMYFUNCTION("""COMPUTED_VALUE"""),1.3988088977518E7)</f>
        <v>13988088.98</v>
      </c>
      <c r="D849" s="3">
        <f>IFERROR(__xludf.DUMMYFUNCTION("""COMPUTED_VALUE"""),226.68764699995518)</f>
        <v>226.687647</v>
      </c>
      <c r="E849" s="3">
        <f>IFERROR(__xludf.DUMMYFUNCTION("""COMPUTED_VALUE"""),24271.58759068928)</f>
        <v>24271.58759</v>
      </c>
      <c r="F849" s="3" t="str">
        <f>IFERROR(__xludf.DUMMYFUNCTION("""COMPUTED_VALUE"""),"AAVE")</f>
        <v>AAVE</v>
      </c>
      <c r="G849" s="3"/>
    </row>
    <row r="850">
      <c r="A850" s="3" t="str">
        <f>IFERROR(__xludf.DUMMYFUNCTION("""COMPUTED_VALUE"""),"2022-08-17T00:00:00Z")</f>
        <v>2022-08-17T00:00:00Z</v>
      </c>
      <c r="B850" s="3">
        <f>IFERROR(__xludf.DUMMYFUNCTION("""COMPUTED_VALUE"""),109.81409)</f>
        <v>109.81409</v>
      </c>
      <c r="C850" s="3">
        <f>IFERROR(__xludf.DUMMYFUNCTION("""COMPUTED_VALUE"""),1.3988486504207E7)</f>
        <v>13988486.5</v>
      </c>
      <c r="D850" s="3">
        <f>IFERROR(__xludf.DUMMYFUNCTION("""COMPUTED_VALUE"""),397.5266890004277)</f>
        <v>397.526689</v>
      </c>
      <c r="E850" s="3">
        <f>IFERROR(__xludf.DUMMYFUNCTION("""COMPUTED_VALUE"""),43654.03160329498)</f>
        <v>43654.0316</v>
      </c>
      <c r="F850" s="3" t="str">
        <f>IFERROR(__xludf.DUMMYFUNCTION("""COMPUTED_VALUE"""),"AAVE")</f>
        <v>AAVE</v>
      </c>
      <c r="G850" s="3"/>
    </row>
    <row r="851">
      <c r="A851" s="3" t="str">
        <f>IFERROR(__xludf.DUMMYFUNCTION("""COMPUTED_VALUE"""),"2022-08-18T00:00:00Z")</f>
        <v>2022-08-18T00:00:00Z</v>
      </c>
      <c r="B851" s="3">
        <f>IFERROR(__xludf.DUMMYFUNCTION("""COMPUTED_VALUE"""),100.236673)</f>
        <v>100.236673</v>
      </c>
      <c r="C851" s="3">
        <f>IFERROR(__xludf.DUMMYFUNCTION("""COMPUTED_VALUE"""),1.3989189081466E7)</f>
        <v>13989189.08</v>
      </c>
      <c r="D851" s="3">
        <f>IFERROR(__xludf.DUMMYFUNCTION("""COMPUTED_VALUE"""),702.5772590003908)</f>
        <v>702.577259</v>
      </c>
      <c r="E851" s="3">
        <f>IFERROR(__xludf.DUMMYFUNCTION("""COMPUTED_VALUE"""),70424.00696765847)</f>
        <v>70424.00697</v>
      </c>
      <c r="F851" s="3" t="str">
        <f>IFERROR(__xludf.DUMMYFUNCTION("""COMPUTED_VALUE"""),"AAVE")</f>
        <v>AAVE</v>
      </c>
      <c r="G851" s="3"/>
    </row>
    <row r="852">
      <c r="A852" s="3" t="str">
        <f>IFERROR(__xludf.DUMMYFUNCTION("""COMPUTED_VALUE"""),"2022-08-19T00:00:00Z")</f>
        <v>2022-08-19T00:00:00Z</v>
      </c>
      <c r="B852" s="3">
        <f>IFERROR(__xludf.DUMMYFUNCTION("""COMPUTED_VALUE"""),94.896121)</f>
        <v>94.896121</v>
      </c>
      <c r="C852" s="3">
        <f>IFERROR(__xludf.DUMMYFUNCTION("""COMPUTED_VALUE"""),1.3990342556468E7)</f>
        <v>13990342.56</v>
      </c>
      <c r="D852" s="3">
        <f>IFERROR(__xludf.DUMMYFUNCTION("""COMPUTED_VALUE"""),1153.4750020001084)</f>
        <v>1153.475002</v>
      </c>
      <c r="E852" s="3">
        <f>IFERROR(__xludf.DUMMYFUNCTION("""COMPUTED_VALUE"""),109460.30336027752)</f>
        <v>109460.3034</v>
      </c>
      <c r="F852" s="3" t="str">
        <f>IFERROR(__xludf.DUMMYFUNCTION("""COMPUTED_VALUE"""),"AAVE")</f>
        <v>AAVE</v>
      </c>
      <c r="G852" s="3"/>
    </row>
    <row r="853">
      <c r="A853" s="3" t="str">
        <f>IFERROR(__xludf.DUMMYFUNCTION("""COMPUTED_VALUE"""),"2022-08-20T00:00:00Z")</f>
        <v>2022-08-20T00:00:00Z</v>
      </c>
      <c r="B853" s="3">
        <f>IFERROR(__xludf.DUMMYFUNCTION("""COMPUTED_VALUE"""),83.428304)</f>
        <v>83.428304</v>
      </c>
      <c r="C853" s="3">
        <f>IFERROR(__xludf.DUMMYFUNCTION("""COMPUTED_VALUE"""),1.3990484496281E7)</f>
        <v>13990484.5</v>
      </c>
      <c r="D853" s="3">
        <f>IFERROR(__xludf.DUMMYFUNCTION("""COMPUTED_VALUE"""),141.9398129992187)</f>
        <v>141.939813</v>
      </c>
      <c r="E853" s="3">
        <f>IFERROR(__xludf.DUMMYFUNCTION("""COMPUTED_VALUE"""),11841.797868601969)</f>
        <v>11841.79787</v>
      </c>
      <c r="F853" s="3" t="str">
        <f>IFERROR(__xludf.DUMMYFUNCTION("""COMPUTED_VALUE"""),"AAVE")</f>
        <v>AAVE</v>
      </c>
      <c r="G853" s="3"/>
    </row>
    <row r="854">
      <c r="A854" s="3" t="str">
        <f>IFERROR(__xludf.DUMMYFUNCTION("""COMPUTED_VALUE"""),"2022-08-21T00:00:00Z")</f>
        <v>2022-08-21T00:00:00Z</v>
      </c>
      <c r="B854" s="3">
        <f>IFERROR(__xludf.DUMMYFUNCTION("""COMPUTED_VALUE"""),82.875698)</f>
        <v>82.875698</v>
      </c>
      <c r="C854" s="3">
        <f>IFERROR(__xludf.DUMMYFUNCTION("""COMPUTED_VALUE"""),1.3991017734324E7)</f>
        <v>13991017.73</v>
      </c>
      <c r="D854" s="3">
        <f>IFERROR(__xludf.DUMMYFUNCTION("""COMPUTED_VALUE"""),533.2380430009216)</f>
        <v>533.238043</v>
      </c>
      <c r="E854" s="3">
        <f>IFERROR(__xludf.DUMMYFUNCTION("""COMPUTED_VALUE"""),44192.47501385539)</f>
        <v>44192.47501</v>
      </c>
      <c r="F854" s="3" t="str">
        <f>IFERROR(__xludf.DUMMYFUNCTION("""COMPUTED_VALUE"""),"AAVE")</f>
        <v>AAVE</v>
      </c>
      <c r="G854" s="3"/>
    </row>
    <row r="855">
      <c r="A855" s="3" t="str">
        <f>IFERROR(__xludf.DUMMYFUNCTION("""COMPUTED_VALUE"""),"2022-08-22T00:00:00Z")</f>
        <v>2022-08-22T00:00:00Z</v>
      </c>
      <c r="B855" s="3">
        <f>IFERROR(__xludf.DUMMYFUNCTION("""COMPUTED_VALUE"""),85.930625)</f>
        <v>85.930625</v>
      </c>
      <c r="C855" s="3">
        <f>IFERROR(__xludf.DUMMYFUNCTION("""COMPUTED_VALUE"""),1.3991275888879E7)</f>
        <v>13991275.89</v>
      </c>
      <c r="D855" s="3">
        <f>IFERROR(__xludf.DUMMYFUNCTION("""COMPUTED_VALUE"""),258.15455499850214)</f>
        <v>258.154555</v>
      </c>
      <c r="E855" s="3">
        <f>IFERROR(__xludf.DUMMYFUNCTION("""COMPUTED_VALUE"""),22183.382257618163)</f>
        <v>22183.38226</v>
      </c>
      <c r="F855" s="3" t="str">
        <f>IFERROR(__xludf.DUMMYFUNCTION("""COMPUTED_VALUE"""),"AAVE")</f>
        <v>AAVE</v>
      </c>
      <c r="G855" s="3"/>
    </row>
    <row r="856">
      <c r="A856" s="3" t="str">
        <f>IFERROR(__xludf.DUMMYFUNCTION("""COMPUTED_VALUE"""),"2022-08-23T00:00:00Z")</f>
        <v>2022-08-23T00:00:00Z</v>
      </c>
      <c r="B856" s="3">
        <f>IFERROR(__xludf.DUMMYFUNCTION("""COMPUTED_VALUE"""),88.496144)</f>
        <v>88.496144</v>
      </c>
      <c r="C856" s="3">
        <f>IFERROR(__xludf.DUMMYFUNCTION("""COMPUTED_VALUE"""),1.3992043840385E7)</f>
        <v>13992043.84</v>
      </c>
      <c r="D856" s="3">
        <f>IFERROR(__xludf.DUMMYFUNCTION("""COMPUTED_VALUE"""),767.9515060000122)</f>
        <v>767.951506</v>
      </c>
      <c r="E856" s="3">
        <f>IFERROR(__xludf.DUMMYFUNCTION("""COMPUTED_VALUE"""),67960.74705999394)</f>
        <v>67960.74706</v>
      </c>
      <c r="F856" s="3" t="str">
        <f>IFERROR(__xludf.DUMMYFUNCTION("""COMPUTED_VALUE"""),"AAVE")</f>
        <v>AAVE</v>
      </c>
      <c r="G856" s="3"/>
    </row>
    <row r="857">
      <c r="A857" s="3" t="str">
        <f>IFERROR(__xludf.DUMMYFUNCTION("""COMPUTED_VALUE"""),"2022-08-24T00:00:00Z")</f>
        <v>2022-08-24T00:00:00Z</v>
      </c>
      <c r="B857" s="3">
        <f>IFERROR(__xludf.DUMMYFUNCTION("""COMPUTED_VALUE"""),89.474443)</f>
        <v>89.474443</v>
      </c>
      <c r="C857" s="3">
        <f>IFERROR(__xludf.DUMMYFUNCTION("""COMPUTED_VALUE"""),1.3993549108061E7)</f>
        <v>13993549.11</v>
      </c>
      <c r="D857" s="3">
        <f>IFERROR(__xludf.DUMMYFUNCTION("""COMPUTED_VALUE"""),1505.2676760014147)</f>
        <v>1505.267676</v>
      </c>
      <c r="E857" s="3">
        <f>IFERROR(__xludf.DUMMYFUNCTION("""COMPUTED_VALUE"""),134682.98687613104)</f>
        <v>134682.9869</v>
      </c>
      <c r="F857" s="3" t="str">
        <f>IFERROR(__xludf.DUMMYFUNCTION("""COMPUTED_VALUE"""),"AAVE")</f>
        <v>AAVE</v>
      </c>
      <c r="G857" s="3"/>
    </row>
    <row r="858">
      <c r="A858" s="3" t="str">
        <f>IFERROR(__xludf.DUMMYFUNCTION("""COMPUTED_VALUE"""),"2022-08-25T00:00:00Z")</f>
        <v>2022-08-25T00:00:00Z</v>
      </c>
      <c r="B858" s="3">
        <f>IFERROR(__xludf.DUMMYFUNCTION("""COMPUTED_VALUE"""),88.450553)</f>
        <v>88.450553</v>
      </c>
      <c r="C858" s="3">
        <f>IFERROR(__xludf.DUMMYFUNCTION("""COMPUTED_VALUE"""),1.3994097500391E7)</f>
        <v>13994097.5</v>
      </c>
      <c r="D858" s="3">
        <f>IFERROR(__xludf.DUMMYFUNCTION("""COMPUTED_VALUE"""),548.392330000177)</f>
        <v>548.39233</v>
      </c>
      <c r="E858" s="3">
        <f>IFERROR(__xludf.DUMMYFUNCTION("""COMPUTED_VALUE"""),48505.60484947415)</f>
        <v>48505.60485</v>
      </c>
      <c r="F858" s="3" t="str">
        <f>IFERROR(__xludf.DUMMYFUNCTION("""COMPUTED_VALUE"""),"AAVE")</f>
        <v>AAVE</v>
      </c>
      <c r="G858" s="3"/>
    </row>
    <row r="859">
      <c r="A859" s="3" t="str">
        <f>IFERROR(__xludf.DUMMYFUNCTION("""COMPUTED_VALUE"""),"2022-08-26T00:00:00Z")</f>
        <v>2022-08-26T00:00:00Z</v>
      </c>
      <c r="B859" s="3">
        <f>IFERROR(__xludf.DUMMYFUNCTION("""COMPUTED_VALUE"""),93.201105)</f>
        <v>93.201105</v>
      </c>
      <c r="C859" s="3">
        <f>IFERROR(__xludf.DUMMYFUNCTION("""COMPUTED_VALUE"""),1.3994333080523E7)</f>
        <v>13994333.08</v>
      </c>
      <c r="D859" s="3">
        <f>IFERROR(__xludf.DUMMYFUNCTION("""COMPUTED_VALUE"""),235.58013199828565)</f>
        <v>235.580132</v>
      </c>
      <c r="E859" s="3">
        <f>IFERROR(__xludf.DUMMYFUNCTION("""COMPUTED_VALUE"""),21956.32861828608)</f>
        <v>21956.32862</v>
      </c>
      <c r="F859" s="3" t="str">
        <f>IFERROR(__xludf.DUMMYFUNCTION("""COMPUTED_VALUE"""),"AAVE")</f>
        <v>AAVE</v>
      </c>
      <c r="G859" s="3"/>
    </row>
    <row r="860">
      <c r="A860" s="3" t="str">
        <f>IFERROR(__xludf.DUMMYFUNCTION("""COMPUTED_VALUE"""),"2022-08-27T00:00:00Z")</f>
        <v>2022-08-27T00:00:00Z</v>
      </c>
      <c r="B860" s="3">
        <f>IFERROR(__xludf.DUMMYFUNCTION("""COMPUTED_VALUE"""),82.65821)</f>
        <v>82.65821</v>
      </c>
      <c r="C860" s="3">
        <f>IFERROR(__xludf.DUMMYFUNCTION("""COMPUTED_VALUE"""),1.399522381859E7)</f>
        <v>13995223.82</v>
      </c>
      <c r="D860" s="3">
        <f>IFERROR(__xludf.DUMMYFUNCTION("""COMPUTED_VALUE"""),890.7380670011044)</f>
        <v>890.738067</v>
      </c>
      <c r="E860" s="3">
        <f>IFERROR(__xludf.DUMMYFUNCTION("""COMPUTED_VALUE"""),73626.81419717135)</f>
        <v>73626.8142</v>
      </c>
      <c r="F860" s="3" t="str">
        <f>IFERROR(__xludf.DUMMYFUNCTION("""COMPUTED_VALUE"""),"AAVE")</f>
        <v>AAVE</v>
      </c>
      <c r="G860" s="3"/>
    </row>
    <row r="861">
      <c r="A861" s="3" t="str">
        <f>IFERROR(__xludf.DUMMYFUNCTION("""COMPUTED_VALUE"""),"2022-08-28T00:00:00Z")</f>
        <v>2022-08-28T00:00:00Z</v>
      </c>
      <c r="B861" s="3">
        <f>IFERROR(__xludf.DUMMYFUNCTION("""COMPUTED_VALUE"""),82.117996)</f>
        <v>82.117996</v>
      </c>
      <c r="C861" s="3">
        <f>IFERROR(__xludf.DUMMYFUNCTION("""COMPUTED_VALUE"""),1.3995554568004E7)</f>
        <v>13995554.57</v>
      </c>
      <c r="D861" s="3">
        <f>IFERROR(__xludf.DUMMYFUNCTION("""COMPUTED_VALUE"""),330.74941399879754)</f>
        <v>330.749414</v>
      </c>
      <c r="E861" s="3">
        <f>IFERROR(__xludf.DUMMYFUNCTION("""COMPUTED_VALUE"""),27160.4790557556)</f>
        <v>27160.47906</v>
      </c>
      <c r="F861" s="3" t="str">
        <f>IFERROR(__xludf.DUMMYFUNCTION("""COMPUTED_VALUE"""),"AAVE")</f>
        <v>AAVE</v>
      </c>
      <c r="G861" s="3"/>
    </row>
    <row r="862">
      <c r="A862" s="3" t="str">
        <f>IFERROR(__xludf.DUMMYFUNCTION("""COMPUTED_VALUE"""),"2022-08-29T00:00:00Z")</f>
        <v>2022-08-29T00:00:00Z</v>
      </c>
      <c r="B862" s="3">
        <f>IFERROR(__xludf.DUMMYFUNCTION("""COMPUTED_VALUE"""),78.637305)</f>
        <v>78.637305</v>
      </c>
      <c r="C862" s="3">
        <f>IFERROR(__xludf.DUMMYFUNCTION("""COMPUTED_VALUE"""),1.399661249055E7)</f>
        <v>13996612.49</v>
      </c>
      <c r="D862" s="3">
        <f>IFERROR(__xludf.DUMMYFUNCTION("""COMPUTED_VALUE"""),1057.9225460011512)</f>
        <v>1057.922546</v>
      </c>
      <c r="E862" s="3">
        <f>IFERROR(__xludf.DUMMYFUNCTION("""COMPUTED_VALUE"""),83192.17791626905)</f>
        <v>83192.17792</v>
      </c>
      <c r="F862" s="3" t="str">
        <f>IFERROR(__xludf.DUMMYFUNCTION("""COMPUTED_VALUE"""),"AAVE")</f>
        <v>AAVE</v>
      </c>
      <c r="G862" s="3"/>
    </row>
    <row r="863">
      <c r="A863" s="3" t="str">
        <f>IFERROR(__xludf.DUMMYFUNCTION("""COMPUTED_VALUE"""),"2022-08-30T00:00:00Z")</f>
        <v>2022-08-30T00:00:00Z</v>
      </c>
      <c r="B863" s="3">
        <f>IFERROR(__xludf.DUMMYFUNCTION("""COMPUTED_VALUE"""),85.777637)</f>
        <v>85.777637</v>
      </c>
      <c r="C863" s="3">
        <f>IFERROR(__xludf.DUMMYFUNCTION("""COMPUTED_VALUE"""),1.3997306065618E7)</f>
        <v>13997306.07</v>
      </c>
      <c r="D863" s="3">
        <f>IFERROR(__xludf.DUMMYFUNCTION("""COMPUTED_VALUE"""),693.575068000704)</f>
        <v>693.575068</v>
      </c>
      <c r="E863" s="3">
        <f>IFERROR(__xludf.DUMMYFUNCTION("""COMPUTED_VALUE"""),59493.230415214704)</f>
        <v>59493.23042</v>
      </c>
      <c r="F863" s="3" t="str">
        <f>IFERROR(__xludf.DUMMYFUNCTION("""COMPUTED_VALUE"""),"AAVE")</f>
        <v>AAVE</v>
      </c>
      <c r="G863" s="3"/>
    </row>
    <row r="864">
      <c r="A864" s="3" t="str">
        <f>IFERROR(__xludf.DUMMYFUNCTION("""COMPUTED_VALUE"""),"2022-08-31T00:00:00Z")</f>
        <v>2022-08-31T00:00:00Z</v>
      </c>
      <c r="B864" s="3">
        <f>IFERROR(__xludf.DUMMYFUNCTION("""COMPUTED_VALUE"""),84.36241)</f>
        <v>84.36241</v>
      </c>
      <c r="C864" s="3">
        <f>IFERROR(__xludf.DUMMYFUNCTION("""COMPUTED_VALUE"""),1.4008350125591E7)</f>
        <v>14008350.13</v>
      </c>
      <c r="D864" s="3">
        <f>IFERROR(__xludf.DUMMYFUNCTION("""COMPUTED_VALUE"""),11044.059972999617)</f>
        <v>11044.05997</v>
      </c>
      <c r="E864" s="3">
        <f>IFERROR(__xludf.DUMMYFUNCTION("""COMPUTED_VALUE"""),931703.5155067826)</f>
        <v>931703.5155</v>
      </c>
      <c r="F864" s="3" t="str">
        <f>IFERROR(__xludf.DUMMYFUNCTION("""COMPUTED_VALUE"""),"AAVE")</f>
        <v>AAVE</v>
      </c>
      <c r="G864" s="3"/>
    </row>
    <row r="865">
      <c r="A865" s="3" t="str">
        <f>IFERROR(__xludf.DUMMYFUNCTION("""COMPUTED_VALUE"""),"2022-09-01T00:00:00Z")</f>
        <v>2022-09-01T00:00:00Z</v>
      </c>
      <c r="B865" s="3">
        <f>IFERROR(__xludf.DUMMYFUNCTION("""COMPUTED_VALUE"""),84.810393)</f>
        <v>84.810393</v>
      </c>
      <c r="C865" s="3">
        <f>IFERROR(__xludf.DUMMYFUNCTION("""COMPUTED_VALUE"""),1.4009676410361E7)</f>
        <v>14009676.41</v>
      </c>
      <c r="D865" s="3">
        <f>IFERROR(__xludf.DUMMYFUNCTION("""COMPUTED_VALUE"""),1326.2847699988633)</f>
        <v>1326.28477</v>
      </c>
      <c r="E865" s="3">
        <f>IFERROR(__xludf.DUMMYFUNCTION("""COMPUTED_VALUE"""),112482.73257351821)</f>
        <v>112482.7326</v>
      </c>
      <c r="F865" s="3" t="str">
        <f>IFERROR(__xludf.DUMMYFUNCTION("""COMPUTED_VALUE"""),"AAVE")</f>
        <v>AAVE</v>
      </c>
      <c r="G865" s="3"/>
    </row>
    <row r="866">
      <c r="A866" s="3" t="str">
        <f>IFERROR(__xludf.DUMMYFUNCTION("""COMPUTED_VALUE"""),"2022-09-02T00:00:00Z")</f>
        <v>2022-09-02T00:00:00Z</v>
      </c>
      <c r="B866" s="3">
        <f>IFERROR(__xludf.DUMMYFUNCTION("""COMPUTED_VALUE"""),86.508004)</f>
        <v>86.508004</v>
      </c>
      <c r="C866" s="3">
        <f>IFERROR(__xludf.DUMMYFUNCTION("""COMPUTED_VALUE"""),1.4010194682942E7)</f>
        <v>14010194.68</v>
      </c>
      <c r="D866" s="3">
        <f>IFERROR(__xludf.DUMMYFUNCTION("""COMPUTED_VALUE"""),518.272580999881)</f>
        <v>518.272581</v>
      </c>
      <c r="E866" s="3">
        <f>IFERROR(__xludf.DUMMYFUNCTION("""COMPUTED_VALUE"""),44834.72651022803)</f>
        <v>44834.72651</v>
      </c>
      <c r="F866" s="3" t="str">
        <f>IFERROR(__xludf.DUMMYFUNCTION("""COMPUTED_VALUE"""),"AAVE")</f>
        <v>AAVE</v>
      </c>
      <c r="G866" s="3"/>
    </row>
    <row r="867">
      <c r="A867" s="3" t="str">
        <f>IFERROR(__xludf.DUMMYFUNCTION("""COMPUTED_VALUE"""),"2022-09-03T00:00:00Z")</f>
        <v>2022-09-03T00:00:00Z</v>
      </c>
      <c r="B867" s="3">
        <f>IFERROR(__xludf.DUMMYFUNCTION("""COMPUTED_VALUE"""),88.377727)</f>
        <v>88.377727</v>
      </c>
      <c r="C867" s="3">
        <f>IFERROR(__xludf.DUMMYFUNCTION("""COMPUTED_VALUE"""),1.4010465987198E7)</f>
        <v>14010465.99</v>
      </c>
      <c r="D867" s="3">
        <f>IFERROR(__xludf.DUMMYFUNCTION("""COMPUTED_VALUE"""),271.3042560014874)</f>
        <v>271.304256</v>
      </c>
      <c r="E867" s="3">
        <f>IFERROR(__xludf.DUMMYFUNCTION("""COMPUTED_VALUE"""),23977.25347083756)</f>
        <v>23977.25347</v>
      </c>
      <c r="F867" s="3" t="str">
        <f>IFERROR(__xludf.DUMMYFUNCTION("""COMPUTED_VALUE"""),"AAVE")</f>
        <v>AAVE</v>
      </c>
      <c r="G867" s="3"/>
    </row>
    <row r="868">
      <c r="A868" s="3" t="str">
        <f>IFERROR(__xludf.DUMMYFUNCTION("""COMPUTED_VALUE"""),"2022-09-04T00:00:00Z")</f>
        <v>2022-09-04T00:00:00Z</v>
      </c>
      <c r="B868" s="3">
        <f>IFERROR(__xludf.DUMMYFUNCTION("""COMPUTED_VALUE"""),87.20147)</f>
        <v>87.20147</v>
      </c>
      <c r="C868" s="3">
        <f>IFERROR(__xludf.DUMMYFUNCTION("""COMPUTED_VALUE"""),1.4010940851499E7)</f>
        <v>14010940.85</v>
      </c>
      <c r="D868" s="3">
        <f>IFERROR(__xludf.DUMMYFUNCTION("""COMPUTED_VALUE"""),474.86430099979043)</f>
        <v>474.864301</v>
      </c>
      <c r="E868" s="3">
        <f>IFERROR(__xludf.DUMMYFUNCTION("""COMPUTED_VALUE"""),41408.8650977042)</f>
        <v>41408.8651</v>
      </c>
      <c r="F868" s="3" t="str">
        <f>IFERROR(__xludf.DUMMYFUNCTION("""COMPUTED_VALUE"""),"AAVE")</f>
        <v>AAVE</v>
      </c>
      <c r="G868" s="3"/>
    </row>
    <row r="869">
      <c r="A869" s="3" t="str">
        <f>IFERROR(__xludf.DUMMYFUNCTION("""COMPUTED_VALUE"""),"2022-09-05T00:00:00Z")</f>
        <v>2022-09-05T00:00:00Z</v>
      </c>
      <c r="B869" s="3">
        <f>IFERROR(__xludf.DUMMYFUNCTION("""COMPUTED_VALUE"""),88.869482)</f>
        <v>88.869482</v>
      </c>
      <c r="C869" s="3">
        <f>IFERROR(__xludf.DUMMYFUNCTION("""COMPUTED_VALUE"""),1.4011236322944E7)</f>
        <v>14011236.32</v>
      </c>
      <c r="D869" s="3">
        <f>IFERROR(__xludf.DUMMYFUNCTION("""COMPUTED_VALUE"""),295.47144499979913)</f>
        <v>295.471445</v>
      </c>
      <c r="E869" s="3">
        <f>IFERROR(__xludf.DUMMYFUNCTION("""COMPUTED_VALUE"""),26258.39426292364)</f>
        <v>26258.39426</v>
      </c>
      <c r="F869" s="3" t="str">
        <f>IFERROR(__xludf.DUMMYFUNCTION("""COMPUTED_VALUE"""),"AAVE")</f>
        <v>AAVE</v>
      </c>
      <c r="G869" s="3"/>
    </row>
    <row r="870">
      <c r="A870" s="3" t="str">
        <f>IFERROR(__xludf.DUMMYFUNCTION("""COMPUTED_VALUE"""),"2022-09-06T00:00:00Z")</f>
        <v>2022-09-06T00:00:00Z</v>
      </c>
      <c r="B870" s="3">
        <f>IFERROR(__xludf.DUMMYFUNCTION("""COMPUTED_VALUE"""),91.21155)</f>
        <v>91.21155</v>
      </c>
      <c r="C870" s="3">
        <f>IFERROR(__xludf.DUMMYFUNCTION("""COMPUTED_VALUE"""),1.4011547569346E7)</f>
        <v>14011547.57</v>
      </c>
      <c r="D870" s="3">
        <f>IFERROR(__xludf.DUMMYFUNCTION("""COMPUTED_VALUE"""),311.24640199914575)</f>
        <v>311.246402</v>
      </c>
      <c r="E870" s="3">
        <f>IFERROR(__xludf.DUMMYFUNCTION("""COMPUTED_VALUE"""),28389.266758265185)</f>
        <v>28389.26676</v>
      </c>
      <c r="F870" s="3" t="str">
        <f>IFERROR(__xludf.DUMMYFUNCTION("""COMPUTED_VALUE"""),"AAVE")</f>
        <v>AAVE</v>
      </c>
      <c r="G870" s="3"/>
    </row>
    <row r="871">
      <c r="A871" s="3" t="str">
        <f>IFERROR(__xludf.DUMMYFUNCTION("""COMPUTED_VALUE"""),"2022-09-07T00:00:00Z")</f>
        <v>2022-09-07T00:00:00Z</v>
      </c>
      <c r="B871" s="3">
        <f>IFERROR(__xludf.DUMMYFUNCTION("""COMPUTED_VALUE"""),83.568943)</f>
        <v>83.568943</v>
      </c>
      <c r="C871" s="3">
        <f>IFERROR(__xludf.DUMMYFUNCTION("""COMPUTED_VALUE"""),1.4012257325205E7)</f>
        <v>14012257.33</v>
      </c>
      <c r="D871" s="3">
        <f>IFERROR(__xludf.DUMMYFUNCTION("""COMPUTED_VALUE"""),709.7558590006083)</f>
        <v>709.755859</v>
      </c>
      <c r="E871" s="3">
        <f>IFERROR(__xludf.DUMMYFUNCTION("""COMPUTED_VALUE"""),59313.54692473788)</f>
        <v>59313.54692</v>
      </c>
      <c r="F871" s="3" t="str">
        <f>IFERROR(__xludf.DUMMYFUNCTION("""COMPUTED_VALUE"""),"AAVE")</f>
        <v>AAVE</v>
      </c>
      <c r="G871" s="3"/>
    </row>
    <row r="872">
      <c r="A872" s="3" t="str">
        <f>IFERROR(__xludf.DUMMYFUNCTION("""COMPUTED_VALUE"""),"2022-09-08T00:00:00Z")</f>
        <v>2022-09-08T00:00:00Z</v>
      </c>
      <c r="B872" s="3">
        <f>IFERROR(__xludf.DUMMYFUNCTION("""COMPUTED_VALUE"""),87.532969)</f>
        <v>87.532969</v>
      </c>
      <c r="C872" s="3">
        <f>IFERROR(__xludf.DUMMYFUNCTION("""COMPUTED_VALUE"""),1.4012398309206E7)</f>
        <v>14012398.31</v>
      </c>
      <c r="D872" s="3">
        <f>IFERROR(__xludf.DUMMYFUNCTION("""COMPUTED_VALUE"""),140.9840009994805)</f>
        <v>140.984001</v>
      </c>
      <c r="E872" s="3">
        <f>IFERROR(__xludf.DUMMYFUNCTION("""COMPUTED_VALUE"""),12340.748188983494)</f>
        <v>12340.74819</v>
      </c>
      <c r="F872" s="3" t="str">
        <f>IFERROR(__xludf.DUMMYFUNCTION("""COMPUTED_VALUE"""),"AAVE")</f>
        <v>AAVE</v>
      </c>
      <c r="G872" s="3"/>
    </row>
    <row r="873">
      <c r="A873" s="3" t="str">
        <f>IFERROR(__xludf.DUMMYFUNCTION("""COMPUTED_VALUE"""),"2022-09-09T00:00:00Z")</f>
        <v>2022-09-09T00:00:00Z</v>
      </c>
      <c r="B873" s="3">
        <f>IFERROR(__xludf.DUMMYFUNCTION("""COMPUTED_VALUE"""),88.323727)</f>
        <v>88.323727</v>
      </c>
      <c r="C873" s="3">
        <f>IFERROR(__xludf.DUMMYFUNCTION("""COMPUTED_VALUE"""),1.4089119601841E7)</f>
        <v>14089119.6</v>
      </c>
      <c r="D873" s="3">
        <f>IFERROR(__xludf.DUMMYFUNCTION("""COMPUTED_VALUE"""),76721.29263500124)</f>
        <v>76721.29264</v>
      </c>
      <c r="E873" s="3">
        <f>IFERROR(__xludf.DUMMYFUNCTION("""COMPUTED_VALUE"""),6776310.50578096)</f>
        <v>6776310.506</v>
      </c>
      <c r="F873" s="3" t="str">
        <f>IFERROR(__xludf.DUMMYFUNCTION("""COMPUTED_VALUE"""),"AAVE")</f>
        <v>AAVE</v>
      </c>
      <c r="G873" s="3"/>
    </row>
    <row r="874">
      <c r="A874" s="3" t="str">
        <f>IFERROR(__xludf.DUMMYFUNCTION("""COMPUTED_VALUE"""),"2022-09-10T00:00:00Z")</f>
        <v>2022-09-10T00:00:00Z</v>
      </c>
      <c r="B874" s="3">
        <f>IFERROR(__xludf.DUMMYFUNCTION("""COMPUTED_VALUE"""),91.183871)</f>
        <v>91.183871</v>
      </c>
      <c r="C874" s="3">
        <f>IFERROR(__xludf.DUMMYFUNCTION("""COMPUTED_VALUE"""),1.4089364905908E7)</f>
        <v>14089364.91</v>
      </c>
      <c r="D874" s="3">
        <f>IFERROR(__xludf.DUMMYFUNCTION("""COMPUTED_VALUE"""),245.30406699888408)</f>
        <v>245.304067</v>
      </c>
      <c r="E874" s="3">
        <f>IFERROR(__xludf.DUMMYFUNCTION("""COMPUTED_VALUE"""),22367.774401001603)</f>
        <v>22367.7744</v>
      </c>
      <c r="F874" s="3" t="str">
        <f>IFERROR(__xludf.DUMMYFUNCTION("""COMPUTED_VALUE"""),"AAVE")</f>
        <v>AAVE</v>
      </c>
      <c r="G874" s="3"/>
    </row>
    <row r="875">
      <c r="A875" s="3" t="str">
        <f>IFERROR(__xludf.DUMMYFUNCTION("""COMPUTED_VALUE"""),"2022-09-11T00:00:00Z")</f>
        <v>2022-09-11T00:00:00Z</v>
      </c>
      <c r="B875" s="3">
        <f>IFERROR(__xludf.DUMMYFUNCTION("""COMPUTED_VALUE"""),92.74011)</f>
        <v>92.74011</v>
      </c>
      <c r="C875" s="3">
        <f>IFERROR(__xludf.DUMMYFUNCTION("""COMPUTED_VALUE"""),1.4090787575286E7)</f>
        <v>14090787.58</v>
      </c>
      <c r="D875" s="3">
        <f>IFERROR(__xludf.DUMMYFUNCTION("""COMPUTED_VALUE"""),1422.6693779993802)</f>
        <v>1422.669378</v>
      </c>
      <c r="E875" s="3">
        <f>IFERROR(__xludf.DUMMYFUNCTION("""COMPUTED_VALUE"""),131938.5146092941)</f>
        <v>131938.5146</v>
      </c>
      <c r="F875" s="3" t="str">
        <f>IFERROR(__xludf.DUMMYFUNCTION("""COMPUTED_VALUE"""),"AAVE")</f>
        <v>AAVE</v>
      </c>
      <c r="G875" s="3"/>
    </row>
    <row r="876">
      <c r="A876" s="3" t="str">
        <f>IFERROR(__xludf.DUMMYFUNCTION("""COMPUTED_VALUE"""),"2022-09-12T00:00:00Z")</f>
        <v>2022-09-12T00:00:00Z</v>
      </c>
      <c r="B876" s="3">
        <f>IFERROR(__xludf.DUMMYFUNCTION("""COMPUTED_VALUE"""),91.542967)</f>
        <v>91.542967</v>
      </c>
      <c r="C876" s="3">
        <f>IFERROR(__xludf.DUMMYFUNCTION("""COMPUTED_VALUE"""),1.4092329949595E7)</f>
        <v>14092329.95</v>
      </c>
      <c r="D876" s="3">
        <f>IFERROR(__xludf.DUMMYFUNCTION("""COMPUTED_VALUE"""),1542.3743090014905)</f>
        <v>1542.374309</v>
      </c>
      <c r="E876" s="3">
        <f>IFERROR(__xludf.DUMMYFUNCTION("""COMPUTED_VALUE"""),141193.52047057124)</f>
        <v>141193.5205</v>
      </c>
      <c r="F876" s="3" t="str">
        <f>IFERROR(__xludf.DUMMYFUNCTION("""COMPUTED_VALUE"""),"AAVE")</f>
        <v>AAVE</v>
      </c>
      <c r="G876" s="3"/>
    </row>
    <row r="877">
      <c r="A877" s="3" t="str">
        <f>IFERROR(__xludf.DUMMYFUNCTION("""COMPUTED_VALUE"""),"2022-09-13T00:00:00Z")</f>
        <v>2022-09-13T00:00:00Z</v>
      </c>
      <c r="B877" s="3">
        <f>IFERROR(__xludf.DUMMYFUNCTION("""COMPUTED_VALUE"""),91.050483)</f>
        <v>91.050483</v>
      </c>
      <c r="C877" s="3">
        <f>IFERROR(__xludf.DUMMYFUNCTION("""COMPUTED_VALUE"""),1.409286526279E7)</f>
        <v>14092865.26</v>
      </c>
      <c r="D877" s="3">
        <f>IFERROR(__xludf.DUMMYFUNCTION("""COMPUTED_VALUE"""),535.3131949994713)</f>
        <v>535.313195</v>
      </c>
      <c r="E877" s="3">
        <f>IFERROR(__xludf.DUMMYFUNCTION("""COMPUTED_VALUE"""),48740.524960975046)</f>
        <v>48740.52496</v>
      </c>
      <c r="F877" s="3" t="str">
        <f>IFERROR(__xludf.DUMMYFUNCTION("""COMPUTED_VALUE"""),"AAVE")</f>
        <v>AAVE</v>
      </c>
      <c r="G877" s="3"/>
    </row>
    <row r="878">
      <c r="A878" s="3" t="str">
        <f>IFERROR(__xludf.DUMMYFUNCTION("""COMPUTED_VALUE"""),"2022-09-14T00:00:00Z")</f>
        <v>2022-09-14T00:00:00Z</v>
      </c>
      <c r="B878" s="3">
        <f>IFERROR(__xludf.DUMMYFUNCTION("""COMPUTED_VALUE"""),82.947613)</f>
        <v>82.947613</v>
      </c>
      <c r="C878" s="3">
        <f>IFERROR(__xludf.DUMMYFUNCTION("""COMPUTED_VALUE"""),1.4093158599071E7)</f>
        <v>14093158.6</v>
      </c>
      <c r="D878" s="3">
        <f>IFERROR(__xludf.DUMMYFUNCTION("""COMPUTED_VALUE"""),293.3362809997052)</f>
        <v>293.336281</v>
      </c>
      <c r="E878" s="3">
        <f>IFERROR(__xludf.DUMMYFUNCTION("""COMPUTED_VALUE"""),24331.5443152228)</f>
        <v>24331.54432</v>
      </c>
      <c r="F878" s="3" t="str">
        <f>IFERROR(__xludf.DUMMYFUNCTION("""COMPUTED_VALUE"""),"AAVE")</f>
        <v>AAVE</v>
      </c>
      <c r="G878" s="3"/>
    </row>
    <row r="879">
      <c r="A879" s="3" t="str">
        <f>IFERROR(__xludf.DUMMYFUNCTION("""COMPUTED_VALUE"""),"2022-09-15T00:00:00Z")</f>
        <v>2022-09-15T00:00:00Z</v>
      </c>
      <c r="B879" s="3">
        <f>IFERROR(__xludf.DUMMYFUNCTION("""COMPUTED_VALUE"""),83.681054)</f>
        <v>83.681054</v>
      </c>
      <c r="C879" s="3">
        <f>IFERROR(__xludf.DUMMYFUNCTION("""COMPUTED_VALUE"""),1.4097001994444E7)</f>
        <v>14097001.99</v>
      </c>
      <c r="D879" s="3">
        <f>IFERROR(__xludf.DUMMYFUNCTION("""COMPUTED_VALUE"""),3843.395372999832)</f>
        <v>3843.395373</v>
      </c>
      <c r="E879" s="3">
        <f>IFERROR(__xludf.DUMMYFUNCTION("""COMPUTED_VALUE"""),321619.3757513491)</f>
        <v>321619.3758</v>
      </c>
      <c r="F879" s="3" t="str">
        <f>IFERROR(__xludf.DUMMYFUNCTION("""COMPUTED_VALUE"""),"AAVE")</f>
        <v>AAVE</v>
      </c>
      <c r="G879" s="3"/>
    </row>
    <row r="880">
      <c r="A880" s="3" t="str">
        <f>IFERROR(__xludf.DUMMYFUNCTION("""COMPUTED_VALUE"""),"2022-09-16T00:00:00Z")</f>
        <v>2022-09-16T00:00:00Z</v>
      </c>
      <c r="B880" s="3">
        <f>IFERROR(__xludf.DUMMYFUNCTION("""COMPUTED_VALUE"""),78.543687)</f>
        <v>78.543687</v>
      </c>
      <c r="C880" s="3">
        <f>IFERROR(__xludf.DUMMYFUNCTION("""COMPUTED_VALUE"""),1.4097248130859E7)</f>
        <v>14097248.13</v>
      </c>
      <c r="D880" s="3">
        <f>IFERROR(__xludf.DUMMYFUNCTION("""COMPUTED_VALUE"""),246.13641500100493)</f>
        <v>246.136415</v>
      </c>
      <c r="E880" s="3">
        <f>IFERROR(__xludf.DUMMYFUNCTION("""COMPUTED_VALUE"""),19332.461539141037)</f>
        <v>19332.46154</v>
      </c>
      <c r="F880" s="3" t="str">
        <f>IFERROR(__xludf.DUMMYFUNCTION("""COMPUTED_VALUE"""),"AAVE")</f>
        <v>AAVE</v>
      </c>
      <c r="G880" s="3"/>
    </row>
    <row r="881">
      <c r="A881" s="3" t="str">
        <f>IFERROR(__xludf.DUMMYFUNCTION("""COMPUTED_VALUE"""),"2022-09-17T00:00:00Z")</f>
        <v>2022-09-17T00:00:00Z</v>
      </c>
      <c r="B881" s="3">
        <f>IFERROR(__xludf.DUMMYFUNCTION("""COMPUTED_VALUE"""),79.371301)</f>
        <v>79.371301</v>
      </c>
      <c r="C881" s="3">
        <f>IFERROR(__xludf.DUMMYFUNCTION("""COMPUTED_VALUE"""),1.4098083060079E7)</f>
        <v>14098083.06</v>
      </c>
      <c r="D881" s="3">
        <f>IFERROR(__xludf.DUMMYFUNCTION("""COMPUTED_VALUE"""),834.9292200002819)</f>
        <v>834.92922</v>
      </c>
      <c r="E881" s="3">
        <f>IFERROR(__xludf.DUMMYFUNCTION("""COMPUTED_VALUE"""),66269.4184343376)</f>
        <v>66269.41843</v>
      </c>
      <c r="F881" s="3" t="str">
        <f>IFERROR(__xludf.DUMMYFUNCTION("""COMPUTED_VALUE"""),"AAVE")</f>
        <v>AAVE</v>
      </c>
      <c r="G881" s="3"/>
    </row>
    <row r="882">
      <c r="A882" s="3" t="str">
        <f>IFERROR(__xludf.DUMMYFUNCTION("""COMPUTED_VALUE"""),"2022-09-18T00:00:00Z")</f>
        <v>2022-09-18T00:00:00Z</v>
      </c>
      <c r="B882" s="3">
        <f>IFERROR(__xludf.DUMMYFUNCTION("""COMPUTED_VALUE"""),81.403371)</f>
        <v>81.403371</v>
      </c>
      <c r="C882" s="3">
        <f>IFERROR(__xludf.DUMMYFUNCTION("""COMPUTED_VALUE"""),1.4098372136706E7)</f>
        <v>14098372.14</v>
      </c>
      <c r="D882" s="3">
        <f>IFERROR(__xludf.DUMMYFUNCTION("""COMPUTED_VALUE"""),289.0766269993037)</f>
        <v>289.076627</v>
      </c>
      <c r="E882" s="3">
        <f>IFERROR(__xludf.DUMMYFUNCTION("""COMPUTED_VALUE"""),23531.81191505294)</f>
        <v>23531.81192</v>
      </c>
      <c r="F882" s="3" t="str">
        <f>IFERROR(__xludf.DUMMYFUNCTION("""COMPUTED_VALUE"""),"AAVE")</f>
        <v>AAVE</v>
      </c>
      <c r="G882" s="3"/>
    </row>
    <row r="883">
      <c r="A883" s="3" t="str">
        <f>IFERROR(__xludf.DUMMYFUNCTION("""COMPUTED_VALUE"""),"2022-09-19T00:00:00Z")</f>
        <v>2022-09-19T00:00:00Z</v>
      </c>
      <c r="B883" s="3">
        <f>IFERROR(__xludf.DUMMYFUNCTION("""COMPUTED_VALUE"""),73.060545)</f>
        <v>73.060545</v>
      </c>
      <c r="C883" s="3">
        <f>IFERROR(__xludf.DUMMYFUNCTION("""COMPUTED_VALUE"""),1.4098891982367E7)</f>
        <v>14098891.98</v>
      </c>
      <c r="D883" s="3">
        <f>IFERROR(__xludf.DUMMYFUNCTION("""COMPUTED_VALUE"""),519.8456609994173)</f>
        <v>519.845661</v>
      </c>
      <c r="E883" s="3">
        <f>IFERROR(__xludf.DUMMYFUNCTION("""COMPUTED_VALUE"""),37980.20730850268)</f>
        <v>37980.20731</v>
      </c>
      <c r="F883" s="3" t="str">
        <f>IFERROR(__xludf.DUMMYFUNCTION("""COMPUTED_VALUE"""),"AAVE")</f>
        <v>AAVE</v>
      </c>
      <c r="G883" s="3"/>
    </row>
    <row r="884">
      <c r="A884" s="3" t="str">
        <f>IFERROR(__xludf.DUMMYFUNCTION("""COMPUTED_VALUE"""),"2022-09-20T00:00:00Z")</f>
        <v>2022-09-20T00:00:00Z</v>
      </c>
      <c r="B884" s="3">
        <f>IFERROR(__xludf.DUMMYFUNCTION("""COMPUTED_VALUE"""),76.389237)</f>
        <v>76.389237</v>
      </c>
      <c r="C884" s="3">
        <f>IFERROR(__xludf.DUMMYFUNCTION("""COMPUTED_VALUE"""),1.4099232584558E7)</f>
        <v>14099232.58</v>
      </c>
      <c r="D884" s="3">
        <f>IFERROR(__xludf.DUMMYFUNCTION("""COMPUTED_VALUE"""),340.60219100117683)</f>
        <v>340.602191</v>
      </c>
      <c r="E884" s="3">
        <f>IFERROR(__xludf.DUMMYFUNCTION("""COMPUTED_VALUE"""),26018.341491108164)</f>
        <v>26018.34149</v>
      </c>
      <c r="F884" s="3" t="str">
        <f>IFERROR(__xludf.DUMMYFUNCTION("""COMPUTED_VALUE"""),"AAVE")</f>
        <v>AAVE</v>
      </c>
      <c r="G884" s="3"/>
    </row>
    <row r="885">
      <c r="A885" s="3" t="str">
        <f>IFERROR(__xludf.DUMMYFUNCTION("""COMPUTED_VALUE"""),"2022-09-21T00:00:00Z")</f>
        <v>2022-09-21T00:00:00Z</v>
      </c>
      <c r="B885" s="3">
        <f>IFERROR(__xludf.DUMMYFUNCTION("""COMPUTED_VALUE"""),74.035436)</f>
        <v>74.035436</v>
      </c>
      <c r="C885" s="3">
        <f>IFERROR(__xludf.DUMMYFUNCTION("""COMPUTED_VALUE"""),1.4099539848541E7)</f>
        <v>14099539.85</v>
      </c>
      <c r="D885" s="3">
        <f>IFERROR(__xludf.DUMMYFUNCTION("""COMPUTED_VALUE"""),307.26398300006986)</f>
        <v>307.263983</v>
      </c>
      <c r="E885" s="3">
        <f>IFERROR(__xludf.DUMMYFUNCTION("""COMPUTED_VALUE"""),22748.422948506763)</f>
        <v>22748.42295</v>
      </c>
      <c r="F885" s="3" t="str">
        <f>IFERROR(__xludf.DUMMYFUNCTION("""COMPUTED_VALUE"""),"AAVE")</f>
        <v>AAVE</v>
      </c>
      <c r="G885" s="3"/>
    </row>
    <row r="886">
      <c r="A886" s="3" t="str">
        <f>IFERROR(__xludf.DUMMYFUNCTION("""COMPUTED_VALUE"""),"2022-09-22T00:00:00Z")</f>
        <v>2022-09-22T00:00:00Z</v>
      </c>
      <c r="B886" s="3">
        <f>IFERROR(__xludf.DUMMYFUNCTION("""COMPUTED_VALUE"""),71.602362)</f>
        <v>71.602362</v>
      </c>
      <c r="C886" s="3">
        <f>IFERROR(__xludf.DUMMYFUNCTION("""COMPUTED_VALUE"""),1.4100474400879E7)</f>
        <v>14100474.4</v>
      </c>
      <c r="D886" s="3">
        <f>IFERROR(__xludf.DUMMYFUNCTION("""COMPUTED_VALUE"""),934.5523379985243)</f>
        <v>934.552338</v>
      </c>
      <c r="E886" s="3">
        <f>IFERROR(__xludf.DUMMYFUNCTION("""COMPUTED_VALUE"""),66916.1548133167)</f>
        <v>66916.15481</v>
      </c>
      <c r="F886" s="3" t="str">
        <f>IFERROR(__xludf.DUMMYFUNCTION("""COMPUTED_VALUE"""),"AAVE")</f>
        <v>AAVE</v>
      </c>
      <c r="G886" s="3"/>
    </row>
    <row r="887">
      <c r="A887" s="3" t="str">
        <f>IFERROR(__xludf.DUMMYFUNCTION("""COMPUTED_VALUE"""),"2022-09-23T00:00:00Z")</f>
        <v>2022-09-23T00:00:00Z</v>
      </c>
      <c r="B887" s="3">
        <f>IFERROR(__xludf.DUMMYFUNCTION("""COMPUTED_VALUE"""),76.704591)</f>
        <v>76.704591</v>
      </c>
      <c r="C887" s="3">
        <f>IFERROR(__xludf.DUMMYFUNCTION("""COMPUTED_VALUE"""),1.4100880536948E7)</f>
        <v>14100880.54</v>
      </c>
      <c r="D887" s="3">
        <f>IFERROR(__xludf.DUMMYFUNCTION("""COMPUTED_VALUE"""),406.1360689997673)</f>
        <v>406.136069</v>
      </c>
      <c r="E887" s="3">
        <f>IFERROR(__xludf.DUMMYFUNCTION("""COMPUTED_VALUE"""),31152.501062974927)</f>
        <v>31152.50106</v>
      </c>
      <c r="F887" s="3" t="str">
        <f>IFERROR(__xludf.DUMMYFUNCTION("""COMPUTED_VALUE"""),"AAVE")</f>
        <v>AAVE</v>
      </c>
      <c r="G887" s="3"/>
    </row>
    <row r="888">
      <c r="A888" s="3" t="str">
        <f>IFERROR(__xludf.DUMMYFUNCTION("""COMPUTED_VALUE"""),"2022-09-24T00:00:00Z")</f>
        <v>2022-09-24T00:00:00Z</v>
      </c>
      <c r="B888" s="3">
        <f>IFERROR(__xludf.DUMMYFUNCTION("""COMPUTED_VALUE"""),77.062006)</f>
        <v>77.062006</v>
      </c>
      <c r="C888" s="3">
        <f>IFERROR(__xludf.DUMMYFUNCTION("""COMPUTED_VALUE"""),1.4101022454604E7)</f>
        <v>14101022.45</v>
      </c>
      <c r="D888" s="3">
        <f>IFERROR(__xludf.DUMMYFUNCTION("""COMPUTED_VALUE"""),141.91765600070357)</f>
        <v>141.917656</v>
      </c>
      <c r="E888" s="3">
        <f>IFERROR(__xludf.DUMMYFUNCTION("""COMPUTED_VALUE"""),10936.459258232155)</f>
        <v>10936.45926</v>
      </c>
      <c r="F888" s="3" t="str">
        <f>IFERROR(__xludf.DUMMYFUNCTION("""COMPUTED_VALUE"""),"AAVE")</f>
        <v>AAVE</v>
      </c>
      <c r="G888" s="3"/>
    </row>
    <row r="889">
      <c r="A889" s="3" t="str">
        <f>IFERROR(__xludf.DUMMYFUNCTION("""COMPUTED_VALUE"""),"2022-09-25T00:00:00Z")</f>
        <v>2022-09-25T00:00:00Z</v>
      </c>
      <c r="B889" s="3">
        <f>IFERROR(__xludf.DUMMYFUNCTION("""COMPUTED_VALUE"""),74.962434)</f>
        <v>74.962434</v>
      </c>
      <c r="C889" s="3">
        <f>IFERROR(__xludf.DUMMYFUNCTION("""COMPUTED_VALUE"""),1.4101300353004E7)</f>
        <v>14101300.35</v>
      </c>
      <c r="D889" s="3">
        <f>IFERROR(__xludf.DUMMYFUNCTION("""COMPUTED_VALUE"""),277.8983999993652)</f>
        <v>277.8984</v>
      </c>
      <c r="E889" s="3">
        <f>IFERROR(__xludf.DUMMYFUNCTION("""COMPUTED_VALUE"""),20831.940468658016)</f>
        <v>20831.94047</v>
      </c>
      <c r="F889" s="3" t="str">
        <f>IFERROR(__xludf.DUMMYFUNCTION("""COMPUTED_VALUE"""),"AAVE")</f>
        <v>AAVE</v>
      </c>
      <c r="G889" s="3"/>
    </row>
    <row r="890">
      <c r="A890" s="3" t="str">
        <f>IFERROR(__xludf.DUMMYFUNCTION("""COMPUTED_VALUE"""),"2022-05-01T00:00:00Z")</f>
        <v>2022-05-01T00:00:00Z</v>
      </c>
      <c r="B890" s="3">
        <f>IFERROR(__xludf.DUMMYFUNCTION("""COMPUTED_VALUE"""),1.994207)</f>
        <v>1.994207</v>
      </c>
      <c r="C890" s="3">
        <f>IFERROR(__xludf.DUMMYFUNCTION("""COMPUTED_VALUE"""),3.91958099393145E8)</f>
        <v>391958099.4</v>
      </c>
      <c r="D890" s="3">
        <f>IFERROR(__xludf.DUMMYFUNCTION("""COMPUTED_VALUE"""),0.0)</f>
        <v>0</v>
      </c>
      <c r="E890" s="3">
        <f>IFERROR(__xludf.DUMMYFUNCTION("""COMPUTED_VALUE"""),0.0)</f>
        <v>0</v>
      </c>
      <c r="F890" s="3" t="str">
        <f>IFERROR(__xludf.DUMMYFUNCTION("""COMPUTED_VALUE"""),"CRV")</f>
        <v>CRV</v>
      </c>
      <c r="G890" s="3"/>
    </row>
    <row r="891">
      <c r="A891" s="3" t="str">
        <f>IFERROR(__xludf.DUMMYFUNCTION("""COMPUTED_VALUE"""),"2022-05-02T00:00:00Z")</f>
        <v>2022-05-02T00:00:00Z</v>
      </c>
      <c r="B891" s="3">
        <f>IFERROR(__xludf.DUMMYFUNCTION("""COMPUTED_VALUE"""),2.066509)</f>
        <v>2.066509</v>
      </c>
      <c r="C891" s="3">
        <f>IFERROR(__xludf.DUMMYFUNCTION("""COMPUTED_VALUE"""),3.91958099393145E8)</f>
        <v>391958099.4</v>
      </c>
      <c r="D891" s="3">
        <f>IFERROR(__xludf.DUMMYFUNCTION("""COMPUTED_VALUE"""),0.0)</f>
        <v>0</v>
      </c>
      <c r="E891" s="3">
        <f>IFERROR(__xludf.DUMMYFUNCTION("""COMPUTED_VALUE"""),0.0)</f>
        <v>0</v>
      </c>
      <c r="F891" s="3" t="str">
        <f>IFERROR(__xludf.DUMMYFUNCTION("""COMPUTED_VALUE"""),"CRV")</f>
        <v>CRV</v>
      </c>
      <c r="G891" s="3"/>
    </row>
    <row r="892">
      <c r="A892" s="3" t="str">
        <f>IFERROR(__xludf.DUMMYFUNCTION("""COMPUTED_VALUE"""),"2022-05-03T00:00:00Z")</f>
        <v>2022-05-03T00:00:00Z</v>
      </c>
      <c r="B892" s="3">
        <f>IFERROR(__xludf.DUMMYFUNCTION("""COMPUTED_VALUE"""),2.100397)</f>
        <v>2.100397</v>
      </c>
      <c r="C892" s="3">
        <f>IFERROR(__xludf.DUMMYFUNCTION("""COMPUTED_VALUE"""),3.91958099393145E8)</f>
        <v>391958099.4</v>
      </c>
      <c r="D892" s="3">
        <f>IFERROR(__xludf.DUMMYFUNCTION("""COMPUTED_VALUE"""),0.0)</f>
        <v>0</v>
      </c>
      <c r="E892" s="3">
        <f>IFERROR(__xludf.DUMMYFUNCTION("""COMPUTED_VALUE"""),0.0)</f>
        <v>0</v>
      </c>
      <c r="F892" s="3" t="str">
        <f>IFERROR(__xludf.DUMMYFUNCTION("""COMPUTED_VALUE"""),"CRV")</f>
        <v>CRV</v>
      </c>
      <c r="G892" s="3"/>
    </row>
    <row r="893">
      <c r="A893" s="3" t="str">
        <f>IFERROR(__xludf.DUMMYFUNCTION("""COMPUTED_VALUE"""),"2022-05-04T00:00:00Z")</f>
        <v>2022-05-04T00:00:00Z</v>
      </c>
      <c r="B893" s="3">
        <f>IFERROR(__xludf.DUMMYFUNCTION("""COMPUTED_VALUE"""),2.15616)</f>
        <v>2.15616</v>
      </c>
      <c r="C893" s="3">
        <f>IFERROR(__xludf.DUMMYFUNCTION("""COMPUTED_VALUE"""),3.91958099393145E8)</f>
        <v>391958099.4</v>
      </c>
      <c r="D893" s="3">
        <f>IFERROR(__xludf.DUMMYFUNCTION("""COMPUTED_VALUE"""),0.0)</f>
        <v>0</v>
      </c>
      <c r="E893" s="3">
        <f>IFERROR(__xludf.DUMMYFUNCTION("""COMPUTED_VALUE"""),0.0)</f>
        <v>0</v>
      </c>
      <c r="F893" s="3" t="str">
        <f>IFERROR(__xludf.DUMMYFUNCTION("""COMPUTED_VALUE"""),"CRV")</f>
        <v>CRV</v>
      </c>
      <c r="G893" s="3"/>
    </row>
    <row r="894">
      <c r="A894" s="3" t="str">
        <f>IFERROR(__xludf.DUMMYFUNCTION("""COMPUTED_VALUE"""),"2022-05-05T00:00:00Z")</f>
        <v>2022-05-05T00:00:00Z</v>
      </c>
      <c r="B894" s="3">
        <f>IFERROR(__xludf.DUMMYFUNCTION("""COMPUTED_VALUE"""),2.595929)</f>
        <v>2.595929</v>
      </c>
      <c r="C894" s="3">
        <f>IFERROR(__xludf.DUMMYFUNCTION("""COMPUTED_VALUE"""),3.91958099393145E8)</f>
        <v>391958099.4</v>
      </c>
      <c r="D894" s="3">
        <f>IFERROR(__xludf.DUMMYFUNCTION("""COMPUTED_VALUE"""),0.0)</f>
        <v>0</v>
      </c>
      <c r="E894" s="3">
        <f>IFERROR(__xludf.DUMMYFUNCTION("""COMPUTED_VALUE"""),0.0)</f>
        <v>0</v>
      </c>
      <c r="F894" s="3" t="str">
        <f>IFERROR(__xludf.DUMMYFUNCTION("""COMPUTED_VALUE"""),"CRV")</f>
        <v>CRV</v>
      </c>
      <c r="G894" s="3"/>
    </row>
    <row r="895">
      <c r="A895" s="3" t="str">
        <f>IFERROR(__xludf.DUMMYFUNCTION("""COMPUTED_VALUE"""),"2022-05-06T00:00:00Z")</f>
        <v>2022-05-06T00:00:00Z</v>
      </c>
      <c r="B895" s="3">
        <f>IFERROR(__xludf.DUMMYFUNCTION("""COMPUTED_VALUE"""),2.458675)</f>
        <v>2.458675</v>
      </c>
      <c r="C895" s="3">
        <f>IFERROR(__xludf.DUMMYFUNCTION("""COMPUTED_VALUE"""),3.91958099393145E8)</f>
        <v>391958099.4</v>
      </c>
      <c r="D895" s="3">
        <f>IFERROR(__xludf.DUMMYFUNCTION("""COMPUTED_VALUE"""),0.0)</f>
        <v>0</v>
      </c>
      <c r="E895" s="3">
        <f>IFERROR(__xludf.DUMMYFUNCTION("""COMPUTED_VALUE"""),0.0)</f>
        <v>0</v>
      </c>
      <c r="F895" s="3" t="str">
        <f>IFERROR(__xludf.DUMMYFUNCTION("""COMPUTED_VALUE"""),"CRV")</f>
        <v>CRV</v>
      </c>
      <c r="G895" s="3"/>
    </row>
    <row r="896">
      <c r="A896" s="3" t="str">
        <f>IFERROR(__xludf.DUMMYFUNCTION("""COMPUTED_VALUE"""),"2022-05-07T00:00:00Z")</f>
        <v>2022-05-07T00:00:00Z</v>
      </c>
      <c r="B896" s="3">
        <f>IFERROR(__xludf.DUMMYFUNCTION("""COMPUTED_VALUE"""),2.29207)</f>
        <v>2.29207</v>
      </c>
      <c r="C896" s="3">
        <f>IFERROR(__xludf.DUMMYFUNCTION("""COMPUTED_VALUE"""),3.91958099393145E8)</f>
        <v>391958099.4</v>
      </c>
      <c r="D896" s="3">
        <f>IFERROR(__xludf.DUMMYFUNCTION("""COMPUTED_VALUE"""),0.0)</f>
        <v>0</v>
      </c>
      <c r="E896" s="3">
        <f>IFERROR(__xludf.DUMMYFUNCTION("""COMPUTED_VALUE"""),0.0)</f>
        <v>0</v>
      </c>
      <c r="F896" s="3" t="str">
        <f>IFERROR(__xludf.DUMMYFUNCTION("""COMPUTED_VALUE"""),"CRV")</f>
        <v>CRV</v>
      </c>
      <c r="G896" s="3"/>
    </row>
    <row r="897">
      <c r="A897" s="3" t="str">
        <f>IFERROR(__xludf.DUMMYFUNCTION("""COMPUTED_VALUE"""),"2022-05-08T00:00:00Z")</f>
        <v>2022-05-08T00:00:00Z</v>
      </c>
      <c r="B897" s="3">
        <f>IFERROR(__xludf.DUMMYFUNCTION("""COMPUTED_VALUE"""),2.226843)</f>
        <v>2.226843</v>
      </c>
      <c r="C897" s="3">
        <f>IFERROR(__xludf.DUMMYFUNCTION("""COMPUTED_VALUE"""),3.91958099393145E8)</f>
        <v>391958099.4</v>
      </c>
      <c r="D897" s="3">
        <f>IFERROR(__xludf.DUMMYFUNCTION("""COMPUTED_VALUE"""),0.0)</f>
        <v>0</v>
      </c>
      <c r="E897" s="3">
        <f>IFERROR(__xludf.DUMMYFUNCTION("""COMPUTED_VALUE"""),0.0)</f>
        <v>0</v>
      </c>
      <c r="F897" s="3" t="str">
        <f>IFERROR(__xludf.DUMMYFUNCTION("""COMPUTED_VALUE"""),"CRV")</f>
        <v>CRV</v>
      </c>
      <c r="G897" s="3"/>
    </row>
    <row r="898">
      <c r="A898" s="3" t="str">
        <f>IFERROR(__xludf.DUMMYFUNCTION("""COMPUTED_VALUE"""),"2022-05-09T00:00:00Z")</f>
        <v>2022-05-09T00:00:00Z</v>
      </c>
      <c r="B898" s="3">
        <f>IFERROR(__xludf.DUMMYFUNCTION("""COMPUTED_VALUE"""),2.34783)</f>
        <v>2.34783</v>
      </c>
      <c r="C898" s="3">
        <f>IFERROR(__xludf.DUMMYFUNCTION("""COMPUTED_VALUE"""),3.91958099393145E8)</f>
        <v>391958099.4</v>
      </c>
      <c r="D898" s="3">
        <f>IFERROR(__xludf.DUMMYFUNCTION("""COMPUTED_VALUE"""),0.0)</f>
        <v>0</v>
      </c>
      <c r="E898" s="3">
        <f>IFERROR(__xludf.DUMMYFUNCTION("""COMPUTED_VALUE"""),0.0)</f>
        <v>0</v>
      </c>
      <c r="F898" s="3" t="str">
        <f>IFERROR(__xludf.DUMMYFUNCTION("""COMPUTED_VALUE"""),"CRV")</f>
        <v>CRV</v>
      </c>
      <c r="G898" s="3"/>
    </row>
    <row r="899">
      <c r="A899" s="3" t="str">
        <f>IFERROR(__xludf.DUMMYFUNCTION("""COMPUTED_VALUE"""),"2022-05-10T00:00:00Z")</f>
        <v>2022-05-10T00:00:00Z</v>
      </c>
      <c r="B899" s="3">
        <f>IFERROR(__xludf.DUMMYFUNCTION("""COMPUTED_VALUE"""),1.910542)</f>
        <v>1.910542</v>
      </c>
      <c r="C899" s="3">
        <f>IFERROR(__xludf.DUMMYFUNCTION("""COMPUTED_VALUE"""),3.91958099393145E8)</f>
        <v>391958099.4</v>
      </c>
      <c r="D899" s="3">
        <f>IFERROR(__xludf.DUMMYFUNCTION("""COMPUTED_VALUE"""),0.0)</f>
        <v>0</v>
      </c>
      <c r="E899" s="3">
        <f>IFERROR(__xludf.DUMMYFUNCTION("""COMPUTED_VALUE"""),0.0)</f>
        <v>0</v>
      </c>
      <c r="F899" s="3" t="str">
        <f>IFERROR(__xludf.DUMMYFUNCTION("""COMPUTED_VALUE"""),"CRV")</f>
        <v>CRV</v>
      </c>
      <c r="G899" s="3"/>
    </row>
    <row r="900">
      <c r="A900" s="3" t="str">
        <f>IFERROR(__xludf.DUMMYFUNCTION("""COMPUTED_VALUE"""),"2022-05-11T00:00:00Z")</f>
        <v>2022-05-11T00:00:00Z</v>
      </c>
      <c r="B900" s="3">
        <f>IFERROR(__xludf.DUMMYFUNCTION("""COMPUTED_VALUE"""),1.974685)</f>
        <v>1.974685</v>
      </c>
      <c r="C900" s="3">
        <f>IFERROR(__xludf.DUMMYFUNCTION("""COMPUTED_VALUE"""),3.91958099393145E8)</f>
        <v>391958099.4</v>
      </c>
      <c r="D900" s="3">
        <f>IFERROR(__xludf.DUMMYFUNCTION("""COMPUTED_VALUE"""),0.0)</f>
        <v>0</v>
      </c>
      <c r="E900" s="3">
        <f>IFERROR(__xludf.DUMMYFUNCTION("""COMPUTED_VALUE"""),0.0)</f>
        <v>0</v>
      </c>
      <c r="F900" s="3" t="str">
        <f>IFERROR(__xludf.DUMMYFUNCTION("""COMPUTED_VALUE"""),"CRV")</f>
        <v>CRV</v>
      </c>
      <c r="G900" s="3"/>
    </row>
    <row r="901">
      <c r="A901" s="3" t="str">
        <f>IFERROR(__xludf.DUMMYFUNCTION("""COMPUTED_VALUE"""),"2022-05-12T00:00:00Z")</f>
        <v>2022-05-12T00:00:00Z</v>
      </c>
      <c r="B901" s="3">
        <f>IFERROR(__xludf.DUMMYFUNCTION("""COMPUTED_VALUE"""),1.501801)</f>
        <v>1.501801</v>
      </c>
      <c r="C901" s="3">
        <f>IFERROR(__xludf.DUMMYFUNCTION("""COMPUTED_VALUE"""),3.91958099393145E8)</f>
        <v>391958099.4</v>
      </c>
      <c r="D901" s="3">
        <f>IFERROR(__xludf.DUMMYFUNCTION("""COMPUTED_VALUE"""),0.0)</f>
        <v>0</v>
      </c>
      <c r="E901" s="3">
        <f>IFERROR(__xludf.DUMMYFUNCTION("""COMPUTED_VALUE"""),0.0)</f>
        <v>0</v>
      </c>
      <c r="F901" s="3" t="str">
        <f>IFERROR(__xludf.DUMMYFUNCTION("""COMPUTED_VALUE"""),"CRV")</f>
        <v>CRV</v>
      </c>
      <c r="G901" s="3"/>
    </row>
    <row r="902">
      <c r="A902" s="3" t="str">
        <f>IFERROR(__xludf.DUMMYFUNCTION("""COMPUTED_VALUE"""),"2022-05-13T00:00:00Z")</f>
        <v>2022-05-13T00:00:00Z</v>
      </c>
      <c r="B902" s="3">
        <f>IFERROR(__xludf.DUMMYFUNCTION("""COMPUTED_VALUE"""),1.304043)</f>
        <v>1.304043</v>
      </c>
      <c r="C902" s="3">
        <f>IFERROR(__xludf.DUMMYFUNCTION("""COMPUTED_VALUE"""),3.91958099393145E8)</f>
        <v>391958099.4</v>
      </c>
      <c r="D902" s="3">
        <f>IFERROR(__xludf.DUMMYFUNCTION("""COMPUTED_VALUE"""),0.0)</f>
        <v>0</v>
      </c>
      <c r="E902" s="3">
        <f>IFERROR(__xludf.DUMMYFUNCTION("""COMPUTED_VALUE"""),0.0)</f>
        <v>0</v>
      </c>
      <c r="F902" s="3" t="str">
        <f>IFERROR(__xludf.DUMMYFUNCTION("""COMPUTED_VALUE"""),"CRV")</f>
        <v>CRV</v>
      </c>
      <c r="G902" s="3"/>
    </row>
    <row r="903">
      <c r="A903" s="3" t="str">
        <f>IFERROR(__xludf.DUMMYFUNCTION("""COMPUTED_VALUE"""),"2022-05-14T00:00:00Z")</f>
        <v>2022-05-14T00:00:00Z</v>
      </c>
      <c r="B903" s="3">
        <f>IFERROR(__xludf.DUMMYFUNCTION("""COMPUTED_VALUE"""),1.31615)</f>
        <v>1.31615</v>
      </c>
      <c r="C903" s="3">
        <f>IFERROR(__xludf.DUMMYFUNCTION("""COMPUTED_VALUE"""),3.91958099393145E8)</f>
        <v>391958099.4</v>
      </c>
      <c r="D903" s="3">
        <f>IFERROR(__xludf.DUMMYFUNCTION("""COMPUTED_VALUE"""),0.0)</f>
        <v>0</v>
      </c>
      <c r="E903" s="3">
        <f>IFERROR(__xludf.DUMMYFUNCTION("""COMPUTED_VALUE"""),0.0)</f>
        <v>0</v>
      </c>
      <c r="F903" s="3" t="str">
        <f>IFERROR(__xludf.DUMMYFUNCTION("""COMPUTED_VALUE"""),"CRV")</f>
        <v>CRV</v>
      </c>
      <c r="G903" s="3"/>
    </row>
    <row r="904">
      <c r="A904" s="3" t="str">
        <f>IFERROR(__xludf.DUMMYFUNCTION("""COMPUTED_VALUE"""),"2022-05-15T00:00:00Z")</f>
        <v>2022-05-15T00:00:00Z</v>
      </c>
      <c r="B904" s="3">
        <f>IFERROR(__xludf.DUMMYFUNCTION("""COMPUTED_VALUE"""),1.414553)</f>
        <v>1.414553</v>
      </c>
      <c r="C904" s="3">
        <f>IFERROR(__xludf.DUMMYFUNCTION("""COMPUTED_VALUE"""),3.91958099393145E8)</f>
        <v>391958099.4</v>
      </c>
      <c r="D904" s="3">
        <f>IFERROR(__xludf.DUMMYFUNCTION("""COMPUTED_VALUE"""),0.0)</f>
        <v>0</v>
      </c>
      <c r="E904" s="3">
        <f>IFERROR(__xludf.DUMMYFUNCTION("""COMPUTED_VALUE"""),0.0)</f>
        <v>0</v>
      </c>
      <c r="F904" s="3" t="str">
        <f>IFERROR(__xludf.DUMMYFUNCTION("""COMPUTED_VALUE"""),"CRV")</f>
        <v>CRV</v>
      </c>
      <c r="G904" s="3"/>
    </row>
    <row r="905">
      <c r="A905" s="3" t="str">
        <f>IFERROR(__xludf.DUMMYFUNCTION("""COMPUTED_VALUE"""),"2022-05-16T00:00:00Z")</f>
        <v>2022-05-16T00:00:00Z</v>
      </c>
      <c r="B905" s="3">
        <f>IFERROR(__xludf.DUMMYFUNCTION("""COMPUTED_VALUE"""),1.507382)</f>
        <v>1.507382</v>
      </c>
      <c r="C905" s="3">
        <f>IFERROR(__xludf.DUMMYFUNCTION("""COMPUTED_VALUE"""),3.91958099393145E8)</f>
        <v>391958099.4</v>
      </c>
      <c r="D905" s="3">
        <f>IFERROR(__xludf.DUMMYFUNCTION("""COMPUTED_VALUE"""),0.0)</f>
        <v>0</v>
      </c>
      <c r="E905" s="3">
        <f>IFERROR(__xludf.DUMMYFUNCTION("""COMPUTED_VALUE"""),0.0)</f>
        <v>0</v>
      </c>
      <c r="F905" s="3" t="str">
        <f>IFERROR(__xludf.DUMMYFUNCTION("""COMPUTED_VALUE"""),"CRV")</f>
        <v>CRV</v>
      </c>
      <c r="G905" s="3"/>
    </row>
    <row r="906">
      <c r="A906" s="3" t="str">
        <f>IFERROR(__xludf.DUMMYFUNCTION("""COMPUTED_VALUE"""),"2022-05-17T00:00:00Z")</f>
        <v>2022-05-17T00:00:00Z</v>
      </c>
      <c r="B906" s="3">
        <f>IFERROR(__xludf.DUMMYFUNCTION("""COMPUTED_VALUE"""),1.362627)</f>
        <v>1.362627</v>
      </c>
      <c r="C906" s="3">
        <f>IFERROR(__xludf.DUMMYFUNCTION("""COMPUTED_VALUE"""),3.91958099393145E8)</f>
        <v>391958099.4</v>
      </c>
      <c r="D906" s="3">
        <f>IFERROR(__xludf.DUMMYFUNCTION("""COMPUTED_VALUE"""),0.0)</f>
        <v>0</v>
      </c>
      <c r="E906" s="3">
        <f>IFERROR(__xludf.DUMMYFUNCTION("""COMPUTED_VALUE"""),0.0)</f>
        <v>0</v>
      </c>
      <c r="F906" s="3" t="str">
        <f>IFERROR(__xludf.DUMMYFUNCTION("""COMPUTED_VALUE"""),"CRV")</f>
        <v>CRV</v>
      </c>
      <c r="G906" s="3"/>
    </row>
    <row r="907">
      <c r="A907" s="3" t="str">
        <f>IFERROR(__xludf.DUMMYFUNCTION("""COMPUTED_VALUE"""),"2022-05-18T00:00:00Z")</f>
        <v>2022-05-18T00:00:00Z</v>
      </c>
      <c r="B907" s="3">
        <f>IFERROR(__xludf.DUMMYFUNCTION("""COMPUTED_VALUE"""),1.389919)</f>
        <v>1.389919</v>
      </c>
      <c r="C907" s="3">
        <f>IFERROR(__xludf.DUMMYFUNCTION("""COMPUTED_VALUE"""),3.91958099393145E8)</f>
        <v>391958099.4</v>
      </c>
      <c r="D907" s="3">
        <f>IFERROR(__xludf.DUMMYFUNCTION("""COMPUTED_VALUE"""),0.0)</f>
        <v>0</v>
      </c>
      <c r="E907" s="3">
        <f>IFERROR(__xludf.DUMMYFUNCTION("""COMPUTED_VALUE"""),0.0)</f>
        <v>0</v>
      </c>
      <c r="F907" s="3" t="str">
        <f>IFERROR(__xludf.DUMMYFUNCTION("""COMPUTED_VALUE"""),"CRV")</f>
        <v>CRV</v>
      </c>
      <c r="G907" s="3"/>
    </row>
    <row r="908">
      <c r="A908" s="3" t="str">
        <f>IFERROR(__xludf.DUMMYFUNCTION("""COMPUTED_VALUE"""),"2022-05-19T00:00:00Z")</f>
        <v>2022-05-19T00:00:00Z</v>
      </c>
      <c r="B908" s="3">
        <f>IFERROR(__xludf.DUMMYFUNCTION("""COMPUTED_VALUE"""),1.228163)</f>
        <v>1.228163</v>
      </c>
      <c r="C908" s="3">
        <f>IFERROR(__xludf.DUMMYFUNCTION("""COMPUTED_VALUE"""),3.91958099393145E8)</f>
        <v>391958099.4</v>
      </c>
      <c r="D908" s="3">
        <f>IFERROR(__xludf.DUMMYFUNCTION("""COMPUTED_VALUE"""),0.0)</f>
        <v>0</v>
      </c>
      <c r="E908" s="3">
        <f>IFERROR(__xludf.DUMMYFUNCTION("""COMPUTED_VALUE"""),0.0)</f>
        <v>0</v>
      </c>
      <c r="F908" s="3" t="str">
        <f>IFERROR(__xludf.DUMMYFUNCTION("""COMPUTED_VALUE"""),"CRV")</f>
        <v>CRV</v>
      </c>
      <c r="G908" s="3"/>
    </row>
    <row r="909">
      <c r="A909" s="3" t="str">
        <f>IFERROR(__xludf.DUMMYFUNCTION("""COMPUTED_VALUE"""),"2022-05-20T00:00:00Z")</f>
        <v>2022-05-20T00:00:00Z</v>
      </c>
      <c r="B909" s="3">
        <f>IFERROR(__xludf.DUMMYFUNCTION("""COMPUTED_VALUE"""),1.079349)</f>
        <v>1.079349</v>
      </c>
      <c r="C909" s="3">
        <f>IFERROR(__xludf.DUMMYFUNCTION("""COMPUTED_VALUE"""),3.91958099393145E8)</f>
        <v>391958099.4</v>
      </c>
      <c r="D909" s="3">
        <f>IFERROR(__xludf.DUMMYFUNCTION("""COMPUTED_VALUE"""),0.0)</f>
        <v>0</v>
      </c>
      <c r="E909" s="3">
        <f>IFERROR(__xludf.DUMMYFUNCTION("""COMPUTED_VALUE"""),0.0)</f>
        <v>0</v>
      </c>
      <c r="F909" s="3" t="str">
        <f>IFERROR(__xludf.DUMMYFUNCTION("""COMPUTED_VALUE"""),"CRV")</f>
        <v>CRV</v>
      </c>
      <c r="G909" s="3"/>
    </row>
    <row r="910">
      <c r="A910" s="3" t="str">
        <f>IFERROR(__xludf.DUMMYFUNCTION("""COMPUTED_VALUE"""),"2022-05-21T00:00:00Z")</f>
        <v>2022-05-21T00:00:00Z</v>
      </c>
      <c r="B910" s="3">
        <f>IFERROR(__xludf.DUMMYFUNCTION("""COMPUTED_VALUE"""),1.127977)</f>
        <v>1.127977</v>
      </c>
      <c r="C910" s="3">
        <f>IFERROR(__xludf.DUMMYFUNCTION("""COMPUTED_VALUE"""),3.91958099393145E8)</f>
        <v>391958099.4</v>
      </c>
      <c r="D910" s="3">
        <f>IFERROR(__xludf.DUMMYFUNCTION("""COMPUTED_VALUE"""),0.0)</f>
        <v>0</v>
      </c>
      <c r="E910" s="3">
        <f>IFERROR(__xludf.DUMMYFUNCTION("""COMPUTED_VALUE"""),0.0)</f>
        <v>0</v>
      </c>
      <c r="F910" s="3" t="str">
        <f>IFERROR(__xludf.DUMMYFUNCTION("""COMPUTED_VALUE"""),"CRV")</f>
        <v>CRV</v>
      </c>
      <c r="G910" s="3"/>
    </row>
    <row r="911">
      <c r="A911" s="3" t="str">
        <f>IFERROR(__xludf.DUMMYFUNCTION("""COMPUTED_VALUE"""),"2022-05-22T00:00:00Z")</f>
        <v>2022-05-22T00:00:00Z</v>
      </c>
      <c r="B911" s="3">
        <f>IFERROR(__xludf.DUMMYFUNCTION("""COMPUTED_VALUE"""),1.211265)</f>
        <v>1.211265</v>
      </c>
      <c r="C911" s="3">
        <f>IFERROR(__xludf.DUMMYFUNCTION("""COMPUTED_VALUE"""),3.91958099393145E8)</f>
        <v>391958099.4</v>
      </c>
      <c r="D911" s="3">
        <f>IFERROR(__xludf.DUMMYFUNCTION("""COMPUTED_VALUE"""),0.0)</f>
        <v>0</v>
      </c>
      <c r="E911" s="3">
        <f>IFERROR(__xludf.DUMMYFUNCTION("""COMPUTED_VALUE"""),0.0)</f>
        <v>0</v>
      </c>
      <c r="F911" s="3" t="str">
        <f>IFERROR(__xludf.DUMMYFUNCTION("""COMPUTED_VALUE"""),"CRV")</f>
        <v>CRV</v>
      </c>
      <c r="G911" s="3"/>
    </row>
    <row r="912">
      <c r="A912" s="3" t="str">
        <f>IFERROR(__xludf.DUMMYFUNCTION("""COMPUTED_VALUE"""),"2022-05-23T00:00:00Z")</f>
        <v>2022-05-23T00:00:00Z</v>
      </c>
      <c r="B912" s="3">
        <f>IFERROR(__xludf.DUMMYFUNCTION("""COMPUTED_VALUE"""),1.272592)</f>
        <v>1.272592</v>
      </c>
      <c r="C912" s="3">
        <f>IFERROR(__xludf.DUMMYFUNCTION("""COMPUTED_VALUE"""),3.91958099393145E8)</f>
        <v>391958099.4</v>
      </c>
      <c r="D912" s="3">
        <f>IFERROR(__xludf.DUMMYFUNCTION("""COMPUTED_VALUE"""),0.0)</f>
        <v>0</v>
      </c>
      <c r="E912" s="3">
        <f>IFERROR(__xludf.DUMMYFUNCTION("""COMPUTED_VALUE"""),0.0)</f>
        <v>0</v>
      </c>
      <c r="F912" s="3" t="str">
        <f>IFERROR(__xludf.DUMMYFUNCTION("""COMPUTED_VALUE"""),"CRV")</f>
        <v>CRV</v>
      </c>
      <c r="G912" s="3"/>
    </row>
    <row r="913">
      <c r="A913" s="3" t="str">
        <f>IFERROR(__xludf.DUMMYFUNCTION("""COMPUTED_VALUE"""),"2022-05-24T00:00:00Z")</f>
        <v>2022-05-24T00:00:00Z</v>
      </c>
      <c r="B913" s="3">
        <f>IFERROR(__xludf.DUMMYFUNCTION("""COMPUTED_VALUE"""),1.29893)</f>
        <v>1.29893</v>
      </c>
      <c r="C913" s="3">
        <f>IFERROR(__xludf.DUMMYFUNCTION("""COMPUTED_VALUE"""),3.91958099393145E8)</f>
        <v>391958099.4</v>
      </c>
      <c r="D913" s="3">
        <f>IFERROR(__xludf.DUMMYFUNCTION("""COMPUTED_VALUE"""),0.0)</f>
        <v>0</v>
      </c>
      <c r="E913" s="3">
        <f>IFERROR(__xludf.DUMMYFUNCTION("""COMPUTED_VALUE"""),0.0)</f>
        <v>0</v>
      </c>
      <c r="F913" s="3" t="str">
        <f>IFERROR(__xludf.DUMMYFUNCTION("""COMPUTED_VALUE"""),"CRV")</f>
        <v>CRV</v>
      </c>
      <c r="G913" s="3"/>
    </row>
    <row r="914">
      <c r="A914" s="3" t="str">
        <f>IFERROR(__xludf.DUMMYFUNCTION("""COMPUTED_VALUE"""),"2022-05-25T00:00:00Z")</f>
        <v>2022-05-25T00:00:00Z</v>
      </c>
      <c r="B914" s="3">
        <f>IFERROR(__xludf.DUMMYFUNCTION("""COMPUTED_VALUE"""),1.255562)</f>
        <v>1.255562</v>
      </c>
      <c r="C914" s="3">
        <f>IFERROR(__xludf.DUMMYFUNCTION("""COMPUTED_VALUE"""),3.91958099393145E8)</f>
        <v>391958099.4</v>
      </c>
      <c r="D914" s="3">
        <f>IFERROR(__xludf.DUMMYFUNCTION("""COMPUTED_VALUE"""),0.0)</f>
        <v>0</v>
      </c>
      <c r="E914" s="3">
        <f>IFERROR(__xludf.DUMMYFUNCTION("""COMPUTED_VALUE"""),0.0)</f>
        <v>0</v>
      </c>
      <c r="F914" s="3" t="str">
        <f>IFERROR(__xludf.DUMMYFUNCTION("""COMPUTED_VALUE"""),"CRV")</f>
        <v>CRV</v>
      </c>
      <c r="G914" s="3"/>
    </row>
    <row r="915">
      <c r="A915" s="3" t="str">
        <f>IFERROR(__xludf.DUMMYFUNCTION("""COMPUTED_VALUE"""),"2022-05-26T00:00:00Z")</f>
        <v>2022-05-26T00:00:00Z</v>
      </c>
      <c r="B915" s="3">
        <f>IFERROR(__xludf.DUMMYFUNCTION("""COMPUTED_VALUE"""),1.232968)</f>
        <v>1.232968</v>
      </c>
      <c r="C915" s="3">
        <f>IFERROR(__xludf.DUMMYFUNCTION("""COMPUTED_VALUE"""),3.91958099393145E8)</f>
        <v>391958099.4</v>
      </c>
      <c r="D915" s="3">
        <f>IFERROR(__xludf.DUMMYFUNCTION("""COMPUTED_VALUE"""),0.0)</f>
        <v>0</v>
      </c>
      <c r="E915" s="3">
        <f>IFERROR(__xludf.DUMMYFUNCTION("""COMPUTED_VALUE"""),0.0)</f>
        <v>0</v>
      </c>
      <c r="F915" s="3" t="str">
        <f>IFERROR(__xludf.DUMMYFUNCTION("""COMPUTED_VALUE"""),"CRV")</f>
        <v>CRV</v>
      </c>
      <c r="G915" s="3"/>
    </row>
    <row r="916">
      <c r="A916" s="3" t="str">
        <f>IFERROR(__xludf.DUMMYFUNCTION("""COMPUTED_VALUE"""),"2022-05-27T00:00:00Z")</f>
        <v>2022-05-27T00:00:00Z</v>
      </c>
      <c r="B916" s="3">
        <f>IFERROR(__xludf.DUMMYFUNCTION("""COMPUTED_VALUE"""),1.205091)</f>
        <v>1.205091</v>
      </c>
      <c r="C916" s="3">
        <f>IFERROR(__xludf.DUMMYFUNCTION("""COMPUTED_VALUE"""),3.91958099393145E8)</f>
        <v>391958099.4</v>
      </c>
      <c r="D916" s="3">
        <f>IFERROR(__xludf.DUMMYFUNCTION("""COMPUTED_VALUE"""),0.0)</f>
        <v>0</v>
      </c>
      <c r="E916" s="3">
        <f>IFERROR(__xludf.DUMMYFUNCTION("""COMPUTED_VALUE"""),0.0)</f>
        <v>0</v>
      </c>
      <c r="F916" s="3" t="str">
        <f>IFERROR(__xludf.DUMMYFUNCTION("""COMPUTED_VALUE"""),"CRV")</f>
        <v>CRV</v>
      </c>
      <c r="G916" s="3"/>
    </row>
    <row r="917">
      <c r="A917" s="3" t="str">
        <f>IFERROR(__xludf.DUMMYFUNCTION("""COMPUTED_VALUE"""),"2022-05-28T00:00:00Z")</f>
        <v>2022-05-28T00:00:00Z</v>
      </c>
      <c r="B917" s="3">
        <f>IFERROR(__xludf.DUMMYFUNCTION("""COMPUTED_VALUE"""),1.171713)</f>
        <v>1.171713</v>
      </c>
      <c r="C917" s="3">
        <f>IFERROR(__xludf.DUMMYFUNCTION("""COMPUTED_VALUE"""),3.91958099393145E8)</f>
        <v>391958099.4</v>
      </c>
      <c r="D917" s="3">
        <f>IFERROR(__xludf.DUMMYFUNCTION("""COMPUTED_VALUE"""),0.0)</f>
        <v>0</v>
      </c>
      <c r="E917" s="3">
        <f>IFERROR(__xludf.DUMMYFUNCTION("""COMPUTED_VALUE"""),0.0)</f>
        <v>0</v>
      </c>
      <c r="F917" s="3" t="str">
        <f>IFERROR(__xludf.DUMMYFUNCTION("""COMPUTED_VALUE"""),"CRV")</f>
        <v>CRV</v>
      </c>
      <c r="G917" s="3"/>
    </row>
    <row r="918">
      <c r="A918" s="3" t="str">
        <f>IFERROR(__xludf.DUMMYFUNCTION("""COMPUTED_VALUE"""),"2022-05-29T00:00:00Z")</f>
        <v>2022-05-29T00:00:00Z</v>
      </c>
      <c r="B918" s="3">
        <f>IFERROR(__xludf.DUMMYFUNCTION("""COMPUTED_VALUE"""),1.218375)</f>
        <v>1.218375</v>
      </c>
      <c r="C918" s="3">
        <f>IFERROR(__xludf.DUMMYFUNCTION("""COMPUTED_VALUE"""),3.91958099393145E8)</f>
        <v>391958099.4</v>
      </c>
      <c r="D918" s="3">
        <f>IFERROR(__xludf.DUMMYFUNCTION("""COMPUTED_VALUE"""),0.0)</f>
        <v>0</v>
      </c>
      <c r="E918" s="3">
        <f>IFERROR(__xludf.DUMMYFUNCTION("""COMPUTED_VALUE"""),0.0)</f>
        <v>0</v>
      </c>
      <c r="F918" s="3" t="str">
        <f>IFERROR(__xludf.DUMMYFUNCTION("""COMPUTED_VALUE"""),"CRV")</f>
        <v>CRV</v>
      </c>
      <c r="G918" s="3"/>
    </row>
    <row r="919">
      <c r="A919" s="3" t="str">
        <f>IFERROR(__xludf.DUMMYFUNCTION("""COMPUTED_VALUE"""),"2022-05-30T00:00:00Z")</f>
        <v>2022-05-30T00:00:00Z</v>
      </c>
      <c r="B919" s="3">
        <f>IFERROR(__xludf.DUMMYFUNCTION("""COMPUTED_VALUE"""),1.254631)</f>
        <v>1.254631</v>
      </c>
      <c r="C919" s="3">
        <f>IFERROR(__xludf.DUMMYFUNCTION("""COMPUTED_VALUE"""),3.91958099393145E8)</f>
        <v>391958099.4</v>
      </c>
      <c r="D919" s="3">
        <f>IFERROR(__xludf.DUMMYFUNCTION("""COMPUTED_VALUE"""),0.0)</f>
        <v>0</v>
      </c>
      <c r="E919" s="3">
        <f>IFERROR(__xludf.DUMMYFUNCTION("""COMPUTED_VALUE"""),0.0)</f>
        <v>0</v>
      </c>
      <c r="F919" s="3" t="str">
        <f>IFERROR(__xludf.DUMMYFUNCTION("""COMPUTED_VALUE"""),"CRV")</f>
        <v>CRV</v>
      </c>
      <c r="G919" s="3"/>
    </row>
    <row r="920">
      <c r="A920" s="3" t="str">
        <f>IFERROR(__xludf.DUMMYFUNCTION("""COMPUTED_VALUE"""),"2022-05-31T00:00:00Z")</f>
        <v>2022-05-31T00:00:00Z</v>
      </c>
      <c r="B920" s="3">
        <f>IFERROR(__xludf.DUMMYFUNCTION("""COMPUTED_VALUE"""),1.386603)</f>
        <v>1.386603</v>
      </c>
      <c r="C920" s="3">
        <f>IFERROR(__xludf.DUMMYFUNCTION("""COMPUTED_VALUE"""),3.91958099393145E8)</f>
        <v>391958099.4</v>
      </c>
      <c r="D920" s="3">
        <f>IFERROR(__xludf.DUMMYFUNCTION("""COMPUTED_VALUE"""),0.0)</f>
        <v>0</v>
      </c>
      <c r="E920" s="3">
        <f>IFERROR(__xludf.DUMMYFUNCTION("""COMPUTED_VALUE"""),0.0)</f>
        <v>0</v>
      </c>
      <c r="F920" s="3" t="str">
        <f>IFERROR(__xludf.DUMMYFUNCTION("""COMPUTED_VALUE"""),"CRV")</f>
        <v>CRV</v>
      </c>
      <c r="G920" s="3"/>
    </row>
    <row r="921">
      <c r="A921" s="3" t="str">
        <f>IFERROR(__xludf.DUMMYFUNCTION("""COMPUTED_VALUE"""),"2022-06-01T00:00:00Z")</f>
        <v>2022-06-01T00:00:00Z</v>
      </c>
      <c r="B921" s="3">
        <f>IFERROR(__xludf.DUMMYFUNCTION("""COMPUTED_VALUE"""),1.380196)</f>
        <v>1.380196</v>
      </c>
      <c r="C921" s="3">
        <f>IFERROR(__xludf.DUMMYFUNCTION("""COMPUTED_VALUE"""),3.91958099393145E8)</f>
        <v>391958099.4</v>
      </c>
      <c r="D921" s="3">
        <f>IFERROR(__xludf.DUMMYFUNCTION("""COMPUTED_VALUE"""),0.0)</f>
        <v>0</v>
      </c>
      <c r="E921" s="3">
        <f>IFERROR(__xludf.DUMMYFUNCTION("""COMPUTED_VALUE"""),0.0)</f>
        <v>0</v>
      </c>
      <c r="F921" s="3" t="str">
        <f>IFERROR(__xludf.DUMMYFUNCTION("""COMPUTED_VALUE"""),"CRV")</f>
        <v>CRV</v>
      </c>
      <c r="G921" s="3"/>
    </row>
    <row r="922">
      <c r="A922" s="3" t="str">
        <f>IFERROR(__xludf.DUMMYFUNCTION("""COMPUTED_VALUE"""),"2022-06-02T00:00:00Z")</f>
        <v>2022-06-02T00:00:00Z</v>
      </c>
      <c r="B922" s="3">
        <f>IFERROR(__xludf.DUMMYFUNCTION("""COMPUTED_VALUE"""),1.266987)</f>
        <v>1.266987</v>
      </c>
      <c r="C922" s="3">
        <f>IFERROR(__xludf.DUMMYFUNCTION("""COMPUTED_VALUE"""),3.91958099393145E8)</f>
        <v>391958099.4</v>
      </c>
      <c r="D922" s="3">
        <f>IFERROR(__xludf.DUMMYFUNCTION("""COMPUTED_VALUE"""),0.0)</f>
        <v>0</v>
      </c>
      <c r="E922" s="3">
        <f>IFERROR(__xludf.DUMMYFUNCTION("""COMPUTED_VALUE"""),0.0)</f>
        <v>0</v>
      </c>
      <c r="F922" s="3" t="str">
        <f>IFERROR(__xludf.DUMMYFUNCTION("""COMPUTED_VALUE"""),"CRV")</f>
        <v>CRV</v>
      </c>
      <c r="G922" s="3"/>
    </row>
    <row r="923">
      <c r="A923" s="3" t="str">
        <f>IFERROR(__xludf.DUMMYFUNCTION("""COMPUTED_VALUE"""),"2022-06-03T00:00:00Z")</f>
        <v>2022-06-03T00:00:00Z</v>
      </c>
      <c r="B923" s="3">
        <f>IFERROR(__xludf.DUMMYFUNCTION("""COMPUTED_VALUE"""),1.255532)</f>
        <v>1.255532</v>
      </c>
      <c r="C923" s="3">
        <f>IFERROR(__xludf.DUMMYFUNCTION("""COMPUTED_VALUE"""),3.91958099393145E8)</f>
        <v>391958099.4</v>
      </c>
      <c r="D923" s="3">
        <f>IFERROR(__xludf.DUMMYFUNCTION("""COMPUTED_VALUE"""),0.0)</f>
        <v>0</v>
      </c>
      <c r="E923" s="3">
        <f>IFERROR(__xludf.DUMMYFUNCTION("""COMPUTED_VALUE"""),0.0)</f>
        <v>0</v>
      </c>
      <c r="F923" s="3" t="str">
        <f>IFERROR(__xludf.DUMMYFUNCTION("""COMPUTED_VALUE"""),"CRV")</f>
        <v>CRV</v>
      </c>
      <c r="G923" s="3"/>
    </row>
    <row r="924">
      <c r="A924" s="3" t="str">
        <f>IFERROR(__xludf.DUMMYFUNCTION("""COMPUTED_VALUE"""),"2022-06-04T00:00:00Z")</f>
        <v>2022-06-04T00:00:00Z</v>
      </c>
      <c r="B924" s="3">
        <f>IFERROR(__xludf.DUMMYFUNCTION("""COMPUTED_VALUE"""),1.171612)</f>
        <v>1.171612</v>
      </c>
      <c r="C924" s="3">
        <f>IFERROR(__xludf.DUMMYFUNCTION("""COMPUTED_VALUE"""),3.91958099393145E8)</f>
        <v>391958099.4</v>
      </c>
      <c r="D924" s="3">
        <f>IFERROR(__xludf.DUMMYFUNCTION("""COMPUTED_VALUE"""),0.0)</f>
        <v>0</v>
      </c>
      <c r="E924" s="3">
        <f>IFERROR(__xludf.DUMMYFUNCTION("""COMPUTED_VALUE"""),0.0)</f>
        <v>0</v>
      </c>
      <c r="F924" s="3" t="str">
        <f>IFERROR(__xludf.DUMMYFUNCTION("""COMPUTED_VALUE"""),"CRV")</f>
        <v>CRV</v>
      </c>
      <c r="G924" s="3"/>
    </row>
    <row r="925">
      <c r="A925" s="3" t="str">
        <f>IFERROR(__xludf.DUMMYFUNCTION("""COMPUTED_VALUE"""),"2022-06-05T00:00:00Z")</f>
        <v>2022-06-05T00:00:00Z</v>
      </c>
      <c r="B925" s="3">
        <f>IFERROR(__xludf.DUMMYFUNCTION("""COMPUTED_VALUE"""),1.17858)</f>
        <v>1.17858</v>
      </c>
      <c r="C925" s="3">
        <f>IFERROR(__xludf.DUMMYFUNCTION("""COMPUTED_VALUE"""),3.91958099393145E8)</f>
        <v>391958099.4</v>
      </c>
      <c r="D925" s="3">
        <f>IFERROR(__xludf.DUMMYFUNCTION("""COMPUTED_VALUE"""),0.0)</f>
        <v>0</v>
      </c>
      <c r="E925" s="3">
        <f>IFERROR(__xludf.DUMMYFUNCTION("""COMPUTED_VALUE"""),0.0)</f>
        <v>0</v>
      </c>
      <c r="F925" s="3" t="str">
        <f>IFERROR(__xludf.DUMMYFUNCTION("""COMPUTED_VALUE"""),"CRV")</f>
        <v>CRV</v>
      </c>
      <c r="G925" s="3"/>
    </row>
    <row r="926">
      <c r="A926" s="3" t="str">
        <f>IFERROR(__xludf.DUMMYFUNCTION("""COMPUTED_VALUE"""),"2022-06-06T00:00:00Z")</f>
        <v>2022-06-06T00:00:00Z</v>
      </c>
      <c r="B926" s="3">
        <f>IFERROR(__xludf.DUMMYFUNCTION("""COMPUTED_VALUE"""),1.210666)</f>
        <v>1.210666</v>
      </c>
      <c r="C926" s="3">
        <f>IFERROR(__xludf.DUMMYFUNCTION("""COMPUTED_VALUE"""),3.91958099393145E8)</f>
        <v>391958099.4</v>
      </c>
      <c r="D926" s="3">
        <f>IFERROR(__xludf.DUMMYFUNCTION("""COMPUTED_VALUE"""),0.0)</f>
        <v>0</v>
      </c>
      <c r="E926" s="3">
        <f>IFERROR(__xludf.DUMMYFUNCTION("""COMPUTED_VALUE"""),0.0)</f>
        <v>0</v>
      </c>
      <c r="F926" s="3" t="str">
        <f>IFERROR(__xludf.DUMMYFUNCTION("""COMPUTED_VALUE"""),"CRV")</f>
        <v>CRV</v>
      </c>
      <c r="G926" s="3"/>
    </row>
    <row r="927">
      <c r="A927" s="3" t="str">
        <f>IFERROR(__xludf.DUMMYFUNCTION("""COMPUTED_VALUE"""),"2022-06-07T00:00:00Z")</f>
        <v>2022-06-07T00:00:00Z</v>
      </c>
      <c r="B927" s="3">
        <f>IFERROR(__xludf.DUMMYFUNCTION("""COMPUTED_VALUE"""),1.2859)</f>
        <v>1.2859</v>
      </c>
      <c r="C927" s="3">
        <f>IFERROR(__xludf.DUMMYFUNCTION("""COMPUTED_VALUE"""),3.91958099393145E8)</f>
        <v>391958099.4</v>
      </c>
      <c r="D927" s="3">
        <f>IFERROR(__xludf.DUMMYFUNCTION("""COMPUTED_VALUE"""),0.0)</f>
        <v>0</v>
      </c>
      <c r="E927" s="3">
        <f>IFERROR(__xludf.DUMMYFUNCTION("""COMPUTED_VALUE"""),0.0)</f>
        <v>0</v>
      </c>
      <c r="F927" s="3" t="str">
        <f>IFERROR(__xludf.DUMMYFUNCTION("""COMPUTED_VALUE"""),"CRV")</f>
        <v>CRV</v>
      </c>
      <c r="G927" s="3"/>
    </row>
    <row r="928">
      <c r="A928" s="3" t="str">
        <f>IFERROR(__xludf.DUMMYFUNCTION("""COMPUTED_VALUE"""),"2022-06-08T00:00:00Z")</f>
        <v>2022-06-08T00:00:00Z</v>
      </c>
      <c r="B928" s="3">
        <f>IFERROR(__xludf.DUMMYFUNCTION("""COMPUTED_VALUE"""),1.187618)</f>
        <v>1.187618</v>
      </c>
      <c r="C928" s="3">
        <f>IFERROR(__xludf.DUMMYFUNCTION("""COMPUTED_VALUE"""),3.91958099393145E8)</f>
        <v>391958099.4</v>
      </c>
      <c r="D928" s="3">
        <f>IFERROR(__xludf.DUMMYFUNCTION("""COMPUTED_VALUE"""),0.0)</f>
        <v>0</v>
      </c>
      <c r="E928" s="3">
        <f>IFERROR(__xludf.DUMMYFUNCTION("""COMPUTED_VALUE"""),0.0)</f>
        <v>0</v>
      </c>
      <c r="F928" s="3" t="str">
        <f>IFERROR(__xludf.DUMMYFUNCTION("""COMPUTED_VALUE"""),"CRV")</f>
        <v>CRV</v>
      </c>
      <c r="G928" s="3"/>
    </row>
    <row r="929">
      <c r="A929" s="3" t="str">
        <f>IFERROR(__xludf.DUMMYFUNCTION("""COMPUTED_VALUE"""),"2022-06-09T00:00:00Z")</f>
        <v>2022-06-09T00:00:00Z</v>
      </c>
      <c r="B929" s="3">
        <f>IFERROR(__xludf.DUMMYFUNCTION("""COMPUTED_VALUE"""),1.158723)</f>
        <v>1.158723</v>
      </c>
      <c r="C929" s="3">
        <f>IFERROR(__xludf.DUMMYFUNCTION("""COMPUTED_VALUE"""),3.91958099393145E8)</f>
        <v>391958099.4</v>
      </c>
      <c r="D929" s="3">
        <f>IFERROR(__xludf.DUMMYFUNCTION("""COMPUTED_VALUE"""),0.0)</f>
        <v>0</v>
      </c>
      <c r="E929" s="3">
        <f>IFERROR(__xludf.DUMMYFUNCTION("""COMPUTED_VALUE"""),0.0)</f>
        <v>0</v>
      </c>
      <c r="F929" s="3" t="str">
        <f>IFERROR(__xludf.DUMMYFUNCTION("""COMPUTED_VALUE"""),"CRV")</f>
        <v>CRV</v>
      </c>
      <c r="G929" s="3"/>
    </row>
    <row r="930">
      <c r="A930" s="3" t="str">
        <f>IFERROR(__xludf.DUMMYFUNCTION("""COMPUTED_VALUE"""),"2022-06-10T00:00:00Z")</f>
        <v>2022-06-10T00:00:00Z</v>
      </c>
      <c r="B930" s="3">
        <f>IFERROR(__xludf.DUMMYFUNCTION("""COMPUTED_VALUE"""),1.14643)</f>
        <v>1.14643</v>
      </c>
      <c r="C930" s="3">
        <f>IFERROR(__xludf.DUMMYFUNCTION("""COMPUTED_VALUE"""),3.91958099393145E8)</f>
        <v>391958099.4</v>
      </c>
      <c r="D930" s="3">
        <f>IFERROR(__xludf.DUMMYFUNCTION("""COMPUTED_VALUE"""),0.0)</f>
        <v>0</v>
      </c>
      <c r="E930" s="3">
        <f>IFERROR(__xludf.DUMMYFUNCTION("""COMPUTED_VALUE"""),0.0)</f>
        <v>0</v>
      </c>
      <c r="F930" s="3" t="str">
        <f>IFERROR(__xludf.DUMMYFUNCTION("""COMPUTED_VALUE"""),"CRV")</f>
        <v>CRV</v>
      </c>
      <c r="G930" s="3"/>
    </row>
    <row r="931">
      <c r="A931" s="3" t="str">
        <f>IFERROR(__xludf.DUMMYFUNCTION("""COMPUTED_VALUE"""),"2022-06-11T00:00:00Z")</f>
        <v>2022-06-11T00:00:00Z</v>
      </c>
      <c r="B931" s="3">
        <f>IFERROR(__xludf.DUMMYFUNCTION("""COMPUTED_VALUE"""),1.026847)</f>
        <v>1.026847</v>
      </c>
      <c r="C931" s="3">
        <f>IFERROR(__xludf.DUMMYFUNCTION("""COMPUTED_VALUE"""),3.91958099393145E8)</f>
        <v>391958099.4</v>
      </c>
      <c r="D931" s="3">
        <f>IFERROR(__xludf.DUMMYFUNCTION("""COMPUTED_VALUE"""),0.0)</f>
        <v>0</v>
      </c>
      <c r="E931" s="3">
        <f>IFERROR(__xludf.DUMMYFUNCTION("""COMPUTED_VALUE"""),0.0)</f>
        <v>0</v>
      </c>
      <c r="F931" s="3" t="str">
        <f>IFERROR(__xludf.DUMMYFUNCTION("""COMPUTED_VALUE"""),"CRV")</f>
        <v>CRV</v>
      </c>
      <c r="G931" s="3"/>
    </row>
    <row r="932">
      <c r="A932" s="3" t="str">
        <f>IFERROR(__xludf.DUMMYFUNCTION("""COMPUTED_VALUE"""),"2022-06-12T00:00:00Z")</f>
        <v>2022-06-12T00:00:00Z</v>
      </c>
      <c r="B932" s="3">
        <f>IFERROR(__xludf.DUMMYFUNCTION("""COMPUTED_VALUE"""),0.909303)</f>
        <v>0.909303</v>
      </c>
      <c r="C932" s="3">
        <f>IFERROR(__xludf.DUMMYFUNCTION("""COMPUTED_VALUE"""),3.91958099393145E8)</f>
        <v>391958099.4</v>
      </c>
      <c r="D932" s="3">
        <f>IFERROR(__xludf.DUMMYFUNCTION("""COMPUTED_VALUE"""),0.0)</f>
        <v>0</v>
      </c>
      <c r="E932" s="3">
        <f>IFERROR(__xludf.DUMMYFUNCTION("""COMPUTED_VALUE"""),0.0)</f>
        <v>0</v>
      </c>
      <c r="F932" s="3" t="str">
        <f>IFERROR(__xludf.DUMMYFUNCTION("""COMPUTED_VALUE"""),"CRV")</f>
        <v>CRV</v>
      </c>
      <c r="G932" s="3"/>
    </row>
    <row r="933">
      <c r="A933" s="3" t="str">
        <f>IFERROR(__xludf.DUMMYFUNCTION("""COMPUTED_VALUE"""),"2022-06-13T00:00:00Z")</f>
        <v>2022-06-13T00:00:00Z</v>
      </c>
      <c r="B933" s="3">
        <f>IFERROR(__xludf.DUMMYFUNCTION("""COMPUTED_VALUE"""),0.863761)</f>
        <v>0.863761</v>
      </c>
      <c r="C933" s="3">
        <f>IFERROR(__xludf.DUMMYFUNCTION("""COMPUTED_VALUE"""),3.91958099393145E8)</f>
        <v>391958099.4</v>
      </c>
      <c r="D933" s="3">
        <f>IFERROR(__xludf.DUMMYFUNCTION("""COMPUTED_VALUE"""),0.0)</f>
        <v>0</v>
      </c>
      <c r="E933" s="3">
        <f>IFERROR(__xludf.DUMMYFUNCTION("""COMPUTED_VALUE"""),0.0)</f>
        <v>0</v>
      </c>
      <c r="F933" s="3" t="str">
        <f>IFERROR(__xludf.DUMMYFUNCTION("""COMPUTED_VALUE"""),"CRV")</f>
        <v>CRV</v>
      </c>
      <c r="G933" s="3"/>
    </row>
    <row r="934">
      <c r="A934" s="3" t="str">
        <f>IFERROR(__xludf.DUMMYFUNCTION("""COMPUTED_VALUE"""),"2022-06-14T00:00:00Z")</f>
        <v>2022-06-14T00:00:00Z</v>
      </c>
      <c r="B934" s="3">
        <f>IFERROR(__xludf.DUMMYFUNCTION("""COMPUTED_VALUE"""),0.717807)</f>
        <v>0.717807</v>
      </c>
      <c r="C934" s="3">
        <f>IFERROR(__xludf.DUMMYFUNCTION("""COMPUTED_VALUE"""),3.91958099393145E8)</f>
        <v>391958099.4</v>
      </c>
      <c r="D934" s="3">
        <f>IFERROR(__xludf.DUMMYFUNCTION("""COMPUTED_VALUE"""),0.0)</f>
        <v>0</v>
      </c>
      <c r="E934" s="3">
        <f>IFERROR(__xludf.DUMMYFUNCTION("""COMPUTED_VALUE"""),0.0)</f>
        <v>0</v>
      </c>
      <c r="F934" s="3" t="str">
        <f>IFERROR(__xludf.DUMMYFUNCTION("""COMPUTED_VALUE"""),"CRV")</f>
        <v>CRV</v>
      </c>
      <c r="G934" s="3"/>
    </row>
    <row r="935">
      <c r="A935" s="3" t="str">
        <f>IFERROR(__xludf.DUMMYFUNCTION("""COMPUTED_VALUE"""),"2022-06-15T00:00:00Z")</f>
        <v>2022-06-15T00:00:00Z</v>
      </c>
      <c r="B935" s="3">
        <f>IFERROR(__xludf.DUMMYFUNCTION("""COMPUTED_VALUE"""),0.730452)</f>
        <v>0.730452</v>
      </c>
      <c r="C935" s="3">
        <f>IFERROR(__xludf.DUMMYFUNCTION("""COMPUTED_VALUE"""),3.91958099393145E8)</f>
        <v>391958099.4</v>
      </c>
      <c r="D935" s="3">
        <f>IFERROR(__xludf.DUMMYFUNCTION("""COMPUTED_VALUE"""),0.0)</f>
        <v>0</v>
      </c>
      <c r="E935" s="3">
        <f>IFERROR(__xludf.DUMMYFUNCTION("""COMPUTED_VALUE"""),0.0)</f>
        <v>0</v>
      </c>
      <c r="F935" s="3" t="str">
        <f>IFERROR(__xludf.DUMMYFUNCTION("""COMPUTED_VALUE"""),"CRV")</f>
        <v>CRV</v>
      </c>
      <c r="G935" s="3"/>
    </row>
    <row r="936">
      <c r="A936" s="3" t="str">
        <f>IFERROR(__xludf.DUMMYFUNCTION("""COMPUTED_VALUE"""),"2022-06-16T00:00:00Z")</f>
        <v>2022-06-16T00:00:00Z</v>
      </c>
      <c r="B936" s="3">
        <f>IFERROR(__xludf.DUMMYFUNCTION("""COMPUTED_VALUE"""),0.767285)</f>
        <v>0.767285</v>
      </c>
      <c r="C936" s="3">
        <f>IFERROR(__xludf.DUMMYFUNCTION("""COMPUTED_VALUE"""),3.91958099393145E8)</f>
        <v>391958099.4</v>
      </c>
      <c r="D936" s="3">
        <f>IFERROR(__xludf.DUMMYFUNCTION("""COMPUTED_VALUE"""),0.0)</f>
        <v>0</v>
      </c>
      <c r="E936" s="3">
        <f>IFERROR(__xludf.DUMMYFUNCTION("""COMPUTED_VALUE"""),0.0)</f>
        <v>0</v>
      </c>
      <c r="F936" s="3" t="str">
        <f>IFERROR(__xludf.DUMMYFUNCTION("""COMPUTED_VALUE"""),"CRV")</f>
        <v>CRV</v>
      </c>
      <c r="G936" s="3"/>
    </row>
    <row r="937">
      <c r="A937" s="3" t="str">
        <f>IFERROR(__xludf.DUMMYFUNCTION("""COMPUTED_VALUE"""),"2022-06-17T00:00:00Z")</f>
        <v>2022-06-17T00:00:00Z</v>
      </c>
      <c r="B937" s="3">
        <f>IFERROR(__xludf.DUMMYFUNCTION("""COMPUTED_VALUE"""),0.664641)</f>
        <v>0.664641</v>
      </c>
      <c r="C937" s="3">
        <f>IFERROR(__xludf.DUMMYFUNCTION("""COMPUTED_VALUE"""),3.91958099393145E8)</f>
        <v>391958099.4</v>
      </c>
      <c r="D937" s="3">
        <f>IFERROR(__xludf.DUMMYFUNCTION("""COMPUTED_VALUE"""),0.0)</f>
        <v>0</v>
      </c>
      <c r="E937" s="3">
        <f>IFERROR(__xludf.DUMMYFUNCTION("""COMPUTED_VALUE"""),0.0)</f>
        <v>0</v>
      </c>
      <c r="F937" s="3" t="str">
        <f>IFERROR(__xludf.DUMMYFUNCTION("""COMPUTED_VALUE"""),"CRV")</f>
        <v>CRV</v>
      </c>
      <c r="G937" s="3"/>
    </row>
    <row r="938">
      <c r="A938" s="3" t="str">
        <f>IFERROR(__xludf.DUMMYFUNCTION("""COMPUTED_VALUE"""),"2022-06-18T00:00:00Z")</f>
        <v>2022-06-18T00:00:00Z</v>
      </c>
      <c r="B938" s="3">
        <f>IFERROR(__xludf.DUMMYFUNCTION("""COMPUTED_VALUE"""),0.660001)</f>
        <v>0.660001</v>
      </c>
      <c r="C938" s="3">
        <f>IFERROR(__xludf.DUMMYFUNCTION("""COMPUTED_VALUE"""),3.91958099393145E8)</f>
        <v>391958099.4</v>
      </c>
      <c r="D938" s="3">
        <f>IFERROR(__xludf.DUMMYFUNCTION("""COMPUTED_VALUE"""),0.0)</f>
        <v>0</v>
      </c>
      <c r="E938" s="3">
        <f>IFERROR(__xludf.DUMMYFUNCTION("""COMPUTED_VALUE"""),0.0)</f>
        <v>0</v>
      </c>
      <c r="F938" s="3" t="str">
        <f>IFERROR(__xludf.DUMMYFUNCTION("""COMPUTED_VALUE"""),"CRV")</f>
        <v>CRV</v>
      </c>
      <c r="G938" s="3"/>
    </row>
    <row r="939">
      <c r="A939" s="3" t="str">
        <f>IFERROR(__xludf.DUMMYFUNCTION("""COMPUTED_VALUE"""),"2022-06-19T00:00:00Z")</f>
        <v>2022-06-19T00:00:00Z</v>
      </c>
      <c r="B939" s="3">
        <f>IFERROR(__xludf.DUMMYFUNCTION("""COMPUTED_VALUE"""),0.582753)</f>
        <v>0.582753</v>
      </c>
      <c r="C939" s="3">
        <f>IFERROR(__xludf.DUMMYFUNCTION("""COMPUTED_VALUE"""),3.91958099393145E8)</f>
        <v>391958099.4</v>
      </c>
      <c r="D939" s="3">
        <f>IFERROR(__xludf.DUMMYFUNCTION("""COMPUTED_VALUE"""),0.0)</f>
        <v>0</v>
      </c>
      <c r="E939" s="3">
        <f>IFERROR(__xludf.DUMMYFUNCTION("""COMPUTED_VALUE"""),0.0)</f>
        <v>0</v>
      </c>
      <c r="F939" s="3" t="str">
        <f>IFERROR(__xludf.DUMMYFUNCTION("""COMPUTED_VALUE"""),"CRV")</f>
        <v>CRV</v>
      </c>
      <c r="G939" s="3"/>
    </row>
    <row r="940">
      <c r="A940" s="3" t="str">
        <f>IFERROR(__xludf.DUMMYFUNCTION("""COMPUTED_VALUE"""),"2022-06-20T00:00:00Z")</f>
        <v>2022-06-20T00:00:00Z</v>
      </c>
      <c r="B940" s="3">
        <f>IFERROR(__xludf.DUMMYFUNCTION("""COMPUTED_VALUE"""),0.645372)</f>
        <v>0.645372</v>
      </c>
      <c r="C940" s="3">
        <f>IFERROR(__xludf.DUMMYFUNCTION("""COMPUTED_VALUE"""),3.91958099393145E8)</f>
        <v>391958099.4</v>
      </c>
      <c r="D940" s="3">
        <f>IFERROR(__xludf.DUMMYFUNCTION("""COMPUTED_VALUE"""),0.0)</f>
        <v>0</v>
      </c>
      <c r="E940" s="3">
        <f>IFERROR(__xludf.DUMMYFUNCTION("""COMPUTED_VALUE"""),0.0)</f>
        <v>0</v>
      </c>
      <c r="F940" s="3" t="str">
        <f>IFERROR(__xludf.DUMMYFUNCTION("""COMPUTED_VALUE"""),"CRV")</f>
        <v>CRV</v>
      </c>
      <c r="G940" s="3"/>
    </row>
    <row r="941">
      <c r="A941" s="3" t="str">
        <f>IFERROR(__xludf.DUMMYFUNCTION("""COMPUTED_VALUE"""),"2022-06-21T00:00:00Z")</f>
        <v>2022-06-21T00:00:00Z</v>
      </c>
      <c r="B941" s="3">
        <f>IFERROR(__xludf.DUMMYFUNCTION("""COMPUTED_VALUE"""),0.701057)</f>
        <v>0.701057</v>
      </c>
      <c r="C941" s="3">
        <f>IFERROR(__xludf.DUMMYFUNCTION("""COMPUTED_VALUE"""),3.91958099393145E8)</f>
        <v>391958099.4</v>
      </c>
      <c r="D941" s="3">
        <f>IFERROR(__xludf.DUMMYFUNCTION("""COMPUTED_VALUE"""),0.0)</f>
        <v>0</v>
      </c>
      <c r="E941" s="3">
        <f>IFERROR(__xludf.DUMMYFUNCTION("""COMPUTED_VALUE"""),0.0)</f>
        <v>0</v>
      </c>
      <c r="F941" s="3" t="str">
        <f>IFERROR(__xludf.DUMMYFUNCTION("""COMPUTED_VALUE"""),"CRV")</f>
        <v>CRV</v>
      </c>
      <c r="G941" s="3"/>
    </row>
    <row r="942">
      <c r="A942" s="3" t="str">
        <f>IFERROR(__xludf.DUMMYFUNCTION("""COMPUTED_VALUE"""),"2022-06-22T00:00:00Z")</f>
        <v>2022-06-22T00:00:00Z</v>
      </c>
      <c r="B942" s="3">
        <f>IFERROR(__xludf.DUMMYFUNCTION("""COMPUTED_VALUE"""),0.724939)</f>
        <v>0.724939</v>
      </c>
      <c r="C942" s="3">
        <f>IFERROR(__xludf.DUMMYFUNCTION("""COMPUTED_VALUE"""),3.91958099393145E8)</f>
        <v>391958099.4</v>
      </c>
      <c r="D942" s="3">
        <f>IFERROR(__xludf.DUMMYFUNCTION("""COMPUTED_VALUE"""),0.0)</f>
        <v>0</v>
      </c>
      <c r="E942" s="3">
        <f>IFERROR(__xludf.DUMMYFUNCTION("""COMPUTED_VALUE"""),0.0)</f>
        <v>0</v>
      </c>
      <c r="F942" s="3" t="str">
        <f>IFERROR(__xludf.DUMMYFUNCTION("""COMPUTED_VALUE"""),"CRV")</f>
        <v>CRV</v>
      </c>
      <c r="G942" s="3"/>
    </row>
    <row r="943">
      <c r="A943" s="3" t="str">
        <f>IFERROR(__xludf.DUMMYFUNCTION("""COMPUTED_VALUE"""),"2022-06-23T00:00:00Z")</f>
        <v>2022-06-23T00:00:00Z</v>
      </c>
      <c r="B943" s="3">
        <f>IFERROR(__xludf.DUMMYFUNCTION("""COMPUTED_VALUE"""),0.699038)</f>
        <v>0.699038</v>
      </c>
      <c r="C943" s="3">
        <f>IFERROR(__xludf.DUMMYFUNCTION("""COMPUTED_VALUE"""),3.91958099393145E8)</f>
        <v>391958099.4</v>
      </c>
      <c r="D943" s="3">
        <f>IFERROR(__xludf.DUMMYFUNCTION("""COMPUTED_VALUE"""),0.0)</f>
        <v>0</v>
      </c>
      <c r="E943" s="3">
        <f>IFERROR(__xludf.DUMMYFUNCTION("""COMPUTED_VALUE"""),0.0)</f>
        <v>0</v>
      </c>
      <c r="F943" s="3" t="str">
        <f>IFERROR(__xludf.DUMMYFUNCTION("""COMPUTED_VALUE"""),"CRV")</f>
        <v>CRV</v>
      </c>
      <c r="G943" s="3"/>
    </row>
    <row r="944">
      <c r="A944" s="3" t="str">
        <f>IFERROR(__xludf.DUMMYFUNCTION("""COMPUTED_VALUE"""),"2022-06-24T00:00:00Z")</f>
        <v>2022-06-24T00:00:00Z</v>
      </c>
      <c r="B944" s="3">
        <f>IFERROR(__xludf.DUMMYFUNCTION("""COMPUTED_VALUE"""),0.830443)</f>
        <v>0.830443</v>
      </c>
      <c r="C944" s="3">
        <f>IFERROR(__xludf.DUMMYFUNCTION("""COMPUTED_VALUE"""),3.91958099393145E8)</f>
        <v>391958099.4</v>
      </c>
      <c r="D944" s="3">
        <f>IFERROR(__xludf.DUMMYFUNCTION("""COMPUTED_VALUE"""),0.0)</f>
        <v>0</v>
      </c>
      <c r="E944" s="3">
        <f>IFERROR(__xludf.DUMMYFUNCTION("""COMPUTED_VALUE"""),0.0)</f>
        <v>0</v>
      </c>
      <c r="F944" s="3" t="str">
        <f>IFERROR(__xludf.DUMMYFUNCTION("""COMPUTED_VALUE"""),"CRV")</f>
        <v>CRV</v>
      </c>
      <c r="G944" s="3"/>
    </row>
    <row r="945">
      <c r="A945" s="3" t="str">
        <f>IFERROR(__xludf.DUMMYFUNCTION("""COMPUTED_VALUE"""),"2022-06-25T00:00:00Z")</f>
        <v>2022-06-25T00:00:00Z</v>
      </c>
      <c r="B945" s="3">
        <f>IFERROR(__xludf.DUMMYFUNCTION("""COMPUTED_VALUE"""),0.839173)</f>
        <v>0.839173</v>
      </c>
      <c r="C945" s="3">
        <f>IFERROR(__xludf.DUMMYFUNCTION("""COMPUTED_VALUE"""),3.91958099393145E8)</f>
        <v>391958099.4</v>
      </c>
      <c r="D945" s="3">
        <f>IFERROR(__xludf.DUMMYFUNCTION("""COMPUTED_VALUE"""),0.0)</f>
        <v>0</v>
      </c>
      <c r="E945" s="3">
        <f>IFERROR(__xludf.DUMMYFUNCTION("""COMPUTED_VALUE"""),0.0)</f>
        <v>0</v>
      </c>
      <c r="F945" s="3" t="str">
        <f>IFERROR(__xludf.DUMMYFUNCTION("""COMPUTED_VALUE"""),"CRV")</f>
        <v>CRV</v>
      </c>
      <c r="G945" s="3"/>
    </row>
    <row r="946">
      <c r="A946" s="3" t="str">
        <f>IFERROR(__xludf.DUMMYFUNCTION("""COMPUTED_VALUE"""),"2022-06-26T00:00:00Z")</f>
        <v>2022-06-26T00:00:00Z</v>
      </c>
      <c r="B946" s="3">
        <f>IFERROR(__xludf.DUMMYFUNCTION("""COMPUTED_VALUE"""),0.818784)</f>
        <v>0.818784</v>
      </c>
      <c r="C946" s="3">
        <f>IFERROR(__xludf.DUMMYFUNCTION("""COMPUTED_VALUE"""),3.91958099393145E8)</f>
        <v>391958099.4</v>
      </c>
      <c r="D946" s="3">
        <f>IFERROR(__xludf.DUMMYFUNCTION("""COMPUTED_VALUE"""),0.0)</f>
        <v>0</v>
      </c>
      <c r="E946" s="3">
        <f>IFERROR(__xludf.DUMMYFUNCTION("""COMPUTED_VALUE"""),0.0)</f>
        <v>0</v>
      </c>
      <c r="F946" s="3" t="str">
        <f>IFERROR(__xludf.DUMMYFUNCTION("""COMPUTED_VALUE"""),"CRV")</f>
        <v>CRV</v>
      </c>
      <c r="G946" s="3"/>
    </row>
    <row r="947">
      <c r="A947" s="3" t="str">
        <f>IFERROR(__xludf.DUMMYFUNCTION("""COMPUTED_VALUE"""),"2022-06-27T00:00:00Z")</f>
        <v>2022-06-27T00:00:00Z</v>
      </c>
      <c r="B947" s="3">
        <f>IFERROR(__xludf.DUMMYFUNCTION("""COMPUTED_VALUE"""),0.747895)</f>
        <v>0.747895</v>
      </c>
      <c r="C947" s="3">
        <f>IFERROR(__xludf.DUMMYFUNCTION("""COMPUTED_VALUE"""),3.91958099393145E8)</f>
        <v>391958099.4</v>
      </c>
      <c r="D947" s="3">
        <f>IFERROR(__xludf.DUMMYFUNCTION("""COMPUTED_VALUE"""),0.0)</f>
        <v>0</v>
      </c>
      <c r="E947" s="3">
        <f>IFERROR(__xludf.DUMMYFUNCTION("""COMPUTED_VALUE"""),0.0)</f>
        <v>0</v>
      </c>
      <c r="F947" s="3" t="str">
        <f>IFERROR(__xludf.DUMMYFUNCTION("""COMPUTED_VALUE"""),"CRV")</f>
        <v>CRV</v>
      </c>
      <c r="G947" s="3"/>
    </row>
    <row r="948">
      <c r="A948" s="3" t="str">
        <f>IFERROR(__xludf.DUMMYFUNCTION("""COMPUTED_VALUE"""),"2022-06-28T00:00:00Z")</f>
        <v>2022-06-28T00:00:00Z</v>
      </c>
      <c r="B948" s="3">
        <f>IFERROR(__xludf.DUMMYFUNCTION("""COMPUTED_VALUE"""),0.734849)</f>
        <v>0.734849</v>
      </c>
      <c r="C948" s="3">
        <f>IFERROR(__xludf.DUMMYFUNCTION("""COMPUTED_VALUE"""),3.91958099393145E8)</f>
        <v>391958099.4</v>
      </c>
      <c r="D948" s="3">
        <f>IFERROR(__xludf.DUMMYFUNCTION("""COMPUTED_VALUE"""),0.0)</f>
        <v>0</v>
      </c>
      <c r="E948" s="3">
        <f>IFERROR(__xludf.DUMMYFUNCTION("""COMPUTED_VALUE"""),0.0)</f>
        <v>0</v>
      </c>
      <c r="F948" s="3" t="str">
        <f>IFERROR(__xludf.DUMMYFUNCTION("""COMPUTED_VALUE"""),"CRV")</f>
        <v>CRV</v>
      </c>
      <c r="G948" s="3"/>
    </row>
    <row r="949">
      <c r="A949" s="3" t="str">
        <f>IFERROR(__xludf.DUMMYFUNCTION("""COMPUTED_VALUE"""),"2022-06-29T00:00:00Z")</f>
        <v>2022-06-29T00:00:00Z</v>
      </c>
      <c r="B949" s="3">
        <f>IFERROR(__xludf.DUMMYFUNCTION("""COMPUTED_VALUE"""),0.695389)</f>
        <v>0.695389</v>
      </c>
      <c r="C949" s="3">
        <f>IFERROR(__xludf.DUMMYFUNCTION("""COMPUTED_VALUE"""),3.91958099393145E8)</f>
        <v>391958099.4</v>
      </c>
      <c r="D949" s="3">
        <f>IFERROR(__xludf.DUMMYFUNCTION("""COMPUTED_VALUE"""),0.0)</f>
        <v>0</v>
      </c>
      <c r="E949" s="3">
        <f>IFERROR(__xludf.DUMMYFUNCTION("""COMPUTED_VALUE"""),0.0)</f>
        <v>0</v>
      </c>
      <c r="F949" s="3" t="str">
        <f>IFERROR(__xludf.DUMMYFUNCTION("""COMPUTED_VALUE"""),"CRV")</f>
        <v>CRV</v>
      </c>
      <c r="G949" s="3"/>
    </row>
    <row r="950">
      <c r="A950" s="3" t="str">
        <f>IFERROR(__xludf.DUMMYFUNCTION("""COMPUTED_VALUE"""),"2022-06-30T00:00:00Z")</f>
        <v>2022-06-30T00:00:00Z</v>
      </c>
      <c r="B950" s="3">
        <f>IFERROR(__xludf.DUMMYFUNCTION("""COMPUTED_VALUE"""),0.709674)</f>
        <v>0.709674</v>
      </c>
      <c r="C950" s="3">
        <f>IFERROR(__xludf.DUMMYFUNCTION("""COMPUTED_VALUE"""),3.91958099393145E8)</f>
        <v>391958099.4</v>
      </c>
      <c r="D950" s="3">
        <f>IFERROR(__xludf.DUMMYFUNCTION("""COMPUTED_VALUE"""),0.0)</f>
        <v>0</v>
      </c>
      <c r="E950" s="3">
        <f>IFERROR(__xludf.DUMMYFUNCTION("""COMPUTED_VALUE"""),0.0)</f>
        <v>0</v>
      </c>
      <c r="F950" s="3" t="str">
        <f>IFERROR(__xludf.DUMMYFUNCTION("""COMPUTED_VALUE"""),"CRV")</f>
        <v>CRV</v>
      </c>
      <c r="G950" s="3"/>
    </row>
    <row r="951">
      <c r="A951" s="3" t="str">
        <f>IFERROR(__xludf.DUMMYFUNCTION("""COMPUTED_VALUE"""),"2022-07-01T00:00:00Z")</f>
        <v>2022-07-01T00:00:00Z</v>
      </c>
      <c r="B951" s="3">
        <f>IFERROR(__xludf.DUMMYFUNCTION("""COMPUTED_VALUE"""),0.686009)</f>
        <v>0.686009</v>
      </c>
      <c r="C951" s="3">
        <f>IFERROR(__xludf.DUMMYFUNCTION("""COMPUTED_VALUE"""),3.91958099393145E8)</f>
        <v>391958099.4</v>
      </c>
      <c r="D951" s="3">
        <f>IFERROR(__xludf.DUMMYFUNCTION("""COMPUTED_VALUE"""),0.0)</f>
        <v>0</v>
      </c>
      <c r="E951" s="3">
        <f>IFERROR(__xludf.DUMMYFUNCTION("""COMPUTED_VALUE"""),0.0)</f>
        <v>0</v>
      </c>
      <c r="F951" s="3" t="str">
        <f>IFERROR(__xludf.DUMMYFUNCTION("""COMPUTED_VALUE"""),"CRV")</f>
        <v>CRV</v>
      </c>
      <c r="G951" s="3"/>
    </row>
    <row r="952">
      <c r="A952" s="3" t="str">
        <f>IFERROR(__xludf.DUMMYFUNCTION("""COMPUTED_VALUE"""),"2022-07-02T00:00:00Z")</f>
        <v>2022-07-02T00:00:00Z</v>
      </c>
      <c r="B952" s="3">
        <f>IFERROR(__xludf.DUMMYFUNCTION("""COMPUTED_VALUE"""),0.74583)</f>
        <v>0.74583</v>
      </c>
      <c r="C952" s="3">
        <f>IFERROR(__xludf.DUMMYFUNCTION("""COMPUTED_VALUE"""),3.91958099393145E8)</f>
        <v>391958099.4</v>
      </c>
      <c r="D952" s="3">
        <f>IFERROR(__xludf.DUMMYFUNCTION("""COMPUTED_VALUE"""),0.0)</f>
        <v>0</v>
      </c>
      <c r="E952" s="3">
        <f>IFERROR(__xludf.DUMMYFUNCTION("""COMPUTED_VALUE"""),0.0)</f>
        <v>0</v>
      </c>
      <c r="F952" s="3" t="str">
        <f>IFERROR(__xludf.DUMMYFUNCTION("""COMPUTED_VALUE"""),"CRV")</f>
        <v>CRV</v>
      </c>
      <c r="G952" s="3"/>
    </row>
    <row r="953">
      <c r="A953" s="3" t="str">
        <f>IFERROR(__xludf.DUMMYFUNCTION("""COMPUTED_VALUE"""),"2022-07-03T00:00:00Z")</f>
        <v>2022-07-03T00:00:00Z</v>
      </c>
      <c r="B953" s="3">
        <f>IFERROR(__xludf.DUMMYFUNCTION("""COMPUTED_VALUE"""),0.77792)</f>
        <v>0.77792</v>
      </c>
      <c r="C953" s="3">
        <f>IFERROR(__xludf.DUMMYFUNCTION("""COMPUTED_VALUE"""),3.91958099393145E8)</f>
        <v>391958099.4</v>
      </c>
      <c r="D953" s="3">
        <f>IFERROR(__xludf.DUMMYFUNCTION("""COMPUTED_VALUE"""),0.0)</f>
        <v>0</v>
      </c>
      <c r="E953" s="3">
        <f>IFERROR(__xludf.DUMMYFUNCTION("""COMPUTED_VALUE"""),0.0)</f>
        <v>0</v>
      </c>
      <c r="F953" s="3" t="str">
        <f>IFERROR(__xludf.DUMMYFUNCTION("""COMPUTED_VALUE"""),"CRV")</f>
        <v>CRV</v>
      </c>
      <c r="G953" s="3"/>
    </row>
    <row r="954">
      <c r="A954" s="3" t="str">
        <f>IFERROR(__xludf.DUMMYFUNCTION("""COMPUTED_VALUE"""),"2022-07-04T00:00:00Z")</f>
        <v>2022-07-04T00:00:00Z</v>
      </c>
      <c r="B954" s="3">
        <f>IFERROR(__xludf.DUMMYFUNCTION("""COMPUTED_VALUE"""),0.79559)</f>
        <v>0.79559</v>
      </c>
      <c r="C954" s="3">
        <f>IFERROR(__xludf.DUMMYFUNCTION("""COMPUTED_VALUE"""),3.91958099393145E8)</f>
        <v>391958099.4</v>
      </c>
      <c r="D954" s="3">
        <f>IFERROR(__xludf.DUMMYFUNCTION("""COMPUTED_VALUE"""),0.0)</f>
        <v>0</v>
      </c>
      <c r="E954" s="3">
        <f>IFERROR(__xludf.DUMMYFUNCTION("""COMPUTED_VALUE"""),0.0)</f>
        <v>0</v>
      </c>
      <c r="F954" s="3" t="str">
        <f>IFERROR(__xludf.DUMMYFUNCTION("""COMPUTED_VALUE"""),"CRV")</f>
        <v>CRV</v>
      </c>
      <c r="G954" s="3"/>
    </row>
    <row r="955">
      <c r="A955" s="3" t="str">
        <f>IFERROR(__xludf.DUMMYFUNCTION("""COMPUTED_VALUE"""),"2022-07-05T00:00:00Z")</f>
        <v>2022-07-05T00:00:00Z</v>
      </c>
      <c r="B955" s="3">
        <f>IFERROR(__xludf.DUMMYFUNCTION("""COMPUTED_VALUE"""),0.864754)</f>
        <v>0.864754</v>
      </c>
      <c r="C955" s="3">
        <f>IFERROR(__xludf.DUMMYFUNCTION("""COMPUTED_VALUE"""),3.91958099393145E8)</f>
        <v>391958099.4</v>
      </c>
      <c r="D955" s="3">
        <f>IFERROR(__xludf.DUMMYFUNCTION("""COMPUTED_VALUE"""),0.0)</f>
        <v>0</v>
      </c>
      <c r="E955" s="3">
        <f>IFERROR(__xludf.DUMMYFUNCTION("""COMPUTED_VALUE"""),0.0)</f>
        <v>0</v>
      </c>
      <c r="F955" s="3" t="str">
        <f>IFERROR(__xludf.DUMMYFUNCTION("""COMPUTED_VALUE"""),"CRV")</f>
        <v>CRV</v>
      </c>
      <c r="G955" s="3"/>
    </row>
    <row r="956">
      <c r="A956" s="3" t="str">
        <f>IFERROR(__xludf.DUMMYFUNCTION("""COMPUTED_VALUE"""),"2022-07-06T00:00:00Z")</f>
        <v>2022-07-06T00:00:00Z</v>
      </c>
      <c r="B956" s="3">
        <f>IFERROR(__xludf.DUMMYFUNCTION("""COMPUTED_VALUE"""),0.954846)</f>
        <v>0.954846</v>
      </c>
      <c r="C956" s="3">
        <f>IFERROR(__xludf.DUMMYFUNCTION("""COMPUTED_VALUE"""),3.91958099393145E8)</f>
        <v>391958099.4</v>
      </c>
      <c r="D956" s="3">
        <f>IFERROR(__xludf.DUMMYFUNCTION("""COMPUTED_VALUE"""),0.0)</f>
        <v>0</v>
      </c>
      <c r="E956" s="3">
        <f>IFERROR(__xludf.DUMMYFUNCTION("""COMPUTED_VALUE"""),0.0)</f>
        <v>0</v>
      </c>
      <c r="F956" s="3" t="str">
        <f>IFERROR(__xludf.DUMMYFUNCTION("""COMPUTED_VALUE"""),"CRV")</f>
        <v>CRV</v>
      </c>
      <c r="G956" s="3"/>
    </row>
    <row r="957">
      <c r="A957" s="3" t="str">
        <f>IFERROR(__xludf.DUMMYFUNCTION("""COMPUTED_VALUE"""),"2022-07-07T00:00:00Z")</f>
        <v>2022-07-07T00:00:00Z</v>
      </c>
      <c r="B957" s="3">
        <f>IFERROR(__xludf.DUMMYFUNCTION("""COMPUTED_VALUE"""),0.960853)</f>
        <v>0.960853</v>
      </c>
      <c r="C957" s="3">
        <f>IFERROR(__xludf.DUMMYFUNCTION("""COMPUTED_VALUE"""),3.91958099393145E8)</f>
        <v>391958099.4</v>
      </c>
      <c r="D957" s="3">
        <f>IFERROR(__xludf.DUMMYFUNCTION("""COMPUTED_VALUE"""),0.0)</f>
        <v>0</v>
      </c>
      <c r="E957" s="3">
        <f>IFERROR(__xludf.DUMMYFUNCTION("""COMPUTED_VALUE"""),0.0)</f>
        <v>0</v>
      </c>
      <c r="F957" s="3" t="str">
        <f>IFERROR(__xludf.DUMMYFUNCTION("""COMPUTED_VALUE"""),"CRV")</f>
        <v>CRV</v>
      </c>
      <c r="G957" s="3"/>
    </row>
    <row r="958">
      <c r="A958" s="3" t="str">
        <f>IFERROR(__xludf.DUMMYFUNCTION("""COMPUTED_VALUE"""),"2022-07-08T00:00:00Z")</f>
        <v>2022-07-08T00:00:00Z</v>
      </c>
      <c r="B958" s="3">
        <f>IFERROR(__xludf.DUMMYFUNCTION("""COMPUTED_VALUE"""),1.050134)</f>
        <v>1.050134</v>
      </c>
      <c r="C958" s="3">
        <f>IFERROR(__xludf.DUMMYFUNCTION("""COMPUTED_VALUE"""),3.91958099393145E8)</f>
        <v>391958099.4</v>
      </c>
      <c r="D958" s="3">
        <f>IFERROR(__xludf.DUMMYFUNCTION("""COMPUTED_VALUE"""),0.0)</f>
        <v>0</v>
      </c>
      <c r="E958" s="3">
        <f>IFERROR(__xludf.DUMMYFUNCTION("""COMPUTED_VALUE"""),0.0)</f>
        <v>0</v>
      </c>
      <c r="F958" s="3" t="str">
        <f>IFERROR(__xludf.DUMMYFUNCTION("""COMPUTED_VALUE"""),"CRV")</f>
        <v>CRV</v>
      </c>
      <c r="G958" s="3"/>
    </row>
    <row r="959">
      <c r="A959" s="3" t="str">
        <f>IFERROR(__xludf.DUMMYFUNCTION("""COMPUTED_VALUE"""),"2022-07-09T00:00:00Z")</f>
        <v>2022-07-09T00:00:00Z</v>
      </c>
      <c r="B959" s="3">
        <f>IFERROR(__xludf.DUMMYFUNCTION("""COMPUTED_VALUE"""),1.007646)</f>
        <v>1.007646</v>
      </c>
      <c r="C959" s="3">
        <f>IFERROR(__xludf.DUMMYFUNCTION("""COMPUTED_VALUE"""),3.91958099393145E8)</f>
        <v>391958099.4</v>
      </c>
      <c r="D959" s="3">
        <f>IFERROR(__xludf.DUMMYFUNCTION("""COMPUTED_VALUE"""),0.0)</f>
        <v>0</v>
      </c>
      <c r="E959" s="3">
        <f>IFERROR(__xludf.DUMMYFUNCTION("""COMPUTED_VALUE"""),0.0)</f>
        <v>0</v>
      </c>
      <c r="F959" s="3" t="str">
        <f>IFERROR(__xludf.DUMMYFUNCTION("""COMPUTED_VALUE"""),"CRV")</f>
        <v>CRV</v>
      </c>
      <c r="G959" s="3"/>
    </row>
    <row r="960">
      <c r="A960" s="3" t="str">
        <f>IFERROR(__xludf.DUMMYFUNCTION("""COMPUTED_VALUE"""),"2022-07-10T00:00:00Z")</f>
        <v>2022-07-10T00:00:00Z</v>
      </c>
      <c r="B960" s="3">
        <f>IFERROR(__xludf.DUMMYFUNCTION("""COMPUTED_VALUE"""),1.014689)</f>
        <v>1.014689</v>
      </c>
      <c r="C960" s="3">
        <f>IFERROR(__xludf.DUMMYFUNCTION("""COMPUTED_VALUE"""),3.91958099393145E8)</f>
        <v>391958099.4</v>
      </c>
      <c r="D960" s="3">
        <f>IFERROR(__xludf.DUMMYFUNCTION("""COMPUTED_VALUE"""),0.0)</f>
        <v>0</v>
      </c>
      <c r="E960" s="3">
        <f>IFERROR(__xludf.DUMMYFUNCTION("""COMPUTED_VALUE"""),0.0)</f>
        <v>0</v>
      </c>
      <c r="F960" s="3" t="str">
        <f>IFERROR(__xludf.DUMMYFUNCTION("""COMPUTED_VALUE"""),"CRV")</f>
        <v>CRV</v>
      </c>
      <c r="G960" s="3"/>
    </row>
    <row r="961">
      <c r="A961" s="3" t="str">
        <f>IFERROR(__xludf.DUMMYFUNCTION("""COMPUTED_VALUE"""),"2022-07-11T00:00:00Z")</f>
        <v>2022-07-11T00:00:00Z</v>
      </c>
      <c r="B961" s="3">
        <f>IFERROR(__xludf.DUMMYFUNCTION("""COMPUTED_VALUE"""),0.954082)</f>
        <v>0.954082</v>
      </c>
      <c r="C961" s="3">
        <f>IFERROR(__xludf.DUMMYFUNCTION("""COMPUTED_VALUE"""),3.91958099393145E8)</f>
        <v>391958099.4</v>
      </c>
      <c r="D961" s="3">
        <f>IFERROR(__xludf.DUMMYFUNCTION("""COMPUTED_VALUE"""),0.0)</f>
        <v>0</v>
      </c>
      <c r="E961" s="3">
        <f>IFERROR(__xludf.DUMMYFUNCTION("""COMPUTED_VALUE"""),0.0)</f>
        <v>0</v>
      </c>
      <c r="F961" s="3" t="str">
        <f>IFERROR(__xludf.DUMMYFUNCTION("""COMPUTED_VALUE"""),"CRV")</f>
        <v>CRV</v>
      </c>
      <c r="G961" s="3"/>
    </row>
    <row r="962">
      <c r="A962" s="3" t="str">
        <f>IFERROR(__xludf.DUMMYFUNCTION("""COMPUTED_VALUE"""),"2022-07-12T00:00:00Z")</f>
        <v>2022-07-12T00:00:00Z</v>
      </c>
      <c r="B962" s="3">
        <f>IFERROR(__xludf.DUMMYFUNCTION("""COMPUTED_VALUE"""),0.887373)</f>
        <v>0.887373</v>
      </c>
      <c r="C962" s="3">
        <f>IFERROR(__xludf.DUMMYFUNCTION("""COMPUTED_VALUE"""),3.91958099393145E8)</f>
        <v>391958099.4</v>
      </c>
      <c r="D962" s="3">
        <f>IFERROR(__xludf.DUMMYFUNCTION("""COMPUTED_VALUE"""),0.0)</f>
        <v>0</v>
      </c>
      <c r="E962" s="3">
        <f>IFERROR(__xludf.DUMMYFUNCTION("""COMPUTED_VALUE"""),0.0)</f>
        <v>0</v>
      </c>
      <c r="F962" s="3" t="str">
        <f>IFERROR(__xludf.DUMMYFUNCTION("""COMPUTED_VALUE"""),"CRV")</f>
        <v>CRV</v>
      </c>
      <c r="G962" s="3"/>
    </row>
    <row r="963">
      <c r="A963" s="3" t="str">
        <f>IFERROR(__xludf.DUMMYFUNCTION("""COMPUTED_VALUE"""),"2022-07-13T00:00:00Z")</f>
        <v>2022-07-13T00:00:00Z</v>
      </c>
      <c r="B963" s="3">
        <f>IFERROR(__xludf.DUMMYFUNCTION("""COMPUTED_VALUE"""),0.875817)</f>
        <v>0.875817</v>
      </c>
      <c r="C963" s="3">
        <f>IFERROR(__xludf.DUMMYFUNCTION("""COMPUTED_VALUE"""),3.91958099393145E8)</f>
        <v>391958099.4</v>
      </c>
      <c r="D963" s="3">
        <f>IFERROR(__xludf.DUMMYFUNCTION("""COMPUTED_VALUE"""),0.0)</f>
        <v>0</v>
      </c>
      <c r="E963" s="3">
        <f>IFERROR(__xludf.DUMMYFUNCTION("""COMPUTED_VALUE"""),0.0)</f>
        <v>0</v>
      </c>
      <c r="F963" s="3" t="str">
        <f>IFERROR(__xludf.DUMMYFUNCTION("""COMPUTED_VALUE"""),"CRV")</f>
        <v>CRV</v>
      </c>
      <c r="G963" s="3"/>
    </row>
    <row r="964">
      <c r="A964" s="3" t="str">
        <f>IFERROR(__xludf.DUMMYFUNCTION("""COMPUTED_VALUE"""),"2022-07-14T00:00:00Z")</f>
        <v>2022-07-14T00:00:00Z</v>
      </c>
      <c r="B964" s="3">
        <f>IFERROR(__xludf.DUMMYFUNCTION("""COMPUTED_VALUE"""),1.048413)</f>
        <v>1.048413</v>
      </c>
      <c r="C964" s="3">
        <f>IFERROR(__xludf.DUMMYFUNCTION("""COMPUTED_VALUE"""),3.91958099393145E8)</f>
        <v>391958099.4</v>
      </c>
      <c r="D964" s="3">
        <f>IFERROR(__xludf.DUMMYFUNCTION("""COMPUTED_VALUE"""),0.0)</f>
        <v>0</v>
      </c>
      <c r="E964" s="3">
        <f>IFERROR(__xludf.DUMMYFUNCTION("""COMPUTED_VALUE"""),0.0)</f>
        <v>0</v>
      </c>
      <c r="F964" s="3" t="str">
        <f>IFERROR(__xludf.DUMMYFUNCTION("""COMPUTED_VALUE"""),"CRV")</f>
        <v>CRV</v>
      </c>
      <c r="G964" s="3"/>
    </row>
    <row r="965">
      <c r="A965" s="3" t="str">
        <f>IFERROR(__xludf.DUMMYFUNCTION("""COMPUTED_VALUE"""),"2022-07-15T00:00:00Z")</f>
        <v>2022-07-15T00:00:00Z</v>
      </c>
      <c r="B965" s="3">
        <f>IFERROR(__xludf.DUMMYFUNCTION("""COMPUTED_VALUE"""),1.166991)</f>
        <v>1.166991</v>
      </c>
      <c r="C965" s="3">
        <f>IFERROR(__xludf.DUMMYFUNCTION("""COMPUTED_VALUE"""),3.91958099393145E8)</f>
        <v>391958099.4</v>
      </c>
      <c r="D965" s="3">
        <f>IFERROR(__xludf.DUMMYFUNCTION("""COMPUTED_VALUE"""),0.0)</f>
        <v>0</v>
      </c>
      <c r="E965" s="3">
        <f>IFERROR(__xludf.DUMMYFUNCTION("""COMPUTED_VALUE"""),0.0)</f>
        <v>0</v>
      </c>
      <c r="F965" s="3" t="str">
        <f>IFERROR(__xludf.DUMMYFUNCTION("""COMPUTED_VALUE"""),"CRV")</f>
        <v>CRV</v>
      </c>
      <c r="G965" s="3"/>
    </row>
    <row r="966">
      <c r="A966" s="3" t="str">
        <f>IFERROR(__xludf.DUMMYFUNCTION("""COMPUTED_VALUE"""),"2022-07-16T00:00:00Z")</f>
        <v>2022-07-16T00:00:00Z</v>
      </c>
      <c r="B966" s="3">
        <f>IFERROR(__xludf.DUMMYFUNCTION("""COMPUTED_VALUE"""),1.107834)</f>
        <v>1.107834</v>
      </c>
      <c r="C966" s="3">
        <f>IFERROR(__xludf.DUMMYFUNCTION("""COMPUTED_VALUE"""),3.91958099393145E8)</f>
        <v>391958099.4</v>
      </c>
      <c r="D966" s="3">
        <f>IFERROR(__xludf.DUMMYFUNCTION("""COMPUTED_VALUE"""),0.0)</f>
        <v>0</v>
      </c>
      <c r="E966" s="3">
        <f>IFERROR(__xludf.DUMMYFUNCTION("""COMPUTED_VALUE"""),0.0)</f>
        <v>0</v>
      </c>
      <c r="F966" s="3" t="str">
        <f>IFERROR(__xludf.DUMMYFUNCTION("""COMPUTED_VALUE"""),"CRV")</f>
        <v>CRV</v>
      </c>
      <c r="G966" s="3"/>
    </row>
    <row r="967">
      <c r="A967" s="3" t="str">
        <f>IFERROR(__xludf.DUMMYFUNCTION("""COMPUTED_VALUE"""),"2022-07-17T00:00:00Z")</f>
        <v>2022-07-17T00:00:00Z</v>
      </c>
      <c r="B967" s="3">
        <f>IFERROR(__xludf.DUMMYFUNCTION("""COMPUTED_VALUE"""),1.173112)</f>
        <v>1.173112</v>
      </c>
      <c r="C967" s="3">
        <f>IFERROR(__xludf.DUMMYFUNCTION("""COMPUTED_VALUE"""),3.91958099393145E8)</f>
        <v>391958099.4</v>
      </c>
      <c r="D967" s="3">
        <f>IFERROR(__xludf.DUMMYFUNCTION("""COMPUTED_VALUE"""),0.0)</f>
        <v>0</v>
      </c>
      <c r="E967" s="3">
        <f>IFERROR(__xludf.DUMMYFUNCTION("""COMPUTED_VALUE"""),0.0)</f>
        <v>0</v>
      </c>
      <c r="F967" s="3" t="str">
        <f>IFERROR(__xludf.DUMMYFUNCTION("""COMPUTED_VALUE"""),"CRV")</f>
        <v>CRV</v>
      </c>
      <c r="G967" s="3"/>
    </row>
    <row r="968">
      <c r="A968" s="3" t="str">
        <f>IFERROR(__xludf.DUMMYFUNCTION("""COMPUTED_VALUE"""),"2022-07-18T00:00:00Z")</f>
        <v>2022-07-18T00:00:00Z</v>
      </c>
      <c r="B968" s="3">
        <f>IFERROR(__xludf.DUMMYFUNCTION("""COMPUTED_VALUE"""),1.078301)</f>
        <v>1.078301</v>
      </c>
      <c r="C968" s="3">
        <f>IFERROR(__xludf.DUMMYFUNCTION("""COMPUTED_VALUE"""),3.91958099393145E8)</f>
        <v>391958099.4</v>
      </c>
      <c r="D968" s="3">
        <f>IFERROR(__xludf.DUMMYFUNCTION("""COMPUTED_VALUE"""),0.0)</f>
        <v>0</v>
      </c>
      <c r="E968" s="3">
        <f>IFERROR(__xludf.DUMMYFUNCTION("""COMPUTED_VALUE"""),0.0)</f>
        <v>0</v>
      </c>
      <c r="F968" s="3" t="str">
        <f>IFERROR(__xludf.DUMMYFUNCTION("""COMPUTED_VALUE"""),"CRV")</f>
        <v>CRV</v>
      </c>
      <c r="G968" s="3"/>
    </row>
    <row r="969">
      <c r="A969" s="3" t="str">
        <f>IFERROR(__xludf.DUMMYFUNCTION("""COMPUTED_VALUE"""),"2022-07-19T00:00:00Z")</f>
        <v>2022-07-19T00:00:00Z</v>
      </c>
      <c r="B969" s="3">
        <f>IFERROR(__xludf.DUMMYFUNCTION("""COMPUTED_VALUE"""),1.341656)</f>
        <v>1.341656</v>
      </c>
      <c r="C969" s="3">
        <f>IFERROR(__xludf.DUMMYFUNCTION("""COMPUTED_VALUE"""),3.91958099393145E8)</f>
        <v>391958099.4</v>
      </c>
      <c r="D969" s="3">
        <f>IFERROR(__xludf.DUMMYFUNCTION("""COMPUTED_VALUE"""),0.0)</f>
        <v>0</v>
      </c>
      <c r="E969" s="3">
        <f>IFERROR(__xludf.DUMMYFUNCTION("""COMPUTED_VALUE"""),0.0)</f>
        <v>0</v>
      </c>
      <c r="F969" s="3" t="str">
        <f>IFERROR(__xludf.DUMMYFUNCTION("""COMPUTED_VALUE"""),"CRV")</f>
        <v>CRV</v>
      </c>
      <c r="G969" s="3"/>
    </row>
    <row r="970">
      <c r="A970" s="3" t="str">
        <f>IFERROR(__xludf.DUMMYFUNCTION("""COMPUTED_VALUE"""),"2022-07-20T00:00:00Z")</f>
        <v>2022-07-20T00:00:00Z</v>
      </c>
      <c r="B970" s="3">
        <f>IFERROR(__xludf.DUMMYFUNCTION("""COMPUTED_VALUE"""),1.24993)</f>
        <v>1.24993</v>
      </c>
      <c r="C970" s="3">
        <f>IFERROR(__xludf.DUMMYFUNCTION("""COMPUTED_VALUE"""),3.91958099393145E8)</f>
        <v>391958099.4</v>
      </c>
      <c r="D970" s="3">
        <f>IFERROR(__xludf.DUMMYFUNCTION("""COMPUTED_VALUE"""),0.0)</f>
        <v>0</v>
      </c>
      <c r="E970" s="3">
        <f>IFERROR(__xludf.DUMMYFUNCTION("""COMPUTED_VALUE"""),0.0)</f>
        <v>0</v>
      </c>
      <c r="F970" s="3" t="str">
        <f>IFERROR(__xludf.DUMMYFUNCTION("""COMPUTED_VALUE"""),"CRV")</f>
        <v>CRV</v>
      </c>
      <c r="G970" s="3"/>
    </row>
    <row r="971">
      <c r="A971" s="3" t="str">
        <f>IFERROR(__xludf.DUMMYFUNCTION("""COMPUTED_VALUE"""),"2022-07-21T00:00:00Z")</f>
        <v>2022-07-21T00:00:00Z</v>
      </c>
      <c r="B971" s="3">
        <f>IFERROR(__xludf.DUMMYFUNCTION("""COMPUTED_VALUE"""),1.158184)</f>
        <v>1.158184</v>
      </c>
      <c r="C971" s="3">
        <f>IFERROR(__xludf.DUMMYFUNCTION("""COMPUTED_VALUE"""),3.91958099393145E8)</f>
        <v>391958099.4</v>
      </c>
      <c r="D971" s="3">
        <f>IFERROR(__xludf.DUMMYFUNCTION("""COMPUTED_VALUE"""),0.0)</f>
        <v>0</v>
      </c>
      <c r="E971" s="3">
        <f>IFERROR(__xludf.DUMMYFUNCTION("""COMPUTED_VALUE"""),0.0)</f>
        <v>0</v>
      </c>
      <c r="F971" s="3" t="str">
        <f>IFERROR(__xludf.DUMMYFUNCTION("""COMPUTED_VALUE"""),"CRV")</f>
        <v>CRV</v>
      </c>
      <c r="G971" s="3"/>
    </row>
    <row r="972">
      <c r="A972" s="3" t="str">
        <f>IFERROR(__xludf.DUMMYFUNCTION("""COMPUTED_VALUE"""),"2022-07-22T00:00:00Z")</f>
        <v>2022-07-22T00:00:00Z</v>
      </c>
      <c r="B972" s="3">
        <f>IFERROR(__xludf.DUMMYFUNCTION("""COMPUTED_VALUE"""),1.404088)</f>
        <v>1.404088</v>
      </c>
      <c r="C972" s="3">
        <f>IFERROR(__xludf.DUMMYFUNCTION("""COMPUTED_VALUE"""),3.91958099393145E8)</f>
        <v>391958099.4</v>
      </c>
      <c r="D972" s="3">
        <f>IFERROR(__xludf.DUMMYFUNCTION("""COMPUTED_VALUE"""),0.0)</f>
        <v>0</v>
      </c>
      <c r="E972" s="3">
        <f>IFERROR(__xludf.DUMMYFUNCTION("""COMPUTED_VALUE"""),0.0)</f>
        <v>0</v>
      </c>
      <c r="F972" s="3" t="str">
        <f>IFERROR(__xludf.DUMMYFUNCTION("""COMPUTED_VALUE"""),"CRV")</f>
        <v>CRV</v>
      </c>
      <c r="G972" s="3"/>
    </row>
    <row r="973">
      <c r="A973" s="3" t="str">
        <f>IFERROR(__xludf.DUMMYFUNCTION("""COMPUTED_VALUE"""),"2022-07-23T00:00:00Z")</f>
        <v>2022-07-23T00:00:00Z</v>
      </c>
      <c r="B973" s="3">
        <f>IFERROR(__xludf.DUMMYFUNCTION("""COMPUTED_VALUE"""),1.433418)</f>
        <v>1.433418</v>
      </c>
      <c r="C973" s="3">
        <f>IFERROR(__xludf.DUMMYFUNCTION("""COMPUTED_VALUE"""),3.91958099393145E8)</f>
        <v>391958099.4</v>
      </c>
      <c r="D973" s="3">
        <f>IFERROR(__xludf.DUMMYFUNCTION("""COMPUTED_VALUE"""),0.0)</f>
        <v>0</v>
      </c>
      <c r="E973" s="3">
        <f>IFERROR(__xludf.DUMMYFUNCTION("""COMPUTED_VALUE"""),0.0)</f>
        <v>0</v>
      </c>
      <c r="F973" s="3" t="str">
        <f>IFERROR(__xludf.DUMMYFUNCTION("""COMPUTED_VALUE"""),"CRV")</f>
        <v>CRV</v>
      </c>
      <c r="G973" s="3"/>
    </row>
    <row r="974">
      <c r="A974" s="3" t="str">
        <f>IFERROR(__xludf.DUMMYFUNCTION("""COMPUTED_VALUE"""),"2022-07-24T00:00:00Z")</f>
        <v>2022-07-24T00:00:00Z</v>
      </c>
      <c r="B974" s="3">
        <f>IFERROR(__xludf.DUMMYFUNCTION("""COMPUTED_VALUE"""),1.394773)</f>
        <v>1.394773</v>
      </c>
      <c r="C974" s="3">
        <f>IFERROR(__xludf.DUMMYFUNCTION("""COMPUTED_VALUE"""),3.91958099393145E8)</f>
        <v>391958099.4</v>
      </c>
      <c r="D974" s="3">
        <f>IFERROR(__xludf.DUMMYFUNCTION("""COMPUTED_VALUE"""),0.0)</f>
        <v>0</v>
      </c>
      <c r="E974" s="3">
        <f>IFERROR(__xludf.DUMMYFUNCTION("""COMPUTED_VALUE"""),0.0)</f>
        <v>0</v>
      </c>
      <c r="F974" s="3" t="str">
        <f>IFERROR(__xludf.DUMMYFUNCTION("""COMPUTED_VALUE"""),"CRV")</f>
        <v>CRV</v>
      </c>
      <c r="G974" s="3"/>
    </row>
    <row r="975">
      <c r="A975" s="3" t="str">
        <f>IFERROR(__xludf.DUMMYFUNCTION("""COMPUTED_VALUE"""),"2022-07-25T00:00:00Z")</f>
        <v>2022-07-25T00:00:00Z</v>
      </c>
      <c r="B975" s="3">
        <f>IFERROR(__xludf.DUMMYFUNCTION("""COMPUTED_VALUE"""),1.375335)</f>
        <v>1.375335</v>
      </c>
      <c r="C975" s="3">
        <f>IFERROR(__xludf.DUMMYFUNCTION("""COMPUTED_VALUE"""),3.91958099393145E8)</f>
        <v>391958099.4</v>
      </c>
      <c r="D975" s="3">
        <f>IFERROR(__xludf.DUMMYFUNCTION("""COMPUTED_VALUE"""),0.0)</f>
        <v>0</v>
      </c>
      <c r="E975" s="3">
        <f>IFERROR(__xludf.DUMMYFUNCTION("""COMPUTED_VALUE"""),0.0)</f>
        <v>0</v>
      </c>
      <c r="F975" s="3" t="str">
        <f>IFERROR(__xludf.DUMMYFUNCTION("""COMPUTED_VALUE"""),"CRV")</f>
        <v>CRV</v>
      </c>
      <c r="G975" s="3"/>
    </row>
    <row r="976">
      <c r="A976" s="3" t="str">
        <f>IFERROR(__xludf.DUMMYFUNCTION("""COMPUTED_VALUE"""),"2022-07-26T00:00:00Z")</f>
        <v>2022-07-26T00:00:00Z</v>
      </c>
      <c r="B976" s="3">
        <f>IFERROR(__xludf.DUMMYFUNCTION("""COMPUTED_VALUE"""),1.177037)</f>
        <v>1.177037</v>
      </c>
      <c r="C976" s="3">
        <f>IFERROR(__xludf.DUMMYFUNCTION("""COMPUTED_VALUE"""),3.91958099393145E8)</f>
        <v>391958099.4</v>
      </c>
      <c r="D976" s="3">
        <f>IFERROR(__xludf.DUMMYFUNCTION("""COMPUTED_VALUE"""),0.0)</f>
        <v>0</v>
      </c>
      <c r="E976" s="3">
        <f>IFERROR(__xludf.DUMMYFUNCTION("""COMPUTED_VALUE"""),0.0)</f>
        <v>0</v>
      </c>
      <c r="F976" s="3" t="str">
        <f>IFERROR(__xludf.DUMMYFUNCTION("""COMPUTED_VALUE"""),"CRV")</f>
        <v>CRV</v>
      </c>
      <c r="G976" s="3"/>
    </row>
    <row r="977">
      <c r="A977" s="3" t="str">
        <f>IFERROR(__xludf.DUMMYFUNCTION("""COMPUTED_VALUE"""),"2022-07-27T00:00:00Z")</f>
        <v>2022-07-27T00:00:00Z</v>
      </c>
      <c r="B977" s="3">
        <f>IFERROR(__xludf.DUMMYFUNCTION("""COMPUTED_VALUE"""),1.167799)</f>
        <v>1.167799</v>
      </c>
      <c r="C977" s="3">
        <f>IFERROR(__xludf.DUMMYFUNCTION("""COMPUTED_VALUE"""),3.91958099393145E8)</f>
        <v>391958099.4</v>
      </c>
      <c r="D977" s="3">
        <f>IFERROR(__xludf.DUMMYFUNCTION("""COMPUTED_VALUE"""),0.0)</f>
        <v>0</v>
      </c>
      <c r="E977" s="3">
        <f>IFERROR(__xludf.DUMMYFUNCTION("""COMPUTED_VALUE"""),0.0)</f>
        <v>0</v>
      </c>
      <c r="F977" s="3" t="str">
        <f>IFERROR(__xludf.DUMMYFUNCTION("""COMPUTED_VALUE"""),"CRV")</f>
        <v>CRV</v>
      </c>
      <c r="G977" s="3"/>
    </row>
    <row r="978">
      <c r="A978" s="3" t="str">
        <f>IFERROR(__xludf.DUMMYFUNCTION("""COMPUTED_VALUE"""),"2022-07-28T00:00:00Z")</f>
        <v>2022-07-28T00:00:00Z</v>
      </c>
      <c r="B978" s="3">
        <f>IFERROR(__xludf.DUMMYFUNCTION("""COMPUTED_VALUE"""),1.328814)</f>
        <v>1.328814</v>
      </c>
      <c r="C978" s="3">
        <f>IFERROR(__xludf.DUMMYFUNCTION("""COMPUTED_VALUE"""),3.91958099393145E8)</f>
        <v>391958099.4</v>
      </c>
      <c r="D978" s="3">
        <f>IFERROR(__xludf.DUMMYFUNCTION("""COMPUTED_VALUE"""),0.0)</f>
        <v>0</v>
      </c>
      <c r="E978" s="3">
        <f>IFERROR(__xludf.DUMMYFUNCTION("""COMPUTED_VALUE"""),0.0)</f>
        <v>0</v>
      </c>
      <c r="F978" s="3" t="str">
        <f>IFERROR(__xludf.DUMMYFUNCTION("""COMPUTED_VALUE"""),"CRV")</f>
        <v>CRV</v>
      </c>
      <c r="G978" s="3"/>
    </row>
    <row r="979">
      <c r="A979" s="3" t="str">
        <f>IFERROR(__xludf.DUMMYFUNCTION("""COMPUTED_VALUE"""),"2022-07-29T00:00:00Z")</f>
        <v>2022-07-29T00:00:00Z</v>
      </c>
      <c r="B979" s="3">
        <f>IFERROR(__xludf.DUMMYFUNCTION("""COMPUTED_VALUE"""),1.548049)</f>
        <v>1.548049</v>
      </c>
      <c r="C979" s="3">
        <f>IFERROR(__xludf.DUMMYFUNCTION("""COMPUTED_VALUE"""),3.91958099393145E8)</f>
        <v>391958099.4</v>
      </c>
      <c r="D979" s="3">
        <f>IFERROR(__xludf.DUMMYFUNCTION("""COMPUTED_VALUE"""),0.0)</f>
        <v>0</v>
      </c>
      <c r="E979" s="3">
        <f>IFERROR(__xludf.DUMMYFUNCTION("""COMPUTED_VALUE"""),0.0)</f>
        <v>0</v>
      </c>
      <c r="F979" s="3" t="str">
        <f>IFERROR(__xludf.DUMMYFUNCTION("""COMPUTED_VALUE"""),"CRV")</f>
        <v>CRV</v>
      </c>
      <c r="G979" s="3"/>
    </row>
    <row r="980">
      <c r="A980" s="3" t="str">
        <f>IFERROR(__xludf.DUMMYFUNCTION("""COMPUTED_VALUE"""),"2022-07-30T00:00:00Z")</f>
        <v>2022-07-30T00:00:00Z</v>
      </c>
      <c r="B980" s="3">
        <f>IFERROR(__xludf.DUMMYFUNCTION("""COMPUTED_VALUE"""),1.426349)</f>
        <v>1.426349</v>
      </c>
      <c r="C980" s="3">
        <f>IFERROR(__xludf.DUMMYFUNCTION("""COMPUTED_VALUE"""),3.91958099393145E8)</f>
        <v>391958099.4</v>
      </c>
      <c r="D980" s="3">
        <f>IFERROR(__xludf.DUMMYFUNCTION("""COMPUTED_VALUE"""),0.0)</f>
        <v>0</v>
      </c>
      <c r="E980" s="3">
        <f>IFERROR(__xludf.DUMMYFUNCTION("""COMPUTED_VALUE"""),0.0)</f>
        <v>0</v>
      </c>
      <c r="F980" s="3" t="str">
        <f>IFERROR(__xludf.DUMMYFUNCTION("""COMPUTED_VALUE"""),"CRV")</f>
        <v>CRV</v>
      </c>
      <c r="G980" s="3"/>
    </row>
    <row r="981">
      <c r="A981" s="3" t="str">
        <f>IFERROR(__xludf.DUMMYFUNCTION("""COMPUTED_VALUE"""),"2022-07-31T00:00:00Z")</f>
        <v>2022-07-31T00:00:00Z</v>
      </c>
      <c r="B981" s="3">
        <f>IFERROR(__xludf.DUMMYFUNCTION("""COMPUTED_VALUE"""),1.359135)</f>
        <v>1.359135</v>
      </c>
      <c r="C981" s="3">
        <f>IFERROR(__xludf.DUMMYFUNCTION("""COMPUTED_VALUE"""),3.91958099393145E8)</f>
        <v>391958099.4</v>
      </c>
      <c r="D981" s="3">
        <f>IFERROR(__xludf.DUMMYFUNCTION("""COMPUTED_VALUE"""),0.0)</f>
        <v>0</v>
      </c>
      <c r="E981" s="3">
        <f>IFERROR(__xludf.DUMMYFUNCTION("""COMPUTED_VALUE"""),0.0)</f>
        <v>0</v>
      </c>
      <c r="F981" s="3" t="str">
        <f>IFERROR(__xludf.DUMMYFUNCTION("""COMPUTED_VALUE"""),"CRV")</f>
        <v>CRV</v>
      </c>
      <c r="G981" s="3"/>
    </row>
    <row r="982">
      <c r="A982" s="3" t="str">
        <f>IFERROR(__xludf.DUMMYFUNCTION("""COMPUTED_VALUE"""),"2022-08-01T00:00:00Z")</f>
        <v>2022-08-01T00:00:00Z</v>
      </c>
      <c r="B982" s="3">
        <f>IFERROR(__xludf.DUMMYFUNCTION("""COMPUTED_VALUE"""),1.318436)</f>
        <v>1.318436</v>
      </c>
      <c r="C982" s="3">
        <f>IFERROR(__xludf.DUMMYFUNCTION("""COMPUTED_VALUE"""),3.91958099393145E8)</f>
        <v>391958099.4</v>
      </c>
      <c r="D982" s="3">
        <f>IFERROR(__xludf.DUMMYFUNCTION("""COMPUTED_VALUE"""),0.0)</f>
        <v>0</v>
      </c>
      <c r="E982" s="3">
        <f>IFERROR(__xludf.DUMMYFUNCTION("""COMPUTED_VALUE"""),0.0)</f>
        <v>0</v>
      </c>
      <c r="F982" s="3" t="str">
        <f>IFERROR(__xludf.DUMMYFUNCTION("""COMPUTED_VALUE"""),"CRV")</f>
        <v>CRV</v>
      </c>
      <c r="G982" s="3"/>
    </row>
    <row r="983">
      <c r="A983" s="3" t="str">
        <f>IFERROR(__xludf.DUMMYFUNCTION("""COMPUTED_VALUE"""),"2022-08-02T00:00:00Z")</f>
        <v>2022-08-02T00:00:00Z</v>
      </c>
      <c r="B983" s="3">
        <f>IFERROR(__xludf.DUMMYFUNCTION("""COMPUTED_VALUE"""),1.305211)</f>
        <v>1.305211</v>
      </c>
      <c r="C983" s="3">
        <f>IFERROR(__xludf.DUMMYFUNCTION("""COMPUTED_VALUE"""),3.91958099393145E8)</f>
        <v>391958099.4</v>
      </c>
      <c r="D983" s="3">
        <f>IFERROR(__xludf.DUMMYFUNCTION("""COMPUTED_VALUE"""),0.0)</f>
        <v>0</v>
      </c>
      <c r="E983" s="3">
        <f>IFERROR(__xludf.DUMMYFUNCTION("""COMPUTED_VALUE"""),0.0)</f>
        <v>0</v>
      </c>
      <c r="F983" s="3" t="str">
        <f>IFERROR(__xludf.DUMMYFUNCTION("""COMPUTED_VALUE"""),"CRV")</f>
        <v>CRV</v>
      </c>
      <c r="G983" s="3"/>
    </row>
    <row r="984">
      <c r="A984" s="3" t="str">
        <f>IFERROR(__xludf.DUMMYFUNCTION("""COMPUTED_VALUE"""),"2022-08-03T00:00:00Z")</f>
        <v>2022-08-03T00:00:00Z</v>
      </c>
      <c r="B984" s="3">
        <f>IFERROR(__xludf.DUMMYFUNCTION("""COMPUTED_VALUE"""),1.336127)</f>
        <v>1.336127</v>
      </c>
      <c r="C984" s="3">
        <f>IFERROR(__xludf.DUMMYFUNCTION("""COMPUTED_VALUE"""),3.91958099393145E8)</f>
        <v>391958099.4</v>
      </c>
      <c r="D984" s="3">
        <f>IFERROR(__xludf.DUMMYFUNCTION("""COMPUTED_VALUE"""),0.0)</f>
        <v>0</v>
      </c>
      <c r="E984" s="3">
        <f>IFERROR(__xludf.DUMMYFUNCTION("""COMPUTED_VALUE"""),0.0)</f>
        <v>0</v>
      </c>
      <c r="F984" s="3" t="str">
        <f>IFERROR(__xludf.DUMMYFUNCTION("""COMPUTED_VALUE"""),"CRV")</f>
        <v>CRV</v>
      </c>
      <c r="G984" s="3"/>
    </row>
    <row r="985">
      <c r="A985" s="3" t="str">
        <f>IFERROR(__xludf.DUMMYFUNCTION("""COMPUTED_VALUE"""),"2022-08-04T00:00:00Z")</f>
        <v>2022-08-04T00:00:00Z</v>
      </c>
      <c r="B985" s="3">
        <f>IFERROR(__xludf.DUMMYFUNCTION("""COMPUTED_VALUE"""),1.333735)</f>
        <v>1.333735</v>
      </c>
      <c r="C985" s="3">
        <f>IFERROR(__xludf.DUMMYFUNCTION("""COMPUTED_VALUE"""),3.91958099393145E8)</f>
        <v>391958099.4</v>
      </c>
      <c r="D985" s="3">
        <f>IFERROR(__xludf.DUMMYFUNCTION("""COMPUTED_VALUE"""),0.0)</f>
        <v>0</v>
      </c>
      <c r="E985" s="3">
        <f>IFERROR(__xludf.DUMMYFUNCTION("""COMPUTED_VALUE"""),0.0)</f>
        <v>0</v>
      </c>
      <c r="F985" s="3" t="str">
        <f>IFERROR(__xludf.DUMMYFUNCTION("""COMPUTED_VALUE"""),"CRV")</f>
        <v>CRV</v>
      </c>
      <c r="G985" s="3"/>
    </row>
    <row r="986">
      <c r="A986" s="3" t="str">
        <f>IFERROR(__xludf.DUMMYFUNCTION("""COMPUTED_VALUE"""),"2022-08-05T00:00:00Z")</f>
        <v>2022-08-05T00:00:00Z</v>
      </c>
      <c r="B986" s="3">
        <f>IFERROR(__xludf.DUMMYFUNCTION("""COMPUTED_VALUE"""),1.330201)</f>
        <v>1.330201</v>
      </c>
      <c r="C986" s="3">
        <f>IFERROR(__xludf.DUMMYFUNCTION("""COMPUTED_VALUE"""),3.91958099393145E8)</f>
        <v>391958099.4</v>
      </c>
      <c r="D986" s="3">
        <f>IFERROR(__xludf.DUMMYFUNCTION("""COMPUTED_VALUE"""),0.0)</f>
        <v>0</v>
      </c>
      <c r="E986" s="3">
        <f>IFERROR(__xludf.DUMMYFUNCTION("""COMPUTED_VALUE"""),0.0)</f>
        <v>0</v>
      </c>
      <c r="F986" s="3" t="str">
        <f>IFERROR(__xludf.DUMMYFUNCTION("""COMPUTED_VALUE"""),"CRV")</f>
        <v>CRV</v>
      </c>
      <c r="G986" s="3"/>
    </row>
    <row r="987">
      <c r="A987" s="3" t="str">
        <f>IFERROR(__xludf.DUMMYFUNCTION("""COMPUTED_VALUE"""),"2022-08-06T00:00:00Z")</f>
        <v>2022-08-06T00:00:00Z</v>
      </c>
      <c r="B987" s="3">
        <f>IFERROR(__xludf.DUMMYFUNCTION("""COMPUTED_VALUE"""),1.445096)</f>
        <v>1.445096</v>
      </c>
      <c r="C987" s="3">
        <f>IFERROR(__xludf.DUMMYFUNCTION("""COMPUTED_VALUE"""),3.91958099393145E8)</f>
        <v>391958099.4</v>
      </c>
      <c r="D987" s="3">
        <f>IFERROR(__xludf.DUMMYFUNCTION("""COMPUTED_VALUE"""),0.0)</f>
        <v>0</v>
      </c>
      <c r="E987" s="3">
        <f>IFERROR(__xludf.DUMMYFUNCTION("""COMPUTED_VALUE"""),0.0)</f>
        <v>0</v>
      </c>
      <c r="F987" s="3" t="str">
        <f>IFERROR(__xludf.DUMMYFUNCTION("""COMPUTED_VALUE"""),"CRV")</f>
        <v>CRV</v>
      </c>
      <c r="G987" s="3"/>
    </row>
    <row r="988">
      <c r="A988" s="3" t="str">
        <f>IFERROR(__xludf.DUMMYFUNCTION("""COMPUTED_VALUE"""),"2022-08-07T00:00:00Z")</f>
        <v>2022-08-07T00:00:00Z</v>
      </c>
      <c r="B988" s="3">
        <f>IFERROR(__xludf.DUMMYFUNCTION("""COMPUTED_VALUE"""),1.373439)</f>
        <v>1.373439</v>
      </c>
      <c r="C988" s="3">
        <f>IFERROR(__xludf.DUMMYFUNCTION("""COMPUTED_VALUE"""),3.91958099393145E8)</f>
        <v>391958099.4</v>
      </c>
      <c r="D988" s="3">
        <f>IFERROR(__xludf.DUMMYFUNCTION("""COMPUTED_VALUE"""),0.0)</f>
        <v>0</v>
      </c>
      <c r="E988" s="3">
        <f>IFERROR(__xludf.DUMMYFUNCTION("""COMPUTED_VALUE"""),0.0)</f>
        <v>0</v>
      </c>
      <c r="F988" s="3" t="str">
        <f>IFERROR(__xludf.DUMMYFUNCTION("""COMPUTED_VALUE"""),"CRV")</f>
        <v>CRV</v>
      </c>
      <c r="G988" s="3"/>
    </row>
    <row r="989">
      <c r="A989" s="3" t="str">
        <f>IFERROR(__xludf.DUMMYFUNCTION("""COMPUTED_VALUE"""),"2022-08-08T00:00:00Z")</f>
        <v>2022-08-08T00:00:00Z</v>
      </c>
      <c r="B989" s="3">
        <f>IFERROR(__xludf.DUMMYFUNCTION("""COMPUTED_VALUE"""),1.404065)</f>
        <v>1.404065</v>
      </c>
      <c r="C989" s="3">
        <f>IFERROR(__xludf.DUMMYFUNCTION("""COMPUTED_VALUE"""),3.91958099393145E8)</f>
        <v>391958099.4</v>
      </c>
      <c r="D989" s="3">
        <f>IFERROR(__xludf.DUMMYFUNCTION("""COMPUTED_VALUE"""),0.0)</f>
        <v>0</v>
      </c>
      <c r="E989" s="3">
        <f>IFERROR(__xludf.DUMMYFUNCTION("""COMPUTED_VALUE"""),0.0)</f>
        <v>0</v>
      </c>
      <c r="F989" s="3" t="str">
        <f>IFERROR(__xludf.DUMMYFUNCTION("""COMPUTED_VALUE"""),"CRV")</f>
        <v>CRV</v>
      </c>
      <c r="G989" s="3"/>
    </row>
    <row r="990">
      <c r="A990" s="3" t="str">
        <f>IFERROR(__xludf.DUMMYFUNCTION("""COMPUTED_VALUE"""),"2022-08-09T00:00:00Z")</f>
        <v>2022-08-09T00:00:00Z</v>
      </c>
      <c r="B990" s="3">
        <f>IFERROR(__xludf.DUMMYFUNCTION("""COMPUTED_VALUE"""),1.428007)</f>
        <v>1.428007</v>
      </c>
      <c r="C990" s="3">
        <f>IFERROR(__xludf.DUMMYFUNCTION("""COMPUTED_VALUE"""),3.91958099393145E8)</f>
        <v>391958099.4</v>
      </c>
      <c r="D990" s="3">
        <f>IFERROR(__xludf.DUMMYFUNCTION("""COMPUTED_VALUE"""),0.0)</f>
        <v>0</v>
      </c>
      <c r="E990" s="3">
        <f>IFERROR(__xludf.DUMMYFUNCTION("""COMPUTED_VALUE"""),0.0)</f>
        <v>0</v>
      </c>
      <c r="F990" s="3" t="str">
        <f>IFERROR(__xludf.DUMMYFUNCTION("""COMPUTED_VALUE"""),"CRV")</f>
        <v>CRV</v>
      </c>
      <c r="G990" s="3"/>
    </row>
    <row r="991">
      <c r="A991" s="3" t="str">
        <f>IFERROR(__xludf.DUMMYFUNCTION("""COMPUTED_VALUE"""),"2022-08-10T00:00:00Z")</f>
        <v>2022-08-10T00:00:00Z</v>
      </c>
      <c r="B991" s="3">
        <f>IFERROR(__xludf.DUMMYFUNCTION("""COMPUTED_VALUE"""),1.292069)</f>
        <v>1.292069</v>
      </c>
      <c r="C991" s="3">
        <f>IFERROR(__xludf.DUMMYFUNCTION("""COMPUTED_VALUE"""),3.91958099393145E8)</f>
        <v>391958099.4</v>
      </c>
      <c r="D991" s="3">
        <f>IFERROR(__xludf.DUMMYFUNCTION("""COMPUTED_VALUE"""),0.0)</f>
        <v>0</v>
      </c>
      <c r="E991" s="3">
        <f>IFERROR(__xludf.DUMMYFUNCTION("""COMPUTED_VALUE"""),0.0)</f>
        <v>0</v>
      </c>
      <c r="F991" s="3" t="str">
        <f>IFERROR(__xludf.DUMMYFUNCTION("""COMPUTED_VALUE"""),"CRV")</f>
        <v>CRV</v>
      </c>
      <c r="G991" s="3"/>
    </row>
    <row r="992">
      <c r="A992" s="3" t="str">
        <f>IFERROR(__xludf.DUMMYFUNCTION("""COMPUTED_VALUE"""),"2022-08-11T00:00:00Z")</f>
        <v>2022-08-11T00:00:00Z</v>
      </c>
      <c r="B992" s="3">
        <f>IFERROR(__xludf.DUMMYFUNCTION("""COMPUTED_VALUE"""),1.389866)</f>
        <v>1.389866</v>
      </c>
      <c r="C992" s="3">
        <f>IFERROR(__xludf.DUMMYFUNCTION("""COMPUTED_VALUE"""),3.91958099393145E8)</f>
        <v>391958099.4</v>
      </c>
      <c r="D992" s="3">
        <f>IFERROR(__xludf.DUMMYFUNCTION("""COMPUTED_VALUE"""),0.0)</f>
        <v>0</v>
      </c>
      <c r="E992" s="3">
        <f>IFERROR(__xludf.DUMMYFUNCTION("""COMPUTED_VALUE"""),0.0)</f>
        <v>0</v>
      </c>
      <c r="F992" s="3" t="str">
        <f>IFERROR(__xludf.DUMMYFUNCTION("""COMPUTED_VALUE"""),"CRV")</f>
        <v>CRV</v>
      </c>
      <c r="G992" s="3"/>
    </row>
    <row r="993">
      <c r="A993" s="3" t="str">
        <f>IFERROR(__xludf.DUMMYFUNCTION("""COMPUTED_VALUE"""),"2022-08-12T00:00:00Z")</f>
        <v>2022-08-12T00:00:00Z</v>
      </c>
      <c r="B993" s="3">
        <f>IFERROR(__xludf.DUMMYFUNCTION("""COMPUTED_VALUE"""),1.360575)</f>
        <v>1.360575</v>
      </c>
      <c r="C993" s="3">
        <f>IFERROR(__xludf.DUMMYFUNCTION("""COMPUTED_VALUE"""),3.91958099393145E8)</f>
        <v>391958099.4</v>
      </c>
      <c r="D993" s="3">
        <f>IFERROR(__xludf.DUMMYFUNCTION("""COMPUTED_VALUE"""),0.0)</f>
        <v>0</v>
      </c>
      <c r="E993" s="3">
        <f>IFERROR(__xludf.DUMMYFUNCTION("""COMPUTED_VALUE"""),0.0)</f>
        <v>0</v>
      </c>
      <c r="F993" s="3" t="str">
        <f>IFERROR(__xludf.DUMMYFUNCTION("""COMPUTED_VALUE"""),"CRV")</f>
        <v>CRV</v>
      </c>
      <c r="G993" s="3"/>
    </row>
    <row r="994">
      <c r="A994" s="3" t="str">
        <f>IFERROR(__xludf.DUMMYFUNCTION("""COMPUTED_VALUE"""),"2022-08-13T00:00:00Z")</f>
        <v>2022-08-13T00:00:00Z</v>
      </c>
      <c r="B994" s="3">
        <f>IFERROR(__xludf.DUMMYFUNCTION("""COMPUTED_VALUE"""),1.42097)</f>
        <v>1.42097</v>
      </c>
      <c r="C994" s="3">
        <f>IFERROR(__xludf.DUMMYFUNCTION("""COMPUTED_VALUE"""),3.91958099393145E8)</f>
        <v>391958099.4</v>
      </c>
      <c r="D994" s="3">
        <f>IFERROR(__xludf.DUMMYFUNCTION("""COMPUTED_VALUE"""),0.0)</f>
        <v>0</v>
      </c>
      <c r="E994" s="3">
        <f>IFERROR(__xludf.DUMMYFUNCTION("""COMPUTED_VALUE"""),0.0)</f>
        <v>0</v>
      </c>
      <c r="F994" s="3" t="str">
        <f>IFERROR(__xludf.DUMMYFUNCTION("""COMPUTED_VALUE"""),"CRV")</f>
        <v>CRV</v>
      </c>
      <c r="G994" s="3"/>
    </row>
    <row r="995">
      <c r="A995" s="3" t="str">
        <f>IFERROR(__xludf.DUMMYFUNCTION("""COMPUTED_VALUE"""),"2022-08-14T00:00:00Z")</f>
        <v>2022-08-14T00:00:00Z</v>
      </c>
      <c r="B995" s="3">
        <f>IFERROR(__xludf.DUMMYFUNCTION("""COMPUTED_VALUE"""),1.434211)</f>
        <v>1.434211</v>
      </c>
      <c r="C995" s="3">
        <f>IFERROR(__xludf.DUMMYFUNCTION("""COMPUTED_VALUE"""),3.91958099393145E8)</f>
        <v>391958099.4</v>
      </c>
      <c r="D995" s="3">
        <f>IFERROR(__xludf.DUMMYFUNCTION("""COMPUTED_VALUE"""),0.0)</f>
        <v>0</v>
      </c>
      <c r="E995" s="3">
        <f>IFERROR(__xludf.DUMMYFUNCTION("""COMPUTED_VALUE"""),0.0)</f>
        <v>0</v>
      </c>
      <c r="F995" s="3" t="str">
        <f>IFERROR(__xludf.DUMMYFUNCTION("""COMPUTED_VALUE"""),"CRV")</f>
        <v>CRV</v>
      </c>
      <c r="G995" s="3"/>
    </row>
    <row r="996">
      <c r="A996" s="3" t="str">
        <f>IFERROR(__xludf.DUMMYFUNCTION("""COMPUTED_VALUE"""),"2022-08-15T00:00:00Z")</f>
        <v>2022-08-15T00:00:00Z</v>
      </c>
      <c r="B996" s="3">
        <f>IFERROR(__xludf.DUMMYFUNCTION("""COMPUTED_VALUE"""),1.388947)</f>
        <v>1.388947</v>
      </c>
      <c r="C996" s="3">
        <f>IFERROR(__xludf.DUMMYFUNCTION("""COMPUTED_VALUE"""),3.91958099393145E8)</f>
        <v>391958099.4</v>
      </c>
      <c r="D996" s="3">
        <f>IFERROR(__xludf.DUMMYFUNCTION("""COMPUTED_VALUE"""),0.0)</f>
        <v>0</v>
      </c>
      <c r="E996" s="3">
        <f>IFERROR(__xludf.DUMMYFUNCTION("""COMPUTED_VALUE"""),0.0)</f>
        <v>0</v>
      </c>
      <c r="F996" s="3" t="str">
        <f>IFERROR(__xludf.DUMMYFUNCTION("""COMPUTED_VALUE"""),"CRV")</f>
        <v>CRV</v>
      </c>
      <c r="G996" s="3"/>
    </row>
    <row r="997">
      <c r="A997" s="3" t="str">
        <f>IFERROR(__xludf.DUMMYFUNCTION("""COMPUTED_VALUE"""),"2022-08-16T00:00:00Z")</f>
        <v>2022-08-16T00:00:00Z</v>
      </c>
      <c r="B997" s="3">
        <f>IFERROR(__xludf.DUMMYFUNCTION("""COMPUTED_VALUE"""),1.333871)</f>
        <v>1.333871</v>
      </c>
      <c r="C997" s="3">
        <f>IFERROR(__xludf.DUMMYFUNCTION("""COMPUTED_VALUE"""),3.91958099393145E8)</f>
        <v>391958099.4</v>
      </c>
      <c r="D997" s="3">
        <f>IFERROR(__xludf.DUMMYFUNCTION("""COMPUTED_VALUE"""),0.0)</f>
        <v>0</v>
      </c>
      <c r="E997" s="3">
        <f>IFERROR(__xludf.DUMMYFUNCTION("""COMPUTED_VALUE"""),0.0)</f>
        <v>0</v>
      </c>
      <c r="F997" s="3" t="str">
        <f>IFERROR(__xludf.DUMMYFUNCTION("""COMPUTED_VALUE"""),"CRV")</f>
        <v>CRV</v>
      </c>
      <c r="G997" s="3"/>
    </row>
    <row r="998">
      <c r="A998" s="3" t="str">
        <f>IFERROR(__xludf.DUMMYFUNCTION("""COMPUTED_VALUE"""),"2022-08-17T00:00:00Z")</f>
        <v>2022-08-17T00:00:00Z</v>
      </c>
      <c r="B998" s="3">
        <f>IFERROR(__xludf.DUMMYFUNCTION("""COMPUTED_VALUE"""),1.28584)</f>
        <v>1.28584</v>
      </c>
      <c r="C998" s="3">
        <f>IFERROR(__xludf.DUMMYFUNCTION("""COMPUTED_VALUE"""),3.91958099393145E8)</f>
        <v>391958099.4</v>
      </c>
      <c r="D998" s="3">
        <f>IFERROR(__xludf.DUMMYFUNCTION("""COMPUTED_VALUE"""),0.0)</f>
        <v>0</v>
      </c>
      <c r="E998" s="3">
        <f>IFERROR(__xludf.DUMMYFUNCTION("""COMPUTED_VALUE"""),0.0)</f>
        <v>0</v>
      </c>
      <c r="F998" s="3" t="str">
        <f>IFERROR(__xludf.DUMMYFUNCTION("""COMPUTED_VALUE"""),"CRV")</f>
        <v>CRV</v>
      </c>
      <c r="G998" s="3"/>
    </row>
    <row r="999">
      <c r="A999" s="3" t="str">
        <f>IFERROR(__xludf.DUMMYFUNCTION("""COMPUTED_VALUE"""),"2022-08-18T00:00:00Z")</f>
        <v>2022-08-18T00:00:00Z</v>
      </c>
      <c r="B999" s="3">
        <f>IFERROR(__xludf.DUMMYFUNCTION("""COMPUTED_VALUE"""),1.182571)</f>
        <v>1.182571</v>
      </c>
      <c r="C999" s="3">
        <f>IFERROR(__xludf.DUMMYFUNCTION("""COMPUTED_VALUE"""),3.91958099393145E8)</f>
        <v>391958099.4</v>
      </c>
      <c r="D999" s="3">
        <f>IFERROR(__xludf.DUMMYFUNCTION("""COMPUTED_VALUE"""),0.0)</f>
        <v>0</v>
      </c>
      <c r="E999" s="3">
        <f>IFERROR(__xludf.DUMMYFUNCTION("""COMPUTED_VALUE"""),0.0)</f>
        <v>0</v>
      </c>
      <c r="F999" s="3" t="str">
        <f>IFERROR(__xludf.DUMMYFUNCTION("""COMPUTED_VALUE"""),"CRV")</f>
        <v>CRV</v>
      </c>
      <c r="G999" s="3"/>
    </row>
    <row r="1000">
      <c r="A1000" s="3" t="str">
        <f>IFERROR(__xludf.DUMMYFUNCTION("""COMPUTED_VALUE"""),"2022-08-19T00:00:00Z")</f>
        <v>2022-08-19T00:00:00Z</v>
      </c>
      <c r="B1000" s="3">
        <f>IFERROR(__xludf.DUMMYFUNCTION("""COMPUTED_VALUE"""),1.113743)</f>
        <v>1.113743</v>
      </c>
      <c r="C1000" s="3">
        <f>IFERROR(__xludf.DUMMYFUNCTION("""COMPUTED_VALUE"""),3.91958099393145E8)</f>
        <v>391958099.4</v>
      </c>
      <c r="D1000" s="3">
        <f>IFERROR(__xludf.DUMMYFUNCTION("""COMPUTED_VALUE"""),0.0)</f>
        <v>0</v>
      </c>
      <c r="E1000" s="3">
        <f>IFERROR(__xludf.DUMMYFUNCTION("""COMPUTED_VALUE"""),0.0)</f>
        <v>0</v>
      </c>
      <c r="F1000" s="3" t="str">
        <f>IFERROR(__xludf.DUMMYFUNCTION("""COMPUTED_VALUE"""),"CRV")</f>
        <v>CRV</v>
      </c>
      <c r="G1000" s="3"/>
    </row>
    <row r="1001">
      <c r="A1001" s="3" t="str">
        <f>IFERROR(__xludf.DUMMYFUNCTION("""COMPUTED_VALUE"""),"2022-08-20T00:00:00Z")</f>
        <v>2022-08-20T00:00:00Z</v>
      </c>
      <c r="B1001" s="3">
        <f>IFERROR(__xludf.DUMMYFUNCTION("""COMPUTED_VALUE"""),1.051074)</f>
        <v>1.051074</v>
      </c>
      <c r="C1001" s="3">
        <f>IFERROR(__xludf.DUMMYFUNCTION("""COMPUTED_VALUE"""),3.91958099393145E8)</f>
        <v>391958099.4</v>
      </c>
      <c r="D1001" s="3">
        <f>IFERROR(__xludf.DUMMYFUNCTION("""COMPUTED_VALUE"""),0.0)</f>
        <v>0</v>
      </c>
      <c r="E1001" s="3">
        <f>IFERROR(__xludf.DUMMYFUNCTION("""COMPUTED_VALUE"""),0.0)</f>
        <v>0</v>
      </c>
      <c r="F1001" s="3" t="str">
        <f>IFERROR(__xludf.DUMMYFUNCTION("""COMPUTED_VALUE"""),"CRV")</f>
        <v>CRV</v>
      </c>
      <c r="G1001" s="3"/>
    </row>
    <row r="1002">
      <c r="A1002" s="3" t="str">
        <f>IFERROR(__xludf.DUMMYFUNCTION("""COMPUTED_VALUE"""),"2022-08-21T00:00:00Z")</f>
        <v>2022-08-21T00:00:00Z</v>
      </c>
      <c r="B1002" s="3">
        <f>IFERROR(__xludf.DUMMYFUNCTION("""COMPUTED_VALUE"""),1.000278)</f>
        <v>1.000278</v>
      </c>
      <c r="C1002" s="3">
        <f>IFERROR(__xludf.DUMMYFUNCTION("""COMPUTED_VALUE"""),3.91958099393145E8)</f>
        <v>391958099.4</v>
      </c>
      <c r="D1002" s="3">
        <f>IFERROR(__xludf.DUMMYFUNCTION("""COMPUTED_VALUE"""),0.0)</f>
        <v>0</v>
      </c>
      <c r="E1002" s="3">
        <f>IFERROR(__xludf.DUMMYFUNCTION("""COMPUTED_VALUE"""),0.0)</f>
        <v>0</v>
      </c>
      <c r="F1002" s="3" t="str">
        <f>IFERROR(__xludf.DUMMYFUNCTION("""COMPUTED_VALUE"""),"CRV")</f>
        <v>CRV</v>
      </c>
      <c r="G1002" s="3"/>
    </row>
    <row r="1003">
      <c r="A1003" s="3" t="str">
        <f>IFERROR(__xludf.DUMMYFUNCTION("""COMPUTED_VALUE"""),"2022-08-22T00:00:00Z")</f>
        <v>2022-08-22T00:00:00Z</v>
      </c>
      <c r="B1003" s="3">
        <f>IFERROR(__xludf.DUMMYFUNCTION("""COMPUTED_VALUE"""),1.025868)</f>
        <v>1.025868</v>
      </c>
      <c r="C1003" s="3">
        <f>IFERROR(__xludf.DUMMYFUNCTION("""COMPUTED_VALUE"""),3.91958099393145E8)</f>
        <v>391958099.4</v>
      </c>
      <c r="D1003" s="3">
        <f>IFERROR(__xludf.DUMMYFUNCTION("""COMPUTED_VALUE"""),0.0)</f>
        <v>0</v>
      </c>
      <c r="E1003" s="3">
        <f>IFERROR(__xludf.DUMMYFUNCTION("""COMPUTED_VALUE"""),0.0)</f>
        <v>0</v>
      </c>
      <c r="F1003" s="3" t="str">
        <f>IFERROR(__xludf.DUMMYFUNCTION("""COMPUTED_VALUE"""),"CRV")</f>
        <v>CRV</v>
      </c>
      <c r="G1003" s="3"/>
    </row>
    <row r="1004">
      <c r="A1004" s="3" t="str">
        <f>IFERROR(__xludf.DUMMYFUNCTION("""COMPUTED_VALUE"""),"2022-08-23T00:00:00Z")</f>
        <v>2022-08-23T00:00:00Z</v>
      </c>
      <c r="B1004" s="3">
        <f>IFERROR(__xludf.DUMMYFUNCTION("""COMPUTED_VALUE"""),1.100016)</f>
        <v>1.100016</v>
      </c>
      <c r="C1004" s="3">
        <f>IFERROR(__xludf.DUMMYFUNCTION("""COMPUTED_VALUE"""),3.91958099393145E8)</f>
        <v>391958099.4</v>
      </c>
      <c r="D1004" s="3">
        <f>IFERROR(__xludf.DUMMYFUNCTION("""COMPUTED_VALUE"""),0.0)</f>
        <v>0</v>
      </c>
      <c r="E1004" s="3">
        <f>IFERROR(__xludf.DUMMYFUNCTION("""COMPUTED_VALUE"""),0.0)</f>
        <v>0</v>
      </c>
      <c r="F1004" s="3" t="str">
        <f>IFERROR(__xludf.DUMMYFUNCTION("""COMPUTED_VALUE"""),"CRV")</f>
        <v>CRV</v>
      </c>
      <c r="G1004" s="3"/>
    </row>
    <row r="1005">
      <c r="A1005" s="3" t="str">
        <f>IFERROR(__xludf.DUMMYFUNCTION("""COMPUTED_VALUE"""),"2022-08-24T00:00:00Z")</f>
        <v>2022-08-24T00:00:00Z</v>
      </c>
      <c r="B1005" s="3">
        <f>IFERROR(__xludf.DUMMYFUNCTION("""COMPUTED_VALUE"""),1.184126)</f>
        <v>1.184126</v>
      </c>
      <c r="C1005" s="3">
        <f>IFERROR(__xludf.DUMMYFUNCTION("""COMPUTED_VALUE"""),3.91958099393145E8)</f>
        <v>391958099.4</v>
      </c>
      <c r="D1005" s="3">
        <f>IFERROR(__xludf.DUMMYFUNCTION("""COMPUTED_VALUE"""),0.0)</f>
        <v>0</v>
      </c>
      <c r="E1005" s="3">
        <f>IFERROR(__xludf.DUMMYFUNCTION("""COMPUTED_VALUE"""),0.0)</f>
        <v>0</v>
      </c>
      <c r="F1005" s="3" t="str">
        <f>IFERROR(__xludf.DUMMYFUNCTION("""COMPUTED_VALUE"""),"CRV")</f>
        <v>CRV</v>
      </c>
      <c r="G1005" s="3"/>
    </row>
    <row r="1006">
      <c r="A1006" s="3" t="str">
        <f>IFERROR(__xludf.DUMMYFUNCTION("""COMPUTED_VALUE"""),"2022-08-25T00:00:00Z")</f>
        <v>2022-08-25T00:00:00Z</v>
      </c>
      <c r="B1006" s="3">
        <f>IFERROR(__xludf.DUMMYFUNCTION("""COMPUTED_VALUE"""),1.17799)</f>
        <v>1.17799</v>
      </c>
      <c r="C1006" s="3">
        <f>IFERROR(__xludf.DUMMYFUNCTION("""COMPUTED_VALUE"""),3.91958099393145E8)</f>
        <v>391958099.4</v>
      </c>
      <c r="D1006" s="3">
        <f>IFERROR(__xludf.DUMMYFUNCTION("""COMPUTED_VALUE"""),0.0)</f>
        <v>0</v>
      </c>
      <c r="E1006" s="3">
        <f>IFERROR(__xludf.DUMMYFUNCTION("""COMPUTED_VALUE"""),0.0)</f>
        <v>0</v>
      </c>
      <c r="F1006" s="3" t="str">
        <f>IFERROR(__xludf.DUMMYFUNCTION("""COMPUTED_VALUE"""),"CRV")</f>
        <v>CRV</v>
      </c>
      <c r="G1006" s="3"/>
    </row>
    <row r="1007">
      <c r="A1007" s="3" t="str">
        <f>IFERROR(__xludf.DUMMYFUNCTION("""COMPUTED_VALUE"""),"2022-08-26T00:00:00Z")</f>
        <v>2022-08-26T00:00:00Z</v>
      </c>
      <c r="B1007" s="3">
        <f>IFERROR(__xludf.DUMMYFUNCTION("""COMPUTED_VALUE"""),1.178195)</f>
        <v>1.178195</v>
      </c>
      <c r="C1007" s="3">
        <f>IFERROR(__xludf.DUMMYFUNCTION("""COMPUTED_VALUE"""),3.91958099393145E8)</f>
        <v>391958099.4</v>
      </c>
      <c r="D1007" s="3">
        <f>IFERROR(__xludf.DUMMYFUNCTION("""COMPUTED_VALUE"""),0.0)</f>
        <v>0</v>
      </c>
      <c r="E1007" s="3">
        <f>IFERROR(__xludf.DUMMYFUNCTION("""COMPUTED_VALUE"""),0.0)</f>
        <v>0</v>
      </c>
      <c r="F1007" s="3" t="str">
        <f>IFERROR(__xludf.DUMMYFUNCTION("""COMPUTED_VALUE"""),"CRV")</f>
        <v>CRV</v>
      </c>
      <c r="G1007" s="3"/>
    </row>
    <row r="1008">
      <c r="A1008" s="3" t="str">
        <f>IFERROR(__xludf.DUMMYFUNCTION("""COMPUTED_VALUE"""),"2022-08-27T00:00:00Z")</f>
        <v>2022-08-27T00:00:00Z</v>
      </c>
      <c r="B1008" s="3">
        <f>IFERROR(__xludf.DUMMYFUNCTION("""COMPUTED_VALUE"""),1.052734)</f>
        <v>1.052734</v>
      </c>
      <c r="C1008" s="3">
        <f>IFERROR(__xludf.DUMMYFUNCTION("""COMPUTED_VALUE"""),3.91958099393145E8)</f>
        <v>391958099.4</v>
      </c>
      <c r="D1008" s="3">
        <f>IFERROR(__xludf.DUMMYFUNCTION("""COMPUTED_VALUE"""),0.0)</f>
        <v>0</v>
      </c>
      <c r="E1008" s="3">
        <f>IFERROR(__xludf.DUMMYFUNCTION("""COMPUTED_VALUE"""),0.0)</f>
        <v>0</v>
      </c>
      <c r="F1008" s="3" t="str">
        <f>IFERROR(__xludf.DUMMYFUNCTION("""COMPUTED_VALUE"""),"CRV")</f>
        <v>CRV</v>
      </c>
      <c r="G1008" s="3"/>
    </row>
    <row r="1009">
      <c r="A1009" s="3" t="str">
        <f>IFERROR(__xludf.DUMMYFUNCTION("""COMPUTED_VALUE"""),"2022-08-28T00:00:00Z")</f>
        <v>2022-08-28T00:00:00Z</v>
      </c>
      <c r="B1009" s="3">
        <f>IFERROR(__xludf.DUMMYFUNCTION("""COMPUTED_VALUE"""),1.04944)</f>
        <v>1.04944</v>
      </c>
      <c r="C1009" s="3">
        <f>IFERROR(__xludf.DUMMYFUNCTION("""COMPUTED_VALUE"""),3.91958099393145E8)</f>
        <v>391958099.4</v>
      </c>
      <c r="D1009" s="3">
        <f>IFERROR(__xludf.DUMMYFUNCTION("""COMPUTED_VALUE"""),0.0)</f>
        <v>0</v>
      </c>
      <c r="E1009" s="3">
        <f>IFERROR(__xludf.DUMMYFUNCTION("""COMPUTED_VALUE"""),0.0)</f>
        <v>0</v>
      </c>
      <c r="F1009" s="3" t="str">
        <f>IFERROR(__xludf.DUMMYFUNCTION("""COMPUTED_VALUE"""),"CRV")</f>
        <v>CRV</v>
      </c>
      <c r="G1009" s="3"/>
    </row>
    <row r="1010">
      <c r="A1010" s="3" t="str">
        <f>IFERROR(__xludf.DUMMYFUNCTION("""COMPUTED_VALUE"""),"2022-08-29T00:00:00Z")</f>
        <v>2022-08-29T00:00:00Z</v>
      </c>
      <c r="B1010" s="3">
        <f>IFERROR(__xludf.DUMMYFUNCTION("""COMPUTED_VALUE"""),0.993683)</f>
        <v>0.993683</v>
      </c>
      <c r="C1010" s="3">
        <f>IFERROR(__xludf.DUMMYFUNCTION("""COMPUTED_VALUE"""),3.91958099393145E8)</f>
        <v>391958099.4</v>
      </c>
      <c r="D1010" s="3">
        <f>IFERROR(__xludf.DUMMYFUNCTION("""COMPUTED_VALUE"""),0.0)</f>
        <v>0</v>
      </c>
      <c r="E1010" s="3">
        <f>IFERROR(__xludf.DUMMYFUNCTION("""COMPUTED_VALUE"""),0.0)</f>
        <v>0</v>
      </c>
      <c r="F1010" s="3" t="str">
        <f>IFERROR(__xludf.DUMMYFUNCTION("""COMPUTED_VALUE"""),"CRV")</f>
        <v>CRV</v>
      </c>
      <c r="G1010" s="3"/>
    </row>
    <row r="1011">
      <c r="A1011" s="3" t="str">
        <f>IFERROR(__xludf.DUMMYFUNCTION("""COMPUTED_VALUE"""),"2022-08-30T00:00:00Z")</f>
        <v>2022-08-30T00:00:00Z</v>
      </c>
      <c r="B1011" s="3">
        <f>IFERROR(__xludf.DUMMYFUNCTION("""COMPUTED_VALUE"""),1.079997)</f>
        <v>1.079997</v>
      </c>
      <c r="C1011" s="3">
        <f>IFERROR(__xludf.DUMMYFUNCTION("""COMPUTED_VALUE"""),3.91958099393145E8)</f>
        <v>391958099.4</v>
      </c>
      <c r="D1011" s="3">
        <f>IFERROR(__xludf.DUMMYFUNCTION("""COMPUTED_VALUE"""),0.0)</f>
        <v>0</v>
      </c>
      <c r="E1011" s="3">
        <f>IFERROR(__xludf.DUMMYFUNCTION("""COMPUTED_VALUE"""),0.0)</f>
        <v>0</v>
      </c>
      <c r="F1011" s="3" t="str">
        <f>IFERROR(__xludf.DUMMYFUNCTION("""COMPUTED_VALUE"""),"CRV")</f>
        <v>CRV</v>
      </c>
      <c r="G1011" s="3"/>
    </row>
    <row r="1012">
      <c r="A1012" s="3" t="str">
        <f>IFERROR(__xludf.DUMMYFUNCTION("""COMPUTED_VALUE"""),"2022-08-31T00:00:00Z")</f>
        <v>2022-08-31T00:00:00Z</v>
      </c>
      <c r="B1012" s="3">
        <f>IFERROR(__xludf.DUMMYFUNCTION("""COMPUTED_VALUE"""),1.064846)</f>
        <v>1.064846</v>
      </c>
      <c r="C1012" s="3">
        <f>IFERROR(__xludf.DUMMYFUNCTION("""COMPUTED_VALUE"""),3.91958099393145E8)</f>
        <v>391958099.4</v>
      </c>
      <c r="D1012" s="3">
        <f>IFERROR(__xludf.DUMMYFUNCTION("""COMPUTED_VALUE"""),0.0)</f>
        <v>0</v>
      </c>
      <c r="E1012" s="3">
        <f>IFERROR(__xludf.DUMMYFUNCTION("""COMPUTED_VALUE"""),0.0)</f>
        <v>0</v>
      </c>
      <c r="F1012" s="3" t="str">
        <f>IFERROR(__xludf.DUMMYFUNCTION("""COMPUTED_VALUE"""),"CRV")</f>
        <v>CRV</v>
      </c>
      <c r="G1012" s="3"/>
    </row>
    <row r="1013">
      <c r="A1013" s="3" t="str">
        <f>IFERROR(__xludf.DUMMYFUNCTION("""COMPUTED_VALUE"""),"2022-09-01T00:00:00Z")</f>
        <v>2022-09-01T00:00:00Z</v>
      </c>
      <c r="B1013" s="3">
        <f>IFERROR(__xludf.DUMMYFUNCTION("""COMPUTED_VALUE"""),1.146605)</f>
        <v>1.146605</v>
      </c>
      <c r="C1013" s="3">
        <f>IFERROR(__xludf.DUMMYFUNCTION("""COMPUTED_VALUE"""),3.91958099393145E8)</f>
        <v>391958099.4</v>
      </c>
      <c r="D1013" s="3">
        <f>IFERROR(__xludf.DUMMYFUNCTION("""COMPUTED_VALUE"""),0.0)</f>
        <v>0</v>
      </c>
      <c r="E1013" s="3">
        <f>IFERROR(__xludf.DUMMYFUNCTION("""COMPUTED_VALUE"""),0.0)</f>
        <v>0</v>
      </c>
      <c r="F1013" s="3" t="str">
        <f>IFERROR(__xludf.DUMMYFUNCTION("""COMPUTED_VALUE"""),"CRV")</f>
        <v>CRV</v>
      </c>
      <c r="G1013" s="3"/>
    </row>
    <row r="1014">
      <c r="A1014" s="3" t="str">
        <f>IFERROR(__xludf.DUMMYFUNCTION("""COMPUTED_VALUE"""),"2022-09-02T00:00:00Z")</f>
        <v>2022-09-02T00:00:00Z</v>
      </c>
      <c r="B1014" s="3">
        <f>IFERROR(__xludf.DUMMYFUNCTION("""COMPUTED_VALUE"""),1.15513)</f>
        <v>1.15513</v>
      </c>
      <c r="C1014" s="3">
        <f>IFERROR(__xludf.DUMMYFUNCTION("""COMPUTED_VALUE"""),3.91958099393145E8)</f>
        <v>391958099.4</v>
      </c>
      <c r="D1014" s="3">
        <f>IFERROR(__xludf.DUMMYFUNCTION("""COMPUTED_VALUE"""),0.0)</f>
        <v>0</v>
      </c>
      <c r="E1014" s="3">
        <f>IFERROR(__xludf.DUMMYFUNCTION("""COMPUTED_VALUE"""),0.0)</f>
        <v>0</v>
      </c>
      <c r="F1014" s="3" t="str">
        <f>IFERROR(__xludf.DUMMYFUNCTION("""COMPUTED_VALUE"""),"CRV")</f>
        <v>CRV</v>
      </c>
      <c r="G1014" s="3"/>
    </row>
    <row r="1015">
      <c r="A1015" s="3" t="str">
        <f>IFERROR(__xludf.DUMMYFUNCTION("""COMPUTED_VALUE"""),"2022-09-03T00:00:00Z")</f>
        <v>2022-09-03T00:00:00Z</v>
      </c>
      <c r="B1015" s="3">
        <f>IFERROR(__xludf.DUMMYFUNCTION("""COMPUTED_VALUE"""),1.093675)</f>
        <v>1.093675</v>
      </c>
      <c r="C1015" s="3">
        <f>IFERROR(__xludf.DUMMYFUNCTION("""COMPUTED_VALUE"""),3.91958099393145E8)</f>
        <v>391958099.4</v>
      </c>
      <c r="D1015" s="3">
        <f>IFERROR(__xludf.DUMMYFUNCTION("""COMPUTED_VALUE"""),0.0)</f>
        <v>0</v>
      </c>
      <c r="E1015" s="3">
        <f>IFERROR(__xludf.DUMMYFUNCTION("""COMPUTED_VALUE"""),0.0)</f>
        <v>0</v>
      </c>
      <c r="F1015" s="3" t="str">
        <f>IFERROR(__xludf.DUMMYFUNCTION("""COMPUTED_VALUE"""),"CRV")</f>
        <v>CRV</v>
      </c>
      <c r="G1015" s="3"/>
    </row>
    <row r="1016">
      <c r="A1016" s="3" t="str">
        <f>IFERROR(__xludf.DUMMYFUNCTION("""COMPUTED_VALUE"""),"2022-09-04T00:00:00Z")</f>
        <v>2022-09-04T00:00:00Z</v>
      </c>
      <c r="B1016" s="3">
        <f>IFERROR(__xludf.DUMMYFUNCTION("""COMPUTED_VALUE"""),1.073543)</f>
        <v>1.073543</v>
      </c>
      <c r="C1016" s="3">
        <f>IFERROR(__xludf.DUMMYFUNCTION("""COMPUTED_VALUE"""),3.91958099393145E8)</f>
        <v>391958099.4</v>
      </c>
      <c r="D1016" s="3">
        <f>IFERROR(__xludf.DUMMYFUNCTION("""COMPUTED_VALUE"""),0.0)</f>
        <v>0</v>
      </c>
      <c r="E1016" s="3">
        <f>IFERROR(__xludf.DUMMYFUNCTION("""COMPUTED_VALUE"""),0.0)</f>
        <v>0</v>
      </c>
      <c r="F1016" s="3" t="str">
        <f>IFERROR(__xludf.DUMMYFUNCTION("""COMPUTED_VALUE"""),"CRV")</f>
        <v>CRV</v>
      </c>
      <c r="G1016" s="3"/>
    </row>
    <row r="1017">
      <c r="A1017" s="3" t="str">
        <f>IFERROR(__xludf.DUMMYFUNCTION("""COMPUTED_VALUE"""),"2022-09-05T00:00:00Z")</f>
        <v>2022-09-05T00:00:00Z</v>
      </c>
      <c r="B1017" s="3">
        <f>IFERROR(__xludf.DUMMYFUNCTION("""COMPUTED_VALUE"""),1.092373)</f>
        <v>1.092373</v>
      </c>
      <c r="C1017" s="3">
        <f>IFERROR(__xludf.DUMMYFUNCTION("""COMPUTED_VALUE"""),3.91958099393145E8)</f>
        <v>391958099.4</v>
      </c>
      <c r="D1017" s="3">
        <f>IFERROR(__xludf.DUMMYFUNCTION("""COMPUTED_VALUE"""),0.0)</f>
        <v>0</v>
      </c>
      <c r="E1017" s="3">
        <f>IFERROR(__xludf.DUMMYFUNCTION("""COMPUTED_VALUE"""),0.0)</f>
        <v>0</v>
      </c>
      <c r="F1017" s="3" t="str">
        <f>IFERROR(__xludf.DUMMYFUNCTION("""COMPUTED_VALUE"""),"CRV")</f>
        <v>CRV</v>
      </c>
      <c r="G1017" s="3"/>
    </row>
    <row r="1018">
      <c r="A1018" s="3" t="str">
        <f>IFERROR(__xludf.DUMMYFUNCTION("""COMPUTED_VALUE"""),"2022-09-06T00:00:00Z")</f>
        <v>2022-09-06T00:00:00Z</v>
      </c>
      <c r="B1018" s="3">
        <f>IFERROR(__xludf.DUMMYFUNCTION("""COMPUTED_VALUE"""),1.152302)</f>
        <v>1.152302</v>
      </c>
      <c r="C1018" s="3">
        <f>IFERROR(__xludf.DUMMYFUNCTION("""COMPUTED_VALUE"""),3.91958099393145E8)</f>
        <v>391958099.4</v>
      </c>
      <c r="D1018" s="3">
        <f>IFERROR(__xludf.DUMMYFUNCTION("""COMPUTED_VALUE"""),0.0)</f>
        <v>0</v>
      </c>
      <c r="E1018" s="3">
        <f>IFERROR(__xludf.DUMMYFUNCTION("""COMPUTED_VALUE"""),0.0)</f>
        <v>0</v>
      </c>
      <c r="F1018" s="3" t="str">
        <f>IFERROR(__xludf.DUMMYFUNCTION("""COMPUTED_VALUE"""),"CRV")</f>
        <v>CRV</v>
      </c>
      <c r="G1018" s="3"/>
    </row>
    <row r="1019">
      <c r="A1019" s="3" t="str">
        <f>IFERROR(__xludf.DUMMYFUNCTION("""COMPUTED_VALUE"""),"2022-09-07T00:00:00Z")</f>
        <v>2022-09-07T00:00:00Z</v>
      </c>
      <c r="B1019" s="3">
        <f>IFERROR(__xludf.DUMMYFUNCTION("""COMPUTED_VALUE"""),1.036886)</f>
        <v>1.036886</v>
      </c>
      <c r="C1019" s="3">
        <f>IFERROR(__xludf.DUMMYFUNCTION("""COMPUTED_VALUE"""),3.91958099393145E8)</f>
        <v>391958099.4</v>
      </c>
      <c r="D1019" s="3">
        <f>IFERROR(__xludf.DUMMYFUNCTION("""COMPUTED_VALUE"""),0.0)</f>
        <v>0</v>
      </c>
      <c r="E1019" s="3">
        <f>IFERROR(__xludf.DUMMYFUNCTION("""COMPUTED_VALUE"""),0.0)</f>
        <v>0</v>
      </c>
      <c r="F1019" s="3" t="str">
        <f>IFERROR(__xludf.DUMMYFUNCTION("""COMPUTED_VALUE"""),"CRV")</f>
        <v>CRV</v>
      </c>
      <c r="G1019" s="3"/>
    </row>
    <row r="1020">
      <c r="A1020" s="3" t="str">
        <f>IFERROR(__xludf.DUMMYFUNCTION("""COMPUTED_VALUE"""),"2022-09-08T00:00:00Z")</f>
        <v>2022-09-08T00:00:00Z</v>
      </c>
      <c r="B1020" s="3">
        <f>IFERROR(__xludf.DUMMYFUNCTION("""COMPUTED_VALUE"""),1.167068)</f>
        <v>1.167068</v>
      </c>
      <c r="C1020" s="3">
        <f>IFERROR(__xludf.DUMMYFUNCTION("""COMPUTED_VALUE"""),3.91958099393145E8)</f>
        <v>391958099.4</v>
      </c>
      <c r="D1020" s="3">
        <f>IFERROR(__xludf.DUMMYFUNCTION("""COMPUTED_VALUE"""),0.0)</f>
        <v>0</v>
      </c>
      <c r="E1020" s="3">
        <f>IFERROR(__xludf.DUMMYFUNCTION("""COMPUTED_VALUE"""),0.0)</f>
        <v>0</v>
      </c>
      <c r="F1020" s="3" t="str">
        <f>IFERROR(__xludf.DUMMYFUNCTION("""COMPUTED_VALUE"""),"CRV")</f>
        <v>CRV</v>
      </c>
      <c r="G1020" s="3"/>
    </row>
    <row r="1021">
      <c r="A1021" s="3" t="str">
        <f>IFERROR(__xludf.DUMMYFUNCTION("""COMPUTED_VALUE"""),"2022-09-09T00:00:00Z")</f>
        <v>2022-09-09T00:00:00Z</v>
      </c>
      <c r="B1021" s="3">
        <f>IFERROR(__xludf.DUMMYFUNCTION("""COMPUTED_VALUE"""),1.128826)</f>
        <v>1.128826</v>
      </c>
      <c r="C1021" s="3">
        <f>IFERROR(__xludf.DUMMYFUNCTION("""COMPUTED_VALUE"""),3.91958099393145E8)</f>
        <v>391958099.4</v>
      </c>
      <c r="D1021" s="3">
        <f>IFERROR(__xludf.DUMMYFUNCTION("""COMPUTED_VALUE"""),0.0)</f>
        <v>0</v>
      </c>
      <c r="E1021" s="3">
        <f>IFERROR(__xludf.DUMMYFUNCTION("""COMPUTED_VALUE"""),0.0)</f>
        <v>0</v>
      </c>
      <c r="F1021" s="3" t="str">
        <f>IFERROR(__xludf.DUMMYFUNCTION("""COMPUTED_VALUE"""),"CRV")</f>
        <v>CRV</v>
      </c>
      <c r="G1021" s="3"/>
    </row>
    <row r="1022">
      <c r="A1022" s="3" t="str">
        <f>IFERROR(__xludf.DUMMYFUNCTION("""COMPUTED_VALUE"""),"2022-09-10T00:00:00Z")</f>
        <v>2022-09-10T00:00:00Z</v>
      </c>
      <c r="B1022" s="3">
        <f>IFERROR(__xludf.DUMMYFUNCTION("""COMPUTED_VALUE"""),1.20462)</f>
        <v>1.20462</v>
      </c>
      <c r="C1022" s="3">
        <f>IFERROR(__xludf.DUMMYFUNCTION("""COMPUTED_VALUE"""),3.91958099393145E8)</f>
        <v>391958099.4</v>
      </c>
      <c r="D1022" s="3">
        <f>IFERROR(__xludf.DUMMYFUNCTION("""COMPUTED_VALUE"""),0.0)</f>
        <v>0</v>
      </c>
      <c r="E1022" s="3">
        <f>IFERROR(__xludf.DUMMYFUNCTION("""COMPUTED_VALUE"""),0.0)</f>
        <v>0</v>
      </c>
      <c r="F1022" s="3" t="str">
        <f>IFERROR(__xludf.DUMMYFUNCTION("""COMPUTED_VALUE"""),"CRV")</f>
        <v>CRV</v>
      </c>
      <c r="G1022" s="3"/>
    </row>
    <row r="1023">
      <c r="A1023" s="3" t="str">
        <f>IFERROR(__xludf.DUMMYFUNCTION("""COMPUTED_VALUE"""),"2022-09-11T00:00:00Z")</f>
        <v>2022-09-11T00:00:00Z</v>
      </c>
      <c r="B1023" s="3">
        <f>IFERROR(__xludf.DUMMYFUNCTION("""COMPUTED_VALUE"""),1.244362)</f>
        <v>1.244362</v>
      </c>
      <c r="C1023" s="3">
        <f>IFERROR(__xludf.DUMMYFUNCTION("""COMPUTED_VALUE"""),3.91958099393145E8)</f>
        <v>391958099.4</v>
      </c>
      <c r="D1023" s="3">
        <f>IFERROR(__xludf.DUMMYFUNCTION("""COMPUTED_VALUE"""),0.0)</f>
        <v>0</v>
      </c>
      <c r="E1023" s="3">
        <f>IFERROR(__xludf.DUMMYFUNCTION("""COMPUTED_VALUE"""),0.0)</f>
        <v>0</v>
      </c>
      <c r="F1023" s="3" t="str">
        <f>IFERROR(__xludf.DUMMYFUNCTION("""COMPUTED_VALUE"""),"CRV")</f>
        <v>CRV</v>
      </c>
      <c r="G1023" s="3"/>
    </row>
    <row r="1024">
      <c r="A1024" s="3" t="str">
        <f>IFERROR(__xludf.DUMMYFUNCTION("""COMPUTED_VALUE"""),"2022-09-12T00:00:00Z")</f>
        <v>2022-09-12T00:00:00Z</v>
      </c>
      <c r="B1024" s="3">
        <f>IFERROR(__xludf.DUMMYFUNCTION("""COMPUTED_VALUE"""),1.182846)</f>
        <v>1.182846</v>
      </c>
      <c r="C1024" s="3">
        <f>IFERROR(__xludf.DUMMYFUNCTION("""COMPUTED_VALUE"""),3.91958099393145E8)</f>
        <v>391958099.4</v>
      </c>
      <c r="D1024" s="3">
        <f>IFERROR(__xludf.DUMMYFUNCTION("""COMPUTED_VALUE"""),0.0)</f>
        <v>0</v>
      </c>
      <c r="E1024" s="3">
        <f>IFERROR(__xludf.DUMMYFUNCTION("""COMPUTED_VALUE"""),0.0)</f>
        <v>0</v>
      </c>
      <c r="F1024" s="3" t="str">
        <f>IFERROR(__xludf.DUMMYFUNCTION("""COMPUTED_VALUE"""),"CRV")</f>
        <v>CRV</v>
      </c>
      <c r="G1024" s="3"/>
    </row>
    <row r="1025">
      <c r="A1025" s="3" t="str">
        <f>IFERROR(__xludf.DUMMYFUNCTION("""COMPUTED_VALUE"""),"2022-09-13T00:00:00Z")</f>
        <v>2022-09-13T00:00:00Z</v>
      </c>
      <c r="B1025" s="3">
        <f>IFERROR(__xludf.DUMMYFUNCTION("""COMPUTED_VALUE"""),1.143112)</f>
        <v>1.143112</v>
      </c>
      <c r="C1025" s="3">
        <f>IFERROR(__xludf.DUMMYFUNCTION("""COMPUTED_VALUE"""),3.91958099393145E8)</f>
        <v>391958099.4</v>
      </c>
      <c r="D1025" s="3">
        <f>IFERROR(__xludf.DUMMYFUNCTION("""COMPUTED_VALUE"""),0.0)</f>
        <v>0</v>
      </c>
      <c r="E1025" s="3">
        <f>IFERROR(__xludf.DUMMYFUNCTION("""COMPUTED_VALUE"""),0.0)</f>
        <v>0</v>
      </c>
      <c r="F1025" s="3" t="str">
        <f>IFERROR(__xludf.DUMMYFUNCTION("""COMPUTED_VALUE"""),"CRV")</f>
        <v>CRV</v>
      </c>
      <c r="G1025" s="3"/>
    </row>
    <row r="1026">
      <c r="A1026" s="3" t="str">
        <f>IFERROR(__xludf.DUMMYFUNCTION("""COMPUTED_VALUE"""),"2022-09-14T00:00:00Z")</f>
        <v>2022-09-14T00:00:00Z</v>
      </c>
      <c r="B1026" s="3">
        <f>IFERROR(__xludf.DUMMYFUNCTION("""COMPUTED_VALUE"""),1.052023)</f>
        <v>1.052023</v>
      </c>
      <c r="C1026" s="3">
        <f>IFERROR(__xludf.DUMMYFUNCTION("""COMPUTED_VALUE"""),3.91958099393145E8)</f>
        <v>391958099.4</v>
      </c>
      <c r="D1026" s="3">
        <f>IFERROR(__xludf.DUMMYFUNCTION("""COMPUTED_VALUE"""),0.0)</f>
        <v>0</v>
      </c>
      <c r="E1026" s="3">
        <f>IFERROR(__xludf.DUMMYFUNCTION("""COMPUTED_VALUE"""),0.0)</f>
        <v>0</v>
      </c>
      <c r="F1026" s="3" t="str">
        <f>IFERROR(__xludf.DUMMYFUNCTION("""COMPUTED_VALUE"""),"CRV")</f>
        <v>CRV</v>
      </c>
      <c r="G1026" s="3"/>
    </row>
    <row r="1027">
      <c r="A1027" s="3" t="str">
        <f>IFERROR(__xludf.DUMMYFUNCTION("""COMPUTED_VALUE"""),"2022-09-15T00:00:00Z")</f>
        <v>2022-09-15T00:00:00Z</v>
      </c>
      <c r="B1027" s="3">
        <f>IFERROR(__xludf.DUMMYFUNCTION("""COMPUTED_VALUE"""),1.070252)</f>
        <v>1.070252</v>
      </c>
      <c r="C1027" s="3">
        <f>IFERROR(__xludf.DUMMYFUNCTION("""COMPUTED_VALUE"""),3.91958099393145E8)</f>
        <v>391958099.4</v>
      </c>
      <c r="D1027" s="3">
        <f>IFERROR(__xludf.DUMMYFUNCTION("""COMPUTED_VALUE"""),0.0)</f>
        <v>0</v>
      </c>
      <c r="E1027" s="3">
        <f>IFERROR(__xludf.DUMMYFUNCTION("""COMPUTED_VALUE"""),0.0)</f>
        <v>0</v>
      </c>
      <c r="F1027" s="3" t="str">
        <f>IFERROR(__xludf.DUMMYFUNCTION("""COMPUTED_VALUE"""),"CRV")</f>
        <v>CRV</v>
      </c>
      <c r="G1027" s="3"/>
    </row>
    <row r="1028">
      <c r="A1028" s="3" t="str">
        <f>IFERROR(__xludf.DUMMYFUNCTION("""COMPUTED_VALUE"""),"2022-09-16T00:00:00Z")</f>
        <v>2022-09-16T00:00:00Z</v>
      </c>
      <c r="B1028" s="3">
        <f>IFERROR(__xludf.DUMMYFUNCTION("""COMPUTED_VALUE"""),1.053306)</f>
        <v>1.053306</v>
      </c>
      <c r="C1028" s="3">
        <f>IFERROR(__xludf.DUMMYFUNCTION("""COMPUTED_VALUE"""),3.91958099393145E8)</f>
        <v>391958099.4</v>
      </c>
      <c r="D1028" s="3">
        <f>IFERROR(__xludf.DUMMYFUNCTION("""COMPUTED_VALUE"""),0.0)</f>
        <v>0</v>
      </c>
      <c r="E1028" s="3">
        <f>IFERROR(__xludf.DUMMYFUNCTION("""COMPUTED_VALUE"""),0.0)</f>
        <v>0</v>
      </c>
      <c r="F1028" s="3" t="str">
        <f>IFERROR(__xludf.DUMMYFUNCTION("""COMPUTED_VALUE"""),"CRV")</f>
        <v>CRV</v>
      </c>
      <c r="G1028" s="3"/>
    </row>
    <row r="1029">
      <c r="A1029" s="3" t="str">
        <f>IFERROR(__xludf.DUMMYFUNCTION("""COMPUTED_VALUE"""),"2022-09-17T00:00:00Z")</f>
        <v>2022-09-17T00:00:00Z</v>
      </c>
      <c r="B1029" s="3">
        <f>IFERROR(__xludf.DUMMYFUNCTION("""COMPUTED_VALUE"""),1.058759)</f>
        <v>1.058759</v>
      </c>
      <c r="C1029" s="3">
        <f>IFERROR(__xludf.DUMMYFUNCTION("""COMPUTED_VALUE"""),3.91958099393145E8)</f>
        <v>391958099.4</v>
      </c>
      <c r="D1029" s="3">
        <f>IFERROR(__xludf.DUMMYFUNCTION("""COMPUTED_VALUE"""),0.0)</f>
        <v>0</v>
      </c>
      <c r="E1029" s="3">
        <f>IFERROR(__xludf.DUMMYFUNCTION("""COMPUTED_VALUE"""),0.0)</f>
        <v>0</v>
      </c>
      <c r="F1029" s="3" t="str">
        <f>IFERROR(__xludf.DUMMYFUNCTION("""COMPUTED_VALUE"""),"CRV")</f>
        <v>CRV</v>
      </c>
      <c r="G1029" s="3"/>
    </row>
    <row r="1030">
      <c r="A1030" s="3" t="str">
        <f>IFERROR(__xludf.DUMMYFUNCTION("""COMPUTED_VALUE"""),"2022-09-18T00:00:00Z")</f>
        <v>2022-09-18T00:00:00Z</v>
      </c>
      <c r="B1030" s="3">
        <f>IFERROR(__xludf.DUMMYFUNCTION("""COMPUTED_VALUE"""),1.083228)</f>
        <v>1.083228</v>
      </c>
      <c r="C1030" s="3">
        <f>IFERROR(__xludf.DUMMYFUNCTION("""COMPUTED_VALUE"""),3.91958099393145E8)</f>
        <v>391958099.4</v>
      </c>
      <c r="D1030" s="3">
        <f>IFERROR(__xludf.DUMMYFUNCTION("""COMPUTED_VALUE"""),0.0)</f>
        <v>0</v>
      </c>
      <c r="E1030" s="3">
        <f>IFERROR(__xludf.DUMMYFUNCTION("""COMPUTED_VALUE"""),0.0)</f>
        <v>0</v>
      </c>
      <c r="F1030" s="3" t="str">
        <f>IFERROR(__xludf.DUMMYFUNCTION("""COMPUTED_VALUE"""),"CRV")</f>
        <v>CRV</v>
      </c>
      <c r="G1030" s="3"/>
    </row>
    <row r="1031">
      <c r="A1031" s="3" t="str">
        <f>IFERROR(__xludf.DUMMYFUNCTION("""COMPUTED_VALUE"""),"2022-09-19T00:00:00Z")</f>
        <v>2022-09-19T00:00:00Z</v>
      </c>
      <c r="B1031" s="3">
        <f>IFERROR(__xludf.DUMMYFUNCTION("""COMPUTED_VALUE"""),0.934896)</f>
        <v>0.934896</v>
      </c>
      <c r="C1031" s="3">
        <f>IFERROR(__xludf.DUMMYFUNCTION("""COMPUTED_VALUE"""),3.91958099393145E8)</f>
        <v>391958099.4</v>
      </c>
      <c r="D1031" s="3">
        <f>IFERROR(__xludf.DUMMYFUNCTION("""COMPUTED_VALUE"""),0.0)</f>
        <v>0</v>
      </c>
      <c r="E1031" s="3">
        <f>IFERROR(__xludf.DUMMYFUNCTION("""COMPUTED_VALUE"""),0.0)</f>
        <v>0</v>
      </c>
      <c r="F1031" s="3" t="str">
        <f>IFERROR(__xludf.DUMMYFUNCTION("""COMPUTED_VALUE"""),"CRV")</f>
        <v>CRV</v>
      </c>
      <c r="G1031" s="3"/>
    </row>
    <row r="1032">
      <c r="A1032" s="3" t="str">
        <f>IFERROR(__xludf.DUMMYFUNCTION("""COMPUTED_VALUE"""),"2022-09-20T00:00:00Z")</f>
        <v>2022-09-20T00:00:00Z</v>
      </c>
      <c r="B1032" s="3">
        <f>IFERROR(__xludf.DUMMYFUNCTION("""COMPUTED_VALUE"""),0.982449)</f>
        <v>0.982449</v>
      </c>
      <c r="C1032" s="3">
        <f>IFERROR(__xludf.DUMMYFUNCTION("""COMPUTED_VALUE"""),3.91958099393145E8)</f>
        <v>391958099.4</v>
      </c>
      <c r="D1032" s="3">
        <f>IFERROR(__xludf.DUMMYFUNCTION("""COMPUTED_VALUE"""),0.0)</f>
        <v>0</v>
      </c>
      <c r="E1032" s="3">
        <f>IFERROR(__xludf.DUMMYFUNCTION("""COMPUTED_VALUE"""),0.0)</f>
        <v>0</v>
      </c>
      <c r="F1032" s="3" t="str">
        <f>IFERROR(__xludf.DUMMYFUNCTION("""COMPUTED_VALUE"""),"CRV")</f>
        <v>CRV</v>
      </c>
      <c r="G1032" s="3"/>
    </row>
    <row r="1033">
      <c r="A1033" s="3" t="str">
        <f>IFERROR(__xludf.DUMMYFUNCTION("""COMPUTED_VALUE"""),"2022-09-21T00:00:00Z")</f>
        <v>2022-09-21T00:00:00Z</v>
      </c>
      <c r="B1033" s="3">
        <f>IFERROR(__xludf.DUMMYFUNCTION("""COMPUTED_VALUE"""),0.944435)</f>
        <v>0.944435</v>
      </c>
      <c r="C1033" s="3">
        <f>IFERROR(__xludf.DUMMYFUNCTION("""COMPUTED_VALUE"""),3.91958099393145E8)</f>
        <v>391958099.4</v>
      </c>
      <c r="D1033" s="3">
        <f>IFERROR(__xludf.DUMMYFUNCTION("""COMPUTED_VALUE"""),0.0)</f>
        <v>0</v>
      </c>
      <c r="E1033" s="3">
        <f>IFERROR(__xludf.DUMMYFUNCTION("""COMPUTED_VALUE"""),0.0)</f>
        <v>0</v>
      </c>
      <c r="F1033" s="3" t="str">
        <f>IFERROR(__xludf.DUMMYFUNCTION("""COMPUTED_VALUE"""),"CRV")</f>
        <v>CRV</v>
      </c>
      <c r="G1033" s="3"/>
    </row>
    <row r="1034">
      <c r="A1034" s="3" t="str">
        <f>IFERROR(__xludf.DUMMYFUNCTION("""COMPUTED_VALUE"""),"2022-09-22T00:00:00Z")</f>
        <v>2022-09-22T00:00:00Z</v>
      </c>
      <c r="B1034" s="3">
        <f>IFERROR(__xludf.DUMMYFUNCTION("""COMPUTED_VALUE"""),0.862011)</f>
        <v>0.862011</v>
      </c>
      <c r="C1034" s="3">
        <f>IFERROR(__xludf.DUMMYFUNCTION("""COMPUTED_VALUE"""),3.91958099393145E8)</f>
        <v>391958099.4</v>
      </c>
      <c r="D1034" s="3">
        <f>IFERROR(__xludf.DUMMYFUNCTION("""COMPUTED_VALUE"""),0.0)</f>
        <v>0</v>
      </c>
      <c r="E1034" s="3">
        <f>IFERROR(__xludf.DUMMYFUNCTION("""COMPUTED_VALUE"""),0.0)</f>
        <v>0</v>
      </c>
      <c r="F1034" s="3" t="str">
        <f>IFERROR(__xludf.DUMMYFUNCTION("""COMPUTED_VALUE"""),"CRV")</f>
        <v>CRV</v>
      </c>
      <c r="G1034" s="3"/>
    </row>
    <row r="1035">
      <c r="A1035" s="3" t="str">
        <f>IFERROR(__xludf.DUMMYFUNCTION("""COMPUTED_VALUE"""),"2022-09-23T00:00:00Z")</f>
        <v>2022-09-23T00:00:00Z</v>
      </c>
      <c r="B1035" s="3">
        <f>IFERROR(__xludf.DUMMYFUNCTION("""COMPUTED_VALUE"""),0.916354)</f>
        <v>0.916354</v>
      </c>
      <c r="C1035" s="3">
        <f>IFERROR(__xludf.DUMMYFUNCTION("""COMPUTED_VALUE"""),3.91958099393145E8)</f>
        <v>391958099.4</v>
      </c>
      <c r="D1035" s="3">
        <f>IFERROR(__xludf.DUMMYFUNCTION("""COMPUTED_VALUE"""),0.0)</f>
        <v>0</v>
      </c>
      <c r="E1035" s="3">
        <f>IFERROR(__xludf.DUMMYFUNCTION("""COMPUTED_VALUE"""),0.0)</f>
        <v>0</v>
      </c>
      <c r="F1035" s="3" t="str">
        <f>IFERROR(__xludf.DUMMYFUNCTION("""COMPUTED_VALUE"""),"CRV")</f>
        <v>CRV</v>
      </c>
      <c r="G1035" s="3"/>
    </row>
    <row r="1036">
      <c r="A1036" s="3" t="str">
        <f>IFERROR(__xludf.DUMMYFUNCTION("""COMPUTED_VALUE"""),"2022-09-24T00:00:00Z")</f>
        <v>2022-09-24T00:00:00Z</v>
      </c>
      <c r="B1036" s="3">
        <f>IFERROR(__xludf.DUMMYFUNCTION("""COMPUTED_VALUE"""),0.943261)</f>
        <v>0.943261</v>
      </c>
      <c r="C1036" s="3">
        <f>IFERROR(__xludf.DUMMYFUNCTION("""COMPUTED_VALUE"""),3.91958099393145E8)</f>
        <v>391958099.4</v>
      </c>
      <c r="D1036" s="3">
        <f>IFERROR(__xludf.DUMMYFUNCTION("""COMPUTED_VALUE"""),0.0)</f>
        <v>0</v>
      </c>
      <c r="E1036" s="3">
        <f>IFERROR(__xludf.DUMMYFUNCTION("""COMPUTED_VALUE"""),0.0)</f>
        <v>0</v>
      </c>
      <c r="F1036" s="3" t="str">
        <f>IFERROR(__xludf.DUMMYFUNCTION("""COMPUTED_VALUE"""),"CRV")</f>
        <v>CRV</v>
      </c>
      <c r="G1036" s="3"/>
    </row>
    <row r="1037">
      <c r="A1037" s="3" t="str">
        <f>IFERROR(__xludf.DUMMYFUNCTION("""COMPUTED_VALUE"""),"2022-09-25T00:00:00Z")</f>
        <v>2022-09-25T00:00:00Z</v>
      </c>
      <c r="B1037" s="3">
        <f>IFERROR(__xludf.DUMMYFUNCTION("""COMPUTED_VALUE"""),0.92001)</f>
        <v>0.92001</v>
      </c>
      <c r="C1037" s="3">
        <f>IFERROR(__xludf.DUMMYFUNCTION("""COMPUTED_VALUE"""),3.91958099393145E8)</f>
        <v>391958099.4</v>
      </c>
      <c r="D1037" s="3">
        <f>IFERROR(__xludf.DUMMYFUNCTION("""COMPUTED_VALUE"""),0.0)</f>
        <v>0</v>
      </c>
      <c r="E1037" s="3">
        <f>IFERROR(__xludf.DUMMYFUNCTION("""COMPUTED_VALUE"""),0.0)</f>
        <v>0</v>
      </c>
      <c r="F1037" s="3" t="str">
        <f>IFERROR(__xludf.DUMMYFUNCTION("""COMPUTED_VALUE"""),"CRV")</f>
        <v>CRV</v>
      </c>
      <c r="G1037" s="3"/>
    </row>
    <row r="1038">
      <c r="A1038" s="3" t="str">
        <f>IFERROR(__xludf.DUMMYFUNCTION("""COMPUTED_VALUE"""),"2022-05-01T00:00:00Z")</f>
        <v>2022-05-01T00:00:00Z</v>
      </c>
      <c r="B1038" s="3">
        <f>IFERROR(__xludf.DUMMYFUNCTION("""COMPUTED_VALUE"""),1457.752182)</f>
        <v>1457.752182</v>
      </c>
      <c r="C1038" s="3">
        <f>IFERROR(__xludf.DUMMYFUNCTION("""COMPUTED_VALUE"""),977631.036951)</f>
        <v>977631.037</v>
      </c>
      <c r="D1038" s="3">
        <f>IFERROR(__xludf.DUMMYFUNCTION("""COMPUTED_VALUE"""),0.0)</f>
        <v>0</v>
      </c>
      <c r="E1038" s="3">
        <f>IFERROR(__xludf.DUMMYFUNCTION("""COMPUTED_VALUE"""),0.0)</f>
        <v>0</v>
      </c>
      <c r="F1038" s="3" t="str">
        <f>IFERROR(__xludf.DUMMYFUNCTION("""COMPUTED_VALUE"""),"MKR")</f>
        <v>MKR</v>
      </c>
      <c r="G1038" s="3"/>
    </row>
    <row r="1039">
      <c r="A1039" s="3" t="str">
        <f>IFERROR(__xludf.DUMMYFUNCTION("""COMPUTED_VALUE"""),"2022-05-02T00:00:00Z")</f>
        <v>2022-05-02T00:00:00Z</v>
      </c>
      <c r="B1039" s="3">
        <f>IFERROR(__xludf.DUMMYFUNCTION("""COMPUTED_VALUE"""),1450.077344)</f>
        <v>1450.077344</v>
      </c>
      <c r="C1039" s="3">
        <f>IFERROR(__xludf.DUMMYFUNCTION("""COMPUTED_VALUE"""),977631.036951)</f>
        <v>977631.037</v>
      </c>
      <c r="D1039" s="3">
        <f>IFERROR(__xludf.DUMMYFUNCTION("""COMPUTED_VALUE"""),0.0)</f>
        <v>0</v>
      </c>
      <c r="E1039" s="3">
        <f>IFERROR(__xludf.DUMMYFUNCTION("""COMPUTED_VALUE"""),0.0)</f>
        <v>0</v>
      </c>
      <c r="F1039" s="3" t="str">
        <f>IFERROR(__xludf.DUMMYFUNCTION("""COMPUTED_VALUE"""),"MKR")</f>
        <v>MKR</v>
      </c>
      <c r="G1039" s="3"/>
    </row>
    <row r="1040">
      <c r="A1040" s="3" t="str">
        <f>IFERROR(__xludf.DUMMYFUNCTION("""COMPUTED_VALUE"""),"2022-05-03T00:00:00Z")</f>
        <v>2022-05-03T00:00:00Z</v>
      </c>
      <c r="B1040" s="3">
        <f>IFERROR(__xludf.DUMMYFUNCTION("""COMPUTED_VALUE"""),1486.44658)</f>
        <v>1486.44658</v>
      </c>
      <c r="C1040" s="3">
        <f>IFERROR(__xludf.DUMMYFUNCTION("""COMPUTED_VALUE"""),977631.036951)</f>
        <v>977631.037</v>
      </c>
      <c r="D1040" s="3">
        <f>IFERROR(__xludf.DUMMYFUNCTION("""COMPUTED_VALUE"""),0.0)</f>
        <v>0</v>
      </c>
      <c r="E1040" s="3">
        <f>IFERROR(__xludf.DUMMYFUNCTION("""COMPUTED_VALUE"""),0.0)</f>
        <v>0</v>
      </c>
      <c r="F1040" s="3" t="str">
        <f>IFERROR(__xludf.DUMMYFUNCTION("""COMPUTED_VALUE"""),"MKR")</f>
        <v>MKR</v>
      </c>
      <c r="G1040" s="3"/>
    </row>
    <row r="1041">
      <c r="A1041" s="3" t="str">
        <f>IFERROR(__xludf.DUMMYFUNCTION("""COMPUTED_VALUE"""),"2022-05-04T00:00:00Z")</f>
        <v>2022-05-04T00:00:00Z</v>
      </c>
      <c r="B1041" s="3">
        <f>IFERROR(__xludf.DUMMYFUNCTION("""COMPUTED_VALUE"""),1401.362372)</f>
        <v>1401.362372</v>
      </c>
      <c r="C1041" s="3">
        <f>IFERROR(__xludf.DUMMYFUNCTION("""COMPUTED_VALUE"""),977631.036951)</f>
        <v>977631.037</v>
      </c>
      <c r="D1041" s="3">
        <f>IFERROR(__xludf.DUMMYFUNCTION("""COMPUTED_VALUE"""),0.0)</f>
        <v>0</v>
      </c>
      <c r="E1041" s="3">
        <f>IFERROR(__xludf.DUMMYFUNCTION("""COMPUTED_VALUE"""),0.0)</f>
        <v>0</v>
      </c>
      <c r="F1041" s="3" t="str">
        <f>IFERROR(__xludf.DUMMYFUNCTION("""COMPUTED_VALUE"""),"MKR")</f>
        <v>MKR</v>
      </c>
      <c r="G1041" s="3"/>
    </row>
    <row r="1042">
      <c r="A1042" s="3" t="str">
        <f>IFERROR(__xludf.DUMMYFUNCTION("""COMPUTED_VALUE"""),"2022-05-05T00:00:00Z")</f>
        <v>2022-05-05T00:00:00Z</v>
      </c>
      <c r="B1042" s="3">
        <f>IFERROR(__xludf.DUMMYFUNCTION("""COMPUTED_VALUE"""),1496.198432)</f>
        <v>1496.198432</v>
      </c>
      <c r="C1042" s="3">
        <f>IFERROR(__xludf.DUMMYFUNCTION("""COMPUTED_VALUE"""),977631.036951)</f>
        <v>977631.037</v>
      </c>
      <c r="D1042" s="3">
        <f>IFERROR(__xludf.DUMMYFUNCTION("""COMPUTED_VALUE"""),0.0)</f>
        <v>0</v>
      </c>
      <c r="E1042" s="3">
        <f>IFERROR(__xludf.DUMMYFUNCTION("""COMPUTED_VALUE"""),0.0)</f>
        <v>0</v>
      </c>
      <c r="F1042" s="3" t="str">
        <f>IFERROR(__xludf.DUMMYFUNCTION("""COMPUTED_VALUE"""),"MKR")</f>
        <v>MKR</v>
      </c>
      <c r="G1042" s="3"/>
    </row>
    <row r="1043">
      <c r="A1043" s="3" t="str">
        <f>IFERROR(__xludf.DUMMYFUNCTION("""COMPUTED_VALUE"""),"2022-05-06T00:00:00Z")</f>
        <v>2022-05-06T00:00:00Z</v>
      </c>
      <c r="B1043" s="3">
        <f>IFERROR(__xludf.DUMMYFUNCTION("""COMPUTED_VALUE"""),1377.120061)</f>
        <v>1377.120061</v>
      </c>
      <c r="C1043" s="3">
        <f>IFERROR(__xludf.DUMMYFUNCTION("""COMPUTED_VALUE"""),977631.036951)</f>
        <v>977631.037</v>
      </c>
      <c r="D1043" s="3">
        <f>IFERROR(__xludf.DUMMYFUNCTION("""COMPUTED_VALUE"""),0.0)</f>
        <v>0</v>
      </c>
      <c r="E1043" s="3">
        <f>IFERROR(__xludf.DUMMYFUNCTION("""COMPUTED_VALUE"""),0.0)</f>
        <v>0</v>
      </c>
      <c r="F1043" s="3" t="str">
        <f>IFERROR(__xludf.DUMMYFUNCTION("""COMPUTED_VALUE"""),"MKR")</f>
        <v>MKR</v>
      </c>
      <c r="G1043" s="3"/>
    </row>
    <row r="1044">
      <c r="A1044" s="3" t="str">
        <f>IFERROR(__xludf.DUMMYFUNCTION("""COMPUTED_VALUE"""),"2022-05-07T00:00:00Z")</f>
        <v>2022-05-07T00:00:00Z</v>
      </c>
      <c r="B1044" s="3">
        <f>IFERROR(__xludf.DUMMYFUNCTION("""COMPUTED_VALUE"""),1334.212568)</f>
        <v>1334.212568</v>
      </c>
      <c r="C1044" s="3">
        <f>IFERROR(__xludf.DUMMYFUNCTION("""COMPUTED_VALUE"""),977631.036951)</f>
        <v>977631.037</v>
      </c>
      <c r="D1044" s="3">
        <f>IFERROR(__xludf.DUMMYFUNCTION("""COMPUTED_VALUE"""),0.0)</f>
        <v>0</v>
      </c>
      <c r="E1044" s="3">
        <f>IFERROR(__xludf.DUMMYFUNCTION("""COMPUTED_VALUE"""),0.0)</f>
        <v>0</v>
      </c>
      <c r="F1044" s="3" t="str">
        <f>IFERROR(__xludf.DUMMYFUNCTION("""COMPUTED_VALUE"""),"MKR")</f>
        <v>MKR</v>
      </c>
      <c r="G1044" s="3"/>
    </row>
    <row r="1045">
      <c r="A1045" s="3" t="str">
        <f>IFERROR(__xludf.DUMMYFUNCTION("""COMPUTED_VALUE"""),"2022-05-08T00:00:00Z")</f>
        <v>2022-05-08T00:00:00Z</v>
      </c>
      <c r="B1045" s="3">
        <f>IFERROR(__xludf.DUMMYFUNCTION("""COMPUTED_VALUE"""),1265.543785)</f>
        <v>1265.543785</v>
      </c>
      <c r="C1045" s="3">
        <f>IFERROR(__xludf.DUMMYFUNCTION("""COMPUTED_VALUE"""),977631.036951)</f>
        <v>977631.037</v>
      </c>
      <c r="D1045" s="3">
        <f>IFERROR(__xludf.DUMMYFUNCTION("""COMPUTED_VALUE"""),0.0)</f>
        <v>0</v>
      </c>
      <c r="E1045" s="3">
        <f>IFERROR(__xludf.DUMMYFUNCTION("""COMPUTED_VALUE"""),0.0)</f>
        <v>0</v>
      </c>
      <c r="F1045" s="3" t="str">
        <f>IFERROR(__xludf.DUMMYFUNCTION("""COMPUTED_VALUE"""),"MKR")</f>
        <v>MKR</v>
      </c>
      <c r="G1045" s="3"/>
    </row>
    <row r="1046">
      <c r="A1046" s="3" t="str">
        <f>IFERROR(__xludf.DUMMYFUNCTION("""COMPUTED_VALUE"""),"2022-05-09T00:00:00Z")</f>
        <v>2022-05-09T00:00:00Z</v>
      </c>
      <c r="B1046" s="3">
        <f>IFERROR(__xludf.DUMMYFUNCTION("""COMPUTED_VALUE"""),1192.77374)</f>
        <v>1192.77374</v>
      </c>
      <c r="C1046" s="3">
        <f>IFERROR(__xludf.DUMMYFUNCTION("""COMPUTED_VALUE"""),977631.036951)</f>
        <v>977631.037</v>
      </c>
      <c r="D1046" s="3">
        <f>IFERROR(__xludf.DUMMYFUNCTION("""COMPUTED_VALUE"""),0.0)</f>
        <v>0</v>
      </c>
      <c r="E1046" s="3">
        <f>IFERROR(__xludf.DUMMYFUNCTION("""COMPUTED_VALUE"""),0.0)</f>
        <v>0</v>
      </c>
      <c r="F1046" s="3" t="str">
        <f>IFERROR(__xludf.DUMMYFUNCTION("""COMPUTED_VALUE"""),"MKR")</f>
        <v>MKR</v>
      </c>
      <c r="G1046" s="3"/>
    </row>
    <row r="1047">
      <c r="A1047" s="3" t="str">
        <f>IFERROR(__xludf.DUMMYFUNCTION("""COMPUTED_VALUE"""),"2022-05-10T00:00:00Z")</f>
        <v>2022-05-10T00:00:00Z</v>
      </c>
      <c r="B1047" s="3">
        <f>IFERROR(__xludf.DUMMYFUNCTION("""COMPUTED_VALUE"""),1050.135049)</f>
        <v>1050.135049</v>
      </c>
      <c r="C1047" s="3">
        <f>IFERROR(__xludf.DUMMYFUNCTION("""COMPUTED_VALUE"""),977631.036951)</f>
        <v>977631.037</v>
      </c>
      <c r="D1047" s="3">
        <f>IFERROR(__xludf.DUMMYFUNCTION("""COMPUTED_VALUE"""),0.0)</f>
        <v>0</v>
      </c>
      <c r="E1047" s="3">
        <f>IFERROR(__xludf.DUMMYFUNCTION("""COMPUTED_VALUE"""),0.0)</f>
        <v>0</v>
      </c>
      <c r="F1047" s="3" t="str">
        <f>IFERROR(__xludf.DUMMYFUNCTION("""COMPUTED_VALUE"""),"MKR")</f>
        <v>MKR</v>
      </c>
      <c r="G1047" s="3"/>
    </row>
    <row r="1048">
      <c r="A1048" s="3" t="str">
        <f>IFERROR(__xludf.DUMMYFUNCTION("""COMPUTED_VALUE"""),"2022-05-11T00:00:00Z")</f>
        <v>2022-05-11T00:00:00Z</v>
      </c>
      <c r="B1048" s="3">
        <f>IFERROR(__xludf.DUMMYFUNCTION("""COMPUTED_VALUE"""),1221.570307)</f>
        <v>1221.570307</v>
      </c>
      <c r="C1048" s="3">
        <f>IFERROR(__xludf.DUMMYFUNCTION("""COMPUTED_VALUE"""),977631.036951)</f>
        <v>977631.037</v>
      </c>
      <c r="D1048" s="3">
        <f>IFERROR(__xludf.DUMMYFUNCTION("""COMPUTED_VALUE"""),0.0)</f>
        <v>0</v>
      </c>
      <c r="E1048" s="3">
        <f>IFERROR(__xludf.DUMMYFUNCTION("""COMPUTED_VALUE"""),0.0)</f>
        <v>0</v>
      </c>
      <c r="F1048" s="3" t="str">
        <f>IFERROR(__xludf.DUMMYFUNCTION("""COMPUTED_VALUE"""),"MKR")</f>
        <v>MKR</v>
      </c>
      <c r="G1048" s="3"/>
    </row>
    <row r="1049">
      <c r="A1049" s="3" t="str">
        <f>IFERROR(__xludf.DUMMYFUNCTION("""COMPUTED_VALUE"""),"2022-05-12T00:00:00Z")</f>
        <v>2022-05-12T00:00:00Z</v>
      </c>
      <c r="B1049" s="3">
        <f>IFERROR(__xludf.DUMMYFUNCTION("""COMPUTED_VALUE"""),1127.40757)</f>
        <v>1127.40757</v>
      </c>
      <c r="C1049" s="3">
        <f>IFERROR(__xludf.DUMMYFUNCTION("""COMPUTED_VALUE"""),977631.036951)</f>
        <v>977631.037</v>
      </c>
      <c r="D1049" s="3">
        <f>IFERROR(__xludf.DUMMYFUNCTION("""COMPUTED_VALUE"""),0.0)</f>
        <v>0</v>
      </c>
      <c r="E1049" s="3">
        <f>IFERROR(__xludf.DUMMYFUNCTION("""COMPUTED_VALUE"""),0.0)</f>
        <v>0</v>
      </c>
      <c r="F1049" s="3" t="str">
        <f>IFERROR(__xludf.DUMMYFUNCTION("""COMPUTED_VALUE"""),"MKR")</f>
        <v>MKR</v>
      </c>
      <c r="G1049" s="3"/>
    </row>
    <row r="1050">
      <c r="A1050" s="3" t="str">
        <f>IFERROR(__xludf.DUMMYFUNCTION("""COMPUTED_VALUE"""),"2022-05-13T00:00:00Z")</f>
        <v>2022-05-13T00:00:00Z</v>
      </c>
      <c r="B1050" s="3">
        <f>IFERROR(__xludf.DUMMYFUNCTION("""COMPUTED_VALUE"""),1335.206943)</f>
        <v>1335.206943</v>
      </c>
      <c r="C1050" s="3">
        <f>IFERROR(__xludf.DUMMYFUNCTION("""COMPUTED_VALUE"""),977631.036951)</f>
        <v>977631.037</v>
      </c>
      <c r="D1050" s="3">
        <f>IFERROR(__xludf.DUMMYFUNCTION("""COMPUTED_VALUE"""),0.0)</f>
        <v>0</v>
      </c>
      <c r="E1050" s="3">
        <f>IFERROR(__xludf.DUMMYFUNCTION("""COMPUTED_VALUE"""),0.0)</f>
        <v>0</v>
      </c>
      <c r="F1050" s="3" t="str">
        <f>IFERROR(__xludf.DUMMYFUNCTION("""COMPUTED_VALUE"""),"MKR")</f>
        <v>MKR</v>
      </c>
      <c r="G1050" s="3"/>
    </row>
    <row r="1051">
      <c r="A1051" s="3" t="str">
        <f>IFERROR(__xludf.DUMMYFUNCTION("""COMPUTED_VALUE"""),"2022-05-14T00:00:00Z")</f>
        <v>2022-05-14T00:00:00Z</v>
      </c>
      <c r="B1051" s="3">
        <f>IFERROR(__xludf.DUMMYFUNCTION("""COMPUTED_VALUE"""),1381.975763)</f>
        <v>1381.975763</v>
      </c>
      <c r="C1051" s="3">
        <f>IFERROR(__xludf.DUMMYFUNCTION("""COMPUTED_VALUE"""),977631.036951)</f>
        <v>977631.037</v>
      </c>
      <c r="D1051" s="3">
        <f>IFERROR(__xludf.DUMMYFUNCTION("""COMPUTED_VALUE"""),0.0)</f>
        <v>0</v>
      </c>
      <c r="E1051" s="3">
        <f>IFERROR(__xludf.DUMMYFUNCTION("""COMPUTED_VALUE"""),0.0)</f>
        <v>0</v>
      </c>
      <c r="F1051" s="3" t="str">
        <f>IFERROR(__xludf.DUMMYFUNCTION("""COMPUTED_VALUE"""),"MKR")</f>
        <v>MKR</v>
      </c>
      <c r="G1051" s="3"/>
    </row>
    <row r="1052">
      <c r="A1052" s="3" t="str">
        <f>IFERROR(__xludf.DUMMYFUNCTION("""COMPUTED_VALUE"""),"2022-05-15T00:00:00Z")</f>
        <v>2022-05-15T00:00:00Z</v>
      </c>
      <c r="B1052" s="3">
        <f>IFERROR(__xludf.DUMMYFUNCTION("""COMPUTED_VALUE"""),1561.657775)</f>
        <v>1561.657775</v>
      </c>
      <c r="C1052" s="3">
        <f>IFERROR(__xludf.DUMMYFUNCTION("""COMPUTED_VALUE"""),977631.036951)</f>
        <v>977631.037</v>
      </c>
      <c r="D1052" s="3">
        <f>IFERROR(__xludf.DUMMYFUNCTION("""COMPUTED_VALUE"""),0.0)</f>
        <v>0</v>
      </c>
      <c r="E1052" s="3">
        <f>IFERROR(__xludf.DUMMYFUNCTION("""COMPUTED_VALUE"""),0.0)</f>
        <v>0</v>
      </c>
      <c r="F1052" s="3" t="str">
        <f>IFERROR(__xludf.DUMMYFUNCTION("""COMPUTED_VALUE"""),"MKR")</f>
        <v>MKR</v>
      </c>
      <c r="G1052" s="3"/>
    </row>
    <row r="1053">
      <c r="A1053" s="3" t="str">
        <f>IFERROR(__xludf.DUMMYFUNCTION("""COMPUTED_VALUE"""),"2022-05-16T00:00:00Z")</f>
        <v>2022-05-16T00:00:00Z</v>
      </c>
      <c r="B1053" s="3">
        <f>IFERROR(__xludf.DUMMYFUNCTION("""COMPUTED_VALUE"""),1573.207825)</f>
        <v>1573.207825</v>
      </c>
      <c r="C1053" s="3">
        <f>IFERROR(__xludf.DUMMYFUNCTION("""COMPUTED_VALUE"""),977631.036951)</f>
        <v>977631.037</v>
      </c>
      <c r="D1053" s="3">
        <f>IFERROR(__xludf.DUMMYFUNCTION("""COMPUTED_VALUE"""),0.0)</f>
        <v>0</v>
      </c>
      <c r="E1053" s="3">
        <f>IFERROR(__xludf.DUMMYFUNCTION("""COMPUTED_VALUE"""),0.0)</f>
        <v>0</v>
      </c>
      <c r="F1053" s="3" t="str">
        <f>IFERROR(__xludf.DUMMYFUNCTION("""COMPUTED_VALUE"""),"MKR")</f>
        <v>MKR</v>
      </c>
      <c r="G1053" s="3"/>
    </row>
    <row r="1054">
      <c r="A1054" s="3" t="str">
        <f>IFERROR(__xludf.DUMMYFUNCTION("""COMPUTED_VALUE"""),"2022-05-17T00:00:00Z")</f>
        <v>2022-05-17T00:00:00Z</v>
      </c>
      <c r="B1054" s="3">
        <f>IFERROR(__xludf.DUMMYFUNCTION("""COMPUTED_VALUE"""),1529.341422)</f>
        <v>1529.341422</v>
      </c>
      <c r="C1054" s="3">
        <f>IFERROR(__xludf.DUMMYFUNCTION("""COMPUTED_VALUE"""),977631.036951)</f>
        <v>977631.037</v>
      </c>
      <c r="D1054" s="3">
        <f>IFERROR(__xludf.DUMMYFUNCTION("""COMPUTED_VALUE"""),0.0)</f>
        <v>0</v>
      </c>
      <c r="E1054" s="3">
        <f>IFERROR(__xludf.DUMMYFUNCTION("""COMPUTED_VALUE"""),0.0)</f>
        <v>0</v>
      </c>
      <c r="F1054" s="3" t="str">
        <f>IFERROR(__xludf.DUMMYFUNCTION("""COMPUTED_VALUE"""),"MKR")</f>
        <v>MKR</v>
      </c>
      <c r="G1054" s="3"/>
    </row>
    <row r="1055">
      <c r="A1055" s="3" t="str">
        <f>IFERROR(__xludf.DUMMYFUNCTION("""COMPUTED_VALUE"""),"2022-05-18T00:00:00Z")</f>
        <v>2022-05-18T00:00:00Z</v>
      </c>
      <c r="B1055" s="3">
        <f>IFERROR(__xludf.DUMMYFUNCTION("""COMPUTED_VALUE"""),1570.414877)</f>
        <v>1570.414877</v>
      </c>
      <c r="C1055" s="3">
        <f>IFERROR(__xludf.DUMMYFUNCTION("""COMPUTED_VALUE"""),977631.036951)</f>
        <v>977631.037</v>
      </c>
      <c r="D1055" s="3">
        <f>IFERROR(__xludf.DUMMYFUNCTION("""COMPUTED_VALUE"""),0.0)</f>
        <v>0</v>
      </c>
      <c r="E1055" s="3">
        <f>IFERROR(__xludf.DUMMYFUNCTION("""COMPUTED_VALUE"""),0.0)</f>
        <v>0</v>
      </c>
      <c r="F1055" s="3" t="str">
        <f>IFERROR(__xludf.DUMMYFUNCTION("""COMPUTED_VALUE"""),"MKR")</f>
        <v>MKR</v>
      </c>
      <c r="G1055" s="3"/>
    </row>
    <row r="1056">
      <c r="A1056" s="3" t="str">
        <f>IFERROR(__xludf.DUMMYFUNCTION("""COMPUTED_VALUE"""),"2022-05-19T00:00:00Z")</f>
        <v>2022-05-19T00:00:00Z</v>
      </c>
      <c r="B1056" s="3">
        <f>IFERROR(__xludf.DUMMYFUNCTION("""COMPUTED_VALUE"""),1432.219514)</f>
        <v>1432.219514</v>
      </c>
      <c r="C1056" s="3">
        <f>IFERROR(__xludf.DUMMYFUNCTION("""COMPUTED_VALUE"""),977631.036951)</f>
        <v>977631.037</v>
      </c>
      <c r="D1056" s="3">
        <f>IFERROR(__xludf.DUMMYFUNCTION("""COMPUTED_VALUE"""),0.0)</f>
        <v>0</v>
      </c>
      <c r="E1056" s="3">
        <f>IFERROR(__xludf.DUMMYFUNCTION("""COMPUTED_VALUE"""),0.0)</f>
        <v>0</v>
      </c>
      <c r="F1056" s="3" t="str">
        <f>IFERROR(__xludf.DUMMYFUNCTION("""COMPUTED_VALUE"""),"MKR")</f>
        <v>MKR</v>
      </c>
      <c r="G1056" s="3"/>
    </row>
    <row r="1057">
      <c r="A1057" s="3" t="str">
        <f>IFERROR(__xludf.DUMMYFUNCTION("""COMPUTED_VALUE"""),"2022-05-20T00:00:00Z")</f>
        <v>2022-05-20T00:00:00Z</v>
      </c>
      <c r="B1057" s="3">
        <f>IFERROR(__xludf.DUMMYFUNCTION("""COMPUTED_VALUE"""),1433.37382)</f>
        <v>1433.37382</v>
      </c>
      <c r="C1057" s="3">
        <f>IFERROR(__xludf.DUMMYFUNCTION("""COMPUTED_VALUE"""),977631.036951)</f>
        <v>977631.037</v>
      </c>
      <c r="D1057" s="3">
        <f>IFERROR(__xludf.DUMMYFUNCTION("""COMPUTED_VALUE"""),0.0)</f>
        <v>0</v>
      </c>
      <c r="E1057" s="3">
        <f>IFERROR(__xludf.DUMMYFUNCTION("""COMPUTED_VALUE"""),0.0)</f>
        <v>0</v>
      </c>
      <c r="F1057" s="3" t="str">
        <f>IFERROR(__xludf.DUMMYFUNCTION("""COMPUTED_VALUE"""),"MKR")</f>
        <v>MKR</v>
      </c>
      <c r="G1057" s="3"/>
    </row>
    <row r="1058">
      <c r="A1058" s="3" t="str">
        <f>IFERROR(__xludf.DUMMYFUNCTION("""COMPUTED_VALUE"""),"2022-05-21T00:00:00Z")</f>
        <v>2022-05-21T00:00:00Z</v>
      </c>
      <c r="B1058" s="3">
        <f>IFERROR(__xludf.DUMMYFUNCTION("""COMPUTED_VALUE"""),1391.474934)</f>
        <v>1391.474934</v>
      </c>
      <c r="C1058" s="3">
        <f>IFERROR(__xludf.DUMMYFUNCTION("""COMPUTED_VALUE"""),977631.036951)</f>
        <v>977631.037</v>
      </c>
      <c r="D1058" s="3">
        <f>IFERROR(__xludf.DUMMYFUNCTION("""COMPUTED_VALUE"""),0.0)</f>
        <v>0</v>
      </c>
      <c r="E1058" s="3">
        <f>IFERROR(__xludf.DUMMYFUNCTION("""COMPUTED_VALUE"""),0.0)</f>
        <v>0</v>
      </c>
      <c r="F1058" s="3" t="str">
        <f>IFERROR(__xludf.DUMMYFUNCTION("""COMPUTED_VALUE"""),"MKR")</f>
        <v>MKR</v>
      </c>
      <c r="G1058" s="3"/>
    </row>
    <row r="1059">
      <c r="A1059" s="3" t="str">
        <f>IFERROR(__xludf.DUMMYFUNCTION("""COMPUTED_VALUE"""),"2022-05-22T00:00:00Z")</f>
        <v>2022-05-22T00:00:00Z</v>
      </c>
      <c r="B1059" s="3">
        <f>IFERROR(__xludf.DUMMYFUNCTION("""COMPUTED_VALUE"""),1398.341332)</f>
        <v>1398.341332</v>
      </c>
      <c r="C1059" s="3">
        <f>IFERROR(__xludf.DUMMYFUNCTION("""COMPUTED_VALUE"""),977631.036951)</f>
        <v>977631.037</v>
      </c>
      <c r="D1059" s="3">
        <f>IFERROR(__xludf.DUMMYFUNCTION("""COMPUTED_VALUE"""),0.0)</f>
        <v>0</v>
      </c>
      <c r="E1059" s="3">
        <f>IFERROR(__xludf.DUMMYFUNCTION("""COMPUTED_VALUE"""),0.0)</f>
        <v>0</v>
      </c>
      <c r="F1059" s="3" t="str">
        <f>IFERROR(__xludf.DUMMYFUNCTION("""COMPUTED_VALUE"""),"MKR")</f>
        <v>MKR</v>
      </c>
      <c r="G1059" s="3"/>
    </row>
    <row r="1060">
      <c r="A1060" s="3" t="str">
        <f>IFERROR(__xludf.DUMMYFUNCTION("""COMPUTED_VALUE"""),"2022-05-23T00:00:00Z")</f>
        <v>2022-05-23T00:00:00Z</v>
      </c>
      <c r="B1060" s="3">
        <f>IFERROR(__xludf.DUMMYFUNCTION("""COMPUTED_VALUE"""),1429.822309)</f>
        <v>1429.822309</v>
      </c>
      <c r="C1060" s="3">
        <f>IFERROR(__xludf.DUMMYFUNCTION("""COMPUTED_VALUE"""),977631.036951)</f>
        <v>977631.037</v>
      </c>
      <c r="D1060" s="3">
        <f>IFERROR(__xludf.DUMMYFUNCTION("""COMPUTED_VALUE"""),0.0)</f>
        <v>0</v>
      </c>
      <c r="E1060" s="3">
        <f>IFERROR(__xludf.DUMMYFUNCTION("""COMPUTED_VALUE"""),0.0)</f>
        <v>0</v>
      </c>
      <c r="F1060" s="3" t="str">
        <f>IFERROR(__xludf.DUMMYFUNCTION("""COMPUTED_VALUE"""),"MKR")</f>
        <v>MKR</v>
      </c>
      <c r="G1060" s="3"/>
    </row>
    <row r="1061">
      <c r="A1061" s="3" t="str">
        <f>IFERROR(__xludf.DUMMYFUNCTION("""COMPUTED_VALUE"""),"2022-05-24T00:00:00Z")</f>
        <v>2022-05-24T00:00:00Z</v>
      </c>
      <c r="B1061" s="3">
        <f>IFERROR(__xludf.DUMMYFUNCTION("""COMPUTED_VALUE"""),1302.794573)</f>
        <v>1302.794573</v>
      </c>
      <c r="C1061" s="3">
        <f>IFERROR(__xludf.DUMMYFUNCTION("""COMPUTED_VALUE"""),977631.036951)</f>
        <v>977631.037</v>
      </c>
      <c r="D1061" s="3">
        <f>IFERROR(__xludf.DUMMYFUNCTION("""COMPUTED_VALUE"""),0.0)</f>
        <v>0</v>
      </c>
      <c r="E1061" s="3">
        <f>IFERROR(__xludf.DUMMYFUNCTION("""COMPUTED_VALUE"""),0.0)</f>
        <v>0</v>
      </c>
      <c r="F1061" s="3" t="str">
        <f>IFERROR(__xludf.DUMMYFUNCTION("""COMPUTED_VALUE"""),"MKR")</f>
        <v>MKR</v>
      </c>
      <c r="G1061" s="3"/>
    </row>
    <row r="1062">
      <c r="A1062" s="3" t="str">
        <f>IFERROR(__xludf.DUMMYFUNCTION("""COMPUTED_VALUE"""),"2022-05-25T00:00:00Z")</f>
        <v>2022-05-25T00:00:00Z</v>
      </c>
      <c r="B1062" s="3">
        <f>IFERROR(__xludf.DUMMYFUNCTION("""COMPUTED_VALUE"""),1292.769131)</f>
        <v>1292.769131</v>
      </c>
      <c r="C1062" s="3">
        <f>IFERROR(__xludf.DUMMYFUNCTION("""COMPUTED_VALUE"""),977631.036951)</f>
        <v>977631.037</v>
      </c>
      <c r="D1062" s="3">
        <f>IFERROR(__xludf.DUMMYFUNCTION("""COMPUTED_VALUE"""),0.0)</f>
        <v>0</v>
      </c>
      <c r="E1062" s="3">
        <f>IFERROR(__xludf.DUMMYFUNCTION("""COMPUTED_VALUE"""),0.0)</f>
        <v>0</v>
      </c>
      <c r="F1062" s="3" t="str">
        <f>IFERROR(__xludf.DUMMYFUNCTION("""COMPUTED_VALUE"""),"MKR")</f>
        <v>MKR</v>
      </c>
      <c r="G1062" s="3"/>
    </row>
    <row r="1063">
      <c r="A1063" s="3" t="str">
        <f>IFERROR(__xludf.DUMMYFUNCTION("""COMPUTED_VALUE"""),"2022-05-26T00:00:00Z")</f>
        <v>2022-05-26T00:00:00Z</v>
      </c>
      <c r="B1063" s="3">
        <f>IFERROR(__xludf.DUMMYFUNCTION("""COMPUTED_VALUE"""),1260.950226)</f>
        <v>1260.950226</v>
      </c>
      <c r="C1063" s="3">
        <f>IFERROR(__xludf.DUMMYFUNCTION("""COMPUTED_VALUE"""),977631.036951)</f>
        <v>977631.037</v>
      </c>
      <c r="D1063" s="3">
        <f>IFERROR(__xludf.DUMMYFUNCTION("""COMPUTED_VALUE"""),0.0)</f>
        <v>0</v>
      </c>
      <c r="E1063" s="3">
        <f>IFERROR(__xludf.DUMMYFUNCTION("""COMPUTED_VALUE"""),0.0)</f>
        <v>0</v>
      </c>
      <c r="F1063" s="3" t="str">
        <f>IFERROR(__xludf.DUMMYFUNCTION("""COMPUTED_VALUE"""),"MKR")</f>
        <v>MKR</v>
      </c>
      <c r="G1063" s="3"/>
    </row>
    <row r="1064">
      <c r="A1064" s="3" t="str">
        <f>IFERROR(__xludf.DUMMYFUNCTION("""COMPUTED_VALUE"""),"2022-05-27T00:00:00Z")</f>
        <v>2022-05-27T00:00:00Z</v>
      </c>
      <c r="B1064" s="3">
        <f>IFERROR(__xludf.DUMMYFUNCTION("""COMPUTED_VALUE"""),1148.732535)</f>
        <v>1148.732535</v>
      </c>
      <c r="C1064" s="3">
        <f>IFERROR(__xludf.DUMMYFUNCTION("""COMPUTED_VALUE"""),977631.036951)</f>
        <v>977631.037</v>
      </c>
      <c r="D1064" s="3">
        <f>IFERROR(__xludf.DUMMYFUNCTION("""COMPUTED_VALUE"""),0.0)</f>
        <v>0</v>
      </c>
      <c r="E1064" s="3">
        <f>IFERROR(__xludf.DUMMYFUNCTION("""COMPUTED_VALUE"""),0.0)</f>
        <v>0</v>
      </c>
      <c r="F1064" s="3" t="str">
        <f>IFERROR(__xludf.DUMMYFUNCTION("""COMPUTED_VALUE"""),"MKR")</f>
        <v>MKR</v>
      </c>
      <c r="G1064" s="3"/>
    </row>
    <row r="1065">
      <c r="A1065" s="3" t="str">
        <f>IFERROR(__xludf.DUMMYFUNCTION("""COMPUTED_VALUE"""),"2022-05-28T00:00:00Z")</f>
        <v>2022-05-28T00:00:00Z</v>
      </c>
      <c r="B1065" s="3">
        <f>IFERROR(__xludf.DUMMYFUNCTION("""COMPUTED_VALUE"""),1119.690848)</f>
        <v>1119.690848</v>
      </c>
      <c r="C1065" s="3">
        <f>IFERROR(__xludf.DUMMYFUNCTION("""COMPUTED_VALUE"""),977631.036951)</f>
        <v>977631.037</v>
      </c>
      <c r="D1065" s="3">
        <f>IFERROR(__xludf.DUMMYFUNCTION("""COMPUTED_VALUE"""),0.0)</f>
        <v>0</v>
      </c>
      <c r="E1065" s="3">
        <f>IFERROR(__xludf.DUMMYFUNCTION("""COMPUTED_VALUE"""),0.0)</f>
        <v>0</v>
      </c>
      <c r="F1065" s="3" t="str">
        <f>IFERROR(__xludf.DUMMYFUNCTION("""COMPUTED_VALUE"""),"MKR")</f>
        <v>MKR</v>
      </c>
      <c r="G1065" s="3"/>
    </row>
    <row r="1066">
      <c r="A1066" s="3" t="str">
        <f>IFERROR(__xludf.DUMMYFUNCTION("""COMPUTED_VALUE"""),"2022-05-29T00:00:00Z")</f>
        <v>2022-05-29T00:00:00Z</v>
      </c>
      <c r="B1066" s="3">
        <f>IFERROR(__xludf.DUMMYFUNCTION("""COMPUTED_VALUE"""),1209.725863)</f>
        <v>1209.725863</v>
      </c>
      <c r="C1066" s="3">
        <f>IFERROR(__xludf.DUMMYFUNCTION("""COMPUTED_VALUE"""),977631.036951)</f>
        <v>977631.037</v>
      </c>
      <c r="D1066" s="3">
        <f>IFERROR(__xludf.DUMMYFUNCTION("""COMPUTED_VALUE"""),0.0)</f>
        <v>0</v>
      </c>
      <c r="E1066" s="3">
        <f>IFERROR(__xludf.DUMMYFUNCTION("""COMPUTED_VALUE"""),0.0)</f>
        <v>0</v>
      </c>
      <c r="F1066" s="3" t="str">
        <f>IFERROR(__xludf.DUMMYFUNCTION("""COMPUTED_VALUE"""),"MKR")</f>
        <v>MKR</v>
      </c>
      <c r="G1066" s="3"/>
    </row>
    <row r="1067">
      <c r="A1067" s="3" t="str">
        <f>IFERROR(__xludf.DUMMYFUNCTION("""COMPUTED_VALUE"""),"2022-05-30T00:00:00Z")</f>
        <v>2022-05-30T00:00:00Z</v>
      </c>
      <c r="B1067" s="3">
        <f>IFERROR(__xludf.DUMMYFUNCTION("""COMPUTED_VALUE"""),1193.138958)</f>
        <v>1193.138958</v>
      </c>
      <c r="C1067" s="3">
        <f>IFERROR(__xludf.DUMMYFUNCTION("""COMPUTED_VALUE"""),977631.036951)</f>
        <v>977631.037</v>
      </c>
      <c r="D1067" s="3">
        <f>IFERROR(__xludf.DUMMYFUNCTION("""COMPUTED_VALUE"""),0.0)</f>
        <v>0</v>
      </c>
      <c r="E1067" s="3">
        <f>IFERROR(__xludf.DUMMYFUNCTION("""COMPUTED_VALUE"""),0.0)</f>
        <v>0</v>
      </c>
      <c r="F1067" s="3" t="str">
        <f>IFERROR(__xludf.DUMMYFUNCTION("""COMPUTED_VALUE"""),"MKR")</f>
        <v>MKR</v>
      </c>
      <c r="G1067" s="3"/>
    </row>
    <row r="1068">
      <c r="A1068" s="3" t="str">
        <f>IFERROR(__xludf.DUMMYFUNCTION("""COMPUTED_VALUE"""),"2022-05-31T00:00:00Z")</f>
        <v>2022-05-31T00:00:00Z</v>
      </c>
      <c r="B1068" s="3">
        <f>IFERROR(__xludf.DUMMYFUNCTION("""COMPUTED_VALUE"""),1369.335622)</f>
        <v>1369.335622</v>
      </c>
      <c r="C1068" s="3">
        <f>IFERROR(__xludf.DUMMYFUNCTION("""COMPUTED_VALUE"""),977631.036951)</f>
        <v>977631.037</v>
      </c>
      <c r="D1068" s="3">
        <f>IFERROR(__xludf.DUMMYFUNCTION("""COMPUTED_VALUE"""),0.0)</f>
        <v>0</v>
      </c>
      <c r="E1068" s="3">
        <f>IFERROR(__xludf.DUMMYFUNCTION("""COMPUTED_VALUE"""),0.0)</f>
        <v>0</v>
      </c>
      <c r="F1068" s="3" t="str">
        <f>IFERROR(__xludf.DUMMYFUNCTION("""COMPUTED_VALUE"""),"MKR")</f>
        <v>MKR</v>
      </c>
      <c r="G1068" s="3"/>
    </row>
    <row r="1069">
      <c r="A1069" s="3" t="str">
        <f>IFERROR(__xludf.DUMMYFUNCTION("""COMPUTED_VALUE"""),"2022-06-01T00:00:00Z")</f>
        <v>2022-06-01T00:00:00Z</v>
      </c>
      <c r="B1069" s="3">
        <f>IFERROR(__xludf.DUMMYFUNCTION("""COMPUTED_VALUE"""),1321.135149)</f>
        <v>1321.135149</v>
      </c>
      <c r="C1069" s="3">
        <f>IFERROR(__xludf.DUMMYFUNCTION("""COMPUTED_VALUE"""),977631.036951)</f>
        <v>977631.037</v>
      </c>
      <c r="D1069" s="3">
        <f>IFERROR(__xludf.DUMMYFUNCTION("""COMPUTED_VALUE"""),0.0)</f>
        <v>0</v>
      </c>
      <c r="E1069" s="3">
        <f>IFERROR(__xludf.DUMMYFUNCTION("""COMPUTED_VALUE"""),0.0)</f>
        <v>0</v>
      </c>
      <c r="F1069" s="3" t="str">
        <f>IFERROR(__xludf.DUMMYFUNCTION("""COMPUTED_VALUE"""),"MKR")</f>
        <v>MKR</v>
      </c>
      <c r="G1069" s="3"/>
    </row>
    <row r="1070">
      <c r="A1070" s="3" t="str">
        <f>IFERROR(__xludf.DUMMYFUNCTION("""COMPUTED_VALUE"""),"2022-06-02T00:00:00Z")</f>
        <v>2022-06-02T00:00:00Z</v>
      </c>
      <c r="B1070" s="3">
        <f>IFERROR(__xludf.DUMMYFUNCTION("""COMPUTED_VALUE"""),1208.792993)</f>
        <v>1208.792993</v>
      </c>
      <c r="C1070" s="3">
        <f>IFERROR(__xludf.DUMMYFUNCTION("""COMPUTED_VALUE"""),977631.036951)</f>
        <v>977631.037</v>
      </c>
      <c r="D1070" s="3">
        <f>IFERROR(__xludf.DUMMYFUNCTION("""COMPUTED_VALUE"""),0.0)</f>
        <v>0</v>
      </c>
      <c r="E1070" s="3">
        <f>IFERROR(__xludf.DUMMYFUNCTION("""COMPUTED_VALUE"""),0.0)</f>
        <v>0</v>
      </c>
      <c r="F1070" s="3" t="str">
        <f>IFERROR(__xludf.DUMMYFUNCTION("""COMPUTED_VALUE"""),"MKR")</f>
        <v>MKR</v>
      </c>
      <c r="G1070" s="3"/>
    </row>
    <row r="1071">
      <c r="A1071" s="3" t="str">
        <f>IFERROR(__xludf.DUMMYFUNCTION("""COMPUTED_VALUE"""),"2022-06-03T00:00:00Z")</f>
        <v>2022-06-03T00:00:00Z</v>
      </c>
      <c r="B1071" s="3">
        <f>IFERROR(__xludf.DUMMYFUNCTION("""COMPUTED_VALUE"""),1205.110507)</f>
        <v>1205.110507</v>
      </c>
      <c r="C1071" s="3">
        <f>IFERROR(__xludf.DUMMYFUNCTION("""COMPUTED_VALUE"""),977631.036951)</f>
        <v>977631.037</v>
      </c>
      <c r="D1071" s="3">
        <f>IFERROR(__xludf.DUMMYFUNCTION("""COMPUTED_VALUE"""),0.0)</f>
        <v>0</v>
      </c>
      <c r="E1071" s="3">
        <f>IFERROR(__xludf.DUMMYFUNCTION("""COMPUTED_VALUE"""),0.0)</f>
        <v>0</v>
      </c>
      <c r="F1071" s="3" t="str">
        <f>IFERROR(__xludf.DUMMYFUNCTION("""COMPUTED_VALUE"""),"MKR")</f>
        <v>MKR</v>
      </c>
      <c r="G1071" s="3"/>
    </row>
    <row r="1072">
      <c r="A1072" s="3" t="str">
        <f>IFERROR(__xludf.DUMMYFUNCTION("""COMPUTED_VALUE"""),"2022-06-04T00:00:00Z")</f>
        <v>2022-06-04T00:00:00Z</v>
      </c>
      <c r="B1072" s="3">
        <f>IFERROR(__xludf.DUMMYFUNCTION("""COMPUTED_VALUE"""),1146.076319)</f>
        <v>1146.076319</v>
      </c>
      <c r="C1072" s="3">
        <f>IFERROR(__xludf.DUMMYFUNCTION("""COMPUTED_VALUE"""),977631.036951)</f>
        <v>977631.037</v>
      </c>
      <c r="D1072" s="3">
        <f>IFERROR(__xludf.DUMMYFUNCTION("""COMPUTED_VALUE"""),0.0)</f>
        <v>0</v>
      </c>
      <c r="E1072" s="3">
        <f>IFERROR(__xludf.DUMMYFUNCTION("""COMPUTED_VALUE"""),0.0)</f>
        <v>0</v>
      </c>
      <c r="F1072" s="3" t="str">
        <f>IFERROR(__xludf.DUMMYFUNCTION("""COMPUTED_VALUE"""),"MKR")</f>
        <v>MKR</v>
      </c>
      <c r="G1072" s="3"/>
    </row>
    <row r="1073">
      <c r="A1073" s="3" t="str">
        <f>IFERROR(__xludf.DUMMYFUNCTION("""COMPUTED_VALUE"""),"2022-06-05T00:00:00Z")</f>
        <v>2022-06-05T00:00:00Z</v>
      </c>
      <c r="B1073" s="3">
        <f>IFERROR(__xludf.DUMMYFUNCTION("""COMPUTED_VALUE"""),1172.772392)</f>
        <v>1172.772392</v>
      </c>
      <c r="C1073" s="3">
        <f>IFERROR(__xludf.DUMMYFUNCTION("""COMPUTED_VALUE"""),977631.036951)</f>
        <v>977631.037</v>
      </c>
      <c r="D1073" s="3">
        <f>IFERROR(__xludf.DUMMYFUNCTION("""COMPUTED_VALUE"""),0.0)</f>
        <v>0</v>
      </c>
      <c r="E1073" s="3">
        <f>IFERROR(__xludf.DUMMYFUNCTION("""COMPUTED_VALUE"""),0.0)</f>
        <v>0</v>
      </c>
      <c r="F1073" s="3" t="str">
        <f>IFERROR(__xludf.DUMMYFUNCTION("""COMPUTED_VALUE"""),"MKR")</f>
        <v>MKR</v>
      </c>
      <c r="G1073" s="3"/>
    </row>
    <row r="1074">
      <c r="A1074" s="3" t="str">
        <f>IFERROR(__xludf.DUMMYFUNCTION("""COMPUTED_VALUE"""),"2022-06-06T00:00:00Z")</f>
        <v>2022-06-06T00:00:00Z</v>
      </c>
      <c r="B1074" s="3">
        <f>IFERROR(__xludf.DUMMYFUNCTION("""COMPUTED_VALUE"""),1179.512609)</f>
        <v>1179.512609</v>
      </c>
      <c r="C1074" s="3">
        <f>IFERROR(__xludf.DUMMYFUNCTION("""COMPUTED_VALUE"""),977631.036951)</f>
        <v>977631.037</v>
      </c>
      <c r="D1074" s="3">
        <f>IFERROR(__xludf.DUMMYFUNCTION("""COMPUTED_VALUE"""),0.0)</f>
        <v>0</v>
      </c>
      <c r="E1074" s="3">
        <f>IFERROR(__xludf.DUMMYFUNCTION("""COMPUTED_VALUE"""),0.0)</f>
        <v>0</v>
      </c>
      <c r="F1074" s="3" t="str">
        <f>IFERROR(__xludf.DUMMYFUNCTION("""COMPUTED_VALUE"""),"MKR")</f>
        <v>MKR</v>
      </c>
      <c r="G1074" s="3"/>
    </row>
    <row r="1075">
      <c r="A1075" s="3" t="str">
        <f>IFERROR(__xludf.DUMMYFUNCTION("""COMPUTED_VALUE"""),"2022-06-07T00:00:00Z")</f>
        <v>2022-06-07T00:00:00Z</v>
      </c>
      <c r="B1075" s="3">
        <f>IFERROR(__xludf.DUMMYFUNCTION("""COMPUTED_VALUE"""),1211.12221)</f>
        <v>1211.12221</v>
      </c>
      <c r="C1075" s="3">
        <f>IFERROR(__xludf.DUMMYFUNCTION("""COMPUTED_VALUE"""),977631.036951)</f>
        <v>977631.037</v>
      </c>
      <c r="D1075" s="3">
        <f>IFERROR(__xludf.DUMMYFUNCTION("""COMPUTED_VALUE"""),0.0)</f>
        <v>0</v>
      </c>
      <c r="E1075" s="3">
        <f>IFERROR(__xludf.DUMMYFUNCTION("""COMPUTED_VALUE"""),0.0)</f>
        <v>0</v>
      </c>
      <c r="F1075" s="3" t="str">
        <f>IFERROR(__xludf.DUMMYFUNCTION("""COMPUTED_VALUE"""),"MKR")</f>
        <v>MKR</v>
      </c>
      <c r="G1075" s="3"/>
    </row>
    <row r="1076">
      <c r="A1076" s="3" t="str">
        <f>IFERROR(__xludf.DUMMYFUNCTION("""COMPUTED_VALUE"""),"2022-06-08T00:00:00Z")</f>
        <v>2022-06-08T00:00:00Z</v>
      </c>
      <c r="B1076" s="3">
        <f>IFERROR(__xludf.DUMMYFUNCTION("""COMPUTED_VALUE"""),1157.321912)</f>
        <v>1157.321912</v>
      </c>
      <c r="C1076" s="3">
        <f>IFERROR(__xludf.DUMMYFUNCTION("""COMPUTED_VALUE"""),977631.036951)</f>
        <v>977631.037</v>
      </c>
      <c r="D1076" s="3">
        <f>IFERROR(__xludf.DUMMYFUNCTION("""COMPUTED_VALUE"""),0.0)</f>
        <v>0</v>
      </c>
      <c r="E1076" s="3">
        <f>IFERROR(__xludf.DUMMYFUNCTION("""COMPUTED_VALUE"""),0.0)</f>
        <v>0</v>
      </c>
      <c r="F1076" s="3" t="str">
        <f>IFERROR(__xludf.DUMMYFUNCTION("""COMPUTED_VALUE"""),"MKR")</f>
        <v>MKR</v>
      </c>
      <c r="G1076" s="3"/>
    </row>
    <row r="1077">
      <c r="A1077" s="3" t="str">
        <f>IFERROR(__xludf.DUMMYFUNCTION("""COMPUTED_VALUE"""),"2022-06-09T00:00:00Z")</f>
        <v>2022-06-09T00:00:00Z</v>
      </c>
      <c r="B1077" s="3">
        <f>IFERROR(__xludf.DUMMYFUNCTION("""COMPUTED_VALUE"""),1154.816034)</f>
        <v>1154.816034</v>
      </c>
      <c r="C1077" s="3">
        <f>IFERROR(__xludf.DUMMYFUNCTION("""COMPUTED_VALUE"""),977631.036951)</f>
        <v>977631.037</v>
      </c>
      <c r="D1077" s="3">
        <f>IFERROR(__xludf.DUMMYFUNCTION("""COMPUTED_VALUE"""),0.0)</f>
        <v>0</v>
      </c>
      <c r="E1077" s="3">
        <f>IFERROR(__xludf.DUMMYFUNCTION("""COMPUTED_VALUE"""),0.0)</f>
        <v>0</v>
      </c>
      <c r="F1077" s="3" t="str">
        <f>IFERROR(__xludf.DUMMYFUNCTION("""COMPUTED_VALUE"""),"MKR")</f>
        <v>MKR</v>
      </c>
      <c r="G1077" s="3"/>
    </row>
    <row r="1078">
      <c r="A1078" s="3" t="str">
        <f>IFERROR(__xludf.DUMMYFUNCTION("""COMPUTED_VALUE"""),"2022-06-10T00:00:00Z")</f>
        <v>2022-06-10T00:00:00Z</v>
      </c>
      <c r="B1078" s="3">
        <f>IFERROR(__xludf.DUMMYFUNCTION("""COMPUTED_VALUE"""),1134.550694)</f>
        <v>1134.550694</v>
      </c>
      <c r="C1078" s="3">
        <f>IFERROR(__xludf.DUMMYFUNCTION("""COMPUTED_VALUE"""),977631.036951)</f>
        <v>977631.037</v>
      </c>
      <c r="D1078" s="3">
        <f>IFERROR(__xludf.DUMMYFUNCTION("""COMPUTED_VALUE"""),0.0)</f>
        <v>0</v>
      </c>
      <c r="E1078" s="3">
        <f>IFERROR(__xludf.DUMMYFUNCTION("""COMPUTED_VALUE"""),0.0)</f>
        <v>0</v>
      </c>
      <c r="F1078" s="3" t="str">
        <f>IFERROR(__xludf.DUMMYFUNCTION("""COMPUTED_VALUE"""),"MKR")</f>
        <v>MKR</v>
      </c>
      <c r="G1078" s="3"/>
    </row>
    <row r="1079">
      <c r="A1079" s="3" t="str">
        <f>IFERROR(__xludf.DUMMYFUNCTION("""COMPUTED_VALUE"""),"2022-06-11T00:00:00Z")</f>
        <v>2022-06-11T00:00:00Z</v>
      </c>
      <c r="B1079" s="3">
        <f>IFERROR(__xludf.DUMMYFUNCTION("""COMPUTED_VALUE"""),1044.750473)</f>
        <v>1044.750473</v>
      </c>
      <c r="C1079" s="3">
        <f>IFERROR(__xludf.DUMMYFUNCTION("""COMPUTED_VALUE"""),977631.036951)</f>
        <v>977631.037</v>
      </c>
      <c r="D1079" s="3">
        <f>IFERROR(__xludf.DUMMYFUNCTION("""COMPUTED_VALUE"""),0.0)</f>
        <v>0</v>
      </c>
      <c r="E1079" s="3">
        <f>IFERROR(__xludf.DUMMYFUNCTION("""COMPUTED_VALUE"""),0.0)</f>
        <v>0</v>
      </c>
      <c r="F1079" s="3" t="str">
        <f>IFERROR(__xludf.DUMMYFUNCTION("""COMPUTED_VALUE"""),"MKR")</f>
        <v>MKR</v>
      </c>
      <c r="G1079" s="3"/>
    </row>
    <row r="1080">
      <c r="A1080" s="3" t="str">
        <f>IFERROR(__xludf.DUMMYFUNCTION("""COMPUTED_VALUE"""),"2022-06-12T00:00:00Z")</f>
        <v>2022-06-12T00:00:00Z</v>
      </c>
      <c r="B1080" s="3">
        <f>IFERROR(__xludf.DUMMYFUNCTION("""COMPUTED_VALUE"""),989.129324)</f>
        <v>989.129324</v>
      </c>
      <c r="C1080" s="3">
        <f>IFERROR(__xludf.DUMMYFUNCTION("""COMPUTED_VALUE"""),977631.036951)</f>
        <v>977631.037</v>
      </c>
      <c r="D1080" s="3">
        <f>IFERROR(__xludf.DUMMYFUNCTION("""COMPUTED_VALUE"""),0.0)</f>
        <v>0</v>
      </c>
      <c r="E1080" s="3">
        <f>IFERROR(__xludf.DUMMYFUNCTION("""COMPUTED_VALUE"""),0.0)</f>
        <v>0</v>
      </c>
      <c r="F1080" s="3" t="str">
        <f>IFERROR(__xludf.DUMMYFUNCTION("""COMPUTED_VALUE"""),"MKR")</f>
        <v>MKR</v>
      </c>
      <c r="G1080" s="3"/>
    </row>
    <row r="1081">
      <c r="A1081" s="3" t="str">
        <f>IFERROR(__xludf.DUMMYFUNCTION("""COMPUTED_VALUE"""),"2022-06-13T00:00:00Z")</f>
        <v>2022-06-13T00:00:00Z</v>
      </c>
      <c r="B1081" s="3">
        <f>IFERROR(__xludf.DUMMYFUNCTION("""COMPUTED_VALUE"""),911.177587)</f>
        <v>911.177587</v>
      </c>
      <c r="C1081" s="3">
        <f>IFERROR(__xludf.DUMMYFUNCTION("""COMPUTED_VALUE"""),977631.036951)</f>
        <v>977631.037</v>
      </c>
      <c r="D1081" s="3">
        <f>IFERROR(__xludf.DUMMYFUNCTION("""COMPUTED_VALUE"""),0.0)</f>
        <v>0</v>
      </c>
      <c r="E1081" s="3">
        <f>IFERROR(__xludf.DUMMYFUNCTION("""COMPUTED_VALUE"""),0.0)</f>
        <v>0</v>
      </c>
      <c r="F1081" s="3" t="str">
        <f>IFERROR(__xludf.DUMMYFUNCTION("""COMPUTED_VALUE"""),"MKR")</f>
        <v>MKR</v>
      </c>
      <c r="G1081" s="3"/>
    </row>
    <row r="1082">
      <c r="A1082" s="3" t="str">
        <f>IFERROR(__xludf.DUMMYFUNCTION("""COMPUTED_VALUE"""),"2022-06-14T00:00:00Z")</f>
        <v>2022-06-14T00:00:00Z</v>
      </c>
      <c r="B1082" s="3">
        <f>IFERROR(__xludf.DUMMYFUNCTION("""COMPUTED_VALUE"""),761.449712)</f>
        <v>761.449712</v>
      </c>
      <c r="C1082" s="3">
        <f>IFERROR(__xludf.DUMMYFUNCTION("""COMPUTED_VALUE"""),977631.036951)</f>
        <v>977631.037</v>
      </c>
      <c r="D1082" s="3">
        <f>IFERROR(__xludf.DUMMYFUNCTION("""COMPUTED_VALUE"""),0.0)</f>
        <v>0</v>
      </c>
      <c r="E1082" s="3">
        <f>IFERROR(__xludf.DUMMYFUNCTION("""COMPUTED_VALUE"""),0.0)</f>
        <v>0</v>
      </c>
      <c r="F1082" s="3" t="str">
        <f>IFERROR(__xludf.DUMMYFUNCTION("""COMPUTED_VALUE"""),"MKR")</f>
        <v>MKR</v>
      </c>
      <c r="G1082" s="3"/>
    </row>
    <row r="1083">
      <c r="A1083" s="3" t="str">
        <f>IFERROR(__xludf.DUMMYFUNCTION("""COMPUTED_VALUE"""),"2022-06-15T00:00:00Z")</f>
        <v>2022-06-15T00:00:00Z</v>
      </c>
      <c r="B1083" s="3">
        <f>IFERROR(__xludf.DUMMYFUNCTION("""COMPUTED_VALUE"""),786.233662)</f>
        <v>786.233662</v>
      </c>
      <c r="C1083" s="3">
        <f>IFERROR(__xludf.DUMMYFUNCTION("""COMPUTED_VALUE"""),977631.036951)</f>
        <v>977631.037</v>
      </c>
      <c r="D1083" s="3">
        <f>IFERROR(__xludf.DUMMYFUNCTION("""COMPUTED_VALUE"""),0.0)</f>
        <v>0</v>
      </c>
      <c r="E1083" s="3">
        <f>IFERROR(__xludf.DUMMYFUNCTION("""COMPUTED_VALUE"""),0.0)</f>
        <v>0</v>
      </c>
      <c r="F1083" s="3" t="str">
        <f>IFERROR(__xludf.DUMMYFUNCTION("""COMPUTED_VALUE"""),"MKR")</f>
        <v>MKR</v>
      </c>
      <c r="G1083" s="3"/>
    </row>
    <row r="1084">
      <c r="A1084" s="3" t="str">
        <f>IFERROR(__xludf.DUMMYFUNCTION("""COMPUTED_VALUE"""),"2022-06-16T00:00:00Z")</f>
        <v>2022-06-16T00:00:00Z</v>
      </c>
      <c r="B1084" s="3">
        <f>IFERROR(__xludf.DUMMYFUNCTION("""COMPUTED_VALUE"""),827.117699)</f>
        <v>827.117699</v>
      </c>
      <c r="C1084" s="3">
        <f>IFERROR(__xludf.DUMMYFUNCTION("""COMPUTED_VALUE"""),977631.036951)</f>
        <v>977631.037</v>
      </c>
      <c r="D1084" s="3">
        <f>IFERROR(__xludf.DUMMYFUNCTION("""COMPUTED_VALUE"""),0.0)</f>
        <v>0</v>
      </c>
      <c r="E1084" s="3">
        <f>IFERROR(__xludf.DUMMYFUNCTION("""COMPUTED_VALUE"""),0.0)</f>
        <v>0</v>
      </c>
      <c r="F1084" s="3" t="str">
        <f>IFERROR(__xludf.DUMMYFUNCTION("""COMPUTED_VALUE"""),"MKR")</f>
        <v>MKR</v>
      </c>
      <c r="G1084" s="3"/>
    </row>
    <row r="1085">
      <c r="A1085" s="3" t="str">
        <f>IFERROR(__xludf.DUMMYFUNCTION("""COMPUTED_VALUE"""),"2022-06-17T00:00:00Z")</f>
        <v>2022-06-17T00:00:00Z</v>
      </c>
      <c r="B1085" s="3">
        <f>IFERROR(__xludf.DUMMYFUNCTION("""COMPUTED_VALUE"""),735.138136)</f>
        <v>735.138136</v>
      </c>
      <c r="C1085" s="3">
        <f>IFERROR(__xludf.DUMMYFUNCTION("""COMPUTED_VALUE"""),977631.036951)</f>
        <v>977631.037</v>
      </c>
      <c r="D1085" s="3">
        <f>IFERROR(__xludf.DUMMYFUNCTION("""COMPUTED_VALUE"""),0.0)</f>
        <v>0</v>
      </c>
      <c r="E1085" s="3">
        <f>IFERROR(__xludf.DUMMYFUNCTION("""COMPUTED_VALUE"""),0.0)</f>
        <v>0</v>
      </c>
      <c r="F1085" s="3" t="str">
        <f>IFERROR(__xludf.DUMMYFUNCTION("""COMPUTED_VALUE"""),"MKR")</f>
        <v>MKR</v>
      </c>
      <c r="G1085" s="3"/>
    </row>
    <row r="1086">
      <c r="A1086" s="3" t="str">
        <f>IFERROR(__xludf.DUMMYFUNCTION("""COMPUTED_VALUE"""),"2022-06-18T00:00:00Z")</f>
        <v>2022-06-18T00:00:00Z</v>
      </c>
      <c r="B1086" s="3">
        <f>IFERROR(__xludf.DUMMYFUNCTION("""COMPUTED_VALUE"""),766.259839)</f>
        <v>766.259839</v>
      </c>
      <c r="C1086" s="3">
        <f>IFERROR(__xludf.DUMMYFUNCTION("""COMPUTED_VALUE"""),977631.036951)</f>
        <v>977631.037</v>
      </c>
      <c r="D1086" s="3">
        <f>IFERROR(__xludf.DUMMYFUNCTION("""COMPUTED_VALUE"""),0.0)</f>
        <v>0</v>
      </c>
      <c r="E1086" s="3">
        <f>IFERROR(__xludf.DUMMYFUNCTION("""COMPUTED_VALUE"""),0.0)</f>
        <v>0</v>
      </c>
      <c r="F1086" s="3" t="str">
        <f>IFERROR(__xludf.DUMMYFUNCTION("""COMPUTED_VALUE"""),"MKR")</f>
        <v>MKR</v>
      </c>
      <c r="G1086" s="3"/>
    </row>
    <row r="1087">
      <c r="A1087" s="3" t="str">
        <f>IFERROR(__xludf.DUMMYFUNCTION("""COMPUTED_VALUE"""),"2022-06-19T00:00:00Z")</f>
        <v>2022-06-19T00:00:00Z</v>
      </c>
      <c r="B1087" s="3">
        <f>IFERROR(__xludf.DUMMYFUNCTION("""COMPUTED_VALUE"""),731.937656)</f>
        <v>731.937656</v>
      </c>
      <c r="C1087" s="3">
        <f>IFERROR(__xludf.DUMMYFUNCTION("""COMPUTED_VALUE"""),977631.036951)</f>
        <v>977631.037</v>
      </c>
      <c r="D1087" s="3">
        <f>IFERROR(__xludf.DUMMYFUNCTION("""COMPUTED_VALUE"""),0.0)</f>
        <v>0</v>
      </c>
      <c r="E1087" s="3">
        <f>IFERROR(__xludf.DUMMYFUNCTION("""COMPUTED_VALUE"""),0.0)</f>
        <v>0</v>
      </c>
      <c r="F1087" s="3" t="str">
        <f>IFERROR(__xludf.DUMMYFUNCTION("""COMPUTED_VALUE"""),"MKR")</f>
        <v>MKR</v>
      </c>
      <c r="G1087" s="3"/>
    </row>
    <row r="1088">
      <c r="A1088" s="3" t="str">
        <f>IFERROR(__xludf.DUMMYFUNCTION("""COMPUTED_VALUE"""),"2022-06-20T00:00:00Z")</f>
        <v>2022-06-20T00:00:00Z</v>
      </c>
      <c r="B1088" s="3">
        <f>IFERROR(__xludf.DUMMYFUNCTION("""COMPUTED_VALUE"""),905.245616)</f>
        <v>905.245616</v>
      </c>
      <c r="C1088" s="3">
        <f>IFERROR(__xludf.DUMMYFUNCTION("""COMPUTED_VALUE"""),977631.036951)</f>
        <v>977631.037</v>
      </c>
      <c r="D1088" s="3">
        <f>IFERROR(__xludf.DUMMYFUNCTION("""COMPUTED_VALUE"""),0.0)</f>
        <v>0</v>
      </c>
      <c r="E1088" s="3">
        <f>IFERROR(__xludf.DUMMYFUNCTION("""COMPUTED_VALUE"""),0.0)</f>
        <v>0</v>
      </c>
      <c r="F1088" s="3" t="str">
        <f>IFERROR(__xludf.DUMMYFUNCTION("""COMPUTED_VALUE"""),"MKR")</f>
        <v>MKR</v>
      </c>
      <c r="G1088" s="3"/>
    </row>
    <row r="1089">
      <c r="A1089" s="3" t="str">
        <f>IFERROR(__xludf.DUMMYFUNCTION("""COMPUTED_VALUE"""),"2022-06-21T00:00:00Z")</f>
        <v>2022-06-21T00:00:00Z</v>
      </c>
      <c r="B1089" s="3">
        <f>IFERROR(__xludf.DUMMYFUNCTION("""COMPUTED_VALUE"""),899.822742)</f>
        <v>899.822742</v>
      </c>
      <c r="C1089" s="3">
        <f>IFERROR(__xludf.DUMMYFUNCTION("""COMPUTED_VALUE"""),977631.036951)</f>
        <v>977631.037</v>
      </c>
      <c r="D1089" s="3">
        <f>IFERROR(__xludf.DUMMYFUNCTION("""COMPUTED_VALUE"""),0.0)</f>
        <v>0</v>
      </c>
      <c r="E1089" s="3">
        <f>IFERROR(__xludf.DUMMYFUNCTION("""COMPUTED_VALUE"""),0.0)</f>
        <v>0</v>
      </c>
      <c r="F1089" s="3" t="str">
        <f>IFERROR(__xludf.DUMMYFUNCTION("""COMPUTED_VALUE"""),"MKR")</f>
        <v>MKR</v>
      </c>
      <c r="G1089" s="3"/>
    </row>
    <row r="1090">
      <c r="A1090" s="3" t="str">
        <f>IFERROR(__xludf.DUMMYFUNCTION("""COMPUTED_VALUE"""),"2022-06-22T00:00:00Z")</f>
        <v>2022-06-22T00:00:00Z</v>
      </c>
      <c r="B1090" s="3">
        <f>IFERROR(__xludf.DUMMYFUNCTION("""COMPUTED_VALUE"""),920.875115)</f>
        <v>920.875115</v>
      </c>
      <c r="C1090" s="3">
        <f>IFERROR(__xludf.DUMMYFUNCTION("""COMPUTED_VALUE"""),977631.036951)</f>
        <v>977631.037</v>
      </c>
      <c r="D1090" s="3">
        <f>IFERROR(__xludf.DUMMYFUNCTION("""COMPUTED_VALUE"""),0.0)</f>
        <v>0</v>
      </c>
      <c r="E1090" s="3">
        <f>IFERROR(__xludf.DUMMYFUNCTION("""COMPUTED_VALUE"""),0.0)</f>
        <v>0</v>
      </c>
      <c r="F1090" s="3" t="str">
        <f>IFERROR(__xludf.DUMMYFUNCTION("""COMPUTED_VALUE"""),"MKR")</f>
        <v>MKR</v>
      </c>
      <c r="G1090" s="3"/>
    </row>
    <row r="1091">
      <c r="A1091" s="3" t="str">
        <f>IFERROR(__xludf.DUMMYFUNCTION("""COMPUTED_VALUE"""),"2022-06-23T00:00:00Z")</f>
        <v>2022-06-23T00:00:00Z</v>
      </c>
      <c r="B1091" s="3">
        <f>IFERROR(__xludf.DUMMYFUNCTION("""COMPUTED_VALUE"""),882.796852)</f>
        <v>882.796852</v>
      </c>
      <c r="C1091" s="3">
        <f>IFERROR(__xludf.DUMMYFUNCTION("""COMPUTED_VALUE"""),977631.036951)</f>
        <v>977631.037</v>
      </c>
      <c r="D1091" s="3">
        <f>IFERROR(__xludf.DUMMYFUNCTION("""COMPUTED_VALUE"""),0.0)</f>
        <v>0</v>
      </c>
      <c r="E1091" s="3">
        <f>IFERROR(__xludf.DUMMYFUNCTION("""COMPUTED_VALUE"""),0.0)</f>
        <v>0</v>
      </c>
      <c r="F1091" s="3" t="str">
        <f>IFERROR(__xludf.DUMMYFUNCTION("""COMPUTED_VALUE"""),"MKR")</f>
        <v>MKR</v>
      </c>
      <c r="G1091" s="3"/>
    </row>
    <row r="1092">
      <c r="A1092" s="3" t="str">
        <f>IFERROR(__xludf.DUMMYFUNCTION("""COMPUTED_VALUE"""),"2022-06-24T00:00:00Z")</f>
        <v>2022-06-24T00:00:00Z</v>
      </c>
      <c r="B1092" s="3">
        <f>IFERROR(__xludf.DUMMYFUNCTION("""COMPUTED_VALUE"""),977.29259)</f>
        <v>977.29259</v>
      </c>
      <c r="C1092" s="3">
        <f>IFERROR(__xludf.DUMMYFUNCTION("""COMPUTED_VALUE"""),977631.036951)</f>
        <v>977631.037</v>
      </c>
      <c r="D1092" s="3">
        <f>IFERROR(__xludf.DUMMYFUNCTION("""COMPUTED_VALUE"""),0.0)</f>
        <v>0</v>
      </c>
      <c r="E1092" s="3">
        <f>IFERROR(__xludf.DUMMYFUNCTION("""COMPUTED_VALUE"""),0.0)</f>
        <v>0</v>
      </c>
      <c r="F1092" s="3" t="str">
        <f>IFERROR(__xludf.DUMMYFUNCTION("""COMPUTED_VALUE"""),"MKR")</f>
        <v>MKR</v>
      </c>
      <c r="G1092" s="3"/>
    </row>
    <row r="1093">
      <c r="A1093" s="3" t="str">
        <f>IFERROR(__xludf.DUMMYFUNCTION("""COMPUTED_VALUE"""),"2022-06-25T00:00:00Z")</f>
        <v>2022-06-25T00:00:00Z</v>
      </c>
      <c r="B1093" s="3">
        <f>IFERROR(__xludf.DUMMYFUNCTION("""COMPUTED_VALUE"""),1050.843273)</f>
        <v>1050.843273</v>
      </c>
      <c r="C1093" s="3">
        <f>IFERROR(__xludf.DUMMYFUNCTION("""COMPUTED_VALUE"""),977631.036951)</f>
        <v>977631.037</v>
      </c>
      <c r="D1093" s="3">
        <f>IFERROR(__xludf.DUMMYFUNCTION("""COMPUTED_VALUE"""),0.0)</f>
        <v>0</v>
      </c>
      <c r="E1093" s="3">
        <f>IFERROR(__xludf.DUMMYFUNCTION("""COMPUTED_VALUE"""),0.0)</f>
        <v>0</v>
      </c>
      <c r="F1093" s="3" t="str">
        <f>IFERROR(__xludf.DUMMYFUNCTION("""COMPUTED_VALUE"""),"MKR")</f>
        <v>MKR</v>
      </c>
      <c r="G1093" s="3"/>
    </row>
    <row r="1094">
      <c r="A1094" s="3" t="str">
        <f>IFERROR(__xludf.DUMMYFUNCTION("""COMPUTED_VALUE"""),"2022-06-26T00:00:00Z")</f>
        <v>2022-06-26T00:00:00Z</v>
      </c>
      <c r="B1094" s="3">
        <f>IFERROR(__xludf.DUMMYFUNCTION("""COMPUTED_VALUE"""),1034.220757)</f>
        <v>1034.220757</v>
      </c>
      <c r="C1094" s="3">
        <f>IFERROR(__xludf.DUMMYFUNCTION("""COMPUTED_VALUE"""),977631.036951)</f>
        <v>977631.037</v>
      </c>
      <c r="D1094" s="3">
        <f>IFERROR(__xludf.DUMMYFUNCTION("""COMPUTED_VALUE"""),0.0)</f>
        <v>0</v>
      </c>
      <c r="E1094" s="3">
        <f>IFERROR(__xludf.DUMMYFUNCTION("""COMPUTED_VALUE"""),0.0)</f>
        <v>0</v>
      </c>
      <c r="F1094" s="3" t="str">
        <f>IFERROR(__xludf.DUMMYFUNCTION("""COMPUTED_VALUE"""),"MKR")</f>
        <v>MKR</v>
      </c>
      <c r="G1094" s="3"/>
    </row>
    <row r="1095">
      <c r="A1095" s="3" t="str">
        <f>IFERROR(__xludf.DUMMYFUNCTION("""COMPUTED_VALUE"""),"2022-06-27T00:00:00Z")</f>
        <v>2022-06-27T00:00:00Z</v>
      </c>
      <c r="B1095" s="3">
        <f>IFERROR(__xludf.DUMMYFUNCTION("""COMPUTED_VALUE"""),1000.608405)</f>
        <v>1000.608405</v>
      </c>
      <c r="C1095" s="3">
        <f>IFERROR(__xludf.DUMMYFUNCTION("""COMPUTED_VALUE"""),977631.036951)</f>
        <v>977631.037</v>
      </c>
      <c r="D1095" s="3">
        <f>IFERROR(__xludf.DUMMYFUNCTION("""COMPUTED_VALUE"""),0.0)</f>
        <v>0</v>
      </c>
      <c r="E1095" s="3">
        <f>IFERROR(__xludf.DUMMYFUNCTION("""COMPUTED_VALUE"""),0.0)</f>
        <v>0</v>
      </c>
      <c r="F1095" s="3" t="str">
        <f>IFERROR(__xludf.DUMMYFUNCTION("""COMPUTED_VALUE"""),"MKR")</f>
        <v>MKR</v>
      </c>
      <c r="G1095" s="3"/>
    </row>
    <row r="1096">
      <c r="A1096" s="3" t="str">
        <f>IFERROR(__xludf.DUMMYFUNCTION("""COMPUTED_VALUE"""),"2022-06-28T00:00:00Z")</f>
        <v>2022-06-28T00:00:00Z</v>
      </c>
      <c r="B1096" s="3">
        <f>IFERROR(__xludf.DUMMYFUNCTION("""COMPUTED_VALUE"""),1000.902162)</f>
        <v>1000.902162</v>
      </c>
      <c r="C1096" s="3">
        <f>IFERROR(__xludf.DUMMYFUNCTION("""COMPUTED_VALUE"""),977631.036951)</f>
        <v>977631.037</v>
      </c>
      <c r="D1096" s="3">
        <f>IFERROR(__xludf.DUMMYFUNCTION("""COMPUTED_VALUE"""),0.0)</f>
        <v>0</v>
      </c>
      <c r="E1096" s="3">
        <f>IFERROR(__xludf.DUMMYFUNCTION("""COMPUTED_VALUE"""),0.0)</f>
        <v>0</v>
      </c>
      <c r="F1096" s="3" t="str">
        <f>IFERROR(__xludf.DUMMYFUNCTION("""COMPUTED_VALUE"""),"MKR")</f>
        <v>MKR</v>
      </c>
      <c r="G1096" s="3"/>
    </row>
    <row r="1097">
      <c r="A1097" s="3" t="str">
        <f>IFERROR(__xludf.DUMMYFUNCTION("""COMPUTED_VALUE"""),"2022-06-29T00:00:00Z")</f>
        <v>2022-06-29T00:00:00Z</v>
      </c>
      <c r="B1097" s="3">
        <f>IFERROR(__xludf.DUMMYFUNCTION("""COMPUTED_VALUE"""),944.907829)</f>
        <v>944.907829</v>
      </c>
      <c r="C1097" s="3">
        <f>IFERROR(__xludf.DUMMYFUNCTION("""COMPUTED_VALUE"""),977631.036951)</f>
        <v>977631.037</v>
      </c>
      <c r="D1097" s="3">
        <f>IFERROR(__xludf.DUMMYFUNCTION("""COMPUTED_VALUE"""),0.0)</f>
        <v>0</v>
      </c>
      <c r="E1097" s="3">
        <f>IFERROR(__xludf.DUMMYFUNCTION("""COMPUTED_VALUE"""),0.0)</f>
        <v>0</v>
      </c>
      <c r="F1097" s="3" t="str">
        <f>IFERROR(__xludf.DUMMYFUNCTION("""COMPUTED_VALUE"""),"MKR")</f>
        <v>MKR</v>
      </c>
      <c r="G1097" s="3"/>
    </row>
    <row r="1098">
      <c r="A1098" s="3" t="str">
        <f>IFERROR(__xludf.DUMMYFUNCTION("""COMPUTED_VALUE"""),"2022-06-30T00:00:00Z")</f>
        <v>2022-06-30T00:00:00Z</v>
      </c>
      <c r="B1098" s="3">
        <f>IFERROR(__xludf.DUMMYFUNCTION("""COMPUTED_VALUE"""),910.085481)</f>
        <v>910.085481</v>
      </c>
      <c r="C1098" s="3">
        <f>IFERROR(__xludf.DUMMYFUNCTION("""COMPUTED_VALUE"""),977631.036951)</f>
        <v>977631.037</v>
      </c>
      <c r="D1098" s="3">
        <f>IFERROR(__xludf.DUMMYFUNCTION("""COMPUTED_VALUE"""),0.0)</f>
        <v>0</v>
      </c>
      <c r="E1098" s="3">
        <f>IFERROR(__xludf.DUMMYFUNCTION("""COMPUTED_VALUE"""),0.0)</f>
        <v>0</v>
      </c>
      <c r="F1098" s="3" t="str">
        <f>IFERROR(__xludf.DUMMYFUNCTION("""COMPUTED_VALUE"""),"MKR")</f>
        <v>MKR</v>
      </c>
      <c r="G1098" s="3"/>
    </row>
    <row r="1099">
      <c r="A1099" s="3" t="str">
        <f>IFERROR(__xludf.DUMMYFUNCTION("""COMPUTED_VALUE"""),"2022-07-01T00:00:00Z")</f>
        <v>2022-07-01T00:00:00Z</v>
      </c>
      <c r="B1099" s="3">
        <f>IFERROR(__xludf.DUMMYFUNCTION("""COMPUTED_VALUE"""),907.708961)</f>
        <v>907.708961</v>
      </c>
      <c r="C1099" s="3">
        <f>IFERROR(__xludf.DUMMYFUNCTION("""COMPUTED_VALUE"""),977631.036951)</f>
        <v>977631.037</v>
      </c>
      <c r="D1099" s="3">
        <f>IFERROR(__xludf.DUMMYFUNCTION("""COMPUTED_VALUE"""),0.0)</f>
        <v>0</v>
      </c>
      <c r="E1099" s="3">
        <f>IFERROR(__xludf.DUMMYFUNCTION("""COMPUTED_VALUE"""),0.0)</f>
        <v>0</v>
      </c>
      <c r="F1099" s="3" t="str">
        <f>IFERROR(__xludf.DUMMYFUNCTION("""COMPUTED_VALUE"""),"MKR")</f>
        <v>MKR</v>
      </c>
      <c r="G1099" s="3"/>
    </row>
    <row r="1100">
      <c r="A1100" s="3" t="str">
        <f>IFERROR(__xludf.DUMMYFUNCTION("""COMPUTED_VALUE"""),"2022-07-02T00:00:00Z")</f>
        <v>2022-07-02T00:00:00Z</v>
      </c>
      <c r="B1100" s="3">
        <f>IFERROR(__xludf.DUMMYFUNCTION("""COMPUTED_VALUE"""),892.839193)</f>
        <v>892.839193</v>
      </c>
      <c r="C1100" s="3">
        <f>IFERROR(__xludf.DUMMYFUNCTION("""COMPUTED_VALUE"""),977631.036951)</f>
        <v>977631.037</v>
      </c>
      <c r="D1100" s="3">
        <f>IFERROR(__xludf.DUMMYFUNCTION("""COMPUTED_VALUE"""),0.0)</f>
        <v>0</v>
      </c>
      <c r="E1100" s="3">
        <f>IFERROR(__xludf.DUMMYFUNCTION("""COMPUTED_VALUE"""),0.0)</f>
        <v>0</v>
      </c>
      <c r="F1100" s="3" t="str">
        <f>IFERROR(__xludf.DUMMYFUNCTION("""COMPUTED_VALUE"""),"MKR")</f>
        <v>MKR</v>
      </c>
      <c r="G1100" s="3"/>
    </row>
    <row r="1101">
      <c r="A1101" s="3" t="str">
        <f>IFERROR(__xludf.DUMMYFUNCTION("""COMPUTED_VALUE"""),"2022-07-03T00:00:00Z")</f>
        <v>2022-07-03T00:00:00Z</v>
      </c>
      <c r="B1101" s="3">
        <f>IFERROR(__xludf.DUMMYFUNCTION("""COMPUTED_VALUE"""),907.097228)</f>
        <v>907.097228</v>
      </c>
      <c r="C1101" s="3">
        <f>IFERROR(__xludf.DUMMYFUNCTION("""COMPUTED_VALUE"""),977631.036951)</f>
        <v>977631.037</v>
      </c>
      <c r="D1101" s="3">
        <f>IFERROR(__xludf.DUMMYFUNCTION("""COMPUTED_VALUE"""),0.0)</f>
        <v>0</v>
      </c>
      <c r="E1101" s="3">
        <f>IFERROR(__xludf.DUMMYFUNCTION("""COMPUTED_VALUE"""),0.0)</f>
        <v>0</v>
      </c>
      <c r="F1101" s="3" t="str">
        <f>IFERROR(__xludf.DUMMYFUNCTION("""COMPUTED_VALUE"""),"MKR")</f>
        <v>MKR</v>
      </c>
      <c r="G1101" s="3"/>
    </row>
    <row r="1102">
      <c r="A1102" s="3" t="str">
        <f>IFERROR(__xludf.DUMMYFUNCTION("""COMPUTED_VALUE"""),"2022-07-04T00:00:00Z")</f>
        <v>2022-07-04T00:00:00Z</v>
      </c>
      <c r="B1102" s="3">
        <f>IFERROR(__xludf.DUMMYFUNCTION("""COMPUTED_VALUE"""),902.973418)</f>
        <v>902.973418</v>
      </c>
      <c r="C1102" s="3">
        <f>IFERROR(__xludf.DUMMYFUNCTION("""COMPUTED_VALUE"""),977631.036951)</f>
        <v>977631.037</v>
      </c>
      <c r="D1102" s="3">
        <f>IFERROR(__xludf.DUMMYFUNCTION("""COMPUTED_VALUE"""),0.0)</f>
        <v>0</v>
      </c>
      <c r="E1102" s="3">
        <f>IFERROR(__xludf.DUMMYFUNCTION("""COMPUTED_VALUE"""),0.0)</f>
        <v>0</v>
      </c>
      <c r="F1102" s="3" t="str">
        <f>IFERROR(__xludf.DUMMYFUNCTION("""COMPUTED_VALUE"""),"MKR")</f>
        <v>MKR</v>
      </c>
      <c r="G1102" s="3"/>
    </row>
    <row r="1103">
      <c r="A1103" s="3" t="str">
        <f>IFERROR(__xludf.DUMMYFUNCTION("""COMPUTED_VALUE"""),"2022-07-05T00:00:00Z")</f>
        <v>2022-07-05T00:00:00Z</v>
      </c>
      <c r="B1103" s="3">
        <f>IFERROR(__xludf.DUMMYFUNCTION("""COMPUTED_VALUE"""),940.750624)</f>
        <v>940.750624</v>
      </c>
      <c r="C1103" s="3">
        <f>IFERROR(__xludf.DUMMYFUNCTION("""COMPUTED_VALUE"""),977631.036951)</f>
        <v>977631.037</v>
      </c>
      <c r="D1103" s="3">
        <f>IFERROR(__xludf.DUMMYFUNCTION("""COMPUTED_VALUE"""),0.0)</f>
        <v>0</v>
      </c>
      <c r="E1103" s="3">
        <f>IFERROR(__xludf.DUMMYFUNCTION("""COMPUTED_VALUE"""),0.0)</f>
        <v>0</v>
      </c>
      <c r="F1103" s="3" t="str">
        <f>IFERROR(__xludf.DUMMYFUNCTION("""COMPUTED_VALUE"""),"MKR")</f>
        <v>MKR</v>
      </c>
      <c r="G1103" s="3"/>
    </row>
    <row r="1104">
      <c r="A1104" s="3" t="str">
        <f>IFERROR(__xludf.DUMMYFUNCTION("""COMPUTED_VALUE"""),"2022-07-06T00:00:00Z")</f>
        <v>2022-07-06T00:00:00Z</v>
      </c>
      <c r="B1104" s="3">
        <f>IFERROR(__xludf.DUMMYFUNCTION("""COMPUTED_VALUE"""),932.291113)</f>
        <v>932.291113</v>
      </c>
      <c r="C1104" s="3">
        <f>IFERROR(__xludf.DUMMYFUNCTION("""COMPUTED_VALUE"""),977631.036951)</f>
        <v>977631.037</v>
      </c>
      <c r="D1104" s="3">
        <f>IFERROR(__xludf.DUMMYFUNCTION("""COMPUTED_VALUE"""),0.0)</f>
        <v>0</v>
      </c>
      <c r="E1104" s="3">
        <f>IFERROR(__xludf.DUMMYFUNCTION("""COMPUTED_VALUE"""),0.0)</f>
        <v>0</v>
      </c>
      <c r="F1104" s="3" t="str">
        <f>IFERROR(__xludf.DUMMYFUNCTION("""COMPUTED_VALUE"""),"MKR")</f>
        <v>MKR</v>
      </c>
      <c r="G1104" s="3"/>
    </row>
    <row r="1105">
      <c r="A1105" s="3" t="str">
        <f>IFERROR(__xludf.DUMMYFUNCTION("""COMPUTED_VALUE"""),"2022-07-07T00:00:00Z")</f>
        <v>2022-07-07T00:00:00Z</v>
      </c>
      <c r="B1105" s="3">
        <f>IFERROR(__xludf.DUMMYFUNCTION("""COMPUTED_VALUE"""),996.30388)</f>
        <v>996.30388</v>
      </c>
      <c r="C1105" s="3">
        <f>IFERROR(__xludf.DUMMYFUNCTION("""COMPUTED_VALUE"""),977631.036951)</f>
        <v>977631.037</v>
      </c>
      <c r="D1105" s="3">
        <f>IFERROR(__xludf.DUMMYFUNCTION("""COMPUTED_VALUE"""),0.0)</f>
        <v>0</v>
      </c>
      <c r="E1105" s="3">
        <f>IFERROR(__xludf.DUMMYFUNCTION("""COMPUTED_VALUE"""),0.0)</f>
        <v>0</v>
      </c>
      <c r="F1105" s="3" t="str">
        <f>IFERROR(__xludf.DUMMYFUNCTION("""COMPUTED_VALUE"""),"MKR")</f>
        <v>MKR</v>
      </c>
      <c r="G1105" s="3"/>
    </row>
    <row r="1106">
      <c r="A1106" s="3" t="str">
        <f>IFERROR(__xludf.DUMMYFUNCTION("""COMPUTED_VALUE"""),"2022-07-08T00:00:00Z")</f>
        <v>2022-07-08T00:00:00Z</v>
      </c>
      <c r="B1106" s="3">
        <f>IFERROR(__xludf.DUMMYFUNCTION("""COMPUTED_VALUE"""),989.061116)</f>
        <v>989.061116</v>
      </c>
      <c r="C1106" s="3">
        <f>IFERROR(__xludf.DUMMYFUNCTION("""COMPUTED_VALUE"""),977631.036951)</f>
        <v>977631.037</v>
      </c>
      <c r="D1106" s="3">
        <f>IFERROR(__xludf.DUMMYFUNCTION("""COMPUTED_VALUE"""),0.0)</f>
        <v>0</v>
      </c>
      <c r="E1106" s="3">
        <f>IFERROR(__xludf.DUMMYFUNCTION("""COMPUTED_VALUE"""),0.0)</f>
        <v>0</v>
      </c>
      <c r="F1106" s="3" t="str">
        <f>IFERROR(__xludf.DUMMYFUNCTION("""COMPUTED_VALUE"""),"MKR")</f>
        <v>MKR</v>
      </c>
      <c r="G1106" s="3"/>
    </row>
    <row r="1107">
      <c r="A1107" s="3" t="str">
        <f>IFERROR(__xludf.DUMMYFUNCTION("""COMPUTED_VALUE"""),"2022-07-09T00:00:00Z")</f>
        <v>2022-07-09T00:00:00Z</v>
      </c>
      <c r="B1107" s="3">
        <f>IFERROR(__xludf.DUMMYFUNCTION("""COMPUTED_VALUE"""),961.172374)</f>
        <v>961.172374</v>
      </c>
      <c r="C1107" s="3">
        <f>IFERROR(__xludf.DUMMYFUNCTION("""COMPUTED_VALUE"""),977631.036951)</f>
        <v>977631.037</v>
      </c>
      <c r="D1107" s="3">
        <f>IFERROR(__xludf.DUMMYFUNCTION("""COMPUTED_VALUE"""),0.0)</f>
        <v>0</v>
      </c>
      <c r="E1107" s="3">
        <f>IFERROR(__xludf.DUMMYFUNCTION("""COMPUTED_VALUE"""),0.0)</f>
        <v>0</v>
      </c>
      <c r="F1107" s="3" t="str">
        <f>IFERROR(__xludf.DUMMYFUNCTION("""COMPUTED_VALUE"""),"MKR")</f>
        <v>MKR</v>
      </c>
      <c r="G1107" s="3"/>
    </row>
    <row r="1108">
      <c r="A1108" s="3" t="str">
        <f>IFERROR(__xludf.DUMMYFUNCTION("""COMPUTED_VALUE"""),"2022-07-10T00:00:00Z")</f>
        <v>2022-07-10T00:00:00Z</v>
      </c>
      <c r="B1108" s="3">
        <f>IFERROR(__xludf.DUMMYFUNCTION("""COMPUTED_VALUE"""),996.566399)</f>
        <v>996.566399</v>
      </c>
      <c r="C1108" s="3">
        <f>IFERROR(__xludf.DUMMYFUNCTION("""COMPUTED_VALUE"""),977631.036951)</f>
        <v>977631.037</v>
      </c>
      <c r="D1108" s="3">
        <f>IFERROR(__xludf.DUMMYFUNCTION("""COMPUTED_VALUE"""),0.0)</f>
        <v>0</v>
      </c>
      <c r="E1108" s="3">
        <f>IFERROR(__xludf.DUMMYFUNCTION("""COMPUTED_VALUE"""),0.0)</f>
        <v>0</v>
      </c>
      <c r="F1108" s="3" t="str">
        <f>IFERROR(__xludf.DUMMYFUNCTION("""COMPUTED_VALUE"""),"MKR")</f>
        <v>MKR</v>
      </c>
      <c r="G1108" s="3"/>
    </row>
    <row r="1109">
      <c r="A1109" s="3" t="str">
        <f>IFERROR(__xludf.DUMMYFUNCTION("""COMPUTED_VALUE"""),"2022-07-11T00:00:00Z")</f>
        <v>2022-07-11T00:00:00Z</v>
      </c>
      <c r="B1109" s="3">
        <f>IFERROR(__xludf.DUMMYFUNCTION("""COMPUTED_VALUE"""),940.37503)</f>
        <v>940.37503</v>
      </c>
      <c r="C1109" s="3">
        <f>IFERROR(__xludf.DUMMYFUNCTION("""COMPUTED_VALUE"""),977631.036951)</f>
        <v>977631.037</v>
      </c>
      <c r="D1109" s="3">
        <f>IFERROR(__xludf.DUMMYFUNCTION("""COMPUTED_VALUE"""),0.0)</f>
        <v>0</v>
      </c>
      <c r="E1109" s="3">
        <f>IFERROR(__xludf.DUMMYFUNCTION("""COMPUTED_VALUE"""),0.0)</f>
        <v>0</v>
      </c>
      <c r="F1109" s="3" t="str">
        <f>IFERROR(__xludf.DUMMYFUNCTION("""COMPUTED_VALUE"""),"MKR")</f>
        <v>MKR</v>
      </c>
      <c r="G1109" s="3"/>
    </row>
    <row r="1110">
      <c r="A1110" s="3" t="str">
        <f>IFERROR(__xludf.DUMMYFUNCTION("""COMPUTED_VALUE"""),"2022-07-12T00:00:00Z")</f>
        <v>2022-07-12T00:00:00Z</v>
      </c>
      <c r="B1110" s="3">
        <f>IFERROR(__xludf.DUMMYFUNCTION("""COMPUTED_VALUE"""),865.427206)</f>
        <v>865.427206</v>
      </c>
      <c r="C1110" s="3">
        <f>IFERROR(__xludf.DUMMYFUNCTION("""COMPUTED_VALUE"""),977631.036951)</f>
        <v>977631.037</v>
      </c>
      <c r="D1110" s="3">
        <f>IFERROR(__xludf.DUMMYFUNCTION("""COMPUTED_VALUE"""),0.0)</f>
        <v>0</v>
      </c>
      <c r="E1110" s="3">
        <f>IFERROR(__xludf.DUMMYFUNCTION("""COMPUTED_VALUE"""),0.0)</f>
        <v>0</v>
      </c>
      <c r="F1110" s="3" t="str">
        <f>IFERROR(__xludf.DUMMYFUNCTION("""COMPUTED_VALUE"""),"MKR")</f>
        <v>MKR</v>
      </c>
      <c r="G1110" s="3"/>
    </row>
    <row r="1111">
      <c r="A1111" s="3" t="str">
        <f>IFERROR(__xludf.DUMMYFUNCTION("""COMPUTED_VALUE"""),"2022-07-13T00:00:00Z")</f>
        <v>2022-07-13T00:00:00Z</v>
      </c>
      <c r="B1111" s="3">
        <f>IFERROR(__xludf.DUMMYFUNCTION("""COMPUTED_VALUE"""),823.80403)</f>
        <v>823.80403</v>
      </c>
      <c r="C1111" s="3">
        <f>IFERROR(__xludf.DUMMYFUNCTION("""COMPUTED_VALUE"""),977631.036951)</f>
        <v>977631.037</v>
      </c>
      <c r="D1111" s="3">
        <f>IFERROR(__xludf.DUMMYFUNCTION("""COMPUTED_VALUE"""),0.0)</f>
        <v>0</v>
      </c>
      <c r="E1111" s="3">
        <f>IFERROR(__xludf.DUMMYFUNCTION("""COMPUTED_VALUE"""),0.0)</f>
        <v>0</v>
      </c>
      <c r="F1111" s="3" t="str">
        <f>IFERROR(__xludf.DUMMYFUNCTION("""COMPUTED_VALUE"""),"MKR")</f>
        <v>MKR</v>
      </c>
      <c r="G1111" s="3"/>
    </row>
    <row r="1112">
      <c r="A1112" s="3" t="str">
        <f>IFERROR(__xludf.DUMMYFUNCTION("""COMPUTED_VALUE"""),"2022-07-14T00:00:00Z")</f>
        <v>2022-07-14T00:00:00Z</v>
      </c>
      <c r="B1112" s="3">
        <f>IFERROR(__xludf.DUMMYFUNCTION("""COMPUTED_VALUE"""),854.646761)</f>
        <v>854.646761</v>
      </c>
      <c r="C1112" s="3">
        <f>IFERROR(__xludf.DUMMYFUNCTION("""COMPUTED_VALUE"""),977631.036951)</f>
        <v>977631.037</v>
      </c>
      <c r="D1112" s="3">
        <f>IFERROR(__xludf.DUMMYFUNCTION("""COMPUTED_VALUE"""),0.0)</f>
        <v>0</v>
      </c>
      <c r="E1112" s="3">
        <f>IFERROR(__xludf.DUMMYFUNCTION("""COMPUTED_VALUE"""),0.0)</f>
        <v>0</v>
      </c>
      <c r="F1112" s="3" t="str">
        <f>IFERROR(__xludf.DUMMYFUNCTION("""COMPUTED_VALUE"""),"MKR")</f>
        <v>MKR</v>
      </c>
      <c r="G1112" s="3"/>
    </row>
    <row r="1113">
      <c r="A1113" s="3" t="str">
        <f>IFERROR(__xludf.DUMMYFUNCTION("""COMPUTED_VALUE"""),"2022-07-15T00:00:00Z")</f>
        <v>2022-07-15T00:00:00Z</v>
      </c>
      <c r="B1113" s="3">
        <f>IFERROR(__xludf.DUMMYFUNCTION("""COMPUTED_VALUE"""),891.104176)</f>
        <v>891.104176</v>
      </c>
      <c r="C1113" s="3">
        <f>IFERROR(__xludf.DUMMYFUNCTION("""COMPUTED_VALUE"""),977631.036951)</f>
        <v>977631.037</v>
      </c>
      <c r="D1113" s="3">
        <f>IFERROR(__xludf.DUMMYFUNCTION("""COMPUTED_VALUE"""),0.0)</f>
        <v>0</v>
      </c>
      <c r="E1113" s="3">
        <f>IFERROR(__xludf.DUMMYFUNCTION("""COMPUTED_VALUE"""),0.0)</f>
        <v>0</v>
      </c>
      <c r="F1113" s="3" t="str">
        <f>IFERROR(__xludf.DUMMYFUNCTION("""COMPUTED_VALUE"""),"MKR")</f>
        <v>MKR</v>
      </c>
      <c r="G1113" s="3"/>
    </row>
    <row r="1114">
      <c r="A1114" s="3" t="str">
        <f>IFERROR(__xludf.DUMMYFUNCTION("""COMPUTED_VALUE"""),"2022-07-16T00:00:00Z")</f>
        <v>2022-07-16T00:00:00Z</v>
      </c>
      <c r="B1114" s="3">
        <f>IFERROR(__xludf.DUMMYFUNCTION("""COMPUTED_VALUE"""),910.9816)</f>
        <v>910.9816</v>
      </c>
      <c r="C1114" s="3">
        <f>IFERROR(__xludf.DUMMYFUNCTION("""COMPUTED_VALUE"""),977631.036951)</f>
        <v>977631.037</v>
      </c>
      <c r="D1114" s="3">
        <f>IFERROR(__xludf.DUMMYFUNCTION("""COMPUTED_VALUE"""),0.0)</f>
        <v>0</v>
      </c>
      <c r="E1114" s="3">
        <f>IFERROR(__xludf.DUMMYFUNCTION("""COMPUTED_VALUE"""),0.0)</f>
        <v>0</v>
      </c>
      <c r="F1114" s="3" t="str">
        <f>IFERROR(__xludf.DUMMYFUNCTION("""COMPUTED_VALUE"""),"MKR")</f>
        <v>MKR</v>
      </c>
      <c r="G1114" s="3"/>
    </row>
    <row r="1115">
      <c r="A1115" s="3" t="str">
        <f>IFERROR(__xludf.DUMMYFUNCTION("""COMPUTED_VALUE"""),"2022-07-17T00:00:00Z")</f>
        <v>2022-07-17T00:00:00Z</v>
      </c>
      <c r="B1115" s="3">
        <f>IFERROR(__xludf.DUMMYFUNCTION("""COMPUTED_VALUE"""),964.342157)</f>
        <v>964.342157</v>
      </c>
      <c r="C1115" s="3">
        <f>IFERROR(__xludf.DUMMYFUNCTION("""COMPUTED_VALUE"""),977631.036951)</f>
        <v>977631.037</v>
      </c>
      <c r="D1115" s="3">
        <f>IFERROR(__xludf.DUMMYFUNCTION("""COMPUTED_VALUE"""),0.0)</f>
        <v>0</v>
      </c>
      <c r="E1115" s="3">
        <f>IFERROR(__xludf.DUMMYFUNCTION("""COMPUTED_VALUE"""),0.0)</f>
        <v>0</v>
      </c>
      <c r="F1115" s="3" t="str">
        <f>IFERROR(__xludf.DUMMYFUNCTION("""COMPUTED_VALUE"""),"MKR")</f>
        <v>MKR</v>
      </c>
      <c r="G1115" s="3"/>
    </row>
    <row r="1116">
      <c r="A1116" s="3" t="str">
        <f>IFERROR(__xludf.DUMMYFUNCTION("""COMPUTED_VALUE"""),"2022-07-18T00:00:00Z")</f>
        <v>2022-07-18T00:00:00Z</v>
      </c>
      <c r="B1116" s="3">
        <f>IFERROR(__xludf.DUMMYFUNCTION("""COMPUTED_VALUE"""),931.554739)</f>
        <v>931.554739</v>
      </c>
      <c r="C1116" s="3">
        <f>IFERROR(__xludf.DUMMYFUNCTION("""COMPUTED_VALUE"""),977631.036951)</f>
        <v>977631.037</v>
      </c>
      <c r="D1116" s="3">
        <f>IFERROR(__xludf.DUMMYFUNCTION("""COMPUTED_VALUE"""),0.0)</f>
        <v>0</v>
      </c>
      <c r="E1116" s="3">
        <f>IFERROR(__xludf.DUMMYFUNCTION("""COMPUTED_VALUE"""),0.0)</f>
        <v>0</v>
      </c>
      <c r="F1116" s="3" t="str">
        <f>IFERROR(__xludf.DUMMYFUNCTION("""COMPUTED_VALUE"""),"MKR")</f>
        <v>MKR</v>
      </c>
      <c r="G1116" s="3"/>
    </row>
    <row r="1117">
      <c r="A1117" s="3" t="str">
        <f>IFERROR(__xludf.DUMMYFUNCTION("""COMPUTED_VALUE"""),"2022-07-19T00:00:00Z")</f>
        <v>2022-07-19T00:00:00Z</v>
      </c>
      <c r="B1117" s="3">
        <f>IFERROR(__xludf.DUMMYFUNCTION("""COMPUTED_VALUE"""),1047.34245)</f>
        <v>1047.34245</v>
      </c>
      <c r="C1117" s="3">
        <f>IFERROR(__xludf.DUMMYFUNCTION("""COMPUTED_VALUE"""),977631.036951)</f>
        <v>977631.037</v>
      </c>
      <c r="D1117" s="3">
        <f>IFERROR(__xludf.DUMMYFUNCTION("""COMPUTED_VALUE"""),0.0)</f>
        <v>0</v>
      </c>
      <c r="E1117" s="3">
        <f>IFERROR(__xludf.DUMMYFUNCTION("""COMPUTED_VALUE"""),0.0)</f>
        <v>0</v>
      </c>
      <c r="F1117" s="3" t="str">
        <f>IFERROR(__xludf.DUMMYFUNCTION("""COMPUTED_VALUE"""),"MKR")</f>
        <v>MKR</v>
      </c>
      <c r="G1117" s="3"/>
    </row>
    <row r="1118">
      <c r="A1118" s="3" t="str">
        <f>IFERROR(__xludf.DUMMYFUNCTION("""COMPUTED_VALUE"""),"2022-07-20T00:00:00Z")</f>
        <v>2022-07-20T00:00:00Z</v>
      </c>
      <c r="B1118" s="3">
        <f>IFERROR(__xludf.DUMMYFUNCTION("""COMPUTED_VALUE"""),1030.166567)</f>
        <v>1030.166567</v>
      </c>
      <c r="C1118" s="3">
        <f>IFERROR(__xludf.DUMMYFUNCTION("""COMPUTED_VALUE"""),977631.036951)</f>
        <v>977631.037</v>
      </c>
      <c r="D1118" s="3">
        <f>IFERROR(__xludf.DUMMYFUNCTION("""COMPUTED_VALUE"""),0.0)</f>
        <v>0</v>
      </c>
      <c r="E1118" s="3">
        <f>IFERROR(__xludf.DUMMYFUNCTION("""COMPUTED_VALUE"""),0.0)</f>
        <v>0</v>
      </c>
      <c r="F1118" s="3" t="str">
        <f>IFERROR(__xludf.DUMMYFUNCTION("""COMPUTED_VALUE"""),"MKR")</f>
        <v>MKR</v>
      </c>
      <c r="G1118" s="3"/>
    </row>
    <row r="1119">
      <c r="A1119" s="3" t="str">
        <f>IFERROR(__xludf.DUMMYFUNCTION("""COMPUTED_VALUE"""),"2022-07-21T00:00:00Z")</f>
        <v>2022-07-21T00:00:00Z</v>
      </c>
      <c r="B1119" s="3">
        <f>IFERROR(__xludf.DUMMYFUNCTION("""COMPUTED_VALUE"""),972.935891)</f>
        <v>972.935891</v>
      </c>
      <c r="C1119" s="3">
        <f>IFERROR(__xludf.DUMMYFUNCTION("""COMPUTED_VALUE"""),977631.036951)</f>
        <v>977631.037</v>
      </c>
      <c r="D1119" s="3">
        <f>IFERROR(__xludf.DUMMYFUNCTION("""COMPUTED_VALUE"""),0.0)</f>
        <v>0</v>
      </c>
      <c r="E1119" s="3">
        <f>IFERROR(__xludf.DUMMYFUNCTION("""COMPUTED_VALUE"""),0.0)</f>
        <v>0</v>
      </c>
      <c r="F1119" s="3" t="str">
        <f>IFERROR(__xludf.DUMMYFUNCTION("""COMPUTED_VALUE"""),"MKR")</f>
        <v>MKR</v>
      </c>
      <c r="G1119" s="3"/>
    </row>
    <row r="1120">
      <c r="A1120" s="3" t="str">
        <f>IFERROR(__xludf.DUMMYFUNCTION("""COMPUTED_VALUE"""),"2022-07-22T00:00:00Z")</f>
        <v>2022-07-22T00:00:00Z</v>
      </c>
      <c r="B1120" s="3">
        <f>IFERROR(__xludf.DUMMYFUNCTION("""COMPUTED_VALUE"""),977.468153)</f>
        <v>977.468153</v>
      </c>
      <c r="C1120" s="3">
        <f>IFERROR(__xludf.DUMMYFUNCTION("""COMPUTED_VALUE"""),977631.036951)</f>
        <v>977631.037</v>
      </c>
      <c r="D1120" s="3">
        <f>IFERROR(__xludf.DUMMYFUNCTION("""COMPUTED_VALUE"""),0.0)</f>
        <v>0</v>
      </c>
      <c r="E1120" s="3">
        <f>IFERROR(__xludf.DUMMYFUNCTION("""COMPUTED_VALUE"""),0.0)</f>
        <v>0</v>
      </c>
      <c r="F1120" s="3" t="str">
        <f>IFERROR(__xludf.DUMMYFUNCTION("""COMPUTED_VALUE"""),"MKR")</f>
        <v>MKR</v>
      </c>
      <c r="G1120" s="3"/>
    </row>
    <row r="1121">
      <c r="A1121" s="3" t="str">
        <f>IFERROR(__xludf.DUMMYFUNCTION("""COMPUTED_VALUE"""),"2022-07-23T00:00:00Z")</f>
        <v>2022-07-23T00:00:00Z</v>
      </c>
      <c r="B1121" s="3">
        <f>IFERROR(__xludf.DUMMYFUNCTION("""COMPUTED_VALUE"""),947.535406)</f>
        <v>947.535406</v>
      </c>
      <c r="C1121" s="3">
        <f>IFERROR(__xludf.DUMMYFUNCTION("""COMPUTED_VALUE"""),977631.036951)</f>
        <v>977631.037</v>
      </c>
      <c r="D1121" s="3">
        <f>IFERROR(__xludf.DUMMYFUNCTION("""COMPUTED_VALUE"""),0.0)</f>
        <v>0</v>
      </c>
      <c r="E1121" s="3">
        <f>IFERROR(__xludf.DUMMYFUNCTION("""COMPUTED_VALUE"""),0.0)</f>
        <v>0</v>
      </c>
      <c r="F1121" s="3" t="str">
        <f>IFERROR(__xludf.DUMMYFUNCTION("""COMPUTED_VALUE"""),"MKR")</f>
        <v>MKR</v>
      </c>
      <c r="G1121" s="3"/>
    </row>
    <row r="1122">
      <c r="A1122" s="3" t="str">
        <f>IFERROR(__xludf.DUMMYFUNCTION("""COMPUTED_VALUE"""),"2022-07-24T00:00:00Z")</f>
        <v>2022-07-24T00:00:00Z</v>
      </c>
      <c r="B1122" s="3">
        <f>IFERROR(__xludf.DUMMYFUNCTION("""COMPUTED_VALUE"""),954.237935)</f>
        <v>954.237935</v>
      </c>
      <c r="C1122" s="3">
        <f>IFERROR(__xludf.DUMMYFUNCTION("""COMPUTED_VALUE"""),977631.036951)</f>
        <v>977631.037</v>
      </c>
      <c r="D1122" s="3">
        <f>IFERROR(__xludf.DUMMYFUNCTION("""COMPUTED_VALUE"""),0.0)</f>
        <v>0</v>
      </c>
      <c r="E1122" s="3">
        <f>IFERROR(__xludf.DUMMYFUNCTION("""COMPUTED_VALUE"""),0.0)</f>
        <v>0</v>
      </c>
      <c r="F1122" s="3" t="str">
        <f>IFERROR(__xludf.DUMMYFUNCTION("""COMPUTED_VALUE"""),"MKR")</f>
        <v>MKR</v>
      </c>
      <c r="G1122" s="3"/>
    </row>
    <row r="1123">
      <c r="A1123" s="3" t="str">
        <f>IFERROR(__xludf.DUMMYFUNCTION("""COMPUTED_VALUE"""),"2022-07-25T00:00:00Z")</f>
        <v>2022-07-25T00:00:00Z</v>
      </c>
      <c r="B1123" s="3">
        <f>IFERROR(__xludf.DUMMYFUNCTION("""COMPUTED_VALUE"""),985.486235)</f>
        <v>985.486235</v>
      </c>
      <c r="C1123" s="3">
        <f>IFERROR(__xludf.DUMMYFUNCTION("""COMPUTED_VALUE"""),977631.036951)</f>
        <v>977631.037</v>
      </c>
      <c r="D1123" s="3">
        <f>IFERROR(__xludf.DUMMYFUNCTION("""COMPUTED_VALUE"""),0.0)</f>
        <v>0</v>
      </c>
      <c r="E1123" s="3">
        <f>IFERROR(__xludf.DUMMYFUNCTION("""COMPUTED_VALUE"""),0.0)</f>
        <v>0</v>
      </c>
      <c r="F1123" s="3" t="str">
        <f>IFERROR(__xludf.DUMMYFUNCTION("""COMPUTED_VALUE"""),"MKR")</f>
        <v>MKR</v>
      </c>
      <c r="G1123" s="3"/>
    </row>
    <row r="1124">
      <c r="A1124" s="3" t="str">
        <f>IFERROR(__xludf.DUMMYFUNCTION("""COMPUTED_VALUE"""),"2022-07-26T00:00:00Z")</f>
        <v>2022-07-26T00:00:00Z</v>
      </c>
      <c r="B1124" s="3">
        <f>IFERROR(__xludf.DUMMYFUNCTION("""COMPUTED_VALUE"""),894.661512)</f>
        <v>894.661512</v>
      </c>
      <c r="C1124" s="3">
        <f>IFERROR(__xludf.DUMMYFUNCTION("""COMPUTED_VALUE"""),977631.036951)</f>
        <v>977631.037</v>
      </c>
      <c r="D1124" s="3">
        <f>IFERROR(__xludf.DUMMYFUNCTION("""COMPUTED_VALUE"""),0.0)</f>
        <v>0</v>
      </c>
      <c r="E1124" s="3">
        <f>IFERROR(__xludf.DUMMYFUNCTION("""COMPUTED_VALUE"""),0.0)</f>
        <v>0</v>
      </c>
      <c r="F1124" s="3" t="str">
        <f>IFERROR(__xludf.DUMMYFUNCTION("""COMPUTED_VALUE"""),"MKR")</f>
        <v>MKR</v>
      </c>
      <c r="G1124" s="3"/>
    </row>
    <row r="1125">
      <c r="A1125" s="3" t="str">
        <f>IFERROR(__xludf.DUMMYFUNCTION("""COMPUTED_VALUE"""),"2022-07-27T00:00:00Z")</f>
        <v>2022-07-27T00:00:00Z</v>
      </c>
      <c r="B1125" s="3">
        <f>IFERROR(__xludf.DUMMYFUNCTION("""COMPUTED_VALUE"""),919.064914)</f>
        <v>919.064914</v>
      </c>
      <c r="C1125" s="3">
        <f>IFERROR(__xludf.DUMMYFUNCTION("""COMPUTED_VALUE"""),977631.036951)</f>
        <v>977631.037</v>
      </c>
      <c r="D1125" s="3">
        <f>IFERROR(__xludf.DUMMYFUNCTION("""COMPUTED_VALUE"""),0.0)</f>
        <v>0</v>
      </c>
      <c r="E1125" s="3">
        <f>IFERROR(__xludf.DUMMYFUNCTION("""COMPUTED_VALUE"""),0.0)</f>
        <v>0</v>
      </c>
      <c r="F1125" s="3" t="str">
        <f>IFERROR(__xludf.DUMMYFUNCTION("""COMPUTED_VALUE"""),"MKR")</f>
        <v>MKR</v>
      </c>
      <c r="G1125" s="3"/>
    </row>
    <row r="1126">
      <c r="A1126" s="3" t="str">
        <f>IFERROR(__xludf.DUMMYFUNCTION("""COMPUTED_VALUE"""),"2022-07-28T00:00:00Z")</f>
        <v>2022-07-28T00:00:00Z</v>
      </c>
      <c r="B1126" s="3">
        <f>IFERROR(__xludf.DUMMYFUNCTION("""COMPUTED_VALUE"""),1012.708017)</f>
        <v>1012.708017</v>
      </c>
      <c r="C1126" s="3">
        <f>IFERROR(__xludf.DUMMYFUNCTION("""COMPUTED_VALUE"""),977631.036951)</f>
        <v>977631.037</v>
      </c>
      <c r="D1126" s="3">
        <f>IFERROR(__xludf.DUMMYFUNCTION("""COMPUTED_VALUE"""),0.0)</f>
        <v>0</v>
      </c>
      <c r="E1126" s="3">
        <f>IFERROR(__xludf.DUMMYFUNCTION("""COMPUTED_VALUE"""),0.0)</f>
        <v>0</v>
      </c>
      <c r="F1126" s="3" t="str">
        <f>IFERROR(__xludf.DUMMYFUNCTION("""COMPUTED_VALUE"""),"MKR")</f>
        <v>MKR</v>
      </c>
      <c r="G1126" s="3"/>
    </row>
    <row r="1127">
      <c r="A1127" s="3" t="str">
        <f>IFERROR(__xludf.DUMMYFUNCTION("""COMPUTED_VALUE"""),"2022-07-29T00:00:00Z")</f>
        <v>2022-07-29T00:00:00Z</v>
      </c>
      <c r="B1127" s="3">
        <f>IFERROR(__xludf.DUMMYFUNCTION("""COMPUTED_VALUE"""),1115.219051)</f>
        <v>1115.219051</v>
      </c>
      <c r="C1127" s="3">
        <f>IFERROR(__xludf.DUMMYFUNCTION("""COMPUTED_VALUE"""),977631.036951)</f>
        <v>977631.037</v>
      </c>
      <c r="D1127" s="3">
        <f>IFERROR(__xludf.DUMMYFUNCTION("""COMPUTED_VALUE"""),0.0)</f>
        <v>0</v>
      </c>
      <c r="E1127" s="3">
        <f>IFERROR(__xludf.DUMMYFUNCTION("""COMPUTED_VALUE"""),0.0)</f>
        <v>0</v>
      </c>
      <c r="F1127" s="3" t="str">
        <f>IFERROR(__xludf.DUMMYFUNCTION("""COMPUTED_VALUE"""),"MKR")</f>
        <v>MKR</v>
      </c>
      <c r="G1127" s="3"/>
    </row>
    <row r="1128">
      <c r="A1128" s="3" t="str">
        <f>IFERROR(__xludf.DUMMYFUNCTION("""COMPUTED_VALUE"""),"2022-07-30T00:00:00Z")</f>
        <v>2022-07-30T00:00:00Z</v>
      </c>
      <c r="B1128" s="3">
        <f>IFERROR(__xludf.DUMMYFUNCTION("""COMPUTED_VALUE"""),1154.20657)</f>
        <v>1154.20657</v>
      </c>
      <c r="C1128" s="3">
        <f>IFERROR(__xludf.DUMMYFUNCTION("""COMPUTED_VALUE"""),977631.036951)</f>
        <v>977631.037</v>
      </c>
      <c r="D1128" s="3">
        <f>IFERROR(__xludf.DUMMYFUNCTION("""COMPUTED_VALUE"""),0.0)</f>
        <v>0</v>
      </c>
      <c r="E1128" s="3">
        <f>IFERROR(__xludf.DUMMYFUNCTION("""COMPUTED_VALUE"""),0.0)</f>
        <v>0</v>
      </c>
      <c r="F1128" s="3" t="str">
        <f>IFERROR(__xludf.DUMMYFUNCTION("""COMPUTED_VALUE"""),"MKR")</f>
        <v>MKR</v>
      </c>
      <c r="G1128" s="3"/>
    </row>
    <row r="1129">
      <c r="A1129" s="3" t="str">
        <f>IFERROR(__xludf.DUMMYFUNCTION("""COMPUTED_VALUE"""),"2022-07-31T00:00:00Z")</f>
        <v>2022-07-31T00:00:00Z</v>
      </c>
      <c r="B1129" s="3">
        <f>IFERROR(__xludf.DUMMYFUNCTION("""COMPUTED_VALUE"""),1122.054929)</f>
        <v>1122.054929</v>
      </c>
      <c r="C1129" s="3">
        <f>IFERROR(__xludf.DUMMYFUNCTION("""COMPUTED_VALUE"""),977631.036951)</f>
        <v>977631.037</v>
      </c>
      <c r="D1129" s="3">
        <f>IFERROR(__xludf.DUMMYFUNCTION("""COMPUTED_VALUE"""),0.0)</f>
        <v>0</v>
      </c>
      <c r="E1129" s="3">
        <f>IFERROR(__xludf.DUMMYFUNCTION("""COMPUTED_VALUE"""),0.0)</f>
        <v>0</v>
      </c>
      <c r="F1129" s="3" t="str">
        <f>IFERROR(__xludf.DUMMYFUNCTION("""COMPUTED_VALUE"""),"MKR")</f>
        <v>MKR</v>
      </c>
      <c r="G1129" s="3"/>
    </row>
    <row r="1130">
      <c r="A1130" s="3" t="str">
        <f>IFERROR(__xludf.DUMMYFUNCTION("""COMPUTED_VALUE"""),"2022-08-01T00:00:00Z")</f>
        <v>2022-08-01T00:00:00Z</v>
      </c>
      <c r="B1130" s="3">
        <f>IFERROR(__xludf.DUMMYFUNCTION("""COMPUTED_VALUE"""),1100.67637)</f>
        <v>1100.67637</v>
      </c>
      <c r="C1130" s="3">
        <f>IFERROR(__xludf.DUMMYFUNCTION("""COMPUTED_VALUE"""),977631.036951)</f>
        <v>977631.037</v>
      </c>
      <c r="D1130" s="3">
        <f>IFERROR(__xludf.DUMMYFUNCTION("""COMPUTED_VALUE"""),0.0)</f>
        <v>0</v>
      </c>
      <c r="E1130" s="3">
        <f>IFERROR(__xludf.DUMMYFUNCTION("""COMPUTED_VALUE"""),0.0)</f>
        <v>0</v>
      </c>
      <c r="F1130" s="3" t="str">
        <f>IFERROR(__xludf.DUMMYFUNCTION("""COMPUTED_VALUE"""),"MKR")</f>
        <v>MKR</v>
      </c>
      <c r="G1130" s="3"/>
    </row>
    <row r="1131">
      <c r="A1131" s="3" t="str">
        <f>IFERROR(__xludf.DUMMYFUNCTION("""COMPUTED_VALUE"""),"2022-08-02T00:00:00Z")</f>
        <v>2022-08-02T00:00:00Z</v>
      </c>
      <c r="B1131" s="3">
        <f>IFERROR(__xludf.DUMMYFUNCTION("""COMPUTED_VALUE"""),1061.595287)</f>
        <v>1061.595287</v>
      </c>
      <c r="C1131" s="3">
        <f>IFERROR(__xludf.DUMMYFUNCTION("""COMPUTED_VALUE"""),977631.036951)</f>
        <v>977631.037</v>
      </c>
      <c r="D1131" s="3">
        <f>IFERROR(__xludf.DUMMYFUNCTION("""COMPUTED_VALUE"""),0.0)</f>
        <v>0</v>
      </c>
      <c r="E1131" s="3">
        <f>IFERROR(__xludf.DUMMYFUNCTION("""COMPUTED_VALUE"""),0.0)</f>
        <v>0</v>
      </c>
      <c r="F1131" s="3" t="str">
        <f>IFERROR(__xludf.DUMMYFUNCTION("""COMPUTED_VALUE"""),"MKR")</f>
        <v>MKR</v>
      </c>
      <c r="G1131" s="3"/>
    </row>
    <row r="1132">
      <c r="A1132" s="3" t="str">
        <f>IFERROR(__xludf.DUMMYFUNCTION("""COMPUTED_VALUE"""),"2022-08-03T00:00:00Z")</f>
        <v>2022-08-03T00:00:00Z</v>
      </c>
      <c r="B1132" s="3">
        <f>IFERROR(__xludf.DUMMYFUNCTION("""COMPUTED_VALUE"""),1044.146723)</f>
        <v>1044.146723</v>
      </c>
      <c r="C1132" s="3">
        <f>IFERROR(__xludf.DUMMYFUNCTION("""COMPUTED_VALUE"""),977631.036951)</f>
        <v>977631.037</v>
      </c>
      <c r="D1132" s="3">
        <f>IFERROR(__xludf.DUMMYFUNCTION("""COMPUTED_VALUE"""),0.0)</f>
        <v>0</v>
      </c>
      <c r="E1132" s="3">
        <f>IFERROR(__xludf.DUMMYFUNCTION("""COMPUTED_VALUE"""),0.0)</f>
        <v>0</v>
      </c>
      <c r="F1132" s="3" t="str">
        <f>IFERROR(__xludf.DUMMYFUNCTION("""COMPUTED_VALUE"""),"MKR")</f>
        <v>MKR</v>
      </c>
      <c r="G1132" s="3"/>
    </row>
    <row r="1133">
      <c r="A1133" s="3" t="str">
        <f>IFERROR(__xludf.DUMMYFUNCTION("""COMPUTED_VALUE"""),"2022-08-04T00:00:00Z")</f>
        <v>2022-08-04T00:00:00Z</v>
      </c>
      <c r="B1133" s="3">
        <f>IFERROR(__xludf.DUMMYFUNCTION("""COMPUTED_VALUE"""),1040.208444)</f>
        <v>1040.208444</v>
      </c>
      <c r="C1133" s="3">
        <f>IFERROR(__xludf.DUMMYFUNCTION("""COMPUTED_VALUE"""),977631.036951)</f>
        <v>977631.037</v>
      </c>
      <c r="D1133" s="3">
        <f>IFERROR(__xludf.DUMMYFUNCTION("""COMPUTED_VALUE"""),0.0)</f>
        <v>0</v>
      </c>
      <c r="E1133" s="3">
        <f>IFERROR(__xludf.DUMMYFUNCTION("""COMPUTED_VALUE"""),0.0)</f>
        <v>0</v>
      </c>
      <c r="F1133" s="3" t="str">
        <f>IFERROR(__xludf.DUMMYFUNCTION("""COMPUTED_VALUE"""),"MKR")</f>
        <v>MKR</v>
      </c>
      <c r="G1133" s="3"/>
    </row>
    <row r="1134">
      <c r="A1134" s="3" t="str">
        <f>IFERROR(__xludf.DUMMYFUNCTION("""COMPUTED_VALUE"""),"2022-08-05T00:00:00Z")</f>
        <v>2022-08-05T00:00:00Z</v>
      </c>
      <c r="B1134" s="3">
        <f>IFERROR(__xludf.DUMMYFUNCTION("""COMPUTED_VALUE"""),1050.249663)</f>
        <v>1050.249663</v>
      </c>
      <c r="C1134" s="3">
        <f>IFERROR(__xludf.DUMMYFUNCTION("""COMPUTED_VALUE"""),977631.036951)</f>
        <v>977631.037</v>
      </c>
      <c r="D1134" s="3">
        <f>IFERROR(__xludf.DUMMYFUNCTION("""COMPUTED_VALUE"""),0.0)</f>
        <v>0</v>
      </c>
      <c r="E1134" s="3">
        <f>IFERROR(__xludf.DUMMYFUNCTION("""COMPUTED_VALUE"""),0.0)</f>
        <v>0</v>
      </c>
      <c r="F1134" s="3" t="str">
        <f>IFERROR(__xludf.DUMMYFUNCTION("""COMPUTED_VALUE"""),"MKR")</f>
        <v>MKR</v>
      </c>
      <c r="G1134" s="3"/>
    </row>
    <row r="1135">
      <c r="A1135" s="3" t="str">
        <f>IFERROR(__xludf.DUMMYFUNCTION("""COMPUTED_VALUE"""),"2022-08-06T00:00:00Z")</f>
        <v>2022-08-06T00:00:00Z</v>
      </c>
      <c r="B1135" s="3">
        <f>IFERROR(__xludf.DUMMYFUNCTION("""COMPUTED_VALUE"""),1121.529914)</f>
        <v>1121.529914</v>
      </c>
      <c r="C1135" s="3">
        <f>IFERROR(__xludf.DUMMYFUNCTION("""COMPUTED_VALUE"""),977631.036951)</f>
        <v>977631.037</v>
      </c>
      <c r="D1135" s="3">
        <f>IFERROR(__xludf.DUMMYFUNCTION("""COMPUTED_VALUE"""),0.0)</f>
        <v>0</v>
      </c>
      <c r="E1135" s="3">
        <f>IFERROR(__xludf.DUMMYFUNCTION("""COMPUTED_VALUE"""),0.0)</f>
        <v>0</v>
      </c>
      <c r="F1135" s="3" t="str">
        <f>IFERROR(__xludf.DUMMYFUNCTION("""COMPUTED_VALUE"""),"MKR")</f>
        <v>MKR</v>
      </c>
      <c r="G1135" s="3"/>
    </row>
    <row r="1136">
      <c r="A1136" s="3" t="str">
        <f>IFERROR(__xludf.DUMMYFUNCTION("""COMPUTED_VALUE"""),"2022-08-07T00:00:00Z")</f>
        <v>2022-08-07T00:00:00Z</v>
      </c>
      <c r="B1136" s="3">
        <f>IFERROR(__xludf.DUMMYFUNCTION("""COMPUTED_VALUE"""),1085.546889)</f>
        <v>1085.546889</v>
      </c>
      <c r="C1136" s="3">
        <f>IFERROR(__xludf.DUMMYFUNCTION("""COMPUTED_VALUE"""),977631.036951)</f>
        <v>977631.037</v>
      </c>
      <c r="D1136" s="3">
        <f>IFERROR(__xludf.DUMMYFUNCTION("""COMPUTED_VALUE"""),0.0)</f>
        <v>0</v>
      </c>
      <c r="E1136" s="3">
        <f>IFERROR(__xludf.DUMMYFUNCTION("""COMPUTED_VALUE"""),0.0)</f>
        <v>0</v>
      </c>
      <c r="F1136" s="3" t="str">
        <f>IFERROR(__xludf.DUMMYFUNCTION("""COMPUTED_VALUE"""),"MKR")</f>
        <v>MKR</v>
      </c>
      <c r="G1136" s="3"/>
    </row>
    <row r="1137">
      <c r="A1137" s="3" t="str">
        <f>IFERROR(__xludf.DUMMYFUNCTION("""COMPUTED_VALUE"""),"2022-08-08T00:00:00Z")</f>
        <v>2022-08-08T00:00:00Z</v>
      </c>
      <c r="B1137" s="3">
        <f>IFERROR(__xludf.DUMMYFUNCTION("""COMPUTED_VALUE"""),1128.13811)</f>
        <v>1128.13811</v>
      </c>
      <c r="C1137" s="3">
        <f>IFERROR(__xludf.DUMMYFUNCTION("""COMPUTED_VALUE"""),977631.036951)</f>
        <v>977631.037</v>
      </c>
      <c r="D1137" s="3">
        <f>IFERROR(__xludf.DUMMYFUNCTION("""COMPUTED_VALUE"""),0.0)</f>
        <v>0</v>
      </c>
      <c r="E1137" s="3">
        <f>IFERROR(__xludf.DUMMYFUNCTION("""COMPUTED_VALUE"""),0.0)</f>
        <v>0</v>
      </c>
      <c r="F1137" s="3" t="str">
        <f>IFERROR(__xludf.DUMMYFUNCTION("""COMPUTED_VALUE"""),"MKR")</f>
        <v>MKR</v>
      </c>
      <c r="G1137" s="3"/>
    </row>
    <row r="1138">
      <c r="A1138" s="3" t="str">
        <f>IFERROR(__xludf.DUMMYFUNCTION("""COMPUTED_VALUE"""),"2022-08-09T00:00:00Z")</f>
        <v>2022-08-09T00:00:00Z</v>
      </c>
      <c r="B1138" s="3">
        <f>IFERROR(__xludf.DUMMYFUNCTION("""COMPUTED_VALUE"""),1143.966113)</f>
        <v>1143.966113</v>
      </c>
      <c r="C1138" s="3">
        <f>IFERROR(__xludf.DUMMYFUNCTION("""COMPUTED_VALUE"""),977631.036951)</f>
        <v>977631.037</v>
      </c>
      <c r="D1138" s="3">
        <f>IFERROR(__xludf.DUMMYFUNCTION("""COMPUTED_VALUE"""),0.0)</f>
        <v>0</v>
      </c>
      <c r="E1138" s="3">
        <f>IFERROR(__xludf.DUMMYFUNCTION("""COMPUTED_VALUE"""),0.0)</f>
        <v>0</v>
      </c>
      <c r="F1138" s="3" t="str">
        <f>IFERROR(__xludf.DUMMYFUNCTION("""COMPUTED_VALUE"""),"MKR")</f>
        <v>MKR</v>
      </c>
      <c r="G1138" s="3"/>
    </row>
    <row r="1139">
      <c r="A1139" s="3" t="str">
        <f>IFERROR(__xludf.DUMMYFUNCTION("""COMPUTED_VALUE"""),"2022-08-10T00:00:00Z")</f>
        <v>2022-08-10T00:00:00Z</v>
      </c>
      <c r="B1139" s="3">
        <f>IFERROR(__xludf.DUMMYFUNCTION("""COMPUTED_VALUE"""),1068.960442)</f>
        <v>1068.960442</v>
      </c>
      <c r="C1139" s="3">
        <f>IFERROR(__xludf.DUMMYFUNCTION("""COMPUTED_VALUE"""),977631.036951)</f>
        <v>977631.037</v>
      </c>
      <c r="D1139" s="3">
        <f>IFERROR(__xludf.DUMMYFUNCTION("""COMPUTED_VALUE"""),0.0)</f>
        <v>0</v>
      </c>
      <c r="E1139" s="3">
        <f>IFERROR(__xludf.DUMMYFUNCTION("""COMPUTED_VALUE"""),0.0)</f>
        <v>0</v>
      </c>
      <c r="F1139" s="3" t="str">
        <f>IFERROR(__xludf.DUMMYFUNCTION("""COMPUTED_VALUE"""),"MKR")</f>
        <v>MKR</v>
      </c>
      <c r="G1139" s="3"/>
    </row>
    <row r="1140">
      <c r="A1140" s="3" t="str">
        <f>IFERROR(__xludf.DUMMYFUNCTION("""COMPUTED_VALUE"""),"2022-08-11T00:00:00Z")</f>
        <v>2022-08-11T00:00:00Z</v>
      </c>
      <c r="B1140" s="3">
        <f>IFERROR(__xludf.DUMMYFUNCTION("""COMPUTED_VALUE"""),1115.84925)</f>
        <v>1115.84925</v>
      </c>
      <c r="C1140" s="3">
        <f>IFERROR(__xludf.DUMMYFUNCTION("""COMPUTED_VALUE"""),977631.036951)</f>
        <v>977631.037</v>
      </c>
      <c r="D1140" s="3">
        <f>IFERROR(__xludf.DUMMYFUNCTION("""COMPUTED_VALUE"""),0.0)</f>
        <v>0</v>
      </c>
      <c r="E1140" s="3">
        <f>IFERROR(__xludf.DUMMYFUNCTION("""COMPUTED_VALUE"""),0.0)</f>
        <v>0</v>
      </c>
      <c r="F1140" s="3" t="str">
        <f>IFERROR(__xludf.DUMMYFUNCTION("""COMPUTED_VALUE"""),"MKR")</f>
        <v>MKR</v>
      </c>
      <c r="G1140" s="3"/>
    </row>
    <row r="1141">
      <c r="A1141" s="3" t="str">
        <f>IFERROR(__xludf.DUMMYFUNCTION("""COMPUTED_VALUE"""),"2022-08-12T00:00:00Z")</f>
        <v>2022-08-12T00:00:00Z</v>
      </c>
      <c r="B1141" s="3">
        <f>IFERROR(__xludf.DUMMYFUNCTION("""COMPUTED_VALUE"""),1081.58168)</f>
        <v>1081.58168</v>
      </c>
      <c r="C1141" s="3">
        <f>IFERROR(__xludf.DUMMYFUNCTION("""COMPUTED_VALUE"""),977631.036951)</f>
        <v>977631.037</v>
      </c>
      <c r="D1141" s="3">
        <f>IFERROR(__xludf.DUMMYFUNCTION("""COMPUTED_VALUE"""),0.0)</f>
        <v>0</v>
      </c>
      <c r="E1141" s="3">
        <f>IFERROR(__xludf.DUMMYFUNCTION("""COMPUTED_VALUE"""),0.0)</f>
        <v>0</v>
      </c>
      <c r="F1141" s="3" t="str">
        <f>IFERROR(__xludf.DUMMYFUNCTION("""COMPUTED_VALUE"""),"MKR")</f>
        <v>MKR</v>
      </c>
      <c r="G1141" s="3"/>
    </row>
    <row r="1142">
      <c r="A1142" s="3" t="str">
        <f>IFERROR(__xludf.DUMMYFUNCTION("""COMPUTED_VALUE"""),"2022-08-13T00:00:00Z")</f>
        <v>2022-08-13T00:00:00Z</v>
      </c>
      <c r="B1142" s="3">
        <f>IFERROR(__xludf.DUMMYFUNCTION("""COMPUTED_VALUE"""),1082.872172)</f>
        <v>1082.872172</v>
      </c>
      <c r="C1142" s="3">
        <f>IFERROR(__xludf.DUMMYFUNCTION("""COMPUTED_VALUE"""),977631.036951)</f>
        <v>977631.037</v>
      </c>
      <c r="D1142" s="3">
        <f>IFERROR(__xludf.DUMMYFUNCTION("""COMPUTED_VALUE"""),0.0)</f>
        <v>0</v>
      </c>
      <c r="E1142" s="3">
        <f>IFERROR(__xludf.DUMMYFUNCTION("""COMPUTED_VALUE"""),0.0)</f>
        <v>0</v>
      </c>
      <c r="F1142" s="3" t="str">
        <f>IFERROR(__xludf.DUMMYFUNCTION("""COMPUTED_VALUE"""),"MKR")</f>
        <v>MKR</v>
      </c>
      <c r="G1142" s="3"/>
    </row>
    <row r="1143">
      <c r="A1143" s="3" t="str">
        <f>IFERROR(__xludf.DUMMYFUNCTION("""COMPUTED_VALUE"""),"2022-08-14T00:00:00Z")</f>
        <v>2022-08-14T00:00:00Z</v>
      </c>
      <c r="B1143" s="3">
        <f>IFERROR(__xludf.DUMMYFUNCTION("""COMPUTED_VALUE"""),1069.037766)</f>
        <v>1069.037766</v>
      </c>
      <c r="C1143" s="3">
        <f>IFERROR(__xludf.DUMMYFUNCTION("""COMPUTED_VALUE"""),977631.036951)</f>
        <v>977631.037</v>
      </c>
      <c r="D1143" s="3">
        <f>IFERROR(__xludf.DUMMYFUNCTION("""COMPUTED_VALUE"""),0.0)</f>
        <v>0</v>
      </c>
      <c r="E1143" s="3">
        <f>IFERROR(__xludf.DUMMYFUNCTION("""COMPUTED_VALUE"""),0.0)</f>
        <v>0</v>
      </c>
      <c r="F1143" s="3" t="str">
        <f>IFERROR(__xludf.DUMMYFUNCTION("""COMPUTED_VALUE"""),"MKR")</f>
        <v>MKR</v>
      </c>
      <c r="G1143" s="3"/>
    </row>
    <row r="1144">
      <c r="A1144" s="3" t="str">
        <f>IFERROR(__xludf.DUMMYFUNCTION("""COMPUTED_VALUE"""),"2022-08-15T00:00:00Z")</f>
        <v>2022-08-15T00:00:00Z</v>
      </c>
      <c r="B1144" s="3">
        <f>IFERROR(__xludf.DUMMYFUNCTION("""COMPUTED_VALUE"""),1024.346936)</f>
        <v>1024.346936</v>
      </c>
      <c r="C1144" s="3">
        <f>IFERROR(__xludf.DUMMYFUNCTION("""COMPUTED_VALUE"""),977631.036951)</f>
        <v>977631.037</v>
      </c>
      <c r="D1144" s="3">
        <f>IFERROR(__xludf.DUMMYFUNCTION("""COMPUTED_VALUE"""),0.0)</f>
        <v>0</v>
      </c>
      <c r="E1144" s="3">
        <f>IFERROR(__xludf.DUMMYFUNCTION("""COMPUTED_VALUE"""),0.0)</f>
        <v>0</v>
      </c>
      <c r="F1144" s="3" t="str">
        <f>IFERROR(__xludf.DUMMYFUNCTION("""COMPUTED_VALUE"""),"MKR")</f>
        <v>MKR</v>
      </c>
      <c r="G1144" s="3"/>
    </row>
    <row r="1145">
      <c r="A1145" s="3" t="str">
        <f>IFERROR(__xludf.DUMMYFUNCTION("""COMPUTED_VALUE"""),"2022-08-16T00:00:00Z")</f>
        <v>2022-08-16T00:00:00Z</v>
      </c>
      <c r="B1145" s="3">
        <f>IFERROR(__xludf.DUMMYFUNCTION("""COMPUTED_VALUE"""),998.242853)</f>
        <v>998.242853</v>
      </c>
      <c r="C1145" s="3">
        <f>IFERROR(__xludf.DUMMYFUNCTION("""COMPUTED_VALUE"""),977631.036951)</f>
        <v>977631.037</v>
      </c>
      <c r="D1145" s="3">
        <f>IFERROR(__xludf.DUMMYFUNCTION("""COMPUTED_VALUE"""),0.0)</f>
        <v>0</v>
      </c>
      <c r="E1145" s="3">
        <f>IFERROR(__xludf.DUMMYFUNCTION("""COMPUTED_VALUE"""),0.0)</f>
        <v>0</v>
      </c>
      <c r="F1145" s="3" t="str">
        <f>IFERROR(__xludf.DUMMYFUNCTION("""COMPUTED_VALUE"""),"MKR")</f>
        <v>MKR</v>
      </c>
      <c r="G1145" s="3"/>
    </row>
    <row r="1146">
      <c r="A1146" s="3" t="str">
        <f>IFERROR(__xludf.DUMMYFUNCTION("""COMPUTED_VALUE"""),"2022-08-17T00:00:00Z")</f>
        <v>2022-08-17T00:00:00Z</v>
      </c>
      <c r="B1146" s="3">
        <f>IFERROR(__xludf.DUMMYFUNCTION("""COMPUTED_VALUE"""),979.603079)</f>
        <v>979.603079</v>
      </c>
      <c r="C1146" s="3">
        <f>IFERROR(__xludf.DUMMYFUNCTION("""COMPUTED_VALUE"""),977631.036951)</f>
        <v>977631.037</v>
      </c>
      <c r="D1146" s="3">
        <f>IFERROR(__xludf.DUMMYFUNCTION("""COMPUTED_VALUE"""),0.0)</f>
        <v>0</v>
      </c>
      <c r="E1146" s="3">
        <f>IFERROR(__xludf.DUMMYFUNCTION("""COMPUTED_VALUE"""),0.0)</f>
        <v>0</v>
      </c>
      <c r="F1146" s="3" t="str">
        <f>IFERROR(__xludf.DUMMYFUNCTION("""COMPUTED_VALUE"""),"MKR")</f>
        <v>MKR</v>
      </c>
      <c r="G1146" s="3"/>
    </row>
    <row r="1147">
      <c r="A1147" s="3" t="str">
        <f>IFERROR(__xludf.DUMMYFUNCTION("""COMPUTED_VALUE"""),"2022-08-18T00:00:00Z")</f>
        <v>2022-08-18T00:00:00Z</v>
      </c>
      <c r="B1147" s="3">
        <f>IFERROR(__xludf.DUMMYFUNCTION("""COMPUTED_VALUE"""),929.86419)</f>
        <v>929.86419</v>
      </c>
      <c r="C1147" s="3">
        <f>IFERROR(__xludf.DUMMYFUNCTION("""COMPUTED_VALUE"""),977631.036951)</f>
        <v>977631.037</v>
      </c>
      <c r="D1147" s="3">
        <f>IFERROR(__xludf.DUMMYFUNCTION("""COMPUTED_VALUE"""),0.0)</f>
        <v>0</v>
      </c>
      <c r="E1147" s="3">
        <f>IFERROR(__xludf.DUMMYFUNCTION("""COMPUTED_VALUE"""),0.0)</f>
        <v>0</v>
      </c>
      <c r="F1147" s="3" t="str">
        <f>IFERROR(__xludf.DUMMYFUNCTION("""COMPUTED_VALUE"""),"MKR")</f>
        <v>MKR</v>
      </c>
      <c r="G1147" s="3"/>
    </row>
    <row r="1148">
      <c r="A1148" s="3" t="str">
        <f>IFERROR(__xludf.DUMMYFUNCTION("""COMPUTED_VALUE"""),"2022-08-19T00:00:00Z")</f>
        <v>2022-08-19T00:00:00Z</v>
      </c>
      <c r="B1148" s="3">
        <f>IFERROR(__xludf.DUMMYFUNCTION("""COMPUTED_VALUE"""),895.269864)</f>
        <v>895.269864</v>
      </c>
      <c r="C1148" s="3">
        <f>IFERROR(__xludf.DUMMYFUNCTION("""COMPUTED_VALUE"""),977631.036951)</f>
        <v>977631.037</v>
      </c>
      <c r="D1148" s="3">
        <f>IFERROR(__xludf.DUMMYFUNCTION("""COMPUTED_VALUE"""),0.0)</f>
        <v>0</v>
      </c>
      <c r="E1148" s="3">
        <f>IFERROR(__xludf.DUMMYFUNCTION("""COMPUTED_VALUE"""),0.0)</f>
        <v>0</v>
      </c>
      <c r="F1148" s="3" t="str">
        <f>IFERROR(__xludf.DUMMYFUNCTION("""COMPUTED_VALUE"""),"MKR")</f>
        <v>MKR</v>
      </c>
      <c r="G1148" s="3"/>
    </row>
    <row r="1149">
      <c r="A1149" s="3" t="str">
        <f>IFERROR(__xludf.DUMMYFUNCTION("""COMPUTED_VALUE"""),"2022-08-20T00:00:00Z")</f>
        <v>2022-08-20T00:00:00Z</v>
      </c>
      <c r="B1149" s="3">
        <f>IFERROR(__xludf.DUMMYFUNCTION("""COMPUTED_VALUE"""),837.632031)</f>
        <v>837.632031</v>
      </c>
      <c r="C1149" s="3">
        <f>IFERROR(__xludf.DUMMYFUNCTION("""COMPUTED_VALUE"""),977631.036951)</f>
        <v>977631.037</v>
      </c>
      <c r="D1149" s="3">
        <f>IFERROR(__xludf.DUMMYFUNCTION("""COMPUTED_VALUE"""),0.0)</f>
        <v>0</v>
      </c>
      <c r="E1149" s="3">
        <f>IFERROR(__xludf.DUMMYFUNCTION("""COMPUTED_VALUE"""),0.0)</f>
        <v>0</v>
      </c>
      <c r="F1149" s="3" t="str">
        <f>IFERROR(__xludf.DUMMYFUNCTION("""COMPUTED_VALUE"""),"MKR")</f>
        <v>MKR</v>
      </c>
      <c r="G1149" s="3"/>
    </row>
    <row r="1150">
      <c r="A1150" s="3" t="str">
        <f>IFERROR(__xludf.DUMMYFUNCTION("""COMPUTED_VALUE"""),"2022-08-21T00:00:00Z")</f>
        <v>2022-08-21T00:00:00Z</v>
      </c>
      <c r="B1150" s="3">
        <f>IFERROR(__xludf.DUMMYFUNCTION("""COMPUTED_VALUE"""),823.1706)</f>
        <v>823.1706</v>
      </c>
      <c r="C1150" s="3">
        <f>IFERROR(__xludf.DUMMYFUNCTION("""COMPUTED_VALUE"""),977631.036951)</f>
        <v>977631.037</v>
      </c>
      <c r="D1150" s="3">
        <f>IFERROR(__xludf.DUMMYFUNCTION("""COMPUTED_VALUE"""),0.0)</f>
        <v>0</v>
      </c>
      <c r="E1150" s="3">
        <f>IFERROR(__xludf.DUMMYFUNCTION("""COMPUTED_VALUE"""),0.0)</f>
        <v>0</v>
      </c>
      <c r="F1150" s="3" t="str">
        <f>IFERROR(__xludf.DUMMYFUNCTION("""COMPUTED_VALUE"""),"MKR")</f>
        <v>MKR</v>
      </c>
      <c r="G1150" s="3"/>
    </row>
    <row r="1151">
      <c r="A1151" s="3" t="str">
        <f>IFERROR(__xludf.DUMMYFUNCTION("""COMPUTED_VALUE"""),"2022-08-22T00:00:00Z")</f>
        <v>2022-08-22T00:00:00Z</v>
      </c>
      <c r="B1151" s="3">
        <f>IFERROR(__xludf.DUMMYFUNCTION("""COMPUTED_VALUE"""),838.367019)</f>
        <v>838.367019</v>
      </c>
      <c r="C1151" s="3">
        <f>IFERROR(__xludf.DUMMYFUNCTION("""COMPUTED_VALUE"""),977631.036951)</f>
        <v>977631.037</v>
      </c>
      <c r="D1151" s="3">
        <f>IFERROR(__xludf.DUMMYFUNCTION("""COMPUTED_VALUE"""),0.0)</f>
        <v>0</v>
      </c>
      <c r="E1151" s="3">
        <f>IFERROR(__xludf.DUMMYFUNCTION("""COMPUTED_VALUE"""),0.0)</f>
        <v>0</v>
      </c>
      <c r="F1151" s="3" t="str">
        <f>IFERROR(__xludf.DUMMYFUNCTION("""COMPUTED_VALUE"""),"MKR")</f>
        <v>MKR</v>
      </c>
      <c r="G1151" s="3"/>
    </row>
    <row r="1152">
      <c r="A1152" s="3" t="str">
        <f>IFERROR(__xludf.DUMMYFUNCTION("""COMPUTED_VALUE"""),"2022-08-23T00:00:00Z")</f>
        <v>2022-08-23T00:00:00Z</v>
      </c>
      <c r="B1152" s="3">
        <f>IFERROR(__xludf.DUMMYFUNCTION("""COMPUTED_VALUE"""),839.547227)</f>
        <v>839.547227</v>
      </c>
      <c r="C1152" s="3">
        <f>IFERROR(__xludf.DUMMYFUNCTION("""COMPUTED_VALUE"""),977631.036951)</f>
        <v>977631.037</v>
      </c>
      <c r="D1152" s="3">
        <f>IFERROR(__xludf.DUMMYFUNCTION("""COMPUTED_VALUE"""),0.0)</f>
        <v>0</v>
      </c>
      <c r="E1152" s="3">
        <f>IFERROR(__xludf.DUMMYFUNCTION("""COMPUTED_VALUE"""),0.0)</f>
        <v>0</v>
      </c>
      <c r="F1152" s="3" t="str">
        <f>IFERROR(__xludf.DUMMYFUNCTION("""COMPUTED_VALUE"""),"MKR")</f>
        <v>MKR</v>
      </c>
      <c r="G1152" s="3"/>
    </row>
    <row r="1153">
      <c r="A1153" s="3" t="str">
        <f>IFERROR(__xludf.DUMMYFUNCTION("""COMPUTED_VALUE"""),"2022-08-24T00:00:00Z")</f>
        <v>2022-08-24T00:00:00Z</v>
      </c>
      <c r="B1153" s="3">
        <f>IFERROR(__xludf.DUMMYFUNCTION("""COMPUTED_VALUE"""),856.342904)</f>
        <v>856.342904</v>
      </c>
      <c r="C1153" s="3">
        <f>IFERROR(__xludf.DUMMYFUNCTION("""COMPUTED_VALUE"""),977631.036951)</f>
        <v>977631.037</v>
      </c>
      <c r="D1153" s="3">
        <f>IFERROR(__xludf.DUMMYFUNCTION("""COMPUTED_VALUE"""),0.0)</f>
        <v>0</v>
      </c>
      <c r="E1153" s="3">
        <f>IFERROR(__xludf.DUMMYFUNCTION("""COMPUTED_VALUE"""),0.0)</f>
        <v>0</v>
      </c>
      <c r="F1153" s="3" t="str">
        <f>IFERROR(__xludf.DUMMYFUNCTION("""COMPUTED_VALUE"""),"MKR")</f>
        <v>MKR</v>
      </c>
      <c r="G1153" s="3"/>
    </row>
    <row r="1154">
      <c r="A1154" s="3" t="str">
        <f>IFERROR(__xludf.DUMMYFUNCTION("""COMPUTED_VALUE"""),"2022-08-25T00:00:00Z")</f>
        <v>2022-08-25T00:00:00Z</v>
      </c>
      <c r="B1154" s="3">
        <f>IFERROR(__xludf.DUMMYFUNCTION("""COMPUTED_VALUE"""),854.350231)</f>
        <v>854.350231</v>
      </c>
      <c r="C1154" s="3">
        <f>IFERROR(__xludf.DUMMYFUNCTION("""COMPUTED_VALUE"""),977631.036951)</f>
        <v>977631.037</v>
      </c>
      <c r="D1154" s="3">
        <f>IFERROR(__xludf.DUMMYFUNCTION("""COMPUTED_VALUE"""),0.0)</f>
        <v>0</v>
      </c>
      <c r="E1154" s="3">
        <f>IFERROR(__xludf.DUMMYFUNCTION("""COMPUTED_VALUE"""),0.0)</f>
        <v>0</v>
      </c>
      <c r="F1154" s="3" t="str">
        <f>IFERROR(__xludf.DUMMYFUNCTION("""COMPUTED_VALUE"""),"MKR")</f>
        <v>MKR</v>
      </c>
      <c r="G1154" s="3"/>
    </row>
    <row r="1155">
      <c r="A1155" s="3" t="str">
        <f>IFERROR(__xludf.DUMMYFUNCTION("""COMPUTED_VALUE"""),"2022-08-26T00:00:00Z")</f>
        <v>2022-08-26T00:00:00Z</v>
      </c>
      <c r="B1155" s="3">
        <f>IFERROR(__xludf.DUMMYFUNCTION("""COMPUTED_VALUE"""),845.967673)</f>
        <v>845.967673</v>
      </c>
      <c r="C1155" s="3">
        <f>IFERROR(__xludf.DUMMYFUNCTION("""COMPUTED_VALUE"""),977631.036951)</f>
        <v>977631.037</v>
      </c>
      <c r="D1155" s="3">
        <f>IFERROR(__xludf.DUMMYFUNCTION("""COMPUTED_VALUE"""),0.0)</f>
        <v>0</v>
      </c>
      <c r="E1155" s="3">
        <f>IFERROR(__xludf.DUMMYFUNCTION("""COMPUTED_VALUE"""),0.0)</f>
        <v>0</v>
      </c>
      <c r="F1155" s="3" t="str">
        <f>IFERROR(__xludf.DUMMYFUNCTION("""COMPUTED_VALUE"""),"MKR")</f>
        <v>MKR</v>
      </c>
      <c r="G1155" s="3"/>
    </row>
    <row r="1156">
      <c r="A1156" s="3" t="str">
        <f>IFERROR(__xludf.DUMMYFUNCTION("""COMPUTED_VALUE"""),"2022-08-27T00:00:00Z")</f>
        <v>2022-08-27T00:00:00Z</v>
      </c>
      <c r="B1156" s="3">
        <f>IFERROR(__xludf.DUMMYFUNCTION("""COMPUTED_VALUE"""),761.524045)</f>
        <v>761.524045</v>
      </c>
      <c r="C1156" s="3">
        <f>IFERROR(__xludf.DUMMYFUNCTION("""COMPUTED_VALUE"""),977631.036951)</f>
        <v>977631.037</v>
      </c>
      <c r="D1156" s="3">
        <f>IFERROR(__xludf.DUMMYFUNCTION("""COMPUTED_VALUE"""),0.0)</f>
        <v>0</v>
      </c>
      <c r="E1156" s="3">
        <f>IFERROR(__xludf.DUMMYFUNCTION("""COMPUTED_VALUE"""),0.0)</f>
        <v>0</v>
      </c>
      <c r="F1156" s="3" t="str">
        <f>IFERROR(__xludf.DUMMYFUNCTION("""COMPUTED_VALUE"""),"MKR")</f>
        <v>MKR</v>
      </c>
      <c r="G1156" s="3"/>
    </row>
    <row r="1157">
      <c r="A1157" s="3" t="str">
        <f>IFERROR(__xludf.DUMMYFUNCTION("""COMPUTED_VALUE"""),"2022-08-28T00:00:00Z")</f>
        <v>2022-08-28T00:00:00Z</v>
      </c>
      <c r="B1157" s="3">
        <f>IFERROR(__xludf.DUMMYFUNCTION("""COMPUTED_VALUE"""),764.934625)</f>
        <v>764.934625</v>
      </c>
      <c r="C1157" s="3">
        <f>IFERROR(__xludf.DUMMYFUNCTION("""COMPUTED_VALUE"""),977631.036951)</f>
        <v>977631.037</v>
      </c>
      <c r="D1157" s="3">
        <f>IFERROR(__xludf.DUMMYFUNCTION("""COMPUTED_VALUE"""),0.0)</f>
        <v>0</v>
      </c>
      <c r="E1157" s="3">
        <f>IFERROR(__xludf.DUMMYFUNCTION("""COMPUTED_VALUE"""),0.0)</f>
        <v>0</v>
      </c>
      <c r="F1157" s="3" t="str">
        <f>IFERROR(__xludf.DUMMYFUNCTION("""COMPUTED_VALUE"""),"MKR")</f>
        <v>MKR</v>
      </c>
      <c r="G1157" s="3"/>
    </row>
    <row r="1158">
      <c r="A1158" s="3" t="str">
        <f>IFERROR(__xludf.DUMMYFUNCTION("""COMPUTED_VALUE"""),"2022-08-29T00:00:00Z")</f>
        <v>2022-08-29T00:00:00Z</v>
      </c>
      <c r="B1158" s="3">
        <f>IFERROR(__xludf.DUMMYFUNCTION("""COMPUTED_VALUE"""),737.42424)</f>
        <v>737.42424</v>
      </c>
      <c r="C1158" s="3">
        <f>IFERROR(__xludf.DUMMYFUNCTION("""COMPUTED_VALUE"""),977631.036951)</f>
        <v>977631.037</v>
      </c>
      <c r="D1158" s="3">
        <f>IFERROR(__xludf.DUMMYFUNCTION("""COMPUTED_VALUE"""),0.0)</f>
        <v>0</v>
      </c>
      <c r="E1158" s="3">
        <f>IFERROR(__xludf.DUMMYFUNCTION("""COMPUTED_VALUE"""),0.0)</f>
        <v>0</v>
      </c>
      <c r="F1158" s="3" t="str">
        <f>IFERROR(__xludf.DUMMYFUNCTION("""COMPUTED_VALUE"""),"MKR")</f>
        <v>MKR</v>
      </c>
      <c r="G1158" s="3"/>
    </row>
    <row r="1159">
      <c r="A1159" s="3" t="str">
        <f>IFERROR(__xludf.DUMMYFUNCTION("""COMPUTED_VALUE"""),"2022-08-30T00:00:00Z")</f>
        <v>2022-08-30T00:00:00Z</v>
      </c>
      <c r="B1159" s="3">
        <f>IFERROR(__xludf.DUMMYFUNCTION("""COMPUTED_VALUE"""),810.953868)</f>
        <v>810.953868</v>
      </c>
      <c r="C1159" s="3">
        <f>IFERROR(__xludf.DUMMYFUNCTION("""COMPUTED_VALUE"""),977631.036951)</f>
        <v>977631.037</v>
      </c>
      <c r="D1159" s="3">
        <f>IFERROR(__xludf.DUMMYFUNCTION("""COMPUTED_VALUE"""),0.0)</f>
        <v>0</v>
      </c>
      <c r="E1159" s="3">
        <f>IFERROR(__xludf.DUMMYFUNCTION("""COMPUTED_VALUE"""),0.0)</f>
        <v>0</v>
      </c>
      <c r="F1159" s="3" t="str">
        <f>IFERROR(__xludf.DUMMYFUNCTION("""COMPUTED_VALUE"""),"MKR")</f>
        <v>MKR</v>
      </c>
      <c r="G1159" s="3"/>
    </row>
    <row r="1160">
      <c r="A1160" s="3" t="str">
        <f>IFERROR(__xludf.DUMMYFUNCTION("""COMPUTED_VALUE"""),"2022-08-31T00:00:00Z")</f>
        <v>2022-08-31T00:00:00Z</v>
      </c>
      <c r="B1160" s="3">
        <f>IFERROR(__xludf.DUMMYFUNCTION("""COMPUTED_VALUE"""),784.242987)</f>
        <v>784.242987</v>
      </c>
      <c r="C1160" s="3">
        <f>IFERROR(__xludf.DUMMYFUNCTION("""COMPUTED_VALUE"""),977631.036951)</f>
        <v>977631.037</v>
      </c>
      <c r="D1160" s="3">
        <f>IFERROR(__xludf.DUMMYFUNCTION("""COMPUTED_VALUE"""),0.0)</f>
        <v>0</v>
      </c>
      <c r="E1160" s="3">
        <f>IFERROR(__xludf.DUMMYFUNCTION("""COMPUTED_VALUE"""),0.0)</f>
        <v>0</v>
      </c>
      <c r="F1160" s="3" t="str">
        <f>IFERROR(__xludf.DUMMYFUNCTION("""COMPUTED_VALUE"""),"MKR")</f>
        <v>MKR</v>
      </c>
      <c r="G1160" s="3"/>
    </row>
    <row r="1161">
      <c r="A1161" s="3" t="str">
        <f>IFERROR(__xludf.DUMMYFUNCTION("""COMPUTED_VALUE"""),"2022-09-01T00:00:00Z")</f>
        <v>2022-09-01T00:00:00Z</v>
      </c>
      <c r="B1161" s="3">
        <f>IFERROR(__xludf.DUMMYFUNCTION("""COMPUTED_VALUE"""),759.47365)</f>
        <v>759.47365</v>
      </c>
      <c r="C1161" s="3">
        <f>IFERROR(__xludf.DUMMYFUNCTION("""COMPUTED_VALUE"""),977631.036951)</f>
        <v>977631.037</v>
      </c>
      <c r="D1161" s="3">
        <f>IFERROR(__xludf.DUMMYFUNCTION("""COMPUTED_VALUE"""),0.0)</f>
        <v>0</v>
      </c>
      <c r="E1161" s="3">
        <f>IFERROR(__xludf.DUMMYFUNCTION("""COMPUTED_VALUE"""),0.0)</f>
        <v>0</v>
      </c>
      <c r="F1161" s="3" t="str">
        <f>IFERROR(__xludf.DUMMYFUNCTION("""COMPUTED_VALUE"""),"MKR")</f>
        <v>MKR</v>
      </c>
      <c r="G1161" s="3"/>
    </row>
    <row r="1162">
      <c r="A1162" s="3" t="str">
        <f>IFERROR(__xludf.DUMMYFUNCTION("""COMPUTED_VALUE"""),"2022-09-02T00:00:00Z")</f>
        <v>2022-09-02T00:00:00Z</v>
      </c>
      <c r="B1162" s="3">
        <f>IFERROR(__xludf.DUMMYFUNCTION("""COMPUTED_VALUE"""),757.019348)</f>
        <v>757.019348</v>
      </c>
      <c r="C1162" s="3">
        <f>IFERROR(__xludf.DUMMYFUNCTION("""COMPUTED_VALUE"""),977631.036951)</f>
        <v>977631.037</v>
      </c>
      <c r="D1162" s="3">
        <f>IFERROR(__xludf.DUMMYFUNCTION("""COMPUTED_VALUE"""),0.0)</f>
        <v>0</v>
      </c>
      <c r="E1162" s="3">
        <f>IFERROR(__xludf.DUMMYFUNCTION("""COMPUTED_VALUE"""),0.0)</f>
        <v>0</v>
      </c>
      <c r="F1162" s="3" t="str">
        <f>IFERROR(__xludf.DUMMYFUNCTION("""COMPUTED_VALUE"""),"MKR")</f>
        <v>MKR</v>
      </c>
      <c r="G1162" s="3"/>
    </row>
    <row r="1163">
      <c r="A1163" s="3" t="str">
        <f>IFERROR(__xludf.DUMMYFUNCTION("""COMPUTED_VALUE"""),"2022-09-03T00:00:00Z")</f>
        <v>2022-09-03T00:00:00Z</v>
      </c>
      <c r="B1163" s="3">
        <f>IFERROR(__xludf.DUMMYFUNCTION("""COMPUTED_VALUE"""),749.08958)</f>
        <v>749.08958</v>
      </c>
      <c r="C1163" s="3">
        <f>IFERROR(__xludf.DUMMYFUNCTION("""COMPUTED_VALUE"""),977631.036951)</f>
        <v>977631.037</v>
      </c>
      <c r="D1163" s="3">
        <f>IFERROR(__xludf.DUMMYFUNCTION("""COMPUTED_VALUE"""),0.0)</f>
        <v>0</v>
      </c>
      <c r="E1163" s="3">
        <f>IFERROR(__xludf.DUMMYFUNCTION("""COMPUTED_VALUE"""),0.0)</f>
        <v>0</v>
      </c>
      <c r="F1163" s="3" t="str">
        <f>IFERROR(__xludf.DUMMYFUNCTION("""COMPUTED_VALUE"""),"MKR")</f>
        <v>MKR</v>
      </c>
      <c r="G1163" s="3"/>
    </row>
    <row r="1164">
      <c r="A1164" s="3" t="str">
        <f>IFERROR(__xludf.DUMMYFUNCTION("""COMPUTED_VALUE"""),"2022-09-04T00:00:00Z")</f>
        <v>2022-09-04T00:00:00Z</v>
      </c>
      <c r="B1164" s="3">
        <f>IFERROR(__xludf.DUMMYFUNCTION("""COMPUTED_VALUE"""),742.563512)</f>
        <v>742.563512</v>
      </c>
      <c r="C1164" s="3">
        <f>IFERROR(__xludf.DUMMYFUNCTION("""COMPUTED_VALUE"""),977631.036951)</f>
        <v>977631.037</v>
      </c>
      <c r="D1164" s="3">
        <f>IFERROR(__xludf.DUMMYFUNCTION("""COMPUTED_VALUE"""),0.0)</f>
        <v>0</v>
      </c>
      <c r="E1164" s="3">
        <f>IFERROR(__xludf.DUMMYFUNCTION("""COMPUTED_VALUE"""),0.0)</f>
        <v>0</v>
      </c>
      <c r="F1164" s="3" t="str">
        <f>IFERROR(__xludf.DUMMYFUNCTION("""COMPUTED_VALUE"""),"MKR")</f>
        <v>MKR</v>
      </c>
      <c r="G1164" s="3"/>
    </row>
    <row r="1165">
      <c r="A1165" s="3" t="str">
        <f>IFERROR(__xludf.DUMMYFUNCTION("""COMPUTED_VALUE"""),"2022-09-05T00:00:00Z")</f>
        <v>2022-09-05T00:00:00Z</v>
      </c>
      <c r="B1165" s="3">
        <f>IFERROR(__xludf.DUMMYFUNCTION("""COMPUTED_VALUE"""),753.050783)</f>
        <v>753.050783</v>
      </c>
      <c r="C1165" s="3">
        <f>IFERROR(__xludf.DUMMYFUNCTION("""COMPUTED_VALUE"""),977631.036951)</f>
        <v>977631.037</v>
      </c>
      <c r="D1165" s="3">
        <f>IFERROR(__xludf.DUMMYFUNCTION("""COMPUTED_VALUE"""),0.0)</f>
        <v>0</v>
      </c>
      <c r="E1165" s="3">
        <f>IFERROR(__xludf.DUMMYFUNCTION("""COMPUTED_VALUE"""),0.0)</f>
        <v>0</v>
      </c>
      <c r="F1165" s="3" t="str">
        <f>IFERROR(__xludf.DUMMYFUNCTION("""COMPUTED_VALUE"""),"MKR")</f>
        <v>MKR</v>
      </c>
      <c r="G1165" s="3"/>
    </row>
    <row r="1166">
      <c r="A1166" s="3" t="str">
        <f>IFERROR(__xludf.DUMMYFUNCTION("""COMPUTED_VALUE"""),"2022-09-06T00:00:00Z")</f>
        <v>2022-09-06T00:00:00Z</v>
      </c>
      <c r="B1166" s="3">
        <f>IFERROR(__xludf.DUMMYFUNCTION("""COMPUTED_VALUE"""),740.916367)</f>
        <v>740.916367</v>
      </c>
      <c r="C1166" s="3">
        <f>IFERROR(__xludf.DUMMYFUNCTION("""COMPUTED_VALUE"""),977631.036951)</f>
        <v>977631.037</v>
      </c>
      <c r="D1166" s="3">
        <f>IFERROR(__xludf.DUMMYFUNCTION("""COMPUTED_VALUE"""),0.0)</f>
        <v>0</v>
      </c>
      <c r="E1166" s="3">
        <f>IFERROR(__xludf.DUMMYFUNCTION("""COMPUTED_VALUE"""),0.0)</f>
        <v>0</v>
      </c>
      <c r="F1166" s="3" t="str">
        <f>IFERROR(__xludf.DUMMYFUNCTION("""COMPUTED_VALUE"""),"MKR")</f>
        <v>MKR</v>
      </c>
      <c r="G1166" s="3"/>
    </row>
    <row r="1167">
      <c r="A1167" s="3" t="str">
        <f>IFERROR(__xludf.DUMMYFUNCTION("""COMPUTED_VALUE"""),"2022-09-07T00:00:00Z")</f>
        <v>2022-09-07T00:00:00Z</v>
      </c>
      <c r="B1167" s="3">
        <f>IFERROR(__xludf.DUMMYFUNCTION("""COMPUTED_VALUE"""),725.817363)</f>
        <v>725.817363</v>
      </c>
      <c r="C1167" s="3">
        <f>IFERROR(__xludf.DUMMYFUNCTION("""COMPUTED_VALUE"""),977631.036951)</f>
        <v>977631.037</v>
      </c>
      <c r="D1167" s="3">
        <f>IFERROR(__xludf.DUMMYFUNCTION("""COMPUTED_VALUE"""),0.0)</f>
        <v>0</v>
      </c>
      <c r="E1167" s="3">
        <f>IFERROR(__xludf.DUMMYFUNCTION("""COMPUTED_VALUE"""),0.0)</f>
        <v>0</v>
      </c>
      <c r="F1167" s="3" t="str">
        <f>IFERROR(__xludf.DUMMYFUNCTION("""COMPUTED_VALUE"""),"MKR")</f>
        <v>MKR</v>
      </c>
      <c r="G1167" s="3"/>
    </row>
    <row r="1168">
      <c r="A1168" s="3" t="str">
        <f>IFERROR(__xludf.DUMMYFUNCTION("""COMPUTED_VALUE"""),"2022-09-08T00:00:00Z")</f>
        <v>2022-09-08T00:00:00Z</v>
      </c>
      <c r="B1168" s="3">
        <f>IFERROR(__xludf.DUMMYFUNCTION("""COMPUTED_VALUE"""),738.950022)</f>
        <v>738.950022</v>
      </c>
      <c r="C1168" s="3">
        <f>IFERROR(__xludf.DUMMYFUNCTION("""COMPUTED_VALUE"""),977631.036951)</f>
        <v>977631.037</v>
      </c>
      <c r="D1168" s="3">
        <f>IFERROR(__xludf.DUMMYFUNCTION("""COMPUTED_VALUE"""),0.0)</f>
        <v>0</v>
      </c>
      <c r="E1168" s="3">
        <f>IFERROR(__xludf.DUMMYFUNCTION("""COMPUTED_VALUE"""),0.0)</f>
        <v>0</v>
      </c>
      <c r="F1168" s="3" t="str">
        <f>IFERROR(__xludf.DUMMYFUNCTION("""COMPUTED_VALUE"""),"MKR")</f>
        <v>MKR</v>
      </c>
      <c r="G1168" s="3"/>
    </row>
    <row r="1169">
      <c r="A1169" s="3" t="str">
        <f>IFERROR(__xludf.DUMMYFUNCTION("""COMPUTED_VALUE"""),"2022-09-09T00:00:00Z")</f>
        <v>2022-09-09T00:00:00Z</v>
      </c>
      <c r="B1169" s="3">
        <f>IFERROR(__xludf.DUMMYFUNCTION("""COMPUTED_VALUE"""),726.280545)</f>
        <v>726.280545</v>
      </c>
      <c r="C1169" s="3">
        <f>IFERROR(__xludf.DUMMYFUNCTION("""COMPUTED_VALUE"""),977631.036951)</f>
        <v>977631.037</v>
      </c>
      <c r="D1169" s="3">
        <f>IFERROR(__xludf.DUMMYFUNCTION("""COMPUTED_VALUE"""),0.0)</f>
        <v>0</v>
      </c>
      <c r="E1169" s="3">
        <f>IFERROR(__xludf.DUMMYFUNCTION("""COMPUTED_VALUE"""),0.0)</f>
        <v>0</v>
      </c>
      <c r="F1169" s="3" t="str">
        <f>IFERROR(__xludf.DUMMYFUNCTION("""COMPUTED_VALUE"""),"MKR")</f>
        <v>MKR</v>
      </c>
      <c r="G1169" s="3"/>
    </row>
    <row r="1170">
      <c r="A1170" s="3" t="str">
        <f>IFERROR(__xludf.DUMMYFUNCTION("""COMPUTED_VALUE"""),"2022-09-10T00:00:00Z")</f>
        <v>2022-09-10T00:00:00Z</v>
      </c>
      <c r="B1170" s="3">
        <f>IFERROR(__xludf.DUMMYFUNCTION("""COMPUTED_VALUE"""),779.9773)</f>
        <v>779.9773</v>
      </c>
      <c r="C1170" s="3">
        <f>IFERROR(__xludf.DUMMYFUNCTION("""COMPUTED_VALUE"""),977631.036951)</f>
        <v>977631.037</v>
      </c>
      <c r="D1170" s="3">
        <f>IFERROR(__xludf.DUMMYFUNCTION("""COMPUTED_VALUE"""),0.0)</f>
        <v>0</v>
      </c>
      <c r="E1170" s="3">
        <f>IFERROR(__xludf.DUMMYFUNCTION("""COMPUTED_VALUE"""),0.0)</f>
        <v>0</v>
      </c>
      <c r="F1170" s="3" t="str">
        <f>IFERROR(__xludf.DUMMYFUNCTION("""COMPUTED_VALUE"""),"MKR")</f>
        <v>MKR</v>
      </c>
      <c r="G1170" s="3"/>
    </row>
    <row r="1171">
      <c r="A1171" s="3" t="str">
        <f>IFERROR(__xludf.DUMMYFUNCTION("""COMPUTED_VALUE"""),"2022-09-11T00:00:00Z")</f>
        <v>2022-09-11T00:00:00Z</v>
      </c>
      <c r="B1171" s="3">
        <f>IFERROR(__xludf.DUMMYFUNCTION("""COMPUTED_VALUE"""),764.980997)</f>
        <v>764.980997</v>
      </c>
      <c r="C1171" s="3">
        <f>IFERROR(__xludf.DUMMYFUNCTION("""COMPUTED_VALUE"""),977631.036951)</f>
        <v>977631.037</v>
      </c>
      <c r="D1171" s="3">
        <f>IFERROR(__xludf.DUMMYFUNCTION("""COMPUTED_VALUE"""),0.0)</f>
        <v>0</v>
      </c>
      <c r="E1171" s="3">
        <f>IFERROR(__xludf.DUMMYFUNCTION("""COMPUTED_VALUE"""),0.0)</f>
        <v>0</v>
      </c>
      <c r="F1171" s="3" t="str">
        <f>IFERROR(__xludf.DUMMYFUNCTION("""COMPUTED_VALUE"""),"MKR")</f>
        <v>MKR</v>
      </c>
      <c r="G1171" s="3"/>
    </row>
    <row r="1172">
      <c r="A1172" s="3" t="str">
        <f>IFERROR(__xludf.DUMMYFUNCTION("""COMPUTED_VALUE"""),"2022-09-12T00:00:00Z")</f>
        <v>2022-09-12T00:00:00Z</v>
      </c>
      <c r="B1172" s="3">
        <f>IFERROR(__xludf.DUMMYFUNCTION("""COMPUTED_VALUE"""),753.805194)</f>
        <v>753.805194</v>
      </c>
      <c r="C1172" s="3">
        <f>IFERROR(__xludf.DUMMYFUNCTION("""COMPUTED_VALUE"""),977631.036951)</f>
        <v>977631.037</v>
      </c>
      <c r="D1172" s="3">
        <f>IFERROR(__xludf.DUMMYFUNCTION("""COMPUTED_VALUE"""),0.0)</f>
        <v>0</v>
      </c>
      <c r="E1172" s="3">
        <f>IFERROR(__xludf.DUMMYFUNCTION("""COMPUTED_VALUE"""),0.0)</f>
        <v>0</v>
      </c>
      <c r="F1172" s="3" t="str">
        <f>IFERROR(__xludf.DUMMYFUNCTION("""COMPUTED_VALUE"""),"MKR")</f>
        <v>MKR</v>
      </c>
      <c r="G1172" s="3"/>
    </row>
    <row r="1173">
      <c r="A1173" s="3" t="str">
        <f>IFERROR(__xludf.DUMMYFUNCTION("""COMPUTED_VALUE"""),"2022-09-13T00:00:00Z")</f>
        <v>2022-09-13T00:00:00Z</v>
      </c>
      <c r="B1173" s="3">
        <f>IFERROR(__xludf.DUMMYFUNCTION("""COMPUTED_VALUE"""),737.184599)</f>
        <v>737.184599</v>
      </c>
      <c r="C1173" s="3">
        <f>IFERROR(__xludf.DUMMYFUNCTION("""COMPUTED_VALUE"""),977631.036951)</f>
        <v>977631.037</v>
      </c>
      <c r="D1173" s="3">
        <f>IFERROR(__xludf.DUMMYFUNCTION("""COMPUTED_VALUE"""),0.0)</f>
        <v>0</v>
      </c>
      <c r="E1173" s="3">
        <f>IFERROR(__xludf.DUMMYFUNCTION("""COMPUTED_VALUE"""),0.0)</f>
        <v>0</v>
      </c>
      <c r="F1173" s="3" t="str">
        <f>IFERROR(__xludf.DUMMYFUNCTION("""COMPUTED_VALUE"""),"MKR")</f>
        <v>MKR</v>
      </c>
      <c r="G1173" s="3"/>
    </row>
    <row r="1174">
      <c r="A1174" s="3" t="str">
        <f>IFERROR(__xludf.DUMMYFUNCTION("""COMPUTED_VALUE"""),"2022-09-14T00:00:00Z")</f>
        <v>2022-09-14T00:00:00Z</v>
      </c>
      <c r="B1174" s="3">
        <f>IFERROR(__xludf.DUMMYFUNCTION("""COMPUTED_VALUE"""),695.321552)</f>
        <v>695.321552</v>
      </c>
      <c r="C1174" s="3">
        <f>IFERROR(__xludf.DUMMYFUNCTION("""COMPUTED_VALUE"""),977631.036951)</f>
        <v>977631.037</v>
      </c>
      <c r="D1174" s="3">
        <f>IFERROR(__xludf.DUMMYFUNCTION("""COMPUTED_VALUE"""),0.0)</f>
        <v>0</v>
      </c>
      <c r="E1174" s="3">
        <f>IFERROR(__xludf.DUMMYFUNCTION("""COMPUTED_VALUE"""),0.0)</f>
        <v>0</v>
      </c>
      <c r="F1174" s="3" t="str">
        <f>IFERROR(__xludf.DUMMYFUNCTION("""COMPUTED_VALUE"""),"MKR")</f>
        <v>MKR</v>
      </c>
      <c r="G1174" s="3"/>
    </row>
    <row r="1175">
      <c r="A1175" s="3" t="str">
        <f>IFERROR(__xludf.DUMMYFUNCTION("""COMPUTED_VALUE"""),"2022-09-15T00:00:00Z")</f>
        <v>2022-09-15T00:00:00Z</v>
      </c>
      <c r="B1175" s="3">
        <f>IFERROR(__xludf.DUMMYFUNCTION("""COMPUTED_VALUE"""),701.211482)</f>
        <v>701.211482</v>
      </c>
      <c r="C1175" s="3">
        <f>IFERROR(__xludf.DUMMYFUNCTION("""COMPUTED_VALUE"""),977631.036951)</f>
        <v>977631.037</v>
      </c>
      <c r="D1175" s="3">
        <f>IFERROR(__xludf.DUMMYFUNCTION("""COMPUTED_VALUE"""),0.0)</f>
        <v>0</v>
      </c>
      <c r="E1175" s="3">
        <f>IFERROR(__xludf.DUMMYFUNCTION("""COMPUTED_VALUE"""),0.0)</f>
        <v>0</v>
      </c>
      <c r="F1175" s="3" t="str">
        <f>IFERROR(__xludf.DUMMYFUNCTION("""COMPUTED_VALUE"""),"MKR")</f>
        <v>MKR</v>
      </c>
      <c r="G1175" s="3"/>
    </row>
    <row r="1176">
      <c r="A1176" s="3" t="str">
        <f>IFERROR(__xludf.DUMMYFUNCTION("""COMPUTED_VALUE"""),"2022-09-16T00:00:00Z")</f>
        <v>2022-09-16T00:00:00Z</v>
      </c>
      <c r="B1176" s="3">
        <f>IFERROR(__xludf.DUMMYFUNCTION("""COMPUTED_VALUE"""),659.799783)</f>
        <v>659.799783</v>
      </c>
      <c r="C1176" s="3">
        <f>IFERROR(__xludf.DUMMYFUNCTION("""COMPUTED_VALUE"""),977631.036951)</f>
        <v>977631.037</v>
      </c>
      <c r="D1176" s="3">
        <f>IFERROR(__xludf.DUMMYFUNCTION("""COMPUTED_VALUE"""),0.0)</f>
        <v>0</v>
      </c>
      <c r="E1176" s="3">
        <f>IFERROR(__xludf.DUMMYFUNCTION("""COMPUTED_VALUE"""),0.0)</f>
        <v>0</v>
      </c>
      <c r="F1176" s="3" t="str">
        <f>IFERROR(__xludf.DUMMYFUNCTION("""COMPUTED_VALUE"""),"MKR")</f>
        <v>MKR</v>
      </c>
      <c r="G1176" s="3"/>
    </row>
    <row r="1177">
      <c r="A1177" s="3" t="str">
        <f>IFERROR(__xludf.DUMMYFUNCTION("""COMPUTED_VALUE"""),"2022-09-17T00:00:00Z")</f>
        <v>2022-09-17T00:00:00Z</v>
      </c>
      <c r="B1177" s="3">
        <f>IFERROR(__xludf.DUMMYFUNCTION("""COMPUTED_VALUE"""),669.338617)</f>
        <v>669.338617</v>
      </c>
      <c r="C1177" s="3">
        <f>IFERROR(__xludf.DUMMYFUNCTION("""COMPUTED_VALUE"""),977631.036951)</f>
        <v>977631.037</v>
      </c>
      <c r="D1177" s="3">
        <f>IFERROR(__xludf.DUMMYFUNCTION("""COMPUTED_VALUE"""),0.0)</f>
        <v>0</v>
      </c>
      <c r="E1177" s="3">
        <f>IFERROR(__xludf.DUMMYFUNCTION("""COMPUTED_VALUE"""),0.0)</f>
        <v>0</v>
      </c>
      <c r="F1177" s="3" t="str">
        <f>IFERROR(__xludf.DUMMYFUNCTION("""COMPUTED_VALUE"""),"MKR")</f>
        <v>MKR</v>
      </c>
      <c r="G1177" s="3"/>
    </row>
    <row r="1178">
      <c r="A1178" s="3" t="str">
        <f>IFERROR(__xludf.DUMMYFUNCTION("""COMPUTED_VALUE"""),"2022-09-18T00:00:00Z")</f>
        <v>2022-09-18T00:00:00Z</v>
      </c>
      <c r="B1178" s="3">
        <f>IFERROR(__xludf.DUMMYFUNCTION("""COMPUTED_VALUE"""),686.441226)</f>
        <v>686.441226</v>
      </c>
      <c r="C1178" s="3">
        <f>IFERROR(__xludf.DUMMYFUNCTION("""COMPUTED_VALUE"""),977631.036951)</f>
        <v>977631.037</v>
      </c>
      <c r="D1178" s="3">
        <f>IFERROR(__xludf.DUMMYFUNCTION("""COMPUTED_VALUE"""),0.0)</f>
        <v>0</v>
      </c>
      <c r="E1178" s="3">
        <f>IFERROR(__xludf.DUMMYFUNCTION("""COMPUTED_VALUE"""),0.0)</f>
        <v>0</v>
      </c>
      <c r="F1178" s="3" t="str">
        <f>IFERROR(__xludf.DUMMYFUNCTION("""COMPUTED_VALUE"""),"MKR")</f>
        <v>MKR</v>
      </c>
      <c r="G1178" s="3"/>
    </row>
    <row r="1179">
      <c r="A1179" s="3" t="str">
        <f>IFERROR(__xludf.DUMMYFUNCTION("""COMPUTED_VALUE"""),"2022-09-19T00:00:00Z")</f>
        <v>2022-09-19T00:00:00Z</v>
      </c>
      <c r="B1179" s="3">
        <f>IFERROR(__xludf.DUMMYFUNCTION("""COMPUTED_VALUE"""),632.964893)</f>
        <v>632.964893</v>
      </c>
      <c r="C1179" s="3">
        <f>IFERROR(__xludf.DUMMYFUNCTION("""COMPUTED_VALUE"""),977631.036951)</f>
        <v>977631.037</v>
      </c>
      <c r="D1179" s="3">
        <f>IFERROR(__xludf.DUMMYFUNCTION("""COMPUTED_VALUE"""),0.0)</f>
        <v>0</v>
      </c>
      <c r="E1179" s="3">
        <f>IFERROR(__xludf.DUMMYFUNCTION("""COMPUTED_VALUE"""),0.0)</f>
        <v>0</v>
      </c>
      <c r="F1179" s="3" t="str">
        <f>IFERROR(__xludf.DUMMYFUNCTION("""COMPUTED_VALUE"""),"MKR")</f>
        <v>MKR</v>
      </c>
      <c r="G1179" s="3"/>
    </row>
    <row r="1180">
      <c r="A1180" s="3" t="str">
        <f>IFERROR(__xludf.DUMMYFUNCTION("""COMPUTED_VALUE"""),"2022-09-20T00:00:00Z")</f>
        <v>2022-09-20T00:00:00Z</v>
      </c>
      <c r="B1180" s="3">
        <f>IFERROR(__xludf.DUMMYFUNCTION("""COMPUTED_VALUE"""),628.304849)</f>
        <v>628.304849</v>
      </c>
      <c r="C1180" s="3">
        <f>IFERROR(__xludf.DUMMYFUNCTION("""COMPUTED_VALUE"""),977631.036951)</f>
        <v>977631.037</v>
      </c>
      <c r="D1180" s="3">
        <f>IFERROR(__xludf.DUMMYFUNCTION("""COMPUTED_VALUE"""),0.0)</f>
        <v>0</v>
      </c>
      <c r="E1180" s="3">
        <f>IFERROR(__xludf.DUMMYFUNCTION("""COMPUTED_VALUE"""),0.0)</f>
        <v>0</v>
      </c>
      <c r="F1180" s="3" t="str">
        <f>IFERROR(__xludf.DUMMYFUNCTION("""COMPUTED_VALUE"""),"MKR")</f>
        <v>MKR</v>
      </c>
      <c r="G1180" s="3"/>
    </row>
    <row r="1181">
      <c r="A1181" s="3" t="str">
        <f>IFERROR(__xludf.DUMMYFUNCTION("""COMPUTED_VALUE"""),"2022-09-21T00:00:00Z")</f>
        <v>2022-09-21T00:00:00Z</v>
      </c>
      <c r="B1181" s="3">
        <f>IFERROR(__xludf.DUMMYFUNCTION("""COMPUTED_VALUE"""),609.543116)</f>
        <v>609.543116</v>
      </c>
      <c r="C1181" s="3">
        <f>IFERROR(__xludf.DUMMYFUNCTION("""COMPUTED_VALUE"""),977631.036951)</f>
        <v>977631.037</v>
      </c>
      <c r="D1181" s="3">
        <f>IFERROR(__xludf.DUMMYFUNCTION("""COMPUTED_VALUE"""),0.0)</f>
        <v>0</v>
      </c>
      <c r="E1181" s="3">
        <f>IFERROR(__xludf.DUMMYFUNCTION("""COMPUTED_VALUE"""),0.0)</f>
        <v>0</v>
      </c>
      <c r="F1181" s="3" t="str">
        <f>IFERROR(__xludf.DUMMYFUNCTION("""COMPUTED_VALUE"""),"MKR")</f>
        <v>MKR</v>
      </c>
      <c r="G1181" s="3"/>
    </row>
    <row r="1182">
      <c r="A1182" s="3" t="str">
        <f>IFERROR(__xludf.DUMMYFUNCTION("""COMPUTED_VALUE"""),"2022-09-22T00:00:00Z")</f>
        <v>2022-09-22T00:00:00Z</v>
      </c>
      <c r="B1182" s="3">
        <f>IFERROR(__xludf.DUMMYFUNCTION("""COMPUTED_VALUE"""),591.040825)</f>
        <v>591.040825</v>
      </c>
      <c r="C1182" s="3">
        <f>IFERROR(__xludf.DUMMYFUNCTION("""COMPUTED_VALUE"""),977631.036951)</f>
        <v>977631.037</v>
      </c>
      <c r="D1182" s="3">
        <f>IFERROR(__xludf.DUMMYFUNCTION("""COMPUTED_VALUE"""),0.0)</f>
        <v>0</v>
      </c>
      <c r="E1182" s="3">
        <f>IFERROR(__xludf.DUMMYFUNCTION("""COMPUTED_VALUE"""),0.0)</f>
        <v>0</v>
      </c>
      <c r="F1182" s="3" t="str">
        <f>IFERROR(__xludf.DUMMYFUNCTION("""COMPUTED_VALUE"""),"MKR")</f>
        <v>MKR</v>
      </c>
      <c r="G1182" s="3"/>
    </row>
    <row r="1183">
      <c r="A1183" s="3" t="str">
        <f>IFERROR(__xludf.DUMMYFUNCTION("""COMPUTED_VALUE"""),"2022-09-23T00:00:00Z")</f>
        <v>2022-09-23T00:00:00Z</v>
      </c>
      <c r="B1183" s="3">
        <f>IFERROR(__xludf.DUMMYFUNCTION("""COMPUTED_VALUE"""),649.326139)</f>
        <v>649.326139</v>
      </c>
      <c r="C1183" s="3">
        <f>IFERROR(__xludf.DUMMYFUNCTION("""COMPUTED_VALUE"""),977631.036951)</f>
        <v>977631.037</v>
      </c>
      <c r="D1183" s="3">
        <f>IFERROR(__xludf.DUMMYFUNCTION("""COMPUTED_VALUE"""),0.0)</f>
        <v>0</v>
      </c>
      <c r="E1183" s="3">
        <f>IFERROR(__xludf.DUMMYFUNCTION("""COMPUTED_VALUE"""),0.0)</f>
        <v>0</v>
      </c>
      <c r="F1183" s="3" t="str">
        <f>IFERROR(__xludf.DUMMYFUNCTION("""COMPUTED_VALUE"""),"MKR")</f>
        <v>MKR</v>
      </c>
      <c r="G1183" s="3"/>
    </row>
    <row r="1184">
      <c r="A1184" s="3" t="str">
        <f>IFERROR(__xludf.DUMMYFUNCTION("""COMPUTED_VALUE"""),"2022-09-24T00:00:00Z")</f>
        <v>2022-09-24T00:00:00Z</v>
      </c>
      <c r="B1184" s="3">
        <f>IFERROR(__xludf.DUMMYFUNCTION("""COMPUTED_VALUE"""),671.596707)</f>
        <v>671.596707</v>
      </c>
      <c r="C1184" s="3">
        <f>IFERROR(__xludf.DUMMYFUNCTION("""COMPUTED_VALUE"""),977631.036951)</f>
        <v>977631.037</v>
      </c>
      <c r="D1184" s="3">
        <f>IFERROR(__xludf.DUMMYFUNCTION("""COMPUTED_VALUE"""),0.0)</f>
        <v>0</v>
      </c>
      <c r="E1184" s="3">
        <f>IFERROR(__xludf.DUMMYFUNCTION("""COMPUTED_VALUE"""),0.0)</f>
        <v>0</v>
      </c>
      <c r="F1184" s="3" t="str">
        <f>IFERROR(__xludf.DUMMYFUNCTION("""COMPUTED_VALUE"""),"MKR")</f>
        <v>MKR</v>
      </c>
      <c r="G1184" s="3"/>
    </row>
    <row r="1185">
      <c r="A1185" s="3" t="str">
        <f>IFERROR(__xludf.DUMMYFUNCTION("""COMPUTED_VALUE"""),"2022-09-25T00:00:00Z")</f>
        <v>2022-09-25T00:00:00Z</v>
      </c>
      <c r="B1185" s="3">
        <f>IFERROR(__xludf.DUMMYFUNCTION("""COMPUTED_VALUE"""),679.973916)</f>
        <v>679.973916</v>
      </c>
      <c r="C1185" s="3">
        <f>IFERROR(__xludf.DUMMYFUNCTION("""COMPUTED_VALUE"""),977631.036951)</f>
        <v>977631.037</v>
      </c>
      <c r="D1185" s="3">
        <f>IFERROR(__xludf.DUMMYFUNCTION("""COMPUTED_VALUE"""),0.0)</f>
        <v>0</v>
      </c>
      <c r="E1185" s="3">
        <f>IFERROR(__xludf.DUMMYFUNCTION("""COMPUTED_VALUE"""),0.0)</f>
        <v>0</v>
      </c>
      <c r="F1185" s="3" t="str">
        <f>IFERROR(__xludf.DUMMYFUNCTION("""COMPUTED_VALUE"""),"MKR")</f>
        <v>MKR</v>
      </c>
      <c r="G1185" s="3"/>
    </row>
    <row r="1186">
      <c r="A1186" s="3" t="str">
        <f>IFERROR(__xludf.DUMMYFUNCTION("""COMPUTED_VALUE"""),"2022-05-01T00:00:00Z")</f>
        <v>2022-05-01T00:00:00Z</v>
      </c>
      <c r="B1186" s="3">
        <f>IFERROR(__xludf.DUMMYFUNCTION("""COMPUTED_VALUE"""),2.860904)</f>
        <v>2.860904</v>
      </c>
      <c r="C1186" s="3">
        <f>IFERROR(__xludf.DUMMYFUNCTION("""COMPUTED_VALUE"""),3.23667143120765E8)</f>
        <v>323667143.1</v>
      </c>
      <c r="D1186" s="3">
        <f>IFERROR(__xludf.DUMMYFUNCTION("""COMPUTED_VALUE"""),0.0)</f>
        <v>0</v>
      </c>
      <c r="E1186" s="3">
        <f>IFERROR(__xludf.DUMMYFUNCTION("""COMPUTED_VALUE"""),0.0)</f>
        <v>0</v>
      </c>
      <c r="F1186" s="3" t="str">
        <f>IFERROR(__xludf.DUMMYFUNCTION("""COMPUTED_VALUE"""),"LDO")</f>
        <v>LDO</v>
      </c>
      <c r="G1186" s="3"/>
    </row>
    <row r="1187">
      <c r="A1187" s="3" t="str">
        <f>IFERROR(__xludf.DUMMYFUNCTION("""COMPUTED_VALUE"""),"2022-05-02T00:00:00Z")</f>
        <v>2022-05-02T00:00:00Z</v>
      </c>
      <c r="B1187" s="3">
        <f>IFERROR(__xludf.DUMMYFUNCTION("""COMPUTED_VALUE"""),2.842609)</f>
        <v>2.842609</v>
      </c>
      <c r="C1187" s="3">
        <f>IFERROR(__xludf.DUMMYFUNCTION("""COMPUTED_VALUE"""),3.25398035982286E8)</f>
        <v>325398036</v>
      </c>
      <c r="D1187" s="3">
        <f>IFERROR(__xludf.DUMMYFUNCTION("""COMPUTED_VALUE"""),1730892.8615210056)</f>
        <v>1730892.862</v>
      </c>
      <c r="E1187" s="3">
        <f>IFERROR(__xludf.DUMMYFUNCTION("""COMPUTED_VALUE"""),4920251.626195365)</f>
        <v>4920251.626</v>
      </c>
      <c r="F1187" s="3" t="str">
        <f>IFERROR(__xludf.DUMMYFUNCTION("""COMPUTED_VALUE"""),"LDO")</f>
        <v>LDO</v>
      </c>
      <c r="G1187" s="3"/>
    </row>
    <row r="1188">
      <c r="A1188" s="3" t="str">
        <f>IFERROR(__xludf.DUMMYFUNCTION("""COMPUTED_VALUE"""),"2022-05-03T00:00:00Z")</f>
        <v>2022-05-03T00:00:00Z</v>
      </c>
      <c r="B1188" s="3">
        <f>IFERROR(__xludf.DUMMYFUNCTION("""COMPUTED_VALUE"""),2.82277)</f>
        <v>2.82277</v>
      </c>
      <c r="C1188" s="3">
        <f>IFERROR(__xludf.DUMMYFUNCTION("""COMPUTED_VALUE"""),3.27140111453602E8)</f>
        <v>327140111.5</v>
      </c>
      <c r="D1188" s="3">
        <f>IFERROR(__xludf.DUMMYFUNCTION("""COMPUTED_VALUE"""),1742075.4713160396)</f>
        <v>1742075.471</v>
      </c>
      <c r="E1188" s="3">
        <f>IFERROR(__xludf.DUMMYFUNCTION("""COMPUTED_VALUE"""),4917478.378166776)</f>
        <v>4917478.378</v>
      </c>
      <c r="F1188" s="3" t="str">
        <f>IFERROR(__xludf.DUMMYFUNCTION("""COMPUTED_VALUE"""),"LDO")</f>
        <v>LDO</v>
      </c>
      <c r="G1188" s="3"/>
    </row>
    <row r="1189">
      <c r="A1189" s="3" t="str">
        <f>IFERROR(__xludf.DUMMYFUNCTION("""COMPUTED_VALUE"""),"2022-05-04T00:00:00Z")</f>
        <v>2022-05-04T00:00:00Z</v>
      </c>
      <c r="B1189" s="3">
        <f>IFERROR(__xludf.DUMMYFUNCTION("""COMPUTED_VALUE"""),2.739996)</f>
        <v>2.739996</v>
      </c>
      <c r="C1189" s="3">
        <f>IFERROR(__xludf.DUMMYFUNCTION("""COMPUTED_VALUE"""),3.28886561437474E8)</f>
        <v>328886561.4</v>
      </c>
      <c r="D1189" s="3">
        <f>IFERROR(__xludf.DUMMYFUNCTION("""COMPUTED_VALUE"""),1746449.9838719964)</f>
        <v>1746449.984</v>
      </c>
      <c r="E1189" s="3">
        <f>IFERROR(__xludf.DUMMYFUNCTION("""COMPUTED_VALUE"""),4785265.970009334)</f>
        <v>4785265.97</v>
      </c>
      <c r="F1189" s="3" t="str">
        <f>IFERROR(__xludf.DUMMYFUNCTION("""COMPUTED_VALUE"""),"LDO")</f>
        <v>LDO</v>
      </c>
      <c r="G1189" s="3"/>
    </row>
    <row r="1190">
      <c r="A1190" s="3" t="str">
        <f>IFERROR(__xludf.DUMMYFUNCTION("""COMPUTED_VALUE"""),"2022-05-05T00:00:00Z")</f>
        <v>2022-05-05T00:00:00Z</v>
      </c>
      <c r="B1190" s="3">
        <f>IFERROR(__xludf.DUMMYFUNCTION("""COMPUTED_VALUE"""),3.085561)</f>
        <v>3.085561</v>
      </c>
      <c r="C1190" s="3">
        <f>IFERROR(__xludf.DUMMYFUNCTION("""COMPUTED_VALUE"""),3.30810316501725E8)</f>
        <v>330810316.5</v>
      </c>
      <c r="D1190" s="3">
        <f>IFERROR(__xludf.DUMMYFUNCTION("""COMPUTED_VALUE"""),1923755.0642510056)</f>
        <v>1923755.064</v>
      </c>
      <c r="E1190" s="3">
        <f>IFERROR(__xludf.DUMMYFUNCTION("""COMPUTED_VALUE"""),5935863.599805398)</f>
        <v>5935863.6</v>
      </c>
      <c r="F1190" s="3" t="str">
        <f>IFERROR(__xludf.DUMMYFUNCTION("""COMPUTED_VALUE"""),"LDO")</f>
        <v>LDO</v>
      </c>
      <c r="G1190" s="3"/>
    </row>
    <row r="1191">
      <c r="A1191" s="3" t="str">
        <f>IFERROR(__xludf.DUMMYFUNCTION("""COMPUTED_VALUE"""),"2022-05-06T00:00:00Z")</f>
        <v>2022-05-06T00:00:00Z</v>
      </c>
      <c r="B1191" s="3">
        <f>IFERROR(__xludf.DUMMYFUNCTION("""COMPUTED_VALUE"""),2.80614)</f>
        <v>2.80614</v>
      </c>
      <c r="C1191" s="3">
        <f>IFERROR(__xludf.DUMMYFUNCTION("""COMPUTED_VALUE"""),3.33581977275003E8)</f>
        <v>333581977.3</v>
      </c>
      <c r="D1191" s="3">
        <f>IFERROR(__xludf.DUMMYFUNCTION("""COMPUTED_VALUE"""),2771660.773277998)</f>
        <v>2771660.773</v>
      </c>
      <c r="E1191" s="3">
        <f>IFERROR(__xludf.DUMMYFUNCTION("""COMPUTED_VALUE"""),7777668.162326321)</f>
        <v>7777668.162</v>
      </c>
      <c r="F1191" s="3" t="str">
        <f>IFERROR(__xludf.DUMMYFUNCTION("""COMPUTED_VALUE"""),"LDO")</f>
        <v>LDO</v>
      </c>
      <c r="G1191" s="3"/>
    </row>
    <row r="1192">
      <c r="A1192" s="3" t="str">
        <f>IFERROR(__xludf.DUMMYFUNCTION("""COMPUTED_VALUE"""),"2022-05-07T00:00:00Z")</f>
        <v>2022-05-07T00:00:00Z</v>
      </c>
      <c r="B1192" s="3">
        <f>IFERROR(__xludf.DUMMYFUNCTION("""COMPUTED_VALUE"""),2.74319)</f>
        <v>2.74319</v>
      </c>
      <c r="C1192" s="3">
        <f>IFERROR(__xludf.DUMMYFUNCTION("""COMPUTED_VALUE"""),3.35566914514167E8)</f>
        <v>335566914.5</v>
      </c>
      <c r="D1192" s="3">
        <f>IFERROR(__xludf.DUMMYFUNCTION("""COMPUTED_VALUE"""),1984937.2391639948)</f>
        <v>1984937.239</v>
      </c>
      <c r="E1192" s="3">
        <f>IFERROR(__xludf.DUMMYFUNCTION("""COMPUTED_VALUE"""),5445059.985102278)</f>
        <v>5445059.985</v>
      </c>
      <c r="F1192" s="3" t="str">
        <f>IFERROR(__xludf.DUMMYFUNCTION("""COMPUTED_VALUE"""),"LDO")</f>
        <v>LDO</v>
      </c>
      <c r="G1192" s="3"/>
    </row>
    <row r="1193">
      <c r="A1193" s="3" t="str">
        <f>IFERROR(__xludf.DUMMYFUNCTION("""COMPUTED_VALUE"""),"2022-05-08T00:00:00Z")</f>
        <v>2022-05-08T00:00:00Z</v>
      </c>
      <c r="B1193" s="3">
        <f>IFERROR(__xludf.DUMMYFUNCTION("""COMPUTED_VALUE"""),2.762656)</f>
        <v>2.762656</v>
      </c>
      <c r="C1193" s="3">
        <f>IFERROR(__xludf.DUMMYFUNCTION("""COMPUTED_VALUE"""),3.37571704306176E8)</f>
        <v>337571704.3</v>
      </c>
      <c r="D1193" s="3">
        <f>IFERROR(__xludf.DUMMYFUNCTION("""COMPUTED_VALUE"""),2004789.792008996)</f>
        <v>2004789.792</v>
      </c>
      <c r="E1193" s="3">
        <f>IFERROR(__xludf.DUMMYFUNCTION("""COMPUTED_VALUE"""),5538544.547632405)</f>
        <v>5538544.548</v>
      </c>
      <c r="F1193" s="3" t="str">
        <f>IFERROR(__xludf.DUMMYFUNCTION("""COMPUTED_VALUE"""),"LDO")</f>
        <v>LDO</v>
      </c>
      <c r="G1193" s="3"/>
    </row>
    <row r="1194">
      <c r="A1194" s="3" t="str">
        <f>IFERROR(__xludf.DUMMYFUNCTION("""COMPUTED_VALUE"""),"2022-05-09T00:00:00Z")</f>
        <v>2022-05-09T00:00:00Z</v>
      </c>
      <c r="B1194" s="3">
        <f>IFERROR(__xludf.DUMMYFUNCTION("""COMPUTED_VALUE"""),2.787227)</f>
        <v>2.787227</v>
      </c>
      <c r="C1194" s="3">
        <f>IFERROR(__xludf.DUMMYFUNCTION("""COMPUTED_VALUE"""),3.4139207134602E8)</f>
        <v>341392071.3</v>
      </c>
      <c r="D1194" s="3">
        <f>IFERROR(__xludf.DUMMYFUNCTION("""COMPUTED_VALUE"""),3820367.0398439765)</f>
        <v>3820367.04</v>
      </c>
      <c r="E1194" s="3">
        <f>IFERROR(__xludf.DUMMYFUNCTION("""COMPUTED_VALUE"""),1.0648230163363207E7)</f>
        <v>10648230.16</v>
      </c>
      <c r="F1194" s="3" t="str">
        <f>IFERROR(__xludf.DUMMYFUNCTION("""COMPUTED_VALUE"""),"LDO")</f>
        <v>LDO</v>
      </c>
      <c r="G1194" s="3"/>
    </row>
    <row r="1195">
      <c r="A1195" s="3" t="str">
        <f>IFERROR(__xludf.DUMMYFUNCTION("""COMPUTED_VALUE"""),"2022-05-10T00:00:00Z")</f>
        <v>2022-05-10T00:00:00Z</v>
      </c>
      <c r="B1195" s="3">
        <f>IFERROR(__xludf.DUMMYFUNCTION("""COMPUTED_VALUE"""),1.991929)</f>
        <v>1.991929</v>
      </c>
      <c r="C1195" s="3">
        <f>IFERROR(__xludf.DUMMYFUNCTION("""COMPUTED_VALUE"""),3.43402802113043E8)</f>
        <v>343402802.1</v>
      </c>
      <c r="D1195" s="3">
        <f>IFERROR(__xludf.DUMMYFUNCTION("""COMPUTED_VALUE"""),2010730.767023027)</f>
        <v>2010730.767</v>
      </c>
      <c r="E1195" s="3">
        <f>IFERROR(__xludf.DUMMYFUNCTION("""COMPUTED_VALUE"""),4005232.926025411)</f>
        <v>4005232.926</v>
      </c>
      <c r="F1195" s="3" t="str">
        <f>IFERROR(__xludf.DUMMYFUNCTION("""COMPUTED_VALUE"""),"LDO")</f>
        <v>LDO</v>
      </c>
      <c r="G1195" s="3"/>
    </row>
    <row r="1196">
      <c r="A1196" s="3" t="str">
        <f>IFERROR(__xludf.DUMMYFUNCTION("""COMPUTED_VALUE"""),"2022-05-11T00:00:00Z")</f>
        <v>2022-05-11T00:00:00Z</v>
      </c>
      <c r="B1196" s="3">
        <f>IFERROR(__xludf.DUMMYFUNCTION("""COMPUTED_VALUE"""),1.964434)</f>
        <v>1.964434</v>
      </c>
      <c r="C1196" s="3">
        <f>IFERROR(__xludf.DUMMYFUNCTION("""COMPUTED_VALUE"""),3.45225666768197E8)</f>
        <v>345225666.8</v>
      </c>
      <c r="D1196" s="3">
        <f>IFERROR(__xludf.DUMMYFUNCTION("""COMPUTED_VALUE"""),1822864.6551539898)</f>
        <v>1822864.655</v>
      </c>
      <c r="E1196" s="3">
        <f>IFERROR(__xludf.DUMMYFUNCTION("""COMPUTED_VALUE"""),3580897.3059827727)</f>
        <v>3580897.306</v>
      </c>
      <c r="F1196" s="3" t="str">
        <f>IFERROR(__xludf.DUMMYFUNCTION("""COMPUTED_VALUE"""),"LDO")</f>
        <v>LDO</v>
      </c>
      <c r="G1196" s="3"/>
    </row>
    <row r="1197">
      <c r="A1197" s="3" t="str">
        <f>IFERROR(__xludf.DUMMYFUNCTION("""COMPUTED_VALUE"""),"2022-05-12T00:00:00Z")</f>
        <v>2022-05-12T00:00:00Z</v>
      </c>
      <c r="B1197" s="3">
        <f>IFERROR(__xludf.DUMMYFUNCTION("""COMPUTED_VALUE"""),1.560975)</f>
        <v>1.560975</v>
      </c>
      <c r="C1197" s="3">
        <f>IFERROR(__xludf.DUMMYFUNCTION("""COMPUTED_VALUE"""),3.48427636567224E8)</f>
        <v>348427636.6</v>
      </c>
      <c r="D1197" s="3">
        <f>IFERROR(__xludf.DUMMYFUNCTION("""COMPUTED_VALUE"""),3201969.7990270257)</f>
        <v>3201969.799</v>
      </c>
      <c r="E1197" s="3">
        <f>IFERROR(__xludf.DUMMYFUNCTION("""COMPUTED_VALUE"""),4998194.807036212)</f>
        <v>4998194.807</v>
      </c>
      <c r="F1197" s="3" t="str">
        <f>IFERROR(__xludf.DUMMYFUNCTION("""COMPUTED_VALUE"""),"LDO")</f>
        <v>LDO</v>
      </c>
      <c r="G1197" s="3"/>
    </row>
    <row r="1198">
      <c r="A1198" s="3" t="str">
        <f>IFERROR(__xludf.DUMMYFUNCTION("""COMPUTED_VALUE"""),"2022-05-13T00:00:00Z")</f>
        <v>2022-05-13T00:00:00Z</v>
      </c>
      <c r="B1198" s="3">
        <f>IFERROR(__xludf.DUMMYFUNCTION("""COMPUTED_VALUE"""),1.406001)</f>
        <v>1.406001</v>
      </c>
      <c r="C1198" s="3">
        <f>IFERROR(__xludf.DUMMYFUNCTION("""COMPUTED_VALUE"""),3.5044231741231E8)</f>
        <v>350442317.4</v>
      </c>
      <c r="D1198" s="3">
        <f>IFERROR(__xludf.DUMMYFUNCTION("""COMPUTED_VALUE"""),2014680.8450859785)</f>
        <v>2014680.845</v>
      </c>
      <c r="E1198" s="3">
        <f>IFERROR(__xludf.DUMMYFUNCTION("""COMPUTED_VALUE"""),2832643.282871731)</f>
        <v>2832643.283</v>
      </c>
      <c r="F1198" s="3" t="str">
        <f>IFERROR(__xludf.DUMMYFUNCTION("""COMPUTED_VALUE"""),"LDO")</f>
        <v>LDO</v>
      </c>
      <c r="G1198" s="3"/>
    </row>
    <row r="1199">
      <c r="A1199" s="3" t="str">
        <f>IFERROR(__xludf.DUMMYFUNCTION("""COMPUTED_VALUE"""),"2022-05-14T00:00:00Z")</f>
        <v>2022-05-14T00:00:00Z</v>
      </c>
      <c r="B1199" s="3">
        <f>IFERROR(__xludf.DUMMYFUNCTION("""COMPUTED_VALUE"""),1.460313)</f>
        <v>1.460313</v>
      </c>
      <c r="C1199" s="3">
        <f>IFERROR(__xludf.DUMMYFUNCTION("""COMPUTED_VALUE"""),3.52459564016687E8)</f>
        <v>352459564</v>
      </c>
      <c r="D1199" s="3">
        <f>IFERROR(__xludf.DUMMYFUNCTION("""COMPUTED_VALUE"""),2017246.6043769717)</f>
        <v>2017246.604</v>
      </c>
      <c r="E1199" s="3">
        <f>IFERROR(__xludf.DUMMYFUNCTION("""COMPUTED_VALUE"""),2945811.4405775485)</f>
        <v>2945811.441</v>
      </c>
      <c r="F1199" s="3" t="str">
        <f>IFERROR(__xludf.DUMMYFUNCTION("""COMPUTED_VALUE"""),"LDO")</f>
        <v>LDO</v>
      </c>
      <c r="G1199" s="3"/>
    </row>
    <row r="1200">
      <c r="A1200" s="3" t="str">
        <f>IFERROR(__xludf.DUMMYFUNCTION("""COMPUTED_VALUE"""),"2022-05-15T00:00:00Z")</f>
        <v>2022-05-15T00:00:00Z</v>
      </c>
      <c r="B1200" s="3">
        <f>IFERROR(__xludf.DUMMYFUNCTION("""COMPUTED_VALUE"""),1.501592)</f>
        <v>1.501592</v>
      </c>
      <c r="C1200" s="3">
        <f>IFERROR(__xludf.DUMMYFUNCTION("""COMPUTED_VALUE"""),3.54959106881959E8)</f>
        <v>354959106.9</v>
      </c>
      <c r="D1200" s="3">
        <f>IFERROR(__xludf.DUMMYFUNCTION("""COMPUTED_VALUE"""),2499542.865272045)</f>
        <v>2499542.865</v>
      </c>
      <c r="E1200" s="3">
        <f>IFERROR(__xludf.DUMMYFUNCTION("""COMPUTED_VALUE"""),3753293.570149581)</f>
        <v>3753293.57</v>
      </c>
      <c r="F1200" s="3" t="str">
        <f>IFERROR(__xludf.DUMMYFUNCTION("""COMPUTED_VALUE"""),"LDO")</f>
        <v>LDO</v>
      </c>
      <c r="G1200" s="3"/>
    </row>
    <row r="1201">
      <c r="A1201" s="3" t="str">
        <f>IFERROR(__xludf.DUMMYFUNCTION("""COMPUTED_VALUE"""),"2022-05-16T00:00:00Z")</f>
        <v>2022-05-16T00:00:00Z</v>
      </c>
      <c r="B1201" s="3">
        <f>IFERROR(__xludf.DUMMYFUNCTION("""COMPUTED_VALUE"""),1.473121)</f>
        <v>1.473121</v>
      </c>
      <c r="C1201" s="3">
        <f>IFERROR(__xludf.DUMMYFUNCTION("""COMPUTED_VALUE"""),3.57658354316487E8)</f>
        <v>357658354.3</v>
      </c>
      <c r="D1201" s="3">
        <f>IFERROR(__xludf.DUMMYFUNCTION("""COMPUTED_VALUE"""),2699247.434527993)</f>
        <v>2699247.435</v>
      </c>
      <c r="E1201" s="3">
        <f>IFERROR(__xludf.DUMMYFUNCTION("""COMPUTED_VALUE"""),3976318.079999312)</f>
        <v>3976318.08</v>
      </c>
      <c r="F1201" s="3" t="str">
        <f>IFERROR(__xludf.DUMMYFUNCTION("""COMPUTED_VALUE"""),"LDO")</f>
        <v>LDO</v>
      </c>
      <c r="G1201" s="3"/>
    </row>
    <row r="1202">
      <c r="A1202" s="3" t="str">
        <f>IFERROR(__xludf.DUMMYFUNCTION("""COMPUTED_VALUE"""),"2022-05-17T00:00:00Z")</f>
        <v>2022-05-17T00:00:00Z</v>
      </c>
      <c r="B1202" s="3">
        <f>IFERROR(__xludf.DUMMYFUNCTION("""COMPUTED_VALUE"""),1.445745)</f>
        <v>1.445745</v>
      </c>
      <c r="C1202" s="3">
        <f>IFERROR(__xludf.DUMMYFUNCTION("""COMPUTED_VALUE"""),3.59687636664445E8)</f>
        <v>359687636.7</v>
      </c>
      <c r="D1202" s="3">
        <f>IFERROR(__xludf.DUMMYFUNCTION("""COMPUTED_VALUE"""),2029282.3479579687)</f>
        <v>2029282.348</v>
      </c>
      <c r="E1202" s="3">
        <f>IFERROR(__xludf.DUMMYFUNCTION("""COMPUTED_VALUE"""),2933824.8081484935)</f>
        <v>2933824.808</v>
      </c>
      <c r="F1202" s="3" t="str">
        <f>IFERROR(__xludf.DUMMYFUNCTION("""COMPUTED_VALUE"""),"LDO")</f>
        <v>LDO</v>
      </c>
      <c r="G1202" s="3"/>
    </row>
    <row r="1203">
      <c r="A1203" s="3" t="str">
        <f>IFERROR(__xludf.DUMMYFUNCTION("""COMPUTED_VALUE"""),"2022-05-18T00:00:00Z")</f>
        <v>2022-05-18T00:00:00Z</v>
      </c>
      <c r="B1203" s="3">
        <f>IFERROR(__xludf.DUMMYFUNCTION("""COMPUTED_VALUE"""),1.537922)</f>
        <v>1.537922</v>
      </c>
      <c r="C1203" s="3">
        <f>IFERROR(__xludf.DUMMYFUNCTION("""COMPUTED_VALUE"""),3.61672823841227E8)</f>
        <v>361672823.8</v>
      </c>
      <c r="D1203" s="3">
        <f>IFERROR(__xludf.DUMMYFUNCTION("""COMPUTED_VALUE"""),1985187.176782012)</f>
        <v>1985187.177</v>
      </c>
      <c r="E1203" s="3">
        <f>IFERROR(__xludf.DUMMYFUNCTION("""COMPUTED_VALUE"""),3053063.0332909455)</f>
        <v>3053063.033</v>
      </c>
      <c r="F1203" s="3" t="str">
        <f>IFERROR(__xludf.DUMMYFUNCTION("""COMPUTED_VALUE"""),"LDO")</f>
        <v>LDO</v>
      </c>
      <c r="G1203" s="3"/>
    </row>
    <row r="1204">
      <c r="A1204" s="3" t="str">
        <f>IFERROR(__xludf.DUMMYFUNCTION("""COMPUTED_VALUE"""),"2022-05-19T00:00:00Z")</f>
        <v>2022-05-19T00:00:00Z</v>
      </c>
      <c r="B1204" s="3">
        <f>IFERROR(__xludf.DUMMYFUNCTION("""COMPUTED_VALUE"""),1.379683)</f>
        <v>1.379683</v>
      </c>
      <c r="C1204" s="3">
        <f>IFERROR(__xludf.DUMMYFUNCTION("""COMPUTED_VALUE"""),3.6422477697328E8)</f>
        <v>364224777</v>
      </c>
      <c r="D1204" s="3">
        <f>IFERROR(__xludf.DUMMYFUNCTION("""COMPUTED_VALUE"""),2551953.1320530176)</f>
        <v>2551953.132</v>
      </c>
      <c r="E1204" s="3">
        <f>IFERROR(__xludf.DUMMYFUNCTION("""COMPUTED_VALUE"""),3520886.3530903035)</f>
        <v>3520886.353</v>
      </c>
      <c r="F1204" s="3" t="str">
        <f>IFERROR(__xludf.DUMMYFUNCTION("""COMPUTED_VALUE"""),"LDO")</f>
        <v>LDO</v>
      </c>
      <c r="G1204" s="3"/>
    </row>
    <row r="1205">
      <c r="A1205" s="3" t="str">
        <f>IFERROR(__xludf.DUMMYFUNCTION("""COMPUTED_VALUE"""),"2022-05-20T00:00:00Z")</f>
        <v>2022-05-20T00:00:00Z</v>
      </c>
      <c r="B1205" s="3">
        <f>IFERROR(__xludf.DUMMYFUNCTION("""COMPUTED_VALUE"""),1.418789)</f>
        <v>1.418789</v>
      </c>
      <c r="C1205" s="3">
        <f>IFERROR(__xludf.DUMMYFUNCTION("""COMPUTED_VALUE"""),3.68216096518682E8)</f>
        <v>368216096.5</v>
      </c>
      <c r="D1205" s="3">
        <f>IFERROR(__xludf.DUMMYFUNCTION("""COMPUTED_VALUE"""),3991319.5454019904)</f>
        <v>3991319.545</v>
      </c>
      <c r="E1205" s="3">
        <f>IFERROR(__xludf.DUMMYFUNCTION("""COMPUTED_VALUE"""),5662840.266501345)</f>
        <v>5662840.267</v>
      </c>
      <c r="F1205" s="3" t="str">
        <f>IFERROR(__xludf.DUMMYFUNCTION("""COMPUTED_VALUE"""),"LDO")</f>
        <v>LDO</v>
      </c>
      <c r="G1205" s="3"/>
    </row>
    <row r="1206">
      <c r="A1206" s="3" t="str">
        <f>IFERROR(__xludf.DUMMYFUNCTION("""COMPUTED_VALUE"""),"2022-05-21T00:00:00Z")</f>
        <v>2022-05-21T00:00:00Z</v>
      </c>
      <c r="B1206" s="3">
        <f>IFERROR(__xludf.DUMMYFUNCTION("""COMPUTED_VALUE"""),1.320484)</f>
        <v>1.320484</v>
      </c>
      <c r="C1206" s="3">
        <f>IFERROR(__xludf.DUMMYFUNCTION("""COMPUTED_VALUE"""),3.70220011593175E8)</f>
        <v>370220011.6</v>
      </c>
      <c r="D1206" s="3">
        <f>IFERROR(__xludf.DUMMYFUNCTION("""COMPUTED_VALUE"""),2003915.074492991)</f>
        <v>2003915.074</v>
      </c>
      <c r="E1206" s="3">
        <f>IFERROR(__xludf.DUMMYFUNCTION("""COMPUTED_VALUE"""),2646137.7932268027)</f>
        <v>2646137.793</v>
      </c>
      <c r="F1206" s="3" t="str">
        <f>IFERROR(__xludf.DUMMYFUNCTION("""COMPUTED_VALUE"""),"LDO")</f>
        <v>LDO</v>
      </c>
      <c r="G1206" s="3"/>
    </row>
    <row r="1207">
      <c r="A1207" s="3" t="str">
        <f>IFERROR(__xludf.DUMMYFUNCTION("""COMPUTED_VALUE"""),"2022-05-22T00:00:00Z")</f>
        <v>2022-05-22T00:00:00Z</v>
      </c>
      <c r="B1207" s="3">
        <f>IFERROR(__xludf.DUMMYFUNCTION("""COMPUTED_VALUE"""),1.319334)</f>
        <v>1.319334</v>
      </c>
      <c r="C1207" s="3">
        <f>IFERROR(__xludf.DUMMYFUNCTION("""COMPUTED_VALUE"""),3.72285401488625E8)</f>
        <v>372285401.5</v>
      </c>
      <c r="D1207" s="3">
        <f>IFERROR(__xludf.DUMMYFUNCTION("""COMPUTED_VALUE"""),2065389.895449996)</f>
        <v>2065389.895</v>
      </c>
      <c r="E1207" s="3">
        <f>IFERROR(__xludf.DUMMYFUNCTION("""COMPUTED_VALUE"""),2724939.112323625)</f>
        <v>2724939.112</v>
      </c>
      <c r="F1207" s="3" t="str">
        <f>IFERROR(__xludf.DUMMYFUNCTION("""COMPUTED_VALUE"""),"LDO")</f>
        <v>LDO</v>
      </c>
      <c r="G1207" s="3"/>
    </row>
    <row r="1208">
      <c r="A1208" s="3" t="str">
        <f>IFERROR(__xludf.DUMMYFUNCTION("""COMPUTED_VALUE"""),"2022-05-23T00:00:00Z")</f>
        <v>2022-05-23T00:00:00Z</v>
      </c>
      <c r="B1208" s="3">
        <f>IFERROR(__xludf.DUMMYFUNCTION("""COMPUTED_VALUE"""),1.324456)</f>
        <v>1.324456</v>
      </c>
      <c r="C1208" s="3">
        <f>IFERROR(__xludf.DUMMYFUNCTION("""COMPUTED_VALUE"""),3.74313692753636E8)</f>
        <v>374313692.8</v>
      </c>
      <c r="D1208" s="3">
        <f>IFERROR(__xludf.DUMMYFUNCTION("""COMPUTED_VALUE"""),2028291.2650110126)</f>
        <v>2028291.265</v>
      </c>
      <c r="E1208" s="3">
        <f>IFERROR(__xludf.DUMMYFUNCTION("""COMPUTED_VALUE"""),2686382.5356914257)</f>
        <v>2686382.536</v>
      </c>
      <c r="F1208" s="3" t="str">
        <f>IFERROR(__xludf.DUMMYFUNCTION("""COMPUTED_VALUE"""),"LDO")</f>
        <v>LDO</v>
      </c>
      <c r="G1208" s="3"/>
    </row>
    <row r="1209">
      <c r="A1209" s="3" t="str">
        <f>IFERROR(__xludf.DUMMYFUNCTION("""COMPUTED_VALUE"""),"2022-05-24T00:00:00Z")</f>
        <v>2022-05-24T00:00:00Z</v>
      </c>
      <c r="B1209" s="3">
        <f>IFERROR(__xludf.DUMMYFUNCTION("""COMPUTED_VALUE"""),1.169524)</f>
        <v>1.169524</v>
      </c>
      <c r="C1209" s="3">
        <f>IFERROR(__xludf.DUMMYFUNCTION("""COMPUTED_VALUE"""),3.76316694534736E8)</f>
        <v>376316694.5</v>
      </c>
      <c r="D1209" s="3">
        <f>IFERROR(__xludf.DUMMYFUNCTION("""COMPUTED_VALUE"""),2003001.781099975)</f>
        <v>2003001.781</v>
      </c>
      <c r="E1209" s="3">
        <f>IFERROR(__xludf.DUMMYFUNCTION("""COMPUTED_VALUE"""),2342558.6550391675)</f>
        <v>2342558.655</v>
      </c>
      <c r="F1209" s="3" t="str">
        <f>IFERROR(__xludf.DUMMYFUNCTION("""COMPUTED_VALUE"""),"LDO")</f>
        <v>LDO</v>
      </c>
      <c r="G1209" s="3"/>
    </row>
    <row r="1210">
      <c r="A1210" s="3" t="str">
        <f>IFERROR(__xludf.DUMMYFUNCTION("""COMPUTED_VALUE"""),"2022-05-25T00:00:00Z")</f>
        <v>2022-05-25T00:00:00Z</v>
      </c>
      <c r="B1210" s="3">
        <f>IFERROR(__xludf.DUMMYFUNCTION("""COMPUTED_VALUE"""),1.099717)</f>
        <v>1.099717</v>
      </c>
      <c r="C1210" s="3">
        <f>IFERROR(__xludf.DUMMYFUNCTION("""COMPUTED_VALUE"""),3.78332294398226E8)</f>
        <v>378332294.4</v>
      </c>
      <c r="D1210" s="3">
        <f>IFERROR(__xludf.DUMMYFUNCTION("""COMPUTED_VALUE"""),2015599.863490045)</f>
        <v>2015599.863</v>
      </c>
      <c r="E1210" s="3">
        <f>IFERROR(__xludf.DUMMYFUNCTION("""COMPUTED_VALUE"""),2216589.435077682)</f>
        <v>2216589.435</v>
      </c>
      <c r="F1210" s="3" t="str">
        <f>IFERROR(__xludf.DUMMYFUNCTION("""COMPUTED_VALUE"""),"LDO")</f>
        <v>LDO</v>
      </c>
      <c r="G1210" s="3"/>
    </row>
    <row r="1211">
      <c r="A1211" s="3" t="str">
        <f>IFERROR(__xludf.DUMMYFUNCTION("""COMPUTED_VALUE"""),"2022-05-26T00:00:00Z")</f>
        <v>2022-05-26T00:00:00Z</v>
      </c>
      <c r="B1211" s="3">
        <f>IFERROR(__xludf.DUMMYFUNCTION("""COMPUTED_VALUE"""),1.086791)</f>
        <v>1.086791</v>
      </c>
      <c r="C1211" s="3">
        <f>IFERROR(__xludf.DUMMYFUNCTION("""COMPUTED_VALUE"""),3.80346611123695E8)</f>
        <v>380346611.1</v>
      </c>
      <c r="D1211" s="3">
        <f>IFERROR(__xludf.DUMMYFUNCTION("""COMPUTED_VALUE"""),2014316.7254689932)</f>
        <v>2014316.725</v>
      </c>
      <c r="E1211" s="3">
        <f>IFERROR(__xludf.DUMMYFUNCTION("""COMPUTED_VALUE"""),2189141.288389173)</f>
        <v>2189141.288</v>
      </c>
      <c r="F1211" s="3" t="str">
        <f>IFERROR(__xludf.DUMMYFUNCTION("""COMPUTED_VALUE"""),"LDO")</f>
        <v>LDO</v>
      </c>
      <c r="G1211" s="3"/>
    </row>
    <row r="1212">
      <c r="A1212" s="3" t="str">
        <f>IFERROR(__xludf.DUMMYFUNCTION("""COMPUTED_VALUE"""),"2022-05-27T00:00:00Z")</f>
        <v>2022-05-27T00:00:00Z</v>
      </c>
      <c r="B1212" s="3">
        <f>IFERROR(__xludf.DUMMYFUNCTION("""COMPUTED_VALUE"""),1.001103)</f>
        <v>1.001103</v>
      </c>
      <c r="C1212" s="3">
        <f>IFERROR(__xludf.DUMMYFUNCTION("""COMPUTED_VALUE"""),3.82363377476296E8)</f>
        <v>382363377.5</v>
      </c>
      <c r="D1212" s="3">
        <f>IFERROR(__xludf.DUMMYFUNCTION("""COMPUTED_VALUE"""),2016766.3526009917)</f>
        <v>2016766.353</v>
      </c>
      <c r="E1212" s="3">
        <f>IFERROR(__xludf.DUMMYFUNCTION("""COMPUTED_VALUE"""),2018990.8458879108)</f>
        <v>2018990.846</v>
      </c>
      <c r="F1212" s="3" t="str">
        <f>IFERROR(__xludf.DUMMYFUNCTION("""COMPUTED_VALUE"""),"LDO")</f>
        <v>LDO</v>
      </c>
      <c r="G1212" s="3"/>
    </row>
    <row r="1213">
      <c r="A1213" s="3" t="str">
        <f>IFERROR(__xludf.DUMMYFUNCTION("""COMPUTED_VALUE"""),"2022-05-28T00:00:00Z")</f>
        <v>2022-05-28T00:00:00Z</v>
      </c>
      <c r="B1213" s="3">
        <f>IFERROR(__xludf.DUMMYFUNCTION("""COMPUTED_VALUE"""),1.082203)</f>
        <v>1.082203</v>
      </c>
      <c r="C1213" s="3">
        <f>IFERROR(__xludf.DUMMYFUNCTION("""COMPUTED_VALUE"""),3.84392391964556E8)</f>
        <v>384392392</v>
      </c>
      <c r="D1213" s="3">
        <f>IFERROR(__xludf.DUMMYFUNCTION("""COMPUTED_VALUE"""),2029014.4882599711)</f>
        <v>2029014.488</v>
      </c>
      <c r="E1213" s="3">
        <f>IFERROR(__xludf.DUMMYFUNCTION("""COMPUTED_VALUE"""),2195805.5662384056)</f>
        <v>2195805.566</v>
      </c>
      <c r="F1213" s="3" t="str">
        <f>IFERROR(__xludf.DUMMYFUNCTION("""COMPUTED_VALUE"""),"LDO")</f>
        <v>LDO</v>
      </c>
      <c r="G1213" s="3"/>
    </row>
    <row r="1214">
      <c r="A1214" s="3" t="str">
        <f>IFERROR(__xludf.DUMMYFUNCTION("""COMPUTED_VALUE"""),"2022-05-29T00:00:00Z")</f>
        <v>2022-05-29T00:00:00Z</v>
      </c>
      <c r="B1214" s="3">
        <f>IFERROR(__xludf.DUMMYFUNCTION("""COMPUTED_VALUE"""),1.039655)</f>
        <v>1.039655</v>
      </c>
      <c r="C1214" s="3">
        <f>IFERROR(__xludf.DUMMYFUNCTION("""COMPUTED_VALUE"""),3.86395277096744E8)</f>
        <v>386395277.1</v>
      </c>
      <c r="D1214" s="3">
        <f>IFERROR(__xludf.DUMMYFUNCTION("""COMPUTED_VALUE"""),2002885.1321880221)</f>
        <v>2002885.132</v>
      </c>
      <c r="E1214" s="3">
        <f>IFERROR(__xludf.DUMMYFUNCTION("""COMPUTED_VALUE"""),2082309.542104938)</f>
        <v>2082309.542</v>
      </c>
      <c r="F1214" s="3" t="str">
        <f>IFERROR(__xludf.DUMMYFUNCTION("""COMPUTED_VALUE"""),"LDO")</f>
        <v>LDO</v>
      </c>
      <c r="G1214" s="3"/>
    </row>
    <row r="1215">
      <c r="A1215" s="3" t="str">
        <f>IFERROR(__xludf.DUMMYFUNCTION("""COMPUTED_VALUE"""),"2022-05-30T00:00:00Z")</f>
        <v>2022-05-30T00:00:00Z</v>
      </c>
      <c r="B1215" s="3">
        <f>IFERROR(__xludf.DUMMYFUNCTION("""COMPUTED_VALUE"""),1.163036)</f>
        <v>1.163036</v>
      </c>
      <c r="C1215" s="3">
        <f>IFERROR(__xludf.DUMMYFUNCTION("""COMPUTED_VALUE"""),3.89242670896532E8)</f>
        <v>389242670.9</v>
      </c>
      <c r="D1215" s="3">
        <f>IFERROR(__xludf.DUMMYFUNCTION("""COMPUTED_VALUE"""),2847393.799787998)</f>
        <v>2847393.8</v>
      </c>
      <c r="E1215" s="3">
        <f>IFERROR(__xludf.DUMMYFUNCTION("""COMPUTED_VALUE"""),3311621.495330234)</f>
        <v>3311621.495</v>
      </c>
      <c r="F1215" s="3" t="str">
        <f>IFERROR(__xludf.DUMMYFUNCTION("""COMPUTED_VALUE"""),"LDO")</f>
        <v>LDO</v>
      </c>
      <c r="G1215" s="3"/>
    </row>
    <row r="1216">
      <c r="A1216" s="3" t="str">
        <f>IFERROR(__xludf.DUMMYFUNCTION("""COMPUTED_VALUE"""),"2022-05-31T00:00:00Z")</f>
        <v>2022-05-31T00:00:00Z</v>
      </c>
      <c r="B1216" s="3">
        <f>IFERROR(__xludf.DUMMYFUNCTION("""COMPUTED_VALUE"""),1.212005)</f>
        <v>1.212005</v>
      </c>
      <c r="C1216" s="3">
        <f>IFERROR(__xludf.DUMMYFUNCTION("""COMPUTED_VALUE"""),3.91270798853067E8)</f>
        <v>391270798.9</v>
      </c>
      <c r="D1216" s="3">
        <f>IFERROR(__xludf.DUMMYFUNCTION("""COMPUTED_VALUE"""),2028127.9565349817)</f>
        <v>2028127.957</v>
      </c>
      <c r="E1216" s="3">
        <f>IFERROR(__xludf.DUMMYFUNCTION("""COMPUTED_VALUE"""),2458101.2239601803)</f>
        <v>2458101.224</v>
      </c>
      <c r="F1216" s="3" t="str">
        <f>IFERROR(__xludf.DUMMYFUNCTION("""COMPUTED_VALUE"""),"LDO")</f>
        <v>LDO</v>
      </c>
      <c r="G1216" s="3"/>
    </row>
    <row r="1217">
      <c r="A1217" s="3" t="str">
        <f>IFERROR(__xludf.DUMMYFUNCTION("""COMPUTED_VALUE"""),"2022-06-01T00:00:00Z")</f>
        <v>2022-06-01T00:00:00Z</v>
      </c>
      <c r="B1217" s="3">
        <f>IFERROR(__xludf.DUMMYFUNCTION("""COMPUTED_VALUE"""),1.050571)</f>
        <v>1.050571</v>
      </c>
      <c r="C1217" s="3">
        <f>IFERROR(__xludf.DUMMYFUNCTION("""COMPUTED_VALUE"""),3.93275427506998E8)</f>
        <v>393275427.5</v>
      </c>
      <c r="D1217" s="3">
        <f>IFERROR(__xludf.DUMMYFUNCTION("""COMPUTED_VALUE"""),2004628.6539310217)</f>
        <v>2004628.654</v>
      </c>
      <c r="E1217" s="3">
        <f>IFERROR(__xludf.DUMMYFUNCTION("""COMPUTED_VALUE"""),2106004.7295889673)</f>
        <v>2106004.73</v>
      </c>
      <c r="F1217" s="3" t="str">
        <f>IFERROR(__xludf.DUMMYFUNCTION("""COMPUTED_VALUE"""),"LDO")</f>
        <v>LDO</v>
      </c>
      <c r="G1217" s="3"/>
    </row>
    <row r="1218">
      <c r="A1218" s="3" t="str">
        <f>IFERROR(__xludf.DUMMYFUNCTION("""COMPUTED_VALUE"""),"2022-06-02T00:00:00Z")</f>
        <v>2022-06-02T00:00:00Z</v>
      </c>
      <c r="B1218" s="3">
        <f>IFERROR(__xludf.DUMMYFUNCTION("""COMPUTED_VALUE"""),1.026171)</f>
        <v>1.026171</v>
      </c>
      <c r="C1218" s="3">
        <f>IFERROR(__xludf.DUMMYFUNCTION("""COMPUTED_VALUE"""),3.95440770742884E8)</f>
        <v>395440770.7</v>
      </c>
      <c r="D1218" s="3">
        <f>IFERROR(__xludf.DUMMYFUNCTION("""COMPUTED_VALUE"""),2165343.2358859777)</f>
        <v>2165343.236</v>
      </c>
      <c r="E1218" s="3">
        <f>IFERROR(__xludf.DUMMYFUNCTION("""COMPUTED_VALUE"""),2222012.4337123497)</f>
        <v>2222012.434</v>
      </c>
      <c r="F1218" s="3" t="str">
        <f>IFERROR(__xludf.DUMMYFUNCTION("""COMPUTED_VALUE"""),"LDO")</f>
        <v>LDO</v>
      </c>
      <c r="G1218" s="3"/>
    </row>
    <row r="1219">
      <c r="A1219" s="3" t="str">
        <f>IFERROR(__xludf.DUMMYFUNCTION("""COMPUTED_VALUE"""),"2022-06-03T00:00:00Z")</f>
        <v>2022-06-03T00:00:00Z</v>
      </c>
      <c r="B1219" s="3">
        <f>IFERROR(__xludf.DUMMYFUNCTION("""COMPUTED_VALUE"""),1.022028)</f>
        <v>1.022028</v>
      </c>
      <c r="C1219" s="3">
        <f>IFERROR(__xludf.DUMMYFUNCTION("""COMPUTED_VALUE"""),3.97485742802173E8)</f>
        <v>397485742.8</v>
      </c>
      <c r="D1219" s="3">
        <f>IFERROR(__xludf.DUMMYFUNCTION("""COMPUTED_VALUE"""),2044972.0592890382)</f>
        <v>2044972.059</v>
      </c>
      <c r="E1219" s="3">
        <f>IFERROR(__xludf.DUMMYFUNCTION("""COMPUTED_VALUE"""),2090018.703811057)</f>
        <v>2090018.704</v>
      </c>
      <c r="F1219" s="3" t="str">
        <f>IFERROR(__xludf.DUMMYFUNCTION("""COMPUTED_VALUE"""),"LDO")</f>
        <v>LDO</v>
      </c>
      <c r="G1219" s="3"/>
    </row>
    <row r="1220">
      <c r="A1220" s="3" t="str">
        <f>IFERROR(__xludf.DUMMYFUNCTION("""COMPUTED_VALUE"""),"2022-06-04T00:00:00Z")</f>
        <v>2022-06-04T00:00:00Z</v>
      </c>
      <c r="B1220" s="3">
        <f>IFERROR(__xludf.DUMMYFUNCTION("""COMPUTED_VALUE"""),0.997866)</f>
        <v>0.997866</v>
      </c>
      <c r="C1220" s="3">
        <f>IFERROR(__xludf.DUMMYFUNCTION("""COMPUTED_VALUE"""),3.99474093480047E8)</f>
        <v>399474093.5</v>
      </c>
      <c r="D1220" s="3">
        <f>IFERROR(__xludf.DUMMYFUNCTION("""COMPUTED_VALUE"""),1988350.677873969)</f>
        <v>1988350.678</v>
      </c>
      <c r="E1220" s="3">
        <f>IFERROR(__xludf.DUMMYFUNCTION("""COMPUTED_VALUE"""),1984107.537527386)</f>
        <v>1984107.538</v>
      </c>
      <c r="F1220" s="3" t="str">
        <f>IFERROR(__xludf.DUMMYFUNCTION("""COMPUTED_VALUE"""),"LDO")</f>
        <v>LDO</v>
      </c>
      <c r="G1220" s="3"/>
    </row>
    <row r="1221">
      <c r="A1221" s="3" t="str">
        <f>IFERROR(__xludf.DUMMYFUNCTION("""COMPUTED_VALUE"""),"2022-06-05T00:00:00Z")</f>
        <v>2022-06-05T00:00:00Z</v>
      </c>
      <c r="B1221" s="3">
        <f>IFERROR(__xludf.DUMMYFUNCTION("""COMPUTED_VALUE"""),1.013276)</f>
        <v>1.013276</v>
      </c>
      <c r="C1221" s="3">
        <f>IFERROR(__xludf.DUMMYFUNCTION("""COMPUTED_VALUE"""),4.01488200237476E8)</f>
        <v>401488200.2</v>
      </c>
      <c r="D1221" s="3">
        <f>IFERROR(__xludf.DUMMYFUNCTION("""COMPUTED_VALUE"""),2014106.7574290037)</f>
        <v>2014106.757</v>
      </c>
      <c r="E1221" s="3">
        <f>IFERROR(__xludf.DUMMYFUNCTION("""COMPUTED_VALUE"""),2040846.0387406312)</f>
        <v>2040846.039</v>
      </c>
      <c r="F1221" s="3" t="str">
        <f>IFERROR(__xludf.DUMMYFUNCTION("""COMPUTED_VALUE"""),"LDO")</f>
        <v>LDO</v>
      </c>
      <c r="G1221" s="3"/>
    </row>
    <row r="1222">
      <c r="A1222" s="3" t="str">
        <f>IFERROR(__xludf.DUMMYFUNCTION("""COMPUTED_VALUE"""),"2022-06-06T00:00:00Z")</f>
        <v>2022-06-06T00:00:00Z</v>
      </c>
      <c r="B1222" s="3">
        <f>IFERROR(__xludf.DUMMYFUNCTION("""COMPUTED_VALUE"""),1.051294)</f>
        <v>1.051294</v>
      </c>
      <c r="C1222" s="3">
        <f>IFERROR(__xludf.DUMMYFUNCTION("""COMPUTED_VALUE"""),4.03579076868571E8)</f>
        <v>403579076.9</v>
      </c>
      <c r="D1222" s="3">
        <f>IFERROR(__xludf.DUMMYFUNCTION("""COMPUTED_VALUE"""),2090876.6310949922)</f>
        <v>2090876.631</v>
      </c>
      <c r="E1222" s="3">
        <f>IFERROR(__xludf.DUMMYFUNCTION("""COMPUTED_VALUE"""),2198126.0570103787)</f>
        <v>2198126.057</v>
      </c>
      <c r="F1222" s="3" t="str">
        <f>IFERROR(__xludf.DUMMYFUNCTION("""COMPUTED_VALUE"""),"LDO")</f>
        <v>LDO</v>
      </c>
      <c r="G1222" s="3"/>
    </row>
    <row r="1223">
      <c r="A1223" s="3" t="str">
        <f>IFERROR(__xludf.DUMMYFUNCTION("""COMPUTED_VALUE"""),"2022-06-07T00:00:00Z")</f>
        <v>2022-06-07T00:00:00Z</v>
      </c>
      <c r="B1223" s="3">
        <f>IFERROR(__xludf.DUMMYFUNCTION("""COMPUTED_VALUE"""),1.071085)</f>
        <v>1.071085</v>
      </c>
      <c r="C1223" s="3">
        <f>IFERROR(__xludf.DUMMYFUNCTION("""COMPUTED_VALUE"""),4.08095469944657E8)</f>
        <v>408095469.9</v>
      </c>
      <c r="D1223" s="3">
        <f>IFERROR(__xludf.DUMMYFUNCTION("""COMPUTED_VALUE"""),4516393.076086044)</f>
        <v>4516393.076</v>
      </c>
      <c r="E1223" s="3">
        <f>IFERROR(__xludf.DUMMYFUNCTION("""COMPUTED_VALUE"""),4837440.877899621)</f>
        <v>4837440.878</v>
      </c>
      <c r="F1223" s="3" t="str">
        <f>IFERROR(__xludf.DUMMYFUNCTION("""COMPUTED_VALUE"""),"LDO")</f>
        <v>LDO</v>
      </c>
      <c r="G1223" s="3"/>
    </row>
    <row r="1224">
      <c r="A1224" s="3" t="str">
        <f>IFERROR(__xludf.DUMMYFUNCTION("""COMPUTED_VALUE"""),"2022-06-08T00:00:00Z")</f>
        <v>2022-06-08T00:00:00Z</v>
      </c>
      <c r="B1224" s="3">
        <f>IFERROR(__xludf.DUMMYFUNCTION("""COMPUTED_VALUE"""),1.081339)</f>
        <v>1.081339</v>
      </c>
      <c r="C1224" s="3">
        <f>IFERROR(__xludf.DUMMYFUNCTION("""COMPUTED_VALUE"""),4.11058488371831E8)</f>
        <v>411058488.4</v>
      </c>
      <c r="D1224" s="3">
        <f>IFERROR(__xludf.DUMMYFUNCTION("""COMPUTED_VALUE"""),2963018.427173972)</f>
        <v>2963018.427</v>
      </c>
      <c r="E1224" s="3">
        <f>IFERROR(__xludf.DUMMYFUNCTION("""COMPUTED_VALUE"""),3204027.383021876)</f>
        <v>3204027.383</v>
      </c>
      <c r="F1224" s="3" t="str">
        <f>IFERROR(__xludf.DUMMYFUNCTION("""COMPUTED_VALUE"""),"LDO")</f>
        <v>LDO</v>
      </c>
      <c r="G1224" s="3"/>
    </row>
    <row r="1225">
      <c r="A1225" s="3" t="str">
        <f>IFERROR(__xludf.DUMMYFUNCTION("""COMPUTED_VALUE"""),"2022-06-09T00:00:00Z")</f>
        <v>2022-06-09T00:00:00Z</v>
      </c>
      <c r="B1225" s="3">
        <f>IFERROR(__xludf.DUMMYFUNCTION("""COMPUTED_VALUE"""),1.009776)</f>
        <v>1.009776</v>
      </c>
      <c r="C1225" s="3">
        <f>IFERROR(__xludf.DUMMYFUNCTION("""COMPUTED_VALUE"""),4.13072758437736E8)</f>
        <v>413072758.4</v>
      </c>
      <c r="D1225" s="3">
        <f>IFERROR(__xludf.DUMMYFUNCTION("""COMPUTED_VALUE"""),2014270.065904975)</f>
        <v>2014270.066</v>
      </c>
      <c r="E1225" s="3">
        <f>IFERROR(__xludf.DUMMYFUNCTION("""COMPUTED_VALUE"""),2033961.570069262)</f>
        <v>2033961.57</v>
      </c>
      <c r="F1225" s="3" t="str">
        <f>IFERROR(__xludf.DUMMYFUNCTION("""COMPUTED_VALUE"""),"LDO")</f>
        <v>LDO</v>
      </c>
      <c r="G1225" s="3"/>
    </row>
    <row r="1226">
      <c r="A1226" s="3" t="str">
        <f>IFERROR(__xludf.DUMMYFUNCTION("""COMPUTED_VALUE"""),"2022-06-10T00:00:00Z")</f>
        <v>2022-06-10T00:00:00Z</v>
      </c>
      <c r="B1226" s="3">
        <f>IFERROR(__xludf.DUMMYFUNCTION("""COMPUTED_VALUE"""),1.015426)</f>
        <v>1.015426</v>
      </c>
      <c r="C1226" s="3">
        <f>IFERROR(__xludf.DUMMYFUNCTION("""COMPUTED_VALUE"""),4.15212471769503E8)</f>
        <v>415212471.8</v>
      </c>
      <c r="D1226" s="3">
        <f>IFERROR(__xludf.DUMMYFUNCTION("""COMPUTED_VALUE"""),2139713.3317670226)</f>
        <v>2139713.332</v>
      </c>
      <c r="E1226" s="3">
        <f>IFERROR(__xludf.DUMMYFUNCTION("""COMPUTED_VALUE"""),2172720.5496228607)</f>
        <v>2172720.55</v>
      </c>
      <c r="F1226" s="3" t="str">
        <f>IFERROR(__xludf.DUMMYFUNCTION("""COMPUTED_VALUE"""),"LDO")</f>
        <v>LDO</v>
      </c>
      <c r="G1226" s="3"/>
    </row>
    <row r="1227">
      <c r="A1227" s="3" t="str">
        <f>IFERROR(__xludf.DUMMYFUNCTION("""COMPUTED_VALUE"""),"2022-06-11T00:00:00Z")</f>
        <v>2022-06-11T00:00:00Z</v>
      </c>
      <c r="B1227" s="3">
        <f>IFERROR(__xludf.DUMMYFUNCTION("""COMPUTED_VALUE"""),1.003889)</f>
        <v>1.003889</v>
      </c>
      <c r="C1227" s="3">
        <f>IFERROR(__xludf.DUMMYFUNCTION("""COMPUTED_VALUE"""),4.17337010974277E8)</f>
        <v>417337011</v>
      </c>
      <c r="D1227" s="3">
        <f>IFERROR(__xludf.DUMMYFUNCTION("""COMPUTED_VALUE"""),2124539.204774022)</f>
        <v>2124539.205</v>
      </c>
      <c r="E1227" s="3">
        <f>IFERROR(__xludf.DUMMYFUNCTION("""COMPUTED_VALUE"""),2132801.537741388)</f>
        <v>2132801.538</v>
      </c>
      <c r="F1227" s="3" t="str">
        <f>IFERROR(__xludf.DUMMYFUNCTION("""COMPUTED_VALUE"""),"LDO")</f>
        <v>LDO</v>
      </c>
      <c r="G1227" s="3"/>
    </row>
    <row r="1228">
      <c r="A1228" s="3" t="str">
        <f>IFERROR(__xludf.DUMMYFUNCTION("""COMPUTED_VALUE"""),"2022-06-12T00:00:00Z")</f>
        <v>2022-06-12T00:00:00Z</v>
      </c>
      <c r="B1228" s="3">
        <f>IFERROR(__xludf.DUMMYFUNCTION("""COMPUTED_VALUE"""),0.837094)</f>
        <v>0.837094</v>
      </c>
      <c r="C1228" s="3">
        <f>IFERROR(__xludf.DUMMYFUNCTION("""COMPUTED_VALUE"""),4.19338682957791E8)</f>
        <v>419338683</v>
      </c>
      <c r="D1228" s="3">
        <f>IFERROR(__xludf.DUMMYFUNCTION("""COMPUTED_VALUE"""),2001671.9835139513)</f>
        <v>2001671.984</v>
      </c>
      <c r="E1228" s="3">
        <f>IFERROR(__xludf.DUMMYFUNCTION("""COMPUTED_VALUE"""),1675587.6073676276)</f>
        <v>1675587.607</v>
      </c>
      <c r="F1228" s="3" t="str">
        <f>IFERROR(__xludf.DUMMYFUNCTION("""COMPUTED_VALUE"""),"LDO")</f>
        <v>LDO</v>
      </c>
      <c r="G1228" s="3"/>
    </row>
    <row r="1229">
      <c r="A1229" s="3" t="str">
        <f>IFERROR(__xludf.DUMMYFUNCTION("""COMPUTED_VALUE"""),"2022-06-13T00:00:00Z")</f>
        <v>2022-06-13T00:00:00Z</v>
      </c>
      <c r="B1229" s="3">
        <f>IFERROR(__xludf.DUMMYFUNCTION("""COMPUTED_VALUE"""),0.794617)</f>
        <v>0.794617</v>
      </c>
      <c r="C1229" s="3">
        <f>IFERROR(__xludf.DUMMYFUNCTION("""COMPUTED_VALUE"""),4.21356009225165E8)</f>
        <v>421356009.2</v>
      </c>
      <c r="D1229" s="3">
        <f>IFERROR(__xludf.DUMMYFUNCTION("""COMPUTED_VALUE"""),2017326.2673740387)</f>
        <v>2017326.267</v>
      </c>
      <c r="E1229" s="3">
        <f>IFERROR(__xludf.DUMMYFUNCTION("""COMPUTED_VALUE"""),1603001.7466019564)</f>
        <v>1603001.747</v>
      </c>
      <c r="F1229" s="3" t="str">
        <f>IFERROR(__xludf.DUMMYFUNCTION("""COMPUTED_VALUE"""),"LDO")</f>
        <v>LDO</v>
      </c>
      <c r="G1229" s="3"/>
    </row>
    <row r="1230">
      <c r="A1230" s="3" t="str">
        <f>IFERROR(__xludf.DUMMYFUNCTION("""COMPUTED_VALUE"""),"2022-06-14T00:00:00Z")</f>
        <v>2022-06-14T00:00:00Z</v>
      </c>
      <c r="B1230" s="3">
        <f>IFERROR(__xludf.DUMMYFUNCTION("""COMPUTED_VALUE"""),0.607146)</f>
        <v>0.607146</v>
      </c>
      <c r="C1230" s="3">
        <f>IFERROR(__xludf.DUMMYFUNCTION("""COMPUTED_VALUE"""),4.23371469109962E8)</f>
        <v>423371469.1</v>
      </c>
      <c r="D1230" s="3">
        <f>IFERROR(__xludf.DUMMYFUNCTION("""COMPUTED_VALUE"""),2015459.884796977)</f>
        <v>2015459.885</v>
      </c>
      <c r="E1230" s="3">
        <f>IFERROR(__xludf.DUMMYFUNCTION("""COMPUTED_VALUE"""),1223678.4072149454)</f>
        <v>1223678.407</v>
      </c>
      <c r="F1230" s="3" t="str">
        <f>IFERROR(__xludf.DUMMYFUNCTION("""COMPUTED_VALUE"""),"LDO")</f>
        <v>LDO</v>
      </c>
      <c r="G1230" s="3"/>
    </row>
    <row r="1231">
      <c r="A1231" s="3" t="str">
        <f>IFERROR(__xludf.DUMMYFUNCTION("""COMPUTED_VALUE"""),"2022-06-15T00:00:00Z")</f>
        <v>2022-06-15T00:00:00Z</v>
      </c>
      <c r="B1231" s="3">
        <f>IFERROR(__xludf.DUMMYFUNCTION("""COMPUTED_VALUE"""),0.622091)</f>
        <v>0.622091</v>
      </c>
      <c r="C1231" s="3">
        <f>IFERROR(__xludf.DUMMYFUNCTION("""COMPUTED_VALUE"""),4.2538534256957E8)</f>
        <v>425385342.6</v>
      </c>
      <c r="D1231" s="3">
        <f>IFERROR(__xludf.DUMMYFUNCTION("""COMPUTED_VALUE"""),2013873.4596080184)</f>
        <v>2013873.46</v>
      </c>
      <c r="E1231" s="3">
        <f>IFERROR(__xludf.DUMMYFUNCTION("""COMPUTED_VALUE"""),1252812.5543610116)</f>
        <v>1252812.554</v>
      </c>
      <c r="F1231" s="3" t="str">
        <f>IFERROR(__xludf.DUMMYFUNCTION("""COMPUTED_VALUE"""),"LDO")</f>
        <v>LDO</v>
      </c>
      <c r="G1231" s="3"/>
    </row>
    <row r="1232">
      <c r="A1232" s="3" t="str">
        <f>IFERROR(__xludf.DUMMYFUNCTION("""COMPUTED_VALUE"""),"2022-06-16T00:00:00Z")</f>
        <v>2022-06-16T00:00:00Z</v>
      </c>
      <c r="B1232" s="3">
        <f>IFERROR(__xludf.DUMMYFUNCTION("""COMPUTED_VALUE"""),0.629558)</f>
        <v>0.629558</v>
      </c>
      <c r="C1232" s="3">
        <f>IFERROR(__xludf.DUMMYFUNCTION("""COMPUTED_VALUE"""),4.28402832145419E8)</f>
        <v>428402832.1</v>
      </c>
      <c r="D1232" s="3">
        <f>IFERROR(__xludf.DUMMYFUNCTION("""COMPUTED_VALUE"""),3017489.5758489966)</f>
        <v>3017489.576</v>
      </c>
      <c r="E1232" s="3">
        <f>IFERROR(__xludf.DUMMYFUNCTION("""COMPUTED_VALUE"""),1899684.7023923425)</f>
        <v>1899684.702</v>
      </c>
      <c r="F1232" s="3" t="str">
        <f>IFERROR(__xludf.DUMMYFUNCTION("""COMPUTED_VALUE"""),"LDO")</f>
        <v>LDO</v>
      </c>
      <c r="G1232" s="3"/>
    </row>
    <row r="1233">
      <c r="A1233" s="3" t="str">
        <f>IFERROR(__xludf.DUMMYFUNCTION("""COMPUTED_VALUE"""),"2022-06-17T00:00:00Z")</f>
        <v>2022-06-17T00:00:00Z</v>
      </c>
      <c r="B1233" s="3">
        <f>IFERROR(__xludf.DUMMYFUNCTION("""COMPUTED_VALUE"""),0.537479)</f>
        <v>0.537479</v>
      </c>
      <c r="C1233" s="3">
        <f>IFERROR(__xludf.DUMMYFUNCTION("""COMPUTED_VALUE"""),4.30417428828275E8)</f>
        <v>430417428.8</v>
      </c>
      <c r="D1233" s="3">
        <f>IFERROR(__xludf.DUMMYFUNCTION("""COMPUTED_VALUE"""),2014596.6828560233)</f>
        <v>2014596.683</v>
      </c>
      <c r="E1233" s="3">
        <f>IFERROR(__xludf.DUMMYFUNCTION("""COMPUTED_VALUE"""),1082803.4105047726)</f>
        <v>1082803.411</v>
      </c>
      <c r="F1233" s="3" t="str">
        <f>IFERROR(__xludf.DUMMYFUNCTION("""COMPUTED_VALUE"""),"LDO")</f>
        <v>LDO</v>
      </c>
      <c r="G1233" s="3"/>
    </row>
    <row r="1234">
      <c r="A1234" s="3" t="str">
        <f>IFERROR(__xludf.DUMMYFUNCTION("""COMPUTED_VALUE"""),"2022-06-18T00:00:00Z")</f>
        <v>2022-06-18T00:00:00Z</v>
      </c>
      <c r="B1234" s="3">
        <f>IFERROR(__xludf.DUMMYFUNCTION("""COMPUTED_VALUE"""),0.578682)</f>
        <v>0.578682</v>
      </c>
      <c r="C1234" s="3">
        <f>IFERROR(__xludf.DUMMYFUNCTION("""COMPUTED_VALUE"""),4.32448682975626E8)</f>
        <v>432448683</v>
      </c>
      <c r="D1234" s="3">
        <f>IFERROR(__xludf.DUMMYFUNCTION("""COMPUTED_VALUE"""),2031254.147350967)</f>
        <v>2031254.147</v>
      </c>
      <c r="E1234" s="3">
        <f>IFERROR(__xludf.DUMMYFUNCTION("""COMPUTED_VALUE"""),1175450.2124973524)</f>
        <v>1175450.212</v>
      </c>
      <c r="F1234" s="3" t="str">
        <f>IFERROR(__xludf.DUMMYFUNCTION("""COMPUTED_VALUE"""),"LDO")</f>
        <v>LDO</v>
      </c>
      <c r="G1234" s="3"/>
    </row>
    <row r="1235">
      <c r="A1235" s="3" t="str">
        <f>IFERROR(__xludf.DUMMYFUNCTION("""COMPUTED_VALUE"""),"2022-06-19T00:00:00Z")</f>
        <v>2022-06-19T00:00:00Z</v>
      </c>
      <c r="B1235" s="3">
        <f>IFERROR(__xludf.DUMMYFUNCTION("""COMPUTED_VALUE"""),0.465642)</f>
        <v>0.465642</v>
      </c>
      <c r="C1235" s="3">
        <f>IFERROR(__xludf.DUMMYFUNCTION("""COMPUTED_VALUE"""),4.34450284969793E8)</f>
        <v>434450285</v>
      </c>
      <c r="D1235" s="3">
        <f>IFERROR(__xludf.DUMMYFUNCTION("""COMPUTED_VALUE"""),2001601.9941670299)</f>
        <v>2001601.994</v>
      </c>
      <c r="E1235" s="3">
        <f>IFERROR(__xludf.DUMMYFUNCTION("""COMPUTED_VALUE"""),932029.9557679241)</f>
        <v>932029.9558</v>
      </c>
      <c r="F1235" s="3" t="str">
        <f>IFERROR(__xludf.DUMMYFUNCTION("""COMPUTED_VALUE"""),"LDO")</f>
        <v>LDO</v>
      </c>
      <c r="G1235" s="3"/>
    </row>
    <row r="1236">
      <c r="A1236" s="3" t="str">
        <f>IFERROR(__xludf.DUMMYFUNCTION("""COMPUTED_VALUE"""),"2022-06-20T00:00:00Z")</f>
        <v>2022-06-20T00:00:00Z</v>
      </c>
      <c r="B1236" s="3">
        <f>IFERROR(__xludf.DUMMYFUNCTION("""COMPUTED_VALUE"""),0.516202)</f>
        <v>0.516202</v>
      </c>
      <c r="C1236" s="3">
        <f>IFERROR(__xludf.DUMMYFUNCTION("""COMPUTED_VALUE"""),4.36465488226986E8)</f>
        <v>436465488.2</v>
      </c>
      <c r="D1236" s="3">
        <f>IFERROR(__xludf.DUMMYFUNCTION("""COMPUTED_VALUE"""),2015203.2571929693)</f>
        <v>2015203.257</v>
      </c>
      <c r="E1236" s="3">
        <f>IFERROR(__xludf.DUMMYFUNCTION("""COMPUTED_VALUE"""),1040251.9517695253)</f>
        <v>1040251.952</v>
      </c>
      <c r="F1236" s="3" t="str">
        <f>IFERROR(__xludf.DUMMYFUNCTION("""COMPUTED_VALUE"""),"LDO")</f>
        <v>LDO</v>
      </c>
      <c r="G1236" s="3"/>
    </row>
    <row r="1237">
      <c r="A1237" s="3" t="str">
        <f>IFERROR(__xludf.DUMMYFUNCTION("""COMPUTED_VALUE"""),"2022-06-21T00:00:00Z")</f>
        <v>2022-06-21T00:00:00Z</v>
      </c>
      <c r="B1237" s="3">
        <f>IFERROR(__xludf.DUMMYFUNCTION("""COMPUTED_VALUE"""),0.51155)</f>
        <v>0.51155</v>
      </c>
      <c r="C1237" s="3">
        <f>IFERROR(__xludf.DUMMYFUNCTION("""COMPUTED_VALUE"""),4.38493149587877E8)</f>
        <v>438493149.6</v>
      </c>
      <c r="D1237" s="3">
        <f>IFERROR(__xludf.DUMMYFUNCTION("""COMPUTED_VALUE"""),2027661.3608909845)</f>
        <v>2027661.361</v>
      </c>
      <c r="E1237" s="3">
        <f>IFERROR(__xludf.DUMMYFUNCTION("""COMPUTED_VALUE"""),1037250.1691637831)</f>
        <v>1037250.169</v>
      </c>
      <c r="F1237" s="3" t="str">
        <f>IFERROR(__xludf.DUMMYFUNCTION("""COMPUTED_VALUE"""),"LDO")</f>
        <v>LDO</v>
      </c>
      <c r="G1237" s="3"/>
    </row>
    <row r="1238">
      <c r="A1238" s="3" t="str">
        <f>IFERROR(__xludf.DUMMYFUNCTION("""COMPUTED_VALUE"""),"2022-06-22T00:00:00Z")</f>
        <v>2022-06-22T00:00:00Z</v>
      </c>
      <c r="B1238" s="3">
        <f>IFERROR(__xludf.DUMMYFUNCTION("""COMPUTED_VALUE"""),0.529479)</f>
        <v>0.529479</v>
      </c>
      <c r="C1238" s="3">
        <f>IFERROR(__xludf.DUMMYFUNCTION("""COMPUTED_VALUE"""),4.40572201209176E8)</f>
        <v>440572201.2</v>
      </c>
      <c r="D1238" s="3">
        <f>IFERROR(__xludf.DUMMYFUNCTION("""COMPUTED_VALUE"""),2079051.6212990284)</f>
        <v>2079051.621</v>
      </c>
      <c r="E1238" s="3">
        <f>IFERROR(__xludf.DUMMYFUNCTION("""COMPUTED_VALUE"""),1100814.1733937883)</f>
        <v>1100814.173</v>
      </c>
      <c r="F1238" s="3" t="str">
        <f>IFERROR(__xludf.DUMMYFUNCTION("""COMPUTED_VALUE"""),"LDO")</f>
        <v>LDO</v>
      </c>
      <c r="G1238" s="3"/>
    </row>
    <row r="1239">
      <c r="A1239" s="3" t="str">
        <f>IFERROR(__xludf.DUMMYFUNCTION("""COMPUTED_VALUE"""),"2022-06-23T00:00:00Z")</f>
        <v>2022-06-23T00:00:00Z</v>
      </c>
      <c r="B1239" s="3">
        <f>IFERROR(__xludf.DUMMYFUNCTION("""COMPUTED_VALUE"""),0.525228)</f>
        <v>0.525228</v>
      </c>
      <c r="C1239" s="3">
        <f>IFERROR(__xludf.DUMMYFUNCTION("""COMPUTED_VALUE"""),4.42601938920683E8)</f>
        <v>442601938.9</v>
      </c>
      <c r="D1239" s="3">
        <f>IFERROR(__xludf.DUMMYFUNCTION("""COMPUTED_VALUE"""),2029737.7115070224)</f>
        <v>2029737.712</v>
      </c>
      <c r="E1239" s="3">
        <f>IFERROR(__xludf.DUMMYFUNCTION("""COMPUTED_VALUE"""),1066075.0787394105)</f>
        <v>1066075.079</v>
      </c>
      <c r="F1239" s="3" t="str">
        <f>IFERROR(__xludf.DUMMYFUNCTION("""COMPUTED_VALUE"""),"LDO")</f>
        <v>LDO</v>
      </c>
      <c r="G1239" s="3"/>
    </row>
    <row r="1240">
      <c r="A1240" s="3" t="str">
        <f>IFERROR(__xludf.DUMMYFUNCTION("""COMPUTED_VALUE"""),"2022-06-24T00:00:00Z")</f>
        <v>2022-06-24T00:00:00Z</v>
      </c>
      <c r="B1240" s="3">
        <f>IFERROR(__xludf.DUMMYFUNCTION("""COMPUTED_VALUE"""),0.553717)</f>
        <v>0.553717</v>
      </c>
      <c r="C1240" s="3">
        <f>IFERROR(__xludf.DUMMYFUNCTION("""COMPUTED_VALUE"""),4.44962981000077E8)</f>
        <v>444962981</v>
      </c>
      <c r="D1240" s="3">
        <f>IFERROR(__xludf.DUMMYFUNCTION("""COMPUTED_VALUE"""),2361042.079393983)</f>
        <v>2361042.079</v>
      </c>
      <c r="E1240" s="3">
        <f>IFERROR(__xludf.DUMMYFUNCTION("""COMPUTED_VALUE"""),1307349.1370757981)</f>
        <v>1307349.137</v>
      </c>
      <c r="F1240" s="3" t="str">
        <f>IFERROR(__xludf.DUMMYFUNCTION("""COMPUTED_VALUE"""),"LDO")</f>
        <v>LDO</v>
      </c>
      <c r="G1240" s="3"/>
    </row>
    <row r="1241">
      <c r="A1241" s="3" t="str">
        <f>IFERROR(__xludf.DUMMYFUNCTION("""COMPUTED_VALUE"""),"2022-06-25T00:00:00Z")</f>
        <v>2022-06-25T00:00:00Z</v>
      </c>
      <c r="B1241" s="3">
        <f>IFERROR(__xludf.DUMMYFUNCTION("""COMPUTED_VALUE"""),0.634008)</f>
        <v>0.634008</v>
      </c>
      <c r="C1241" s="3">
        <f>IFERROR(__xludf.DUMMYFUNCTION("""COMPUTED_VALUE"""),4.46983340139138E8)</f>
        <v>446983340.1</v>
      </c>
      <c r="D1241" s="3">
        <f>IFERROR(__xludf.DUMMYFUNCTION("""COMPUTED_VALUE"""),2020359.1390609741)</f>
        <v>2020359.139</v>
      </c>
      <c r="E1241" s="3">
        <f>IFERROR(__xludf.DUMMYFUNCTION("""COMPUTED_VALUE"""),1280923.85703777)</f>
        <v>1280923.857</v>
      </c>
      <c r="F1241" s="3" t="str">
        <f>IFERROR(__xludf.DUMMYFUNCTION("""COMPUTED_VALUE"""),"LDO")</f>
        <v>LDO</v>
      </c>
      <c r="G1241" s="3"/>
    </row>
    <row r="1242">
      <c r="A1242" s="3" t="str">
        <f>IFERROR(__xludf.DUMMYFUNCTION("""COMPUTED_VALUE"""),"2022-06-26T00:00:00Z")</f>
        <v>2022-06-26T00:00:00Z</v>
      </c>
      <c r="B1242" s="3">
        <f>IFERROR(__xludf.DUMMYFUNCTION("""COMPUTED_VALUE"""),0.651949)</f>
        <v>0.651949</v>
      </c>
      <c r="C1242" s="3">
        <f>IFERROR(__xludf.DUMMYFUNCTION("""COMPUTED_VALUE"""),4.49013007861299E8)</f>
        <v>449013007.9</v>
      </c>
      <c r="D1242" s="3">
        <f>IFERROR(__xludf.DUMMYFUNCTION("""COMPUTED_VALUE"""),2029667.722160995)</f>
        <v>2029667.722</v>
      </c>
      <c r="E1242" s="3">
        <f>IFERROR(__xludf.DUMMYFUNCTION("""COMPUTED_VALUE"""),1323239.8417951385)</f>
        <v>1323239.842</v>
      </c>
      <c r="F1242" s="3" t="str">
        <f>IFERROR(__xludf.DUMMYFUNCTION("""COMPUTED_VALUE"""),"LDO")</f>
        <v>LDO</v>
      </c>
      <c r="G1242" s="3"/>
    </row>
    <row r="1243">
      <c r="A1243" s="3" t="str">
        <f>IFERROR(__xludf.DUMMYFUNCTION("""COMPUTED_VALUE"""),"2022-06-27T00:00:00Z")</f>
        <v>2022-06-27T00:00:00Z</v>
      </c>
      <c r="B1243" s="3">
        <f>IFERROR(__xludf.DUMMYFUNCTION("""COMPUTED_VALUE"""),0.606756)</f>
        <v>0.606756</v>
      </c>
      <c r="C1243" s="3">
        <f>IFERROR(__xludf.DUMMYFUNCTION("""COMPUTED_VALUE"""),4.51046781281838E8)</f>
        <v>451046781.3</v>
      </c>
      <c r="D1243" s="3">
        <f>IFERROR(__xludf.DUMMYFUNCTION("""COMPUTED_VALUE"""),2033773.4205390215)</f>
        <v>2033773.421</v>
      </c>
      <c r="E1243" s="3">
        <f>IFERROR(__xludf.DUMMYFUNCTION("""COMPUTED_VALUE"""),1234004.2255525745)</f>
        <v>1234004.226</v>
      </c>
      <c r="F1243" s="3" t="str">
        <f>IFERROR(__xludf.DUMMYFUNCTION("""COMPUTED_VALUE"""),"LDO")</f>
        <v>LDO</v>
      </c>
      <c r="G1243" s="3"/>
    </row>
    <row r="1244">
      <c r="A1244" s="3" t="str">
        <f>IFERROR(__xludf.DUMMYFUNCTION("""COMPUTED_VALUE"""),"2022-06-28T00:00:00Z")</f>
        <v>2022-06-28T00:00:00Z</v>
      </c>
      <c r="B1244" s="3">
        <f>IFERROR(__xludf.DUMMYFUNCTION("""COMPUTED_VALUE"""),0.579123)</f>
        <v>0.579123</v>
      </c>
      <c r="C1244" s="3">
        <f>IFERROR(__xludf.DUMMYFUNCTION("""COMPUTED_VALUE"""),4.53074465972511E8)</f>
        <v>453074466</v>
      </c>
      <c r="D1244" s="3">
        <f>IFERROR(__xludf.DUMMYFUNCTION("""COMPUTED_VALUE"""),2027684.6906729937)</f>
        <v>2027684.691</v>
      </c>
      <c r="E1244" s="3">
        <f>IFERROR(__xludf.DUMMYFUNCTION("""COMPUTED_VALUE"""),1174278.8411166163)</f>
        <v>1174278.841</v>
      </c>
      <c r="F1244" s="3" t="str">
        <f>IFERROR(__xludf.DUMMYFUNCTION("""COMPUTED_VALUE"""),"LDO")</f>
        <v>LDO</v>
      </c>
      <c r="G1244" s="3"/>
    </row>
    <row r="1245">
      <c r="A1245" s="3" t="str">
        <f>IFERROR(__xludf.DUMMYFUNCTION("""COMPUTED_VALUE"""),"2022-06-29T00:00:00Z")</f>
        <v>2022-06-29T00:00:00Z</v>
      </c>
      <c r="B1245" s="3">
        <f>IFERROR(__xludf.DUMMYFUNCTION("""COMPUTED_VALUE"""),0.521311)</f>
        <v>0.521311</v>
      </c>
      <c r="C1245" s="3">
        <f>IFERROR(__xludf.DUMMYFUNCTION("""COMPUTED_VALUE"""),4.55090112495566E8)</f>
        <v>455090112.5</v>
      </c>
      <c r="D1245" s="3">
        <f>IFERROR(__xludf.DUMMYFUNCTION("""COMPUTED_VALUE"""),2015646.523055017)</f>
        <v>2015646.523</v>
      </c>
      <c r="E1245" s="3">
        <f>IFERROR(__xludf.DUMMYFUNCTION("""COMPUTED_VALUE"""),1050778.704580334)</f>
        <v>1050778.705</v>
      </c>
      <c r="F1245" s="3" t="str">
        <f>IFERROR(__xludf.DUMMYFUNCTION("""COMPUTED_VALUE"""),"LDO")</f>
        <v>LDO</v>
      </c>
      <c r="G1245" s="3"/>
    </row>
    <row r="1246">
      <c r="A1246" s="3" t="str">
        <f>IFERROR(__xludf.DUMMYFUNCTION("""COMPUTED_VALUE"""),"2022-06-30T00:00:00Z")</f>
        <v>2022-06-30T00:00:00Z</v>
      </c>
      <c r="B1246" s="3">
        <f>IFERROR(__xludf.DUMMYFUNCTION("""COMPUTED_VALUE"""),0.489294)</f>
        <v>0.489294</v>
      </c>
      <c r="C1246" s="3">
        <f>IFERROR(__xludf.DUMMYFUNCTION("""COMPUTED_VALUE"""),4.57178539770128E8)</f>
        <v>457178539.8</v>
      </c>
      <c r="D1246" s="3">
        <f>IFERROR(__xludf.DUMMYFUNCTION("""COMPUTED_VALUE"""),2088427.2745620012)</f>
        <v>2088427.275</v>
      </c>
      <c r="E1246" s="3">
        <f>IFERROR(__xludf.DUMMYFUNCTION("""COMPUTED_VALUE"""),1021854.9348795399)</f>
        <v>1021854.935</v>
      </c>
      <c r="F1246" s="3" t="str">
        <f>IFERROR(__xludf.DUMMYFUNCTION("""COMPUTED_VALUE"""),"LDO")</f>
        <v>LDO</v>
      </c>
      <c r="G1246" s="3"/>
    </row>
    <row r="1247">
      <c r="A1247" s="3" t="str">
        <f>IFERROR(__xludf.DUMMYFUNCTION("""COMPUTED_VALUE"""),"2022-07-01T00:00:00Z")</f>
        <v>2022-07-01T00:00:00Z</v>
      </c>
      <c r="B1247" s="3">
        <f>IFERROR(__xludf.DUMMYFUNCTION("""COMPUTED_VALUE"""),0.451521)</f>
        <v>0.451521</v>
      </c>
      <c r="C1247" s="3">
        <f>IFERROR(__xludf.DUMMYFUNCTION("""COMPUTED_VALUE"""),4.59560627182297E8)</f>
        <v>459560627.2</v>
      </c>
      <c r="D1247" s="3">
        <f>IFERROR(__xludf.DUMMYFUNCTION("""COMPUTED_VALUE"""),2382087.4121689796)</f>
        <v>2382087.412</v>
      </c>
      <c r="E1247" s="3">
        <f>IFERROR(__xludf.DUMMYFUNCTION("""COMPUTED_VALUE"""),1075562.49042995)</f>
        <v>1075562.49</v>
      </c>
      <c r="F1247" s="3" t="str">
        <f>IFERROR(__xludf.DUMMYFUNCTION("""COMPUTED_VALUE"""),"LDO")</f>
        <v>LDO</v>
      </c>
      <c r="G1247" s="3"/>
    </row>
    <row r="1248">
      <c r="A1248" s="3" t="str">
        <f>IFERROR(__xludf.DUMMYFUNCTION("""COMPUTED_VALUE"""),"2022-07-02T00:00:00Z")</f>
        <v>2022-07-02T00:00:00Z</v>
      </c>
      <c r="B1248" s="3">
        <f>IFERROR(__xludf.DUMMYFUNCTION("""COMPUTED_VALUE"""),0.450392)</f>
        <v>0.450392</v>
      </c>
      <c r="C1248" s="3">
        <f>IFERROR(__xludf.DUMMYFUNCTION("""COMPUTED_VALUE"""),4.61587098724296E8)</f>
        <v>461587098.7</v>
      </c>
      <c r="D1248" s="3">
        <f>IFERROR(__xludf.DUMMYFUNCTION("""COMPUTED_VALUE"""),2026471.5419989824)</f>
        <v>2026471.542</v>
      </c>
      <c r="E1248" s="3">
        <f>IFERROR(__xludf.DUMMYFUNCTION("""COMPUTED_VALUE"""),912706.5707440057)</f>
        <v>912706.5707</v>
      </c>
      <c r="F1248" s="3" t="str">
        <f>IFERROR(__xludf.DUMMYFUNCTION("""COMPUTED_VALUE"""),"LDO")</f>
        <v>LDO</v>
      </c>
      <c r="G1248" s="3"/>
    </row>
    <row r="1249">
      <c r="A1249" s="3" t="str">
        <f>IFERROR(__xludf.DUMMYFUNCTION("""COMPUTED_VALUE"""),"2022-07-03T00:00:00Z")</f>
        <v>2022-07-03T00:00:00Z</v>
      </c>
      <c r="B1249" s="3">
        <f>IFERROR(__xludf.DUMMYFUNCTION("""COMPUTED_VALUE"""),0.474586)</f>
        <v>0.474586</v>
      </c>
      <c r="C1249" s="3">
        <f>IFERROR(__xludf.DUMMYFUNCTION("""COMPUTED_VALUE"""),4.63690987037119E8)</f>
        <v>463690987</v>
      </c>
      <c r="D1249" s="3">
        <f>IFERROR(__xludf.DUMMYFUNCTION("""COMPUTED_VALUE"""),2103888.3128229976)</f>
        <v>2103888.313</v>
      </c>
      <c r="E1249" s="3">
        <f>IFERROR(__xludf.DUMMYFUNCTION("""COMPUTED_VALUE"""),998475.9388294151)</f>
        <v>998475.9388</v>
      </c>
      <c r="F1249" s="3" t="str">
        <f>IFERROR(__xludf.DUMMYFUNCTION("""COMPUTED_VALUE"""),"LDO")</f>
        <v>LDO</v>
      </c>
      <c r="G1249" s="3"/>
    </row>
    <row r="1250">
      <c r="A1250" s="3" t="str">
        <f>IFERROR(__xludf.DUMMYFUNCTION("""COMPUTED_VALUE"""),"2022-07-04T00:00:00Z")</f>
        <v>2022-07-04T00:00:00Z</v>
      </c>
      <c r="B1250" s="3">
        <f>IFERROR(__xludf.DUMMYFUNCTION("""COMPUTED_VALUE"""),0.505522)</f>
        <v>0.505522</v>
      </c>
      <c r="C1250" s="3">
        <f>IFERROR(__xludf.DUMMYFUNCTION("""COMPUTED_VALUE"""),4.65706726879303E8)</f>
        <v>465706726.9</v>
      </c>
      <c r="D1250" s="3">
        <f>IFERROR(__xludf.DUMMYFUNCTION("""COMPUTED_VALUE"""),2015739.8421840072)</f>
        <v>2015739.842</v>
      </c>
      <c r="E1250" s="3">
        <f>IFERROR(__xludf.DUMMYFUNCTION("""COMPUTED_VALUE"""),1019000.8365005438)</f>
        <v>1019000.837</v>
      </c>
      <c r="F1250" s="3" t="str">
        <f>IFERROR(__xludf.DUMMYFUNCTION("""COMPUTED_VALUE"""),"LDO")</f>
        <v>LDO</v>
      </c>
      <c r="G1250" s="3"/>
    </row>
    <row r="1251">
      <c r="A1251" s="3" t="str">
        <f>IFERROR(__xludf.DUMMYFUNCTION("""COMPUTED_VALUE"""),"2022-07-05T00:00:00Z")</f>
        <v>2022-07-05T00:00:00Z</v>
      </c>
      <c r="B1251" s="3">
        <f>IFERROR(__xludf.DUMMYFUNCTION("""COMPUTED_VALUE"""),0.548345)</f>
        <v>0.548345</v>
      </c>
      <c r="C1251" s="3">
        <f>IFERROR(__xludf.DUMMYFUNCTION("""COMPUTED_VALUE"""),4.66721455756363E8)</f>
        <v>466721455.8</v>
      </c>
      <c r="D1251" s="3">
        <f>IFERROR(__xludf.DUMMYFUNCTION("""COMPUTED_VALUE"""),1014728.8770599961)</f>
        <v>1014728.877</v>
      </c>
      <c r="E1251" s="3">
        <f>IFERROR(__xludf.DUMMYFUNCTION("""COMPUTED_VALUE"""),556421.5060914635)</f>
        <v>556421.5061</v>
      </c>
      <c r="F1251" s="3" t="str">
        <f>IFERROR(__xludf.DUMMYFUNCTION("""COMPUTED_VALUE"""),"LDO")</f>
        <v>LDO</v>
      </c>
      <c r="G1251" s="3"/>
    </row>
    <row r="1252">
      <c r="A1252" s="3" t="str">
        <f>IFERROR(__xludf.DUMMYFUNCTION("""COMPUTED_VALUE"""),"2022-07-06T00:00:00Z")</f>
        <v>2022-07-06T00:00:00Z</v>
      </c>
      <c r="B1252" s="3">
        <f>IFERROR(__xludf.DUMMYFUNCTION("""COMPUTED_VALUE"""),0.564199)</f>
        <v>0.564199</v>
      </c>
      <c r="C1252" s="3">
        <f>IFERROR(__xludf.DUMMYFUNCTION("""COMPUTED_VALUE"""),4.70543252994612E8)</f>
        <v>470543253</v>
      </c>
      <c r="D1252" s="3">
        <f>IFERROR(__xludf.DUMMYFUNCTION("""COMPUTED_VALUE"""),3821797.238249004)</f>
        <v>3821797.238</v>
      </c>
      <c r="E1252" s="3">
        <f>IFERROR(__xludf.DUMMYFUNCTION("""COMPUTED_VALUE"""),2156254.1800228497)</f>
        <v>2156254.18</v>
      </c>
      <c r="F1252" s="3" t="str">
        <f>IFERROR(__xludf.DUMMYFUNCTION("""COMPUTED_VALUE"""),"LDO")</f>
        <v>LDO</v>
      </c>
      <c r="G1252" s="3"/>
    </row>
    <row r="1253">
      <c r="A1253" s="3" t="str">
        <f>IFERROR(__xludf.DUMMYFUNCTION("""COMPUTED_VALUE"""),"2022-07-07T00:00:00Z")</f>
        <v>2022-07-07T00:00:00Z</v>
      </c>
      <c r="B1253" s="3">
        <f>IFERROR(__xludf.DUMMYFUNCTION("""COMPUTED_VALUE"""),0.596504)</f>
        <v>0.596504</v>
      </c>
      <c r="C1253" s="3">
        <f>IFERROR(__xludf.DUMMYFUNCTION("""COMPUTED_VALUE"""),4.75069794525958E8)</f>
        <v>475069794.5</v>
      </c>
      <c r="D1253" s="3">
        <f>IFERROR(__xludf.DUMMYFUNCTION("""COMPUTED_VALUE"""),4526541.531346023)</f>
        <v>4526541.531</v>
      </c>
      <c r="E1253" s="3">
        <f>IFERROR(__xludf.DUMMYFUNCTION("""COMPUTED_VALUE"""),2700100.129614028)</f>
        <v>2700100.13</v>
      </c>
      <c r="F1253" s="3" t="str">
        <f>IFERROR(__xludf.DUMMYFUNCTION("""COMPUTED_VALUE"""),"LDO")</f>
        <v>LDO</v>
      </c>
      <c r="G1253" s="3"/>
    </row>
    <row r="1254">
      <c r="A1254" s="3" t="str">
        <f>IFERROR(__xludf.DUMMYFUNCTION("""COMPUTED_VALUE"""),"2022-07-08T00:00:00Z")</f>
        <v>2022-07-08T00:00:00Z</v>
      </c>
      <c r="B1254" s="3">
        <f>IFERROR(__xludf.DUMMYFUNCTION("""COMPUTED_VALUE"""),0.671012)</f>
        <v>0.671012</v>
      </c>
      <c r="C1254" s="3">
        <f>IFERROR(__xludf.DUMMYFUNCTION("""COMPUTED_VALUE"""),4.77074219423772E8)</f>
        <v>477074219.4</v>
      </c>
      <c r="D1254" s="3">
        <f>IFERROR(__xludf.DUMMYFUNCTION("""COMPUTED_VALUE"""),2004424.8978139758)</f>
        <v>2004424.898</v>
      </c>
      <c r="E1254" s="3">
        <f>IFERROR(__xludf.DUMMYFUNCTION("""COMPUTED_VALUE"""),1344993.1595319516)</f>
        <v>1344993.16</v>
      </c>
      <c r="F1254" s="3" t="str">
        <f>IFERROR(__xludf.DUMMYFUNCTION("""COMPUTED_VALUE"""),"LDO")</f>
        <v>LDO</v>
      </c>
      <c r="G1254" s="3"/>
    </row>
    <row r="1255">
      <c r="A1255" s="3" t="str">
        <f>IFERROR(__xludf.DUMMYFUNCTION("""COMPUTED_VALUE"""),"2022-07-09T00:00:00Z")</f>
        <v>2022-07-09T00:00:00Z</v>
      </c>
      <c r="B1255" s="3">
        <f>IFERROR(__xludf.DUMMYFUNCTION("""COMPUTED_VALUE"""),0.738189)</f>
        <v>0.738189</v>
      </c>
      <c r="C1255" s="3">
        <f>IFERROR(__xludf.DUMMYFUNCTION("""COMPUTED_VALUE"""),4.79088769447063E8)</f>
        <v>479088769.4</v>
      </c>
      <c r="D1255" s="3">
        <f>IFERROR(__xludf.DUMMYFUNCTION("""COMPUTED_VALUE"""),2014550.0232910514)</f>
        <v>2014550.023</v>
      </c>
      <c r="E1255" s="3">
        <f>IFERROR(__xludf.DUMMYFUNCTION("""COMPUTED_VALUE"""),1487118.667143198)</f>
        <v>1487118.667</v>
      </c>
      <c r="F1255" s="3" t="str">
        <f>IFERROR(__xludf.DUMMYFUNCTION("""COMPUTED_VALUE"""),"LDO")</f>
        <v>LDO</v>
      </c>
      <c r="G1255" s="3"/>
    </row>
    <row r="1256">
      <c r="A1256" s="3" t="str">
        <f>IFERROR(__xludf.DUMMYFUNCTION("""COMPUTED_VALUE"""),"2022-07-10T00:00:00Z")</f>
        <v>2022-07-10T00:00:00Z</v>
      </c>
      <c r="B1256" s="3">
        <f>IFERROR(__xludf.DUMMYFUNCTION("""COMPUTED_VALUE"""),0.686313)</f>
        <v>0.686313</v>
      </c>
      <c r="C1256" s="3">
        <f>IFERROR(__xludf.DUMMYFUNCTION("""COMPUTED_VALUE"""),4.81118413839442E8)</f>
        <v>481118413.8</v>
      </c>
      <c r="D1256" s="3">
        <f>IFERROR(__xludf.DUMMYFUNCTION("""COMPUTED_VALUE"""),2029644.3923789859)</f>
        <v>2029644.392</v>
      </c>
      <c r="E1256" s="3">
        <f>IFERROR(__xludf.DUMMYFUNCTION("""COMPUTED_VALUE"""),1392971.331866799)</f>
        <v>1392971.332</v>
      </c>
      <c r="F1256" s="3" t="str">
        <f>IFERROR(__xludf.DUMMYFUNCTION("""COMPUTED_VALUE"""),"LDO")</f>
        <v>LDO</v>
      </c>
      <c r="G1256" s="3"/>
    </row>
    <row r="1257">
      <c r="A1257" s="3" t="str">
        <f>IFERROR(__xludf.DUMMYFUNCTION("""COMPUTED_VALUE"""),"2022-07-11T00:00:00Z")</f>
        <v>2022-07-11T00:00:00Z</v>
      </c>
      <c r="B1257" s="3">
        <f>IFERROR(__xludf.DUMMYFUNCTION("""COMPUTED_VALUE"""),0.636943)</f>
        <v>0.636943</v>
      </c>
      <c r="C1257" s="3">
        <f>IFERROR(__xludf.DUMMYFUNCTION("""COMPUTED_VALUE"""),4.83154206166857E8)</f>
        <v>483154206.2</v>
      </c>
      <c r="D1257" s="3">
        <f>IFERROR(__xludf.DUMMYFUNCTION("""COMPUTED_VALUE"""),2035792.3274149895)</f>
        <v>2035792.327</v>
      </c>
      <c r="E1257" s="3">
        <f>IFERROR(__xludf.DUMMYFUNCTION("""COMPUTED_VALUE"""),1296683.6724006857)</f>
        <v>1296683.672</v>
      </c>
      <c r="F1257" s="3" t="str">
        <f>IFERROR(__xludf.DUMMYFUNCTION("""COMPUTED_VALUE"""),"LDO")</f>
        <v>LDO</v>
      </c>
      <c r="G1257" s="3"/>
    </row>
    <row r="1258">
      <c r="A1258" s="3" t="str">
        <f>IFERROR(__xludf.DUMMYFUNCTION("""COMPUTED_VALUE"""),"2022-07-12T00:00:00Z")</f>
        <v>2022-07-12T00:00:00Z</v>
      </c>
      <c r="B1258" s="3">
        <f>IFERROR(__xludf.DUMMYFUNCTION("""COMPUTED_VALUE"""),0.621504)</f>
        <v>0.621504</v>
      </c>
      <c r="C1258" s="3">
        <f>IFERROR(__xludf.DUMMYFUNCTION("""COMPUTED_VALUE"""),4.8517045926425E8)</f>
        <v>485170459.3</v>
      </c>
      <c r="D1258" s="3">
        <f>IFERROR(__xludf.DUMMYFUNCTION("""COMPUTED_VALUE"""),2016253.0973929763)</f>
        <v>2016253.097</v>
      </c>
      <c r="E1258" s="3">
        <f>IFERROR(__xludf.DUMMYFUNCTION("""COMPUTED_VALUE"""),1253109.3650421242)</f>
        <v>1253109.365</v>
      </c>
      <c r="F1258" s="3" t="str">
        <f>IFERROR(__xludf.DUMMYFUNCTION("""COMPUTED_VALUE"""),"LDO")</f>
        <v>LDO</v>
      </c>
      <c r="G1258" s="3"/>
    </row>
    <row r="1259">
      <c r="A1259" s="3" t="str">
        <f>IFERROR(__xludf.DUMMYFUNCTION("""COMPUTED_VALUE"""),"2022-07-13T00:00:00Z")</f>
        <v>2022-07-13T00:00:00Z</v>
      </c>
      <c r="B1259" s="3">
        <f>IFERROR(__xludf.DUMMYFUNCTION("""COMPUTED_VALUE"""),0.633567)</f>
        <v>0.633567</v>
      </c>
      <c r="C1259" s="3">
        <f>IFERROR(__xludf.DUMMYFUNCTION("""COMPUTED_VALUE"""),4.87198517231438E8)</f>
        <v>487198517.2</v>
      </c>
      <c r="D1259" s="3">
        <f>IFERROR(__xludf.DUMMYFUNCTION("""COMPUTED_VALUE"""),2028057.9671880007)</f>
        <v>2028057.967</v>
      </c>
      <c r="E1259" s="3">
        <f>IFERROR(__xludf.DUMMYFUNCTION("""COMPUTED_VALUE"""),1284910.6020974)</f>
        <v>1284910.602</v>
      </c>
      <c r="F1259" s="3" t="str">
        <f>IFERROR(__xludf.DUMMYFUNCTION("""COMPUTED_VALUE"""),"LDO")</f>
        <v>LDO</v>
      </c>
      <c r="G1259" s="3"/>
    </row>
    <row r="1260">
      <c r="A1260" s="3" t="str">
        <f>IFERROR(__xludf.DUMMYFUNCTION("""COMPUTED_VALUE"""),"2022-07-14T00:00:00Z")</f>
        <v>2022-07-14T00:00:00Z</v>
      </c>
      <c r="B1260" s="3">
        <f>IFERROR(__xludf.DUMMYFUNCTION("""COMPUTED_VALUE"""),0.93657)</f>
        <v>0.93657</v>
      </c>
      <c r="C1260" s="3">
        <f>IFERROR(__xludf.DUMMYFUNCTION("""COMPUTED_VALUE"""),4.89199769278872E8)</f>
        <v>489199769.3</v>
      </c>
      <c r="D1260" s="3">
        <f>IFERROR(__xludf.DUMMYFUNCTION("""COMPUTED_VALUE"""),2001252.047434032)</f>
        <v>2001252.047</v>
      </c>
      <c r="E1260" s="3">
        <f>IFERROR(__xludf.DUMMYFUNCTION("""COMPUTED_VALUE"""),1874312.6300652914)</f>
        <v>1874312.63</v>
      </c>
      <c r="F1260" s="3" t="str">
        <f>IFERROR(__xludf.DUMMYFUNCTION("""COMPUTED_VALUE"""),"LDO")</f>
        <v>LDO</v>
      </c>
      <c r="G1260" s="3"/>
    </row>
    <row r="1261">
      <c r="A1261" s="3" t="str">
        <f>IFERROR(__xludf.DUMMYFUNCTION("""COMPUTED_VALUE"""),"2022-07-15T00:00:00Z")</f>
        <v>2022-07-15T00:00:00Z</v>
      </c>
      <c r="B1261" s="3">
        <f>IFERROR(__xludf.DUMMYFUNCTION("""COMPUTED_VALUE"""),0.915468)</f>
        <v>0.915468</v>
      </c>
      <c r="C1261" s="3">
        <f>IFERROR(__xludf.DUMMYFUNCTION("""COMPUTED_VALUE"""),4.91231606670778E8)</f>
        <v>491231606.7</v>
      </c>
      <c r="D1261" s="3">
        <f>IFERROR(__xludf.DUMMYFUNCTION("""COMPUTED_VALUE"""),2031837.3919059634)</f>
        <v>2031837.392</v>
      </c>
      <c r="E1261" s="3">
        <f>IFERROR(__xludf.DUMMYFUNCTION("""COMPUTED_VALUE"""),1860082.1134933685)</f>
        <v>1860082.113</v>
      </c>
      <c r="F1261" s="3" t="str">
        <f>IFERROR(__xludf.DUMMYFUNCTION("""COMPUTED_VALUE"""),"LDO")</f>
        <v>LDO</v>
      </c>
      <c r="G1261" s="3"/>
    </row>
    <row r="1262">
      <c r="A1262" s="3" t="str">
        <f>IFERROR(__xludf.DUMMYFUNCTION("""COMPUTED_VALUE"""),"2022-07-16T00:00:00Z")</f>
        <v>2022-07-16T00:00:00Z</v>
      </c>
      <c r="B1262" s="3">
        <f>IFERROR(__xludf.DUMMYFUNCTION("""COMPUTED_VALUE"""),1.138277)</f>
        <v>1.138277</v>
      </c>
      <c r="C1262" s="3">
        <f>IFERROR(__xludf.DUMMYFUNCTION("""COMPUTED_VALUE"""),4.93245690098426E8)</f>
        <v>493245690.1</v>
      </c>
      <c r="D1262" s="3">
        <f>IFERROR(__xludf.DUMMYFUNCTION("""COMPUTED_VALUE"""),2014083.4276480079)</f>
        <v>2014083.428</v>
      </c>
      <c r="E1262" s="3">
        <f>IFERROR(__xludf.DUMMYFUNCTION("""COMPUTED_VALUE"""),2292584.8417728916)</f>
        <v>2292584.842</v>
      </c>
      <c r="F1262" s="3" t="str">
        <f>IFERROR(__xludf.DUMMYFUNCTION("""COMPUTED_VALUE"""),"LDO")</f>
        <v>LDO</v>
      </c>
      <c r="G1262" s="3"/>
    </row>
    <row r="1263">
      <c r="A1263" s="3" t="str">
        <f>IFERROR(__xludf.DUMMYFUNCTION("""COMPUTED_VALUE"""),"2022-07-17T00:00:00Z")</f>
        <v>2022-07-17T00:00:00Z</v>
      </c>
      <c r="B1263" s="3">
        <f>IFERROR(__xludf.DUMMYFUNCTION("""COMPUTED_VALUE"""),1.383141)</f>
        <v>1.383141</v>
      </c>
      <c r="C1263" s="3">
        <f>IFERROR(__xludf.DUMMYFUNCTION("""COMPUTED_VALUE"""),4.95362899716888E8)</f>
        <v>495362899.7</v>
      </c>
      <c r="D1263" s="3">
        <f>IFERROR(__xludf.DUMMYFUNCTION("""COMPUTED_VALUE"""),2117209.618462026)</f>
        <v>2117209.618</v>
      </c>
      <c r="E1263" s="3">
        <f>IFERROR(__xludf.DUMMYFUNCTION("""COMPUTED_VALUE"""),2928399.428889185)</f>
        <v>2928399.429</v>
      </c>
      <c r="F1263" s="3" t="str">
        <f>IFERROR(__xludf.DUMMYFUNCTION("""COMPUTED_VALUE"""),"LDO")</f>
        <v>LDO</v>
      </c>
      <c r="G1263" s="3"/>
    </row>
    <row r="1264">
      <c r="A1264" s="3" t="str">
        <f>IFERROR(__xludf.DUMMYFUNCTION("""COMPUTED_VALUE"""),"2022-07-18T00:00:00Z")</f>
        <v>2022-07-18T00:00:00Z</v>
      </c>
      <c r="B1264" s="3">
        <f>IFERROR(__xludf.DUMMYFUNCTION("""COMPUTED_VALUE"""),1.637439)</f>
        <v>1.637439</v>
      </c>
      <c r="C1264" s="3">
        <f>IFERROR(__xludf.DUMMYFUNCTION("""COMPUTED_VALUE"""),4.97364268413233E8)</f>
        <v>497364268.4</v>
      </c>
      <c r="D1264" s="3">
        <f>IFERROR(__xludf.DUMMYFUNCTION("""COMPUTED_VALUE"""),2001368.6963449717)</f>
        <v>2001368.696</v>
      </c>
      <c r="E1264" s="3">
        <f>IFERROR(__xludf.DUMMYFUNCTION("""COMPUTED_VALUE"""),3277119.1567744142)</f>
        <v>3277119.157</v>
      </c>
      <c r="F1264" s="3" t="str">
        <f>IFERROR(__xludf.DUMMYFUNCTION("""COMPUTED_VALUE"""),"LDO")</f>
        <v>LDO</v>
      </c>
      <c r="G1264" s="3"/>
    </row>
    <row r="1265">
      <c r="A1265" s="3" t="str">
        <f>IFERROR(__xludf.DUMMYFUNCTION("""COMPUTED_VALUE"""),"2022-07-19T00:00:00Z")</f>
        <v>2022-07-19T00:00:00Z</v>
      </c>
      <c r="B1265" s="3">
        <f>IFERROR(__xludf.DUMMYFUNCTION("""COMPUTED_VALUE"""),1.531253)</f>
        <v>1.531253</v>
      </c>
      <c r="C1265" s="3">
        <f>IFERROR(__xludf.DUMMYFUNCTION("""COMPUTED_VALUE"""),4.99379984925635E8)</f>
        <v>499379984.9</v>
      </c>
      <c r="D1265" s="3">
        <f>IFERROR(__xludf.DUMMYFUNCTION("""COMPUTED_VALUE"""),2015716.512401998)</f>
        <v>2015716.512</v>
      </c>
      <c r="E1265" s="3">
        <f>IFERROR(__xludf.DUMMYFUNCTION("""COMPUTED_VALUE"""),3086571.9567650966)</f>
        <v>3086571.957</v>
      </c>
      <c r="F1265" s="3" t="str">
        <f>IFERROR(__xludf.DUMMYFUNCTION("""COMPUTED_VALUE"""),"LDO")</f>
        <v>LDO</v>
      </c>
      <c r="G1265" s="3"/>
    </row>
    <row r="1266">
      <c r="A1266" s="3" t="str">
        <f>IFERROR(__xludf.DUMMYFUNCTION("""COMPUTED_VALUE"""),"2022-07-20T00:00:00Z")</f>
        <v>2022-07-20T00:00:00Z</v>
      </c>
      <c r="B1266" s="3">
        <f>IFERROR(__xludf.DUMMYFUNCTION("""COMPUTED_VALUE"""),1.49256)</f>
        <v>1.49256</v>
      </c>
      <c r="C1266" s="3">
        <f>IFERROR(__xludf.DUMMYFUNCTION("""COMPUTED_VALUE"""),5.0139626135281E8)</f>
        <v>501396261.4</v>
      </c>
      <c r="D1266" s="3">
        <f>IFERROR(__xludf.DUMMYFUNCTION("""COMPUTED_VALUE"""),2016276.427175045)</f>
        <v>2016276.427</v>
      </c>
      <c r="E1266" s="3">
        <f>IFERROR(__xludf.DUMMYFUNCTION("""COMPUTED_VALUE"""),3009413.5441443855)</f>
        <v>3009413.544</v>
      </c>
      <c r="F1266" s="3" t="str">
        <f>IFERROR(__xludf.DUMMYFUNCTION("""COMPUTED_VALUE"""),"LDO")</f>
        <v>LDO</v>
      </c>
      <c r="G1266" s="3"/>
    </row>
    <row r="1267">
      <c r="A1267" s="3" t="str">
        <f>IFERROR(__xludf.DUMMYFUNCTION("""COMPUTED_VALUE"""),"2022-07-21T00:00:00Z")</f>
        <v>2022-07-21T00:00:00Z</v>
      </c>
      <c r="B1267" s="3">
        <f>IFERROR(__xludf.DUMMYFUNCTION("""COMPUTED_VALUE"""),1.57203)</f>
        <v>1.57203</v>
      </c>
      <c r="C1267" s="3">
        <f>IFERROR(__xludf.DUMMYFUNCTION("""COMPUTED_VALUE"""),5.03411091333487E8)</f>
        <v>503411091.3</v>
      </c>
      <c r="D1267" s="3">
        <f>IFERROR(__xludf.DUMMYFUNCTION("""COMPUTED_VALUE"""),2014829.980676949)</f>
        <v>2014829.981</v>
      </c>
      <c r="E1267" s="3">
        <f>IFERROR(__xludf.DUMMYFUNCTION("""COMPUTED_VALUE"""),3167373.174523584)</f>
        <v>3167373.175</v>
      </c>
      <c r="F1267" s="3" t="str">
        <f>IFERROR(__xludf.DUMMYFUNCTION("""COMPUTED_VALUE"""),"LDO")</f>
        <v>LDO</v>
      </c>
      <c r="G1267" s="3"/>
    </row>
    <row r="1268">
      <c r="A1268" s="3" t="str">
        <f>IFERROR(__xludf.DUMMYFUNCTION("""COMPUTED_VALUE"""),"2022-07-22T00:00:00Z")</f>
        <v>2022-07-22T00:00:00Z</v>
      </c>
      <c r="B1268" s="3">
        <f>IFERROR(__xludf.DUMMYFUNCTION("""COMPUTED_VALUE"""),1.616264)</f>
        <v>1.616264</v>
      </c>
      <c r="C1268" s="3">
        <f>IFERROR(__xludf.DUMMYFUNCTION("""COMPUTED_VALUE"""),5.05427671047831E8)</f>
        <v>505427671</v>
      </c>
      <c r="D1268" s="3">
        <f>IFERROR(__xludf.DUMMYFUNCTION("""COMPUTED_VALUE"""),2016579.7143440247)</f>
        <v>2016579.714</v>
      </c>
      <c r="E1268" s="3">
        <f>IFERROR(__xludf.DUMMYFUNCTION("""COMPUTED_VALUE"""),3259325.1954245307)</f>
        <v>3259325.195</v>
      </c>
      <c r="F1268" s="3" t="str">
        <f>IFERROR(__xludf.DUMMYFUNCTION("""COMPUTED_VALUE"""),"LDO")</f>
        <v>LDO</v>
      </c>
      <c r="G1268" s="3"/>
    </row>
    <row r="1269">
      <c r="A1269" s="3" t="str">
        <f>IFERROR(__xludf.DUMMYFUNCTION("""COMPUTED_VALUE"""),"2022-07-23T00:00:00Z")</f>
        <v>2022-07-23T00:00:00Z</v>
      </c>
      <c r="B1269" s="3">
        <f>IFERROR(__xludf.DUMMYFUNCTION("""COMPUTED_VALUE"""),1.525833)</f>
        <v>1.525833</v>
      </c>
      <c r="C1269" s="3">
        <f>IFERROR(__xludf.DUMMYFUNCTION("""COMPUTED_VALUE"""),5.07443177592193E8)</f>
        <v>507443177.6</v>
      </c>
      <c r="D1269" s="3">
        <f>IFERROR(__xludf.DUMMYFUNCTION("""COMPUTED_VALUE"""),2015506.5443620086)</f>
        <v>2015506.544</v>
      </c>
      <c r="E1269" s="3">
        <f>IFERROR(__xludf.DUMMYFUNCTION("""COMPUTED_VALUE"""),3075326.3971035164)</f>
        <v>3075326.397</v>
      </c>
      <c r="F1269" s="3" t="str">
        <f>IFERROR(__xludf.DUMMYFUNCTION("""COMPUTED_VALUE"""),"LDO")</f>
        <v>LDO</v>
      </c>
      <c r="G1269" s="3"/>
    </row>
    <row r="1270">
      <c r="A1270" s="3" t="str">
        <f>IFERROR(__xludf.DUMMYFUNCTION("""COMPUTED_VALUE"""),"2022-07-24T00:00:00Z")</f>
        <v>2022-07-24T00:00:00Z</v>
      </c>
      <c r="B1270" s="3">
        <f>IFERROR(__xludf.DUMMYFUNCTION("""COMPUTED_VALUE"""),1.59058)</f>
        <v>1.59058</v>
      </c>
      <c r="C1270" s="3">
        <f>IFERROR(__xludf.DUMMYFUNCTION("""COMPUTED_VALUE"""),5.09458964093941E8)</f>
        <v>509458964.1</v>
      </c>
      <c r="D1270" s="3">
        <f>IFERROR(__xludf.DUMMYFUNCTION("""COMPUTED_VALUE"""),2015786.5017479658)</f>
        <v>2015786.502</v>
      </c>
      <c r="E1270" s="3">
        <f>IFERROR(__xludf.DUMMYFUNCTION("""COMPUTED_VALUE"""),3206269.6939502796)</f>
        <v>3206269.694</v>
      </c>
      <c r="F1270" s="3" t="str">
        <f>IFERROR(__xludf.DUMMYFUNCTION("""COMPUTED_VALUE"""),"LDO")</f>
        <v>LDO</v>
      </c>
      <c r="G1270" s="3"/>
    </row>
    <row r="1271">
      <c r="A1271" s="3" t="str">
        <f>IFERROR(__xludf.DUMMYFUNCTION("""COMPUTED_VALUE"""),"2022-07-25T00:00:00Z")</f>
        <v>2022-07-25T00:00:00Z</v>
      </c>
      <c r="B1271" s="3">
        <f>IFERROR(__xludf.DUMMYFUNCTION("""COMPUTED_VALUE"""),1.631132)</f>
        <v>1.631132</v>
      </c>
      <c r="C1271" s="3">
        <f>IFERROR(__xludf.DUMMYFUNCTION("""COMPUTED_VALUE"""),5.11492379134346E8)</f>
        <v>511492379.1</v>
      </c>
      <c r="D1271" s="3">
        <f>IFERROR(__xludf.DUMMYFUNCTION("""COMPUTED_VALUE"""),2033415.040405035)</f>
        <v>2033415.04</v>
      </c>
      <c r="E1271" s="3">
        <f>IFERROR(__xludf.DUMMYFUNCTION("""COMPUTED_VALUE"""),3316768.3416859456)</f>
        <v>3316768.342</v>
      </c>
      <c r="F1271" s="3" t="str">
        <f>IFERROR(__xludf.DUMMYFUNCTION("""COMPUTED_VALUE"""),"LDO")</f>
        <v>LDO</v>
      </c>
      <c r="G1271" s="3"/>
    </row>
    <row r="1272">
      <c r="A1272" s="3" t="str">
        <f>IFERROR(__xludf.DUMMYFUNCTION("""COMPUTED_VALUE"""),"2022-07-26T00:00:00Z")</f>
        <v>2022-07-26T00:00:00Z</v>
      </c>
      <c r="B1272" s="3">
        <f>IFERROR(__xludf.DUMMYFUNCTION("""COMPUTED_VALUE"""),1.451041)</f>
        <v>1.451041</v>
      </c>
      <c r="C1272" s="3">
        <f>IFERROR(__xludf.DUMMYFUNCTION("""COMPUTED_VALUE"""),5.13519777661085E8)</f>
        <v>513519777.7</v>
      </c>
      <c r="D1272" s="3">
        <f>IFERROR(__xludf.DUMMYFUNCTION("""COMPUTED_VALUE"""),2027398.5267390013)</f>
        <v>2027398.527</v>
      </c>
      <c r="E1272" s="3">
        <f>IFERROR(__xludf.DUMMYFUNCTION("""COMPUTED_VALUE"""),2941838.3856378873)</f>
        <v>2941838.386</v>
      </c>
      <c r="F1272" s="3" t="str">
        <f>IFERROR(__xludf.DUMMYFUNCTION("""COMPUTED_VALUE"""),"LDO")</f>
        <v>LDO</v>
      </c>
      <c r="G1272" s="3"/>
    </row>
    <row r="1273">
      <c r="A1273" s="3" t="str">
        <f>IFERROR(__xludf.DUMMYFUNCTION("""COMPUTED_VALUE"""),"2022-07-27T00:00:00Z")</f>
        <v>2022-07-27T00:00:00Z</v>
      </c>
      <c r="B1273" s="3">
        <f>IFERROR(__xludf.DUMMYFUNCTION("""COMPUTED_VALUE"""),1.448977)</f>
        <v>1.448977</v>
      </c>
      <c r="C1273" s="3">
        <f>IFERROR(__xludf.DUMMYFUNCTION("""COMPUTED_VALUE"""),5.15535517503269E8)</f>
        <v>515535517.5</v>
      </c>
      <c r="D1273" s="3">
        <f>IFERROR(__xludf.DUMMYFUNCTION("""COMPUTED_VALUE"""),2015739.8421840072)</f>
        <v>2015739.842</v>
      </c>
      <c r="E1273" s="3">
        <f>IFERROR(__xludf.DUMMYFUNCTION("""COMPUTED_VALUE"""),2920760.669308256)</f>
        <v>2920760.669</v>
      </c>
      <c r="F1273" s="3" t="str">
        <f>IFERROR(__xludf.DUMMYFUNCTION("""COMPUTED_VALUE"""),"LDO")</f>
        <v>LDO</v>
      </c>
      <c r="G1273" s="3"/>
    </row>
    <row r="1274">
      <c r="A1274" s="3" t="str">
        <f>IFERROR(__xludf.DUMMYFUNCTION("""COMPUTED_VALUE"""),"2022-07-28T00:00:00Z")</f>
        <v>2022-07-28T00:00:00Z</v>
      </c>
      <c r="B1274" s="3">
        <f>IFERROR(__xludf.DUMMYFUNCTION("""COMPUTED_VALUE"""),1.956413)</f>
        <v>1.956413</v>
      </c>
      <c r="C1274" s="3">
        <f>IFERROR(__xludf.DUMMYFUNCTION("""COMPUTED_VALUE"""),5.17531613668836E8)</f>
        <v>517531613.7</v>
      </c>
      <c r="D1274" s="3">
        <f>IFERROR(__xludf.DUMMYFUNCTION("""COMPUTED_VALUE"""),1996096.1655669808)</f>
        <v>1996096.166</v>
      </c>
      <c r="E1274" s="3">
        <f>IFERROR(__xludf.DUMMYFUNCTION("""COMPUTED_VALUE"""),3905188.4875653936)</f>
        <v>3905188.488</v>
      </c>
      <c r="F1274" s="3" t="str">
        <f>IFERROR(__xludf.DUMMYFUNCTION("""COMPUTED_VALUE"""),"LDO")</f>
        <v>LDO</v>
      </c>
      <c r="G1274" s="3"/>
    </row>
    <row r="1275">
      <c r="A1275" s="3" t="str">
        <f>IFERROR(__xludf.DUMMYFUNCTION("""COMPUTED_VALUE"""),"2022-07-29T00:00:00Z")</f>
        <v>2022-07-29T00:00:00Z</v>
      </c>
      <c r="B1275" s="3">
        <f>IFERROR(__xludf.DUMMYFUNCTION("""COMPUTED_VALUE"""),2.219831)</f>
        <v>2.219831</v>
      </c>
      <c r="C1275" s="3">
        <f>IFERROR(__xludf.DUMMYFUNCTION("""COMPUTED_VALUE"""),5.19548053404486E8)</f>
        <v>519548053.4</v>
      </c>
      <c r="D1275" s="3">
        <f>IFERROR(__xludf.DUMMYFUNCTION("""COMPUTED_VALUE"""),2016439.735650003)</f>
        <v>2016439.736</v>
      </c>
      <c r="E1275" s="3">
        <f>IFERROR(__xludf.DUMMYFUNCTION("""COMPUTED_VALUE"""),4476155.434827682)</f>
        <v>4476155.435</v>
      </c>
      <c r="F1275" s="3" t="str">
        <f>IFERROR(__xludf.DUMMYFUNCTION("""COMPUTED_VALUE"""),"LDO")</f>
        <v>LDO</v>
      </c>
      <c r="G1275" s="3"/>
    </row>
    <row r="1276">
      <c r="A1276" s="3" t="str">
        <f>IFERROR(__xludf.DUMMYFUNCTION("""COMPUTED_VALUE"""),"2022-07-30T00:00:00Z")</f>
        <v>2022-07-30T00:00:00Z</v>
      </c>
      <c r="B1276" s="3">
        <f>IFERROR(__xludf.DUMMYFUNCTION("""COMPUTED_VALUE"""),2.449432)</f>
        <v>2.449432</v>
      </c>
      <c r="C1276" s="3">
        <f>IFERROR(__xludf.DUMMYFUNCTION("""COMPUTED_VALUE"""),5.21576507977972E8)</f>
        <v>521576508</v>
      </c>
      <c r="D1276" s="3">
        <f>IFERROR(__xludf.DUMMYFUNCTION("""COMPUTED_VALUE"""),2028454.5734859705)</f>
        <v>2028454.573</v>
      </c>
      <c r="E1276" s="3">
        <f>IFERROR(__xludf.DUMMYFUNCTION("""COMPUTED_VALUE"""),4968561.542842887)</f>
        <v>4968561.543</v>
      </c>
      <c r="F1276" s="3" t="str">
        <f>IFERROR(__xludf.DUMMYFUNCTION("""COMPUTED_VALUE"""),"LDO")</f>
        <v>LDO</v>
      </c>
      <c r="G1276" s="3"/>
    </row>
    <row r="1277">
      <c r="A1277" s="3" t="str">
        <f>IFERROR(__xludf.DUMMYFUNCTION("""COMPUTED_VALUE"""),"2022-07-31T00:00:00Z")</f>
        <v>2022-07-31T00:00:00Z</v>
      </c>
      <c r="B1277" s="3">
        <f>IFERROR(__xludf.DUMMYFUNCTION("""COMPUTED_VALUE"""),2.324374)</f>
        <v>2.324374</v>
      </c>
      <c r="C1277" s="3">
        <f>IFERROR(__xludf.DUMMYFUNCTION("""COMPUTED_VALUE"""),5.23679136482556E8)</f>
        <v>523679136.5</v>
      </c>
      <c r="D1277" s="3">
        <f>IFERROR(__xludf.DUMMYFUNCTION("""COMPUTED_VALUE"""),2102628.5045840144)</f>
        <v>2102628.505</v>
      </c>
      <c r="E1277" s="3">
        <f>IFERROR(__xludf.DUMMYFUNCTION("""COMPUTED_VALUE"""),4887295.027713965)</f>
        <v>4887295.028</v>
      </c>
      <c r="F1277" s="3" t="str">
        <f>IFERROR(__xludf.DUMMYFUNCTION("""COMPUTED_VALUE"""),"LDO")</f>
        <v>LDO</v>
      </c>
      <c r="G1277" s="3"/>
    </row>
    <row r="1278">
      <c r="A1278" s="3" t="str">
        <f>IFERROR(__xludf.DUMMYFUNCTION("""COMPUTED_VALUE"""),"2022-08-01T00:00:00Z")</f>
        <v>2022-08-01T00:00:00Z</v>
      </c>
      <c r="B1278" s="3">
        <f>IFERROR(__xludf.DUMMYFUNCTION("""COMPUTED_VALUE"""),2.13709)</f>
        <v>2.13709</v>
      </c>
      <c r="C1278" s="3">
        <f>IFERROR(__xludf.DUMMYFUNCTION("""COMPUTED_VALUE"""),5.25693989793016E8)</f>
        <v>525693989.8</v>
      </c>
      <c r="D1278" s="3">
        <f>IFERROR(__xludf.DUMMYFUNCTION("""COMPUTED_VALUE"""),2014853.310460031)</f>
        <v>2014853.31</v>
      </c>
      <c r="E1278" s="3">
        <f>IFERROR(__xludf.DUMMYFUNCTION("""COMPUTED_VALUE"""),4305922.861251028)</f>
        <v>4305922.861</v>
      </c>
      <c r="F1278" s="3" t="str">
        <f>IFERROR(__xludf.DUMMYFUNCTION("""COMPUTED_VALUE"""),"LDO")</f>
        <v>LDO</v>
      </c>
      <c r="G1278" s="3"/>
    </row>
    <row r="1279">
      <c r="A1279" s="3" t="str">
        <f>IFERROR(__xludf.DUMMYFUNCTION("""COMPUTED_VALUE"""),"2022-08-02T00:00:00Z")</f>
        <v>2022-08-02T00:00:00Z</v>
      </c>
      <c r="B1279" s="3">
        <f>IFERROR(__xludf.DUMMYFUNCTION("""COMPUTED_VALUE"""),2.090745)</f>
        <v>2.090745</v>
      </c>
      <c r="C1279" s="3">
        <f>IFERROR(__xludf.DUMMYFUNCTION("""COMPUTED_VALUE"""),5.27723680844959E8)</f>
        <v>527723680.8</v>
      </c>
      <c r="D1279" s="3">
        <f>IFERROR(__xludf.DUMMYFUNCTION("""COMPUTED_VALUE"""),2029691.0519430041)</f>
        <v>2029691.052</v>
      </c>
      <c r="E1279" s="3">
        <f>IFERROR(__xludf.DUMMYFUNCTION("""COMPUTED_VALUE"""),4243566.418394577)</f>
        <v>4243566.418</v>
      </c>
      <c r="F1279" s="3" t="str">
        <f>IFERROR(__xludf.DUMMYFUNCTION("""COMPUTED_VALUE"""),"LDO")</f>
        <v>LDO</v>
      </c>
      <c r="G1279" s="3"/>
    </row>
    <row r="1280">
      <c r="A1280" s="3" t="str">
        <f>IFERROR(__xludf.DUMMYFUNCTION("""COMPUTED_VALUE"""),"2022-08-03T00:00:00Z")</f>
        <v>2022-08-03T00:00:00Z</v>
      </c>
      <c r="B1280" s="3">
        <f>IFERROR(__xludf.DUMMYFUNCTION("""COMPUTED_VALUE"""),2.310744)</f>
        <v>2.310744</v>
      </c>
      <c r="C1280" s="3">
        <f>IFERROR(__xludf.DUMMYFUNCTION("""COMPUTED_VALUE"""),5.2973865080433E8)</f>
        <v>529738650.8</v>
      </c>
      <c r="D1280" s="3">
        <f>IFERROR(__xludf.DUMMYFUNCTION("""COMPUTED_VALUE"""),2014969.9593709707)</f>
        <v>2014969.959</v>
      </c>
      <c r="E1280" s="3">
        <f>IFERROR(__xludf.DUMMYFUNCTION("""COMPUTED_VALUE"""),4656079.743796715)</f>
        <v>4656079.744</v>
      </c>
      <c r="F1280" s="3" t="str">
        <f>IFERROR(__xludf.DUMMYFUNCTION("""COMPUTED_VALUE"""),"LDO")</f>
        <v>LDO</v>
      </c>
      <c r="G1280" s="3"/>
    </row>
    <row r="1281">
      <c r="A1281" s="3" t="str">
        <f>IFERROR(__xludf.DUMMYFUNCTION("""COMPUTED_VALUE"""),"2022-08-04T00:00:00Z")</f>
        <v>2022-08-04T00:00:00Z</v>
      </c>
      <c r="B1281" s="3">
        <f>IFERROR(__xludf.DUMMYFUNCTION("""COMPUTED_VALUE"""),2.574148)</f>
        <v>2.574148</v>
      </c>
      <c r="C1281" s="3">
        <f>IFERROR(__xludf.DUMMYFUNCTION("""COMPUTED_VALUE"""),5.31772074621426E8)</f>
        <v>531772074.6</v>
      </c>
      <c r="D1281" s="3">
        <f>IFERROR(__xludf.DUMMYFUNCTION("""COMPUTED_VALUE"""),2033423.817095995)</f>
        <v>2033423.817</v>
      </c>
      <c r="E1281" s="3">
        <f>IFERROR(__xludf.DUMMYFUNCTION("""COMPUTED_VALUE"""),5234333.851930021)</f>
        <v>5234333.852</v>
      </c>
      <c r="F1281" s="3" t="str">
        <f>IFERROR(__xludf.DUMMYFUNCTION("""COMPUTED_VALUE"""),"LDO")</f>
        <v>LDO</v>
      </c>
      <c r="G1281" s="3"/>
    </row>
    <row r="1282">
      <c r="A1282" s="3" t="str">
        <f>IFERROR(__xludf.DUMMYFUNCTION("""COMPUTED_VALUE"""),"2022-08-05T00:00:00Z")</f>
        <v>2022-08-05T00:00:00Z</v>
      </c>
      <c r="B1282" s="3">
        <f>IFERROR(__xludf.DUMMYFUNCTION("""COMPUTED_VALUE"""),2.455623)</f>
        <v>2.455623</v>
      </c>
      <c r="C1282" s="3">
        <f>IFERROR(__xludf.DUMMYFUNCTION("""COMPUTED_VALUE"""),5.36257999001951E8)</f>
        <v>536257999</v>
      </c>
      <c r="D1282" s="3">
        <f>IFERROR(__xludf.DUMMYFUNCTION("""COMPUTED_VALUE"""),4485924.380524993)</f>
        <v>4485924.381</v>
      </c>
      <c r="E1282" s="3">
        <f>IFERROR(__xludf.DUMMYFUNCTION("""COMPUTED_VALUE"""),1.1015739085077925E7)</f>
        <v>11015739.09</v>
      </c>
      <c r="F1282" s="3" t="str">
        <f>IFERROR(__xludf.DUMMYFUNCTION("""COMPUTED_VALUE"""),"LDO")</f>
        <v>LDO</v>
      </c>
      <c r="G1282" s="3"/>
    </row>
    <row r="1283">
      <c r="A1283" s="3" t="str">
        <f>IFERROR(__xludf.DUMMYFUNCTION("""COMPUTED_VALUE"""),"2022-08-06T00:00:00Z")</f>
        <v>2022-08-06T00:00:00Z</v>
      </c>
      <c r="B1283" s="3">
        <f>IFERROR(__xludf.DUMMYFUNCTION("""COMPUTED_VALUE"""),2.650984)</f>
        <v>2.650984</v>
      </c>
      <c r="C1283" s="3">
        <f>IFERROR(__xludf.DUMMYFUNCTION("""COMPUTED_VALUE"""),5.38302597784724E8)</f>
        <v>538302597.8</v>
      </c>
      <c r="D1283" s="3">
        <f>IFERROR(__xludf.DUMMYFUNCTION("""COMPUTED_VALUE"""),2044598.7827730179)</f>
        <v>2044598.783</v>
      </c>
      <c r="E1283" s="3">
        <f>IFERROR(__xludf.DUMMYFUNCTION("""COMPUTED_VALUE"""),5420198.659550746)</f>
        <v>5420198.66</v>
      </c>
      <c r="F1283" s="3" t="str">
        <f>IFERROR(__xludf.DUMMYFUNCTION("""COMPUTED_VALUE"""),"LDO")</f>
        <v>LDO</v>
      </c>
      <c r="G1283" s="3"/>
    </row>
    <row r="1284">
      <c r="A1284" s="3" t="str">
        <f>IFERROR(__xludf.DUMMYFUNCTION("""COMPUTED_VALUE"""),"2022-08-07T00:00:00Z")</f>
        <v>2022-08-07T00:00:00Z</v>
      </c>
      <c r="B1284" s="3">
        <f>IFERROR(__xludf.DUMMYFUNCTION("""COMPUTED_VALUE"""),2.601278)</f>
        <v>2.601278</v>
      </c>
      <c r="C1284" s="3">
        <f>IFERROR(__xludf.DUMMYFUNCTION("""COMPUTED_VALUE"""),5.40289152069368E8)</f>
        <v>540289152.1</v>
      </c>
      <c r="D1284" s="3">
        <f>IFERROR(__xludf.DUMMYFUNCTION("""COMPUTED_VALUE"""),1986554.2846440077)</f>
        <v>1986554.285</v>
      </c>
      <c r="E1284" s="3">
        <f>IFERROR(__xludf.DUMMYFUNCTION("""COMPUTED_VALUE"""),5167579.956450195)</f>
        <v>5167579.956</v>
      </c>
      <c r="F1284" s="3" t="str">
        <f>IFERROR(__xludf.DUMMYFUNCTION("""COMPUTED_VALUE"""),"LDO")</f>
        <v>LDO</v>
      </c>
      <c r="G1284" s="3"/>
    </row>
    <row r="1285">
      <c r="A1285" s="3" t="str">
        <f>IFERROR(__xludf.DUMMYFUNCTION("""COMPUTED_VALUE"""),"2022-08-08T00:00:00Z")</f>
        <v>2022-08-08T00:00:00Z</v>
      </c>
      <c r="B1285" s="3">
        <f>IFERROR(__xludf.DUMMYFUNCTION("""COMPUTED_VALUE"""),2.474077)</f>
        <v>2.474077</v>
      </c>
      <c r="C1285" s="3">
        <f>IFERROR(__xludf.DUMMYFUNCTION("""COMPUTED_VALUE"""),5.42305451826324E8)</f>
        <v>542305451.8</v>
      </c>
      <c r="D1285" s="3">
        <f>IFERROR(__xludf.DUMMYFUNCTION("""COMPUTED_VALUE"""),2016299.7569559813)</f>
        <v>2016299.757</v>
      </c>
      <c r="E1285" s="3">
        <f>IFERROR(__xludf.DUMMYFUNCTION("""COMPUTED_VALUE"""),4988480.853790383)</f>
        <v>4988480.854</v>
      </c>
      <c r="F1285" s="3" t="str">
        <f>IFERROR(__xludf.DUMMYFUNCTION("""COMPUTED_VALUE"""),"LDO")</f>
        <v>LDO</v>
      </c>
      <c r="G1285" s="3"/>
    </row>
    <row r="1286">
      <c r="A1286" s="3" t="str">
        <f>IFERROR(__xludf.DUMMYFUNCTION("""COMPUTED_VALUE"""),"2022-08-09T00:00:00Z")</f>
        <v>2022-08-09T00:00:00Z</v>
      </c>
      <c r="B1286" s="3">
        <f>IFERROR(__xludf.DUMMYFUNCTION("""COMPUTED_VALUE"""),2.402832)</f>
        <v>2.402832</v>
      </c>
      <c r="C1286" s="3">
        <f>IFERROR(__xludf.DUMMYFUNCTION("""COMPUTED_VALUE"""),5.44339178930589E8)</f>
        <v>544339178.9</v>
      </c>
      <c r="D1286" s="3">
        <f>IFERROR(__xludf.DUMMYFUNCTION("""COMPUTED_VALUE"""),2033727.1042649746)</f>
        <v>2033727.104</v>
      </c>
      <c r="E1286" s="3">
        <f>IFERROR(__xludf.DUMMYFUNCTION("""COMPUTED_VALUE"""),4886704.565395217)</f>
        <v>4886704.565</v>
      </c>
      <c r="F1286" s="3" t="str">
        <f>IFERROR(__xludf.DUMMYFUNCTION("""COMPUTED_VALUE"""),"LDO")</f>
        <v>LDO</v>
      </c>
      <c r="G1286" s="3"/>
    </row>
    <row r="1287">
      <c r="A1287" s="3" t="str">
        <f>IFERROR(__xludf.DUMMYFUNCTION("""COMPUTED_VALUE"""),"2022-08-10T00:00:00Z")</f>
        <v>2022-08-10T00:00:00Z</v>
      </c>
      <c r="B1287" s="3">
        <f>IFERROR(__xludf.DUMMYFUNCTION("""COMPUTED_VALUE"""),2.24999)</f>
        <v>2.24999</v>
      </c>
      <c r="C1287" s="3">
        <f>IFERROR(__xludf.DUMMYFUNCTION("""COMPUTED_VALUE"""),5.46335415074849E8)</f>
        <v>546335415.1</v>
      </c>
      <c r="D1287" s="3">
        <f>IFERROR(__xludf.DUMMYFUNCTION("""COMPUTED_VALUE"""),1996236.1442600489)</f>
        <v>1996236.144</v>
      </c>
      <c r="E1287" s="3">
        <f>IFERROR(__xludf.DUMMYFUNCTION("""COMPUTED_VALUE"""),4491511.362223667)</f>
        <v>4491511.362</v>
      </c>
      <c r="F1287" s="3" t="str">
        <f>IFERROR(__xludf.DUMMYFUNCTION("""COMPUTED_VALUE"""),"LDO")</f>
        <v>LDO</v>
      </c>
      <c r="G1287" s="3"/>
    </row>
    <row r="1288">
      <c r="A1288" s="3" t="str">
        <f>IFERROR(__xludf.DUMMYFUNCTION("""COMPUTED_VALUE"""),"2022-08-11T00:00:00Z")</f>
        <v>2022-08-11T00:00:00Z</v>
      </c>
      <c r="B1288" s="3">
        <f>IFERROR(__xludf.DUMMYFUNCTION("""COMPUTED_VALUE"""),2.71756)</f>
        <v>2.71756</v>
      </c>
      <c r="C1288" s="3">
        <f>IFERROR(__xludf.DUMMYFUNCTION("""COMPUTED_VALUE"""),5.49385658796361E8)</f>
        <v>549385658.8</v>
      </c>
      <c r="D1288" s="3">
        <f>IFERROR(__xludf.DUMMYFUNCTION("""COMPUTED_VALUE"""),3050243.72151196)</f>
        <v>3050243.722</v>
      </c>
      <c r="E1288" s="3">
        <f>IFERROR(__xludf.DUMMYFUNCTION("""COMPUTED_VALUE"""),8289220.327832042)</f>
        <v>8289220.328</v>
      </c>
      <c r="F1288" s="3" t="str">
        <f>IFERROR(__xludf.DUMMYFUNCTION("""COMPUTED_VALUE"""),"LDO")</f>
        <v>LDO</v>
      </c>
      <c r="G1288" s="3"/>
    </row>
    <row r="1289">
      <c r="A1289" s="3" t="str">
        <f>IFERROR(__xludf.DUMMYFUNCTION("""COMPUTED_VALUE"""),"2022-08-12T00:00:00Z")</f>
        <v>2022-08-12T00:00:00Z</v>
      </c>
      <c r="B1289" s="3">
        <f>IFERROR(__xludf.DUMMYFUNCTION("""COMPUTED_VALUE"""),2.613981)</f>
        <v>2.613981</v>
      </c>
      <c r="C1289" s="3">
        <f>IFERROR(__xludf.DUMMYFUNCTION("""COMPUTED_VALUE"""),5.51413530125292E8)</f>
        <v>551413530.1</v>
      </c>
      <c r="D1289" s="3">
        <f>IFERROR(__xludf.DUMMYFUNCTION("""COMPUTED_VALUE"""),2027871.328930974)</f>
        <v>2027871.329</v>
      </c>
      <c r="E1289" s="3">
        <f>IFERROR(__xludf.DUMMYFUNCTION("""COMPUTED_VALUE"""),5300817.124270316)</f>
        <v>5300817.124</v>
      </c>
      <c r="F1289" s="3" t="str">
        <f>IFERROR(__xludf.DUMMYFUNCTION("""COMPUTED_VALUE"""),"LDO")</f>
        <v>LDO</v>
      </c>
      <c r="G1289" s="3"/>
    </row>
    <row r="1290">
      <c r="A1290" s="3" t="str">
        <f>IFERROR(__xludf.DUMMYFUNCTION("""COMPUTED_VALUE"""),"2022-08-13T00:00:00Z")</f>
        <v>2022-08-13T00:00:00Z</v>
      </c>
      <c r="B1290" s="3">
        <f>IFERROR(__xludf.DUMMYFUNCTION("""COMPUTED_VALUE"""),2.818077)</f>
        <v>2.818077</v>
      </c>
      <c r="C1290" s="3">
        <f>IFERROR(__xludf.DUMMYFUNCTION("""COMPUTED_VALUE"""),5.53415808683143E8)</f>
        <v>553415808.7</v>
      </c>
      <c r="D1290" s="3">
        <f>IFERROR(__xludf.DUMMYFUNCTION("""COMPUTED_VALUE"""),2002278.5578510761)</f>
        <v>2002278.558</v>
      </c>
      <c r="E1290" s="3">
        <f>IFERROR(__xludf.DUMMYFUNCTION("""COMPUTED_VALUE"""),5642575.1514732875)</f>
        <v>5642575.151</v>
      </c>
      <c r="F1290" s="3" t="str">
        <f>IFERROR(__xludf.DUMMYFUNCTION("""COMPUTED_VALUE"""),"LDO")</f>
        <v>LDO</v>
      </c>
      <c r="G1290" s="3"/>
    </row>
    <row r="1291">
      <c r="A1291" s="3" t="str">
        <f>IFERROR(__xludf.DUMMYFUNCTION("""COMPUTED_VALUE"""),"2022-08-14T00:00:00Z")</f>
        <v>2022-08-14T00:00:00Z</v>
      </c>
      <c r="B1291" s="3">
        <f>IFERROR(__xludf.DUMMYFUNCTION("""COMPUTED_VALUE"""),2.930064)</f>
        <v>2.930064</v>
      </c>
      <c r="C1291" s="3">
        <f>IFERROR(__xludf.DUMMYFUNCTION("""COMPUTED_VALUE"""),5.55433204939863E8)</f>
        <v>555433204.9</v>
      </c>
      <c r="D1291" s="3">
        <f>IFERROR(__xludf.DUMMYFUNCTION("""COMPUTED_VALUE"""),2017396.2567199469)</f>
        <v>2017396.257</v>
      </c>
      <c r="E1291" s="3">
        <f>IFERROR(__xludf.DUMMYFUNCTION("""COMPUTED_VALUE"""),5911100.145549874)</f>
        <v>5911100.146</v>
      </c>
      <c r="F1291" s="3" t="str">
        <f>IFERROR(__xludf.DUMMYFUNCTION("""COMPUTED_VALUE"""),"LDO")</f>
        <v>LDO</v>
      </c>
      <c r="G1291" s="3"/>
    </row>
    <row r="1292">
      <c r="A1292" s="3" t="str">
        <f>IFERROR(__xludf.DUMMYFUNCTION("""COMPUTED_VALUE"""),"2022-08-15T00:00:00Z")</f>
        <v>2022-08-15T00:00:00Z</v>
      </c>
      <c r="B1292" s="3">
        <f>IFERROR(__xludf.DUMMYFUNCTION("""COMPUTED_VALUE"""),2.655666)</f>
        <v>2.655666</v>
      </c>
      <c r="C1292" s="3">
        <f>IFERROR(__xludf.DUMMYFUNCTION("""COMPUTED_VALUE"""),5.5746123957727E8)</f>
        <v>557461239.6</v>
      </c>
      <c r="D1292" s="3">
        <f>IFERROR(__xludf.DUMMYFUNCTION("""COMPUTED_VALUE"""),2028034.6374070644)</f>
        <v>2028034.637</v>
      </c>
      <c r="E1292" s="3">
        <f>IFERROR(__xludf.DUMMYFUNCTION("""COMPUTED_VALUE"""),5385782.63338427)</f>
        <v>5385782.633</v>
      </c>
      <c r="F1292" s="3" t="str">
        <f>IFERROR(__xludf.DUMMYFUNCTION("""COMPUTED_VALUE"""),"LDO")</f>
        <v>LDO</v>
      </c>
      <c r="G1292" s="3"/>
    </row>
    <row r="1293">
      <c r="A1293" s="3" t="str">
        <f>IFERROR(__xludf.DUMMYFUNCTION("""COMPUTED_VALUE"""),"2022-08-16T00:00:00Z")</f>
        <v>2022-08-16T00:00:00Z</v>
      </c>
      <c r="B1293" s="3">
        <f>IFERROR(__xludf.DUMMYFUNCTION("""COMPUTED_VALUE"""),2.749838)</f>
        <v>2.749838</v>
      </c>
      <c r="C1293" s="3">
        <f>IFERROR(__xludf.DUMMYFUNCTION("""COMPUTED_VALUE"""),5.59463984730765E8)</f>
        <v>559463984.7</v>
      </c>
      <c r="D1293" s="3">
        <f>IFERROR(__xludf.DUMMYFUNCTION("""COMPUTED_VALUE"""),2002745.153494954)</f>
        <v>2002745.153</v>
      </c>
      <c r="E1293" s="3">
        <f>IFERROR(__xludf.DUMMYFUNCTION("""COMPUTED_VALUE"""),5507224.727396257)</f>
        <v>5507224.727</v>
      </c>
      <c r="F1293" s="3" t="str">
        <f>IFERROR(__xludf.DUMMYFUNCTION("""COMPUTED_VALUE"""),"LDO")</f>
        <v>LDO</v>
      </c>
      <c r="G1293" s="3"/>
    </row>
    <row r="1294">
      <c r="A1294" s="3" t="str">
        <f>IFERROR(__xludf.DUMMYFUNCTION("""COMPUTED_VALUE"""),"2022-08-17T00:00:00Z")</f>
        <v>2022-08-17T00:00:00Z</v>
      </c>
      <c r="B1294" s="3">
        <f>IFERROR(__xludf.DUMMYFUNCTION("""COMPUTED_VALUE"""),2.578945)</f>
        <v>2.578945</v>
      </c>
      <c r="C1294" s="3">
        <f>IFERROR(__xludf.DUMMYFUNCTION("""COMPUTED_VALUE"""),5.61491949378825E8)</f>
        <v>561491949.4</v>
      </c>
      <c r="D1294" s="3">
        <f>IFERROR(__xludf.DUMMYFUNCTION("""COMPUTED_VALUE"""),2027964.6480599642)</f>
        <v>2027964.648</v>
      </c>
      <c r="E1294" s="3">
        <f>IFERROR(__xludf.DUMMYFUNCTION("""COMPUTED_VALUE"""),5230009.289291005)</f>
        <v>5230009.289</v>
      </c>
      <c r="F1294" s="3" t="str">
        <f>IFERROR(__xludf.DUMMYFUNCTION("""COMPUTED_VALUE"""),"LDO")</f>
        <v>LDO</v>
      </c>
      <c r="G1294" s="3"/>
    </row>
    <row r="1295">
      <c r="A1295" s="3" t="str">
        <f>IFERROR(__xludf.DUMMYFUNCTION("""COMPUTED_VALUE"""),"2022-08-18T00:00:00Z")</f>
        <v>2022-08-18T00:00:00Z</v>
      </c>
      <c r="B1295" s="3">
        <f>IFERROR(__xludf.DUMMYFUNCTION("""COMPUTED_VALUE"""),2.478898)</f>
        <v>2.478898</v>
      </c>
      <c r="C1295" s="3">
        <f>IFERROR(__xludf.DUMMYFUNCTION("""COMPUTED_VALUE"""),5.63593924649507E8)</f>
        <v>563593924.6</v>
      </c>
      <c r="D1295" s="3">
        <f>IFERROR(__xludf.DUMMYFUNCTION("""COMPUTED_VALUE"""),2101975.2706820965)</f>
        <v>2101975.271</v>
      </c>
      <c r="E1295" s="3">
        <f>IFERROR(__xludf.DUMMYFUNCTION("""COMPUTED_VALUE"""),5210582.294543307)</f>
        <v>5210582.295</v>
      </c>
      <c r="F1295" s="3" t="str">
        <f>IFERROR(__xludf.DUMMYFUNCTION("""COMPUTED_VALUE"""),"LDO")</f>
        <v>LDO</v>
      </c>
      <c r="G1295" s="3"/>
    </row>
    <row r="1296">
      <c r="A1296" s="3" t="str">
        <f>IFERROR(__xludf.DUMMYFUNCTION("""COMPUTED_VALUE"""),"2022-08-19T00:00:00Z")</f>
        <v>2022-08-19T00:00:00Z</v>
      </c>
      <c r="B1296" s="3">
        <f>IFERROR(__xludf.DUMMYFUNCTION("""COMPUTED_VALUE"""),2.226746)</f>
        <v>2.226746</v>
      </c>
      <c r="C1296" s="3">
        <f>IFERROR(__xludf.DUMMYFUNCTION("""COMPUTED_VALUE"""),5.75679248087734E8)</f>
        <v>575679248.1</v>
      </c>
      <c r="D1296" s="3">
        <f>IFERROR(__xludf.DUMMYFUNCTION("""COMPUTED_VALUE"""),1.2085323438226938E7)</f>
        <v>12085323.44</v>
      </c>
      <c r="E1296" s="3">
        <f>IFERROR(__xludf.DUMMYFUNCTION("""COMPUTED_VALUE"""),2.691094562477808E7)</f>
        <v>26910945.62</v>
      </c>
      <c r="F1296" s="3" t="str">
        <f>IFERROR(__xludf.DUMMYFUNCTION("""COMPUTED_VALUE"""),"LDO")</f>
        <v>LDO</v>
      </c>
      <c r="G1296" s="3"/>
    </row>
    <row r="1297">
      <c r="A1297" s="3" t="str">
        <f>IFERROR(__xludf.DUMMYFUNCTION("""COMPUTED_VALUE"""),"2022-08-20T00:00:00Z")</f>
        <v>2022-08-20T00:00:00Z</v>
      </c>
      <c r="B1297" s="3">
        <f>IFERROR(__xludf.DUMMYFUNCTION("""COMPUTED_VALUE"""),1.86048)</f>
        <v>1.86048</v>
      </c>
      <c r="C1297" s="3">
        <f>IFERROR(__xludf.DUMMYFUNCTION("""COMPUTED_VALUE"""),5.7769321486647E8)</f>
        <v>577693214.9</v>
      </c>
      <c r="D1297" s="3">
        <f>IFERROR(__xludf.DUMMYFUNCTION("""COMPUTED_VALUE"""),2013966.7787359953)</f>
        <v>2013966.779</v>
      </c>
      <c r="E1297" s="3">
        <f>IFERROR(__xludf.DUMMYFUNCTION("""COMPUTED_VALUE"""),3746944.9125027442)</f>
        <v>3746944.913</v>
      </c>
      <c r="F1297" s="3" t="str">
        <f>IFERROR(__xludf.DUMMYFUNCTION("""COMPUTED_VALUE"""),"LDO")</f>
        <v>LDO</v>
      </c>
      <c r="G1297" s="3"/>
    </row>
    <row r="1298">
      <c r="A1298" s="3" t="str">
        <f>IFERROR(__xludf.DUMMYFUNCTION("""COMPUTED_VALUE"""),"2022-08-21T00:00:00Z")</f>
        <v>2022-08-21T00:00:00Z</v>
      </c>
      <c r="B1298" s="3">
        <f>IFERROR(__xludf.DUMMYFUNCTION("""COMPUTED_VALUE"""),1.8427)</f>
        <v>1.8427</v>
      </c>
      <c r="C1298" s="3">
        <f>IFERROR(__xludf.DUMMYFUNCTION("""COMPUTED_VALUE"""),5.79722579301462E8)</f>
        <v>579722579.3</v>
      </c>
      <c r="D1298" s="3">
        <f>IFERROR(__xludf.DUMMYFUNCTION("""COMPUTED_VALUE"""),2029364.434992075)</f>
        <v>2029364.435</v>
      </c>
      <c r="E1298" s="3">
        <f>IFERROR(__xludf.DUMMYFUNCTION("""COMPUTED_VALUE"""),3739509.8443598966)</f>
        <v>3739509.844</v>
      </c>
      <c r="F1298" s="3" t="str">
        <f>IFERROR(__xludf.DUMMYFUNCTION("""COMPUTED_VALUE"""),"LDO")</f>
        <v>LDO</v>
      </c>
      <c r="G1298" s="3"/>
    </row>
    <row r="1299">
      <c r="A1299" s="3" t="str">
        <f>IFERROR(__xludf.DUMMYFUNCTION("""COMPUTED_VALUE"""),"2022-08-22T00:00:00Z")</f>
        <v>2022-08-22T00:00:00Z</v>
      </c>
      <c r="B1299" s="3">
        <f>IFERROR(__xludf.DUMMYFUNCTION("""COMPUTED_VALUE"""),2.162116)</f>
        <v>2.162116</v>
      </c>
      <c r="C1299" s="3">
        <f>IFERROR(__xludf.DUMMYFUNCTION("""COMPUTED_VALUE"""),5.81725371114522E8)</f>
        <v>581725371.1</v>
      </c>
      <c r="D1299" s="3">
        <f>IFERROR(__xludf.DUMMYFUNCTION("""COMPUTED_VALUE"""),2002791.813059926)</f>
        <v>2002791.813</v>
      </c>
      <c r="E1299" s="3">
        <f>IFERROR(__xludf.DUMMYFUNCTION("""COMPUTED_VALUE"""),4330268.223685876)</f>
        <v>4330268.224</v>
      </c>
      <c r="F1299" s="3" t="str">
        <f>IFERROR(__xludf.DUMMYFUNCTION("""COMPUTED_VALUE"""),"LDO")</f>
        <v>LDO</v>
      </c>
      <c r="G1299" s="3"/>
    </row>
    <row r="1300">
      <c r="A1300" s="3" t="str">
        <f>IFERROR(__xludf.DUMMYFUNCTION("""COMPUTED_VALUE"""),"2022-08-23T00:00:00Z")</f>
        <v>2022-08-23T00:00:00Z</v>
      </c>
      <c r="B1300" s="3">
        <f>IFERROR(__xludf.DUMMYFUNCTION("""COMPUTED_VALUE"""),2.175232)</f>
        <v>2.175232</v>
      </c>
      <c r="C1300" s="3">
        <f>IFERROR(__xludf.DUMMYFUNCTION("""COMPUTED_VALUE"""),5.83765698315816E8)</f>
        <v>583765698.3</v>
      </c>
      <c r="D1300" s="3">
        <f>IFERROR(__xludf.DUMMYFUNCTION("""COMPUTED_VALUE"""),2040327.2012940645)</f>
        <v>2040327.201</v>
      </c>
      <c r="E1300" s="3">
        <f>IFERROR(__xludf.DUMMYFUNCTION("""COMPUTED_VALUE"""),4438185.01872529)</f>
        <v>4438185.019</v>
      </c>
      <c r="F1300" s="3" t="str">
        <f>IFERROR(__xludf.DUMMYFUNCTION("""COMPUTED_VALUE"""),"LDO")</f>
        <v>LDO</v>
      </c>
      <c r="G1300" s="3"/>
    </row>
    <row r="1301">
      <c r="A1301" s="3" t="str">
        <f>IFERROR(__xludf.DUMMYFUNCTION("""COMPUTED_VALUE"""),"2022-08-24T00:00:00Z")</f>
        <v>2022-08-24T00:00:00Z</v>
      </c>
      <c r="B1301" s="3">
        <f>IFERROR(__xludf.DUMMYFUNCTION("""COMPUTED_VALUE"""),2.143544)</f>
        <v>2.143544</v>
      </c>
      <c r="C1301" s="3">
        <f>IFERROR(__xludf.DUMMYFUNCTION("""COMPUTED_VALUE"""),5.85779968381721E8)</f>
        <v>585779968.4</v>
      </c>
      <c r="D1301" s="3">
        <f>IFERROR(__xludf.DUMMYFUNCTION("""COMPUTED_VALUE"""),2014270.065904975)</f>
        <v>2014270.066</v>
      </c>
      <c r="E1301" s="3">
        <f>IFERROR(__xludf.DUMMYFUNCTION("""COMPUTED_VALUE"""),4317676.514150213)</f>
        <v>4317676.514</v>
      </c>
      <c r="F1301" s="3" t="str">
        <f>IFERROR(__xludf.DUMMYFUNCTION("""COMPUTED_VALUE"""),"LDO")</f>
        <v>LDO</v>
      </c>
      <c r="G1301" s="3"/>
    </row>
    <row r="1302">
      <c r="A1302" s="3" t="str">
        <f>IFERROR(__xludf.DUMMYFUNCTION("""COMPUTED_VALUE"""),"2022-08-25T00:00:00Z")</f>
        <v>2022-08-25T00:00:00Z</v>
      </c>
      <c r="B1302" s="3">
        <f>IFERROR(__xludf.DUMMYFUNCTION("""COMPUTED_VALUE"""),2.159265)</f>
        <v>2.159265</v>
      </c>
      <c r="C1302" s="3">
        <f>IFERROR(__xludf.DUMMYFUNCTION("""COMPUTED_VALUE"""),5.79311152539725E8)</f>
        <v>579311152.5</v>
      </c>
      <c r="D1302" s="3">
        <f>IFERROR(__xludf.DUMMYFUNCTION("""COMPUTED_VALUE"""),-6468815.841996074)</f>
        <v>-6468815.842</v>
      </c>
      <c r="E1302" s="3">
        <f>IFERROR(__xludf.DUMMYFUNCTION("""COMPUTED_VALUE"""),-1.3967887639067652E7)</f>
        <v>-13967887.64</v>
      </c>
      <c r="F1302" s="3" t="str">
        <f>IFERROR(__xludf.DUMMYFUNCTION("""COMPUTED_VALUE"""),"LDO")</f>
        <v>LDO</v>
      </c>
      <c r="G1302" s="3"/>
    </row>
    <row r="1303">
      <c r="A1303" s="3" t="str">
        <f>IFERROR(__xludf.DUMMYFUNCTION("""COMPUTED_VALUE"""),"2022-08-26T00:00:00Z")</f>
        <v>2022-08-26T00:00:00Z</v>
      </c>
      <c r="B1303" s="3">
        <f>IFERROR(__xludf.DUMMYFUNCTION("""COMPUTED_VALUE"""),2.004526)</f>
        <v>2.004526</v>
      </c>
      <c r="C1303" s="3">
        <f>IFERROR(__xludf.DUMMYFUNCTION("""COMPUTED_VALUE"""),5.81411284757613E8)</f>
        <v>581411284.8</v>
      </c>
      <c r="D1303" s="3">
        <f>IFERROR(__xludf.DUMMYFUNCTION("""COMPUTED_VALUE"""),2100132.2178879976)</f>
        <v>2100132.218</v>
      </c>
      <c r="E1303" s="3">
        <f>IFERROR(__xludf.DUMMYFUNCTION("""COMPUTED_VALUE"""),4209769.634194156)</f>
        <v>4209769.634</v>
      </c>
      <c r="F1303" s="3" t="str">
        <f>IFERROR(__xludf.DUMMYFUNCTION("""COMPUTED_VALUE"""),"LDO")</f>
        <v>LDO</v>
      </c>
      <c r="G1303" s="3"/>
    </row>
    <row r="1304">
      <c r="A1304" s="3" t="str">
        <f>IFERROR(__xludf.DUMMYFUNCTION("""COMPUTED_VALUE"""),"2022-08-27T00:00:00Z")</f>
        <v>2022-08-27T00:00:00Z</v>
      </c>
      <c r="B1304" s="3">
        <f>IFERROR(__xludf.DUMMYFUNCTION("""COMPUTED_VALUE"""),1.72086)</f>
        <v>1.72086</v>
      </c>
      <c r="C1304" s="3">
        <f>IFERROR(__xludf.DUMMYFUNCTION("""COMPUTED_VALUE"""),5.83427444535877E8)</f>
        <v>583427444.5</v>
      </c>
      <c r="D1304" s="3">
        <f>IFERROR(__xludf.DUMMYFUNCTION("""COMPUTED_VALUE"""),2016159.7782640457)</f>
        <v>2016159.778</v>
      </c>
      <c r="E1304" s="3">
        <f>IFERROR(__xludf.DUMMYFUNCTION("""COMPUTED_VALUE"""),3469528.7160234656)</f>
        <v>3469528.716</v>
      </c>
      <c r="F1304" s="3" t="str">
        <f>IFERROR(__xludf.DUMMYFUNCTION("""COMPUTED_VALUE"""),"LDO")</f>
        <v>LDO</v>
      </c>
      <c r="G1304" s="3"/>
    </row>
    <row r="1305">
      <c r="A1305" s="3" t="str">
        <f>IFERROR(__xludf.DUMMYFUNCTION("""COMPUTED_VALUE"""),"2022-08-28T00:00:00Z")</f>
        <v>2022-08-28T00:00:00Z</v>
      </c>
      <c r="B1305" s="3">
        <f>IFERROR(__xludf.DUMMYFUNCTION("""COMPUTED_VALUE"""),1.637243)</f>
        <v>1.637243</v>
      </c>
      <c r="C1305" s="3">
        <f>IFERROR(__xludf.DUMMYFUNCTION("""COMPUTED_VALUE"""),5.85441364655049E8)</f>
        <v>585441364.7</v>
      </c>
      <c r="D1305" s="3">
        <f>IFERROR(__xludf.DUMMYFUNCTION("""COMPUTED_VALUE"""),2013920.119171977)</f>
        <v>2013920.119</v>
      </c>
      <c r="E1305" s="3">
        <f>IFERROR(__xludf.DUMMYFUNCTION("""COMPUTED_VALUE"""),3297276.617673485)</f>
        <v>3297276.618</v>
      </c>
      <c r="F1305" s="3" t="str">
        <f>IFERROR(__xludf.DUMMYFUNCTION("""COMPUTED_VALUE"""),"LDO")</f>
        <v>LDO</v>
      </c>
      <c r="G1305" s="3"/>
    </row>
    <row r="1306">
      <c r="A1306" s="3" t="str">
        <f>IFERROR(__xludf.DUMMYFUNCTION("""COMPUTED_VALUE"""),"2022-08-29T00:00:00Z")</f>
        <v>2022-08-29T00:00:00Z</v>
      </c>
      <c r="B1306" s="3">
        <f>IFERROR(__xludf.DUMMYFUNCTION("""COMPUTED_VALUE"""),1.591317)</f>
        <v>1.591317</v>
      </c>
      <c r="C1306" s="3">
        <f>IFERROR(__xludf.DUMMYFUNCTION("""COMPUTED_VALUE"""),5.87472432164142E8)</f>
        <v>587472432.2</v>
      </c>
      <c r="D1306" s="3">
        <f>IFERROR(__xludf.DUMMYFUNCTION("""COMPUTED_VALUE"""),2031067.5090930462)</f>
        <v>2031067.509</v>
      </c>
      <c r="E1306" s="3">
        <f>IFERROR(__xludf.DUMMYFUNCTION("""COMPUTED_VALUE"""),3232072.255367419)</f>
        <v>3232072.255</v>
      </c>
      <c r="F1306" s="3" t="str">
        <f>IFERROR(__xludf.DUMMYFUNCTION("""COMPUTED_VALUE"""),"LDO")</f>
        <v>LDO</v>
      </c>
      <c r="G1306" s="3"/>
    </row>
    <row r="1307">
      <c r="A1307" s="3" t="str">
        <f>IFERROR(__xludf.DUMMYFUNCTION("""COMPUTED_VALUE"""),"2022-08-30T00:00:00Z")</f>
        <v>2022-08-30T00:00:00Z</v>
      </c>
      <c r="B1307" s="3">
        <f>IFERROR(__xludf.DUMMYFUNCTION("""COMPUTED_VALUE"""),1.860888)</f>
        <v>1.860888</v>
      </c>
      <c r="C1307" s="3">
        <f>IFERROR(__xludf.DUMMYFUNCTION("""COMPUTED_VALUE"""),5.89475480604806E8)</f>
        <v>589475480.6</v>
      </c>
      <c r="D1307" s="3">
        <f>IFERROR(__xludf.DUMMYFUNCTION("""COMPUTED_VALUE"""),2003048.4406639338)</f>
        <v>2003048.441</v>
      </c>
      <c r="E1307" s="3">
        <f>IFERROR(__xludf.DUMMYFUNCTION("""COMPUTED_VALUE"""),3727448.8066502265)</f>
        <v>3727448.807</v>
      </c>
      <c r="F1307" s="3" t="str">
        <f>IFERROR(__xludf.DUMMYFUNCTION("""COMPUTED_VALUE"""),"LDO")</f>
        <v>LDO</v>
      </c>
      <c r="G1307" s="3"/>
    </row>
    <row r="1308">
      <c r="A1308" s="3" t="str">
        <f>IFERROR(__xludf.DUMMYFUNCTION("""COMPUTED_VALUE"""),"2022-08-31T00:00:00Z")</f>
        <v>2022-08-31T00:00:00Z</v>
      </c>
      <c r="B1308" s="3">
        <f>IFERROR(__xludf.DUMMYFUNCTION("""COMPUTED_VALUE"""),1.78823)</f>
        <v>1.78823</v>
      </c>
      <c r="C1308" s="3">
        <f>IFERROR(__xludf.DUMMYFUNCTION("""COMPUTED_VALUE"""),5.91503748540034E8)</f>
        <v>591503748.5</v>
      </c>
      <c r="D1308" s="3">
        <f>IFERROR(__xludf.DUMMYFUNCTION("""COMPUTED_VALUE"""),2028267.9352281094)</f>
        <v>2028267.935</v>
      </c>
      <c r="E1308" s="3">
        <f>IFERROR(__xludf.DUMMYFUNCTION("""COMPUTED_VALUE"""),3627009.569812962)</f>
        <v>3627009.57</v>
      </c>
      <c r="F1308" s="3" t="str">
        <f>IFERROR(__xludf.DUMMYFUNCTION("""COMPUTED_VALUE"""),"LDO")</f>
        <v>LDO</v>
      </c>
      <c r="G1308" s="3"/>
    </row>
    <row r="1309">
      <c r="A1309" s="3" t="str">
        <f>IFERROR(__xludf.DUMMYFUNCTION("""COMPUTED_VALUE"""),"2022-09-01T00:00:00Z")</f>
        <v>2022-09-01T00:00:00Z</v>
      </c>
      <c r="B1309" s="3">
        <f>IFERROR(__xludf.DUMMYFUNCTION("""COMPUTED_VALUE"""),1.987238)</f>
        <v>1.987238</v>
      </c>
      <c r="C1309" s="3">
        <f>IFERROR(__xludf.DUMMYFUNCTION("""COMPUTED_VALUE"""),5.93517971946375E8)</f>
        <v>593517971.9</v>
      </c>
      <c r="D1309" s="3">
        <f>IFERROR(__xludf.DUMMYFUNCTION("""COMPUTED_VALUE"""),2014223.4063409567)</f>
        <v>2014223.406</v>
      </c>
      <c r="E1309" s="3">
        <f>IFERROR(__xludf.DUMMYFUNCTION("""COMPUTED_VALUE"""),4002741.29357019)</f>
        <v>4002741.294</v>
      </c>
      <c r="F1309" s="3" t="str">
        <f>IFERROR(__xludf.DUMMYFUNCTION("""COMPUTED_VALUE"""),"LDO")</f>
        <v>LDO</v>
      </c>
      <c r="G1309" s="3"/>
    </row>
    <row r="1310">
      <c r="A1310" s="3" t="str">
        <f>IFERROR(__xludf.DUMMYFUNCTION("""COMPUTED_VALUE"""),"2022-09-02T00:00:00Z")</f>
        <v>2022-09-02T00:00:00Z</v>
      </c>
      <c r="B1310" s="3">
        <f>IFERROR(__xludf.DUMMYFUNCTION("""COMPUTED_VALUE"""),2.070306)</f>
        <v>2.070306</v>
      </c>
      <c r="C1310" s="3">
        <f>IFERROR(__xludf.DUMMYFUNCTION("""COMPUTED_VALUE"""),5.9684890856531E8)</f>
        <v>596848908.6</v>
      </c>
      <c r="D1310" s="3">
        <f>IFERROR(__xludf.DUMMYFUNCTION("""COMPUTED_VALUE"""),3330936.618934989)</f>
        <v>3330936.619</v>
      </c>
      <c r="E1310" s="3">
        <f>IFERROR(__xludf.DUMMYFUNCTION("""COMPUTED_VALUE"""),6896058.067800821)</f>
        <v>6896058.068</v>
      </c>
      <c r="F1310" s="3" t="str">
        <f>IFERROR(__xludf.DUMMYFUNCTION("""COMPUTED_VALUE"""),"LDO")</f>
        <v>LDO</v>
      </c>
      <c r="G1310" s="3"/>
    </row>
    <row r="1311">
      <c r="A1311" s="3" t="str">
        <f>IFERROR(__xludf.DUMMYFUNCTION("""COMPUTED_VALUE"""),"2022-09-03T00:00:00Z")</f>
        <v>2022-09-03T00:00:00Z</v>
      </c>
      <c r="B1311" s="3">
        <f>IFERROR(__xludf.DUMMYFUNCTION("""COMPUTED_VALUE"""),2.17361)</f>
        <v>2.17361</v>
      </c>
      <c r="C1311" s="3">
        <f>IFERROR(__xludf.DUMMYFUNCTION("""COMPUTED_VALUE"""),5.98851513740112E8)</f>
        <v>598851513.7</v>
      </c>
      <c r="D1311" s="3">
        <f>IFERROR(__xludf.DUMMYFUNCTION("""COMPUTED_VALUE"""),2002605.1748019457)</f>
        <v>2002605.175</v>
      </c>
      <c r="E1311" s="3">
        <f>IFERROR(__xludf.DUMMYFUNCTION("""COMPUTED_VALUE"""),4352882.634001257)</f>
        <v>4352882.634</v>
      </c>
      <c r="F1311" s="3" t="str">
        <f>IFERROR(__xludf.DUMMYFUNCTION("""COMPUTED_VALUE"""),"LDO")</f>
        <v>LDO</v>
      </c>
      <c r="G1311" s="3"/>
    </row>
    <row r="1312">
      <c r="A1312" s="3" t="str">
        <f>IFERROR(__xludf.DUMMYFUNCTION("""COMPUTED_VALUE"""),"2022-09-04T00:00:00Z")</f>
        <v>2022-09-04T00:00:00Z</v>
      </c>
      <c r="B1312" s="3">
        <f>IFERROR(__xludf.DUMMYFUNCTION("""COMPUTED_VALUE"""),2.064284)</f>
        <v>2.064284</v>
      </c>
      <c r="C1312" s="3">
        <f>IFERROR(__xludf.DUMMYFUNCTION("""COMPUTED_VALUE"""),6.03367883486416E8)</f>
        <v>603367883.5</v>
      </c>
      <c r="D1312" s="3">
        <f>IFERROR(__xludf.DUMMYFUNCTION("""COMPUTED_VALUE"""),4516369.746304035)</f>
        <v>4516369.746</v>
      </c>
      <c r="E1312" s="3">
        <f>IFERROR(__xludf.DUMMYFUNCTION("""COMPUTED_VALUE"""),9323069.805379478)</f>
        <v>9323069.805</v>
      </c>
      <c r="F1312" s="3" t="str">
        <f>IFERROR(__xludf.DUMMYFUNCTION("""COMPUTED_VALUE"""),"LDO")</f>
        <v>LDO</v>
      </c>
      <c r="G1312" s="3"/>
    </row>
    <row r="1313">
      <c r="A1313" s="3" t="str">
        <f>IFERROR(__xludf.DUMMYFUNCTION("""COMPUTED_VALUE"""),"2022-09-05T00:00:00Z")</f>
        <v>2022-09-05T00:00:00Z</v>
      </c>
      <c r="B1313" s="3">
        <f>IFERROR(__xludf.DUMMYFUNCTION("""COMPUTED_VALUE"""),2.066312)</f>
        <v>2.066312</v>
      </c>
      <c r="C1313" s="3">
        <f>IFERROR(__xludf.DUMMYFUNCTION("""COMPUTED_VALUE"""),6.05405619626222E8)</f>
        <v>605405619.6</v>
      </c>
      <c r="D1313" s="3">
        <f>IFERROR(__xludf.DUMMYFUNCTION("""COMPUTED_VALUE"""),2037736.1398060322)</f>
        <v>2037736.14</v>
      </c>
      <c r="E1313" s="3">
        <f>IFERROR(__xludf.DUMMYFUNCTION("""COMPUTED_VALUE"""),4210598.638514882)</f>
        <v>4210598.639</v>
      </c>
      <c r="F1313" s="3" t="str">
        <f>IFERROR(__xludf.DUMMYFUNCTION("""COMPUTED_VALUE"""),"LDO")</f>
        <v>LDO</v>
      </c>
      <c r="G1313" s="3"/>
    </row>
    <row r="1314">
      <c r="A1314" s="3" t="str">
        <f>IFERROR(__xludf.DUMMYFUNCTION("""COMPUTED_VALUE"""),"2022-09-06T00:00:00Z")</f>
        <v>2022-09-06T00:00:00Z</v>
      </c>
      <c r="B1314" s="3">
        <f>IFERROR(__xludf.DUMMYFUNCTION("""COMPUTED_VALUE"""),2.035755)</f>
        <v>2.035755</v>
      </c>
      <c r="C1314" s="3">
        <f>IFERROR(__xludf.DUMMYFUNCTION("""COMPUTED_VALUE"""),6.07422969223378E8)</f>
        <v>607422969.2</v>
      </c>
      <c r="D1314" s="3">
        <f>IFERROR(__xludf.DUMMYFUNCTION("""COMPUTED_VALUE"""),2017349.5971559286)</f>
        <v>2017349.597</v>
      </c>
      <c r="E1314" s="3">
        <f>IFERROR(__xludf.DUMMYFUNCTION("""COMPUTED_VALUE"""),4106829.5291581675)</f>
        <v>4106829.529</v>
      </c>
      <c r="F1314" s="3" t="str">
        <f>IFERROR(__xludf.DUMMYFUNCTION("""COMPUTED_VALUE"""),"LDO")</f>
        <v>LDO</v>
      </c>
      <c r="G1314" s="3"/>
    </row>
    <row r="1315">
      <c r="A1315" s="3" t="str">
        <f>IFERROR(__xludf.DUMMYFUNCTION("""COMPUTED_VALUE"""),"2022-09-07T00:00:00Z")</f>
        <v>2022-09-07T00:00:00Z</v>
      </c>
      <c r="B1315" s="3">
        <f>IFERROR(__xludf.DUMMYFUNCTION("""COMPUTED_VALUE"""),1.835482)</f>
        <v>1.835482</v>
      </c>
      <c r="C1315" s="3">
        <f>IFERROR(__xludf.DUMMYFUNCTION("""COMPUTED_VALUE"""),6.09437285948848E8)</f>
        <v>609437285.9</v>
      </c>
      <c r="D1315" s="3">
        <f>IFERROR(__xludf.DUMMYFUNCTION("""COMPUTED_VALUE"""),2014316.725470066)</f>
        <v>2014316.725</v>
      </c>
      <c r="E1315" s="3">
        <f>IFERROR(__xludf.DUMMYFUNCTION("""COMPUTED_VALUE"""),3697242.091899248)</f>
        <v>3697242.092</v>
      </c>
      <c r="F1315" s="3" t="str">
        <f>IFERROR(__xludf.DUMMYFUNCTION("""COMPUTED_VALUE"""),"LDO")</f>
        <v>LDO</v>
      </c>
      <c r="G1315" s="3"/>
    </row>
    <row r="1316">
      <c r="A1316" s="3" t="str">
        <f>IFERROR(__xludf.DUMMYFUNCTION("""COMPUTED_VALUE"""),"2022-09-08T00:00:00Z")</f>
        <v>2022-09-08T00:00:00Z</v>
      </c>
      <c r="B1316" s="3">
        <f>IFERROR(__xludf.DUMMYFUNCTION("""COMPUTED_VALUE"""),1.962545)</f>
        <v>1.962545</v>
      </c>
      <c r="C1316" s="3">
        <f>IFERROR(__xludf.DUMMYFUNCTION("""COMPUTED_VALUE"""),6.11552465876259E8)</f>
        <v>611552465.9</v>
      </c>
      <c r="D1316" s="3">
        <f>IFERROR(__xludf.DUMMYFUNCTION("""COMPUTED_VALUE"""),2115179.92741096)</f>
        <v>2115179.927</v>
      </c>
      <c r="E1316" s="3">
        <f>IFERROR(__xludf.DUMMYFUNCTION("""COMPUTED_VALUE"""),4151135.790640743)</f>
        <v>4151135.791</v>
      </c>
      <c r="F1316" s="3" t="str">
        <f>IFERROR(__xludf.DUMMYFUNCTION("""COMPUTED_VALUE"""),"LDO")</f>
        <v>LDO</v>
      </c>
      <c r="G1316" s="3"/>
    </row>
    <row r="1317">
      <c r="A1317" s="3" t="str">
        <f>IFERROR(__xludf.DUMMYFUNCTION("""COMPUTED_VALUE"""),"2022-09-09T00:00:00Z")</f>
        <v>2022-09-09T00:00:00Z</v>
      </c>
      <c r="B1317" s="3">
        <f>IFERROR(__xludf.DUMMYFUNCTION("""COMPUTED_VALUE"""),1.884401)</f>
        <v>1.884401</v>
      </c>
      <c r="C1317" s="3">
        <f>IFERROR(__xludf.DUMMYFUNCTION("""COMPUTED_VALUE"""),6.1356976881385E8)</f>
        <v>613569768.8</v>
      </c>
      <c r="D1317" s="3">
        <f>IFERROR(__xludf.DUMMYFUNCTION("""COMPUTED_VALUE"""),2017302.937591076)</f>
        <v>2017302.938</v>
      </c>
      <c r="E1317" s="3">
        <f>IFERROR(__xludf.DUMMYFUNCTION("""COMPUTED_VALUE"""),3801407.672899561)</f>
        <v>3801407.673</v>
      </c>
      <c r="F1317" s="3" t="str">
        <f>IFERROR(__xludf.DUMMYFUNCTION("""COMPUTED_VALUE"""),"LDO")</f>
        <v>LDO</v>
      </c>
      <c r="G1317" s="3"/>
    </row>
    <row r="1318">
      <c r="A1318" s="3" t="str">
        <f>IFERROR(__xludf.DUMMYFUNCTION("""COMPUTED_VALUE"""),"2022-09-10T00:00:00Z")</f>
        <v>2022-09-10T00:00:00Z</v>
      </c>
      <c r="B1318" s="3">
        <f>IFERROR(__xludf.DUMMYFUNCTION("""COMPUTED_VALUE"""),2.044631)</f>
        <v>2.044631</v>
      </c>
      <c r="C1318" s="3">
        <f>IFERROR(__xludf.DUMMYFUNCTION("""COMPUTED_VALUE"""),6.15599436536011E8)</f>
        <v>615599436.5</v>
      </c>
      <c r="D1318" s="3">
        <f>IFERROR(__xludf.DUMMYFUNCTION("""COMPUTED_VALUE"""),2029667.7221609354)</f>
        <v>2029667.722</v>
      </c>
      <c r="E1318" s="3">
        <f>IFERROR(__xludf.DUMMYFUNCTION("""COMPUTED_VALUE"""),4149921.544429635)</f>
        <v>4149921.544</v>
      </c>
      <c r="F1318" s="3" t="str">
        <f>IFERROR(__xludf.DUMMYFUNCTION("""COMPUTED_VALUE"""),"LDO")</f>
        <v>LDO</v>
      </c>
      <c r="G1318" s="3"/>
    </row>
    <row r="1319">
      <c r="A1319" s="3" t="str">
        <f>IFERROR(__xludf.DUMMYFUNCTION("""COMPUTED_VALUE"""),"2022-09-11T00:00:00Z")</f>
        <v>2022-09-11T00:00:00Z</v>
      </c>
      <c r="B1319" s="3">
        <f>IFERROR(__xludf.DUMMYFUNCTION("""COMPUTED_VALUE"""),2.119407)</f>
        <v>2.119407</v>
      </c>
      <c r="C1319" s="3">
        <f>IFERROR(__xludf.DUMMYFUNCTION("""COMPUTED_VALUE"""),6.17601435136476E8)</f>
        <v>617601435.1</v>
      </c>
      <c r="D1319" s="3">
        <f>IFERROR(__xludf.DUMMYFUNCTION("""COMPUTED_VALUE"""),2001998.6004650593)</f>
        <v>2001998.6</v>
      </c>
      <c r="E1319" s="3">
        <f>IFERROR(__xludf.DUMMYFUNCTION("""COMPUTED_VALUE"""),4243049.84781585)</f>
        <v>4243049.848</v>
      </c>
      <c r="F1319" s="3" t="str">
        <f>IFERROR(__xludf.DUMMYFUNCTION("""COMPUTED_VALUE"""),"LDO")</f>
        <v>LDO</v>
      </c>
      <c r="G1319" s="3"/>
    </row>
    <row r="1320">
      <c r="A1320" s="3" t="str">
        <f>IFERROR(__xludf.DUMMYFUNCTION("""COMPUTED_VALUE"""),"2022-09-12T00:00:00Z")</f>
        <v>2022-09-12T00:00:00Z</v>
      </c>
      <c r="B1320" s="3">
        <f>IFERROR(__xludf.DUMMYFUNCTION("""COMPUTED_VALUE"""),2.088062)</f>
        <v>2.088062</v>
      </c>
      <c r="C1320" s="3">
        <f>IFERROR(__xludf.DUMMYFUNCTION("""COMPUTED_VALUE"""),6.19618294808205E8)</f>
        <v>619618294.8</v>
      </c>
      <c r="D1320" s="3">
        <f>IFERROR(__xludf.DUMMYFUNCTION("""COMPUTED_VALUE"""),2016859.6717289686)</f>
        <v>2016859.672</v>
      </c>
      <c r="E1320" s="3">
        <f>IFERROR(__xludf.DUMMYFUNCTION("""COMPUTED_VALUE"""),4211328.039869733)</f>
        <v>4211328.04</v>
      </c>
      <c r="F1320" s="3" t="str">
        <f>IFERROR(__xludf.DUMMYFUNCTION("""COMPUTED_VALUE"""),"LDO")</f>
        <v>LDO</v>
      </c>
      <c r="G1320" s="3"/>
    </row>
    <row r="1321">
      <c r="A1321" s="3" t="str">
        <f>IFERROR(__xludf.DUMMYFUNCTION("""COMPUTED_VALUE"""),"2022-09-13T00:00:00Z")</f>
        <v>2022-09-13T00:00:00Z</v>
      </c>
      <c r="B1321" s="3">
        <f>IFERROR(__xludf.DUMMYFUNCTION("""COMPUTED_VALUE"""),1.981231)</f>
        <v>1.981231</v>
      </c>
      <c r="C1321" s="3">
        <f>IFERROR(__xludf.DUMMYFUNCTION("""COMPUTED_VALUE"""),6.20130651831969E8)</f>
        <v>620130651.8</v>
      </c>
      <c r="D1321" s="3">
        <f>IFERROR(__xludf.DUMMYFUNCTION("""COMPUTED_VALUE"""),512357.02376401424)</f>
        <v>512357.0238</v>
      </c>
      <c r="E1321" s="3">
        <f>IFERROR(__xludf.DUMMYFUNCTION("""COMPUTED_VALUE"""),1015097.6185490016)</f>
        <v>1015097.619</v>
      </c>
      <c r="F1321" s="3" t="str">
        <f>IFERROR(__xludf.DUMMYFUNCTION("""COMPUTED_VALUE"""),"LDO")</f>
        <v>LDO</v>
      </c>
      <c r="G1321" s="3"/>
    </row>
    <row r="1322">
      <c r="A1322" s="3" t="str">
        <f>IFERROR(__xludf.DUMMYFUNCTION("""COMPUTED_VALUE"""),"2022-09-14T00:00:00Z")</f>
        <v>2022-09-14T00:00:00Z</v>
      </c>
      <c r="B1322" s="3">
        <f>IFERROR(__xludf.DUMMYFUNCTION("""COMPUTED_VALUE"""),1.790695)</f>
        <v>1.790695</v>
      </c>
      <c r="C1322" s="3">
        <f>IFERROR(__xludf.DUMMYFUNCTION("""COMPUTED_VALUE"""),6.22147791461086E8)</f>
        <v>622147791.5</v>
      </c>
      <c r="D1322" s="3">
        <f>IFERROR(__xludf.DUMMYFUNCTION("""COMPUTED_VALUE"""),2017139.629117012)</f>
        <v>2017139.629</v>
      </c>
      <c r="E1322" s="3">
        <f>IFERROR(__xludf.DUMMYFUNCTION("""COMPUTED_VALUE"""),3612081.8481616876)</f>
        <v>3612081.848</v>
      </c>
      <c r="F1322" s="3" t="str">
        <f>IFERROR(__xludf.DUMMYFUNCTION("""COMPUTED_VALUE"""),"LDO")</f>
        <v>LDO</v>
      </c>
      <c r="G1322" s="3"/>
    </row>
    <row r="1323">
      <c r="A1323" s="3" t="str">
        <f>IFERROR(__xludf.DUMMYFUNCTION("""COMPUTED_VALUE"""),"2022-09-15T00:00:00Z")</f>
        <v>2022-09-15T00:00:00Z</v>
      </c>
      <c r="B1323" s="3">
        <f>IFERROR(__xludf.DUMMYFUNCTION("""COMPUTED_VALUE"""),1.810638)</f>
        <v>1.810638</v>
      </c>
      <c r="C1323" s="3">
        <f>IFERROR(__xludf.DUMMYFUNCTION("""COMPUTED_VALUE"""),6.24164581143469E8)</f>
        <v>624164581.1</v>
      </c>
      <c r="D1323" s="3">
        <f>IFERROR(__xludf.DUMMYFUNCTION("""COMPUTED_VALUE"""),2016789.6823829412)</f>
        <v>2016789.682</v>
      </c>
      <c r="E1323" s="3">
        <f>IFERROR(__xludf.DUMMYFUNCTION("""COMPUTED_VALUE"""),3651676.0369304838)</f>
        <v>3651676.037</v>
      </c>
      <c r="F1323" s="3" t="str">
        <f>IFERROR(__xludf.DUMMYFUNCTION("""COMPUTED_VALUE"""),"LDO")</f>
        <v>LDO</v>
      </c>
      <c r="G1323" s="3"/>
    </row>
    <row r="1324">
      <c r="A1324" s="3" t="str">
        <f>IFERROR(__xludf.DUMMYFUNCTION("""COMPUTED_VALUE"""),"2022-09-16T00:00:00Z")</f>
        <v>2022-09-16T00:00:00Z</v>
      </c>
      <c r="B1324" s="3">
        <f>IFERROR(__xludf.DUMMYFUNCTION("""COMPUTED_VALUE"""),1.700788)</f>
        <v>1.700788</v>
      </c>
      <c r="C1324" s="3">
        <f>IFERROR(__xludf.DUMMYFUNCTION("""COMPUTED_VALUE"""),6.2617859458177E8)</f>
        <v>626178594.6</v>
      </c>
      <c r="D1324" s="3">
        <f>IFERROR(__xludf.DUMMYFUNCTION("""COMPUTED_VALUE"""),2014013.4383009672)</f>
        <v>2014013.438</v>
      </c>
      <c r="E1324" s="3">
        <f>IFERROR(__xludf.DUMMYFUNCTION("""COMPUTED_VALUE"""),3425409.887701025)</f>
        <v>3425409.888</v>
      </c>
      <c r="F1324" s="3" t="str">
        <f>IFERROR(__xludf.DUMMYFUNCTION("""COMPUTED_VALUE"""),"LDO")</f>
        <v>LDO</v>
      </c>
      <c r="G1324" s="3"/>
    </row>
    <row r="1325">
      <c r="A1325" s="3" t="str">
        <f>IFERROR(__xludf.DUMMYFUNCTION("""COMPUTED_VALUE"""),"2022-09-17T00:00:00Z")</f>
        <v>2022-09-17T00:00:00Z</v>
      </c>
      <c r="B1325" s="3">
        <f>IFERROR(__xludf.DUMMYFUNCTION("""COMPUTED_VALUE"""),1.778309)</f>
        <v>1.778309</v>
      </c>
      <c r="C1325" s="3">
        <f>IFERROR(__xludf.DUMMYFUNCTION("""COMPUTED_VALUE"""),6.28225363034288E8)</f>
        <v>628225363</v>
      </c>
      <c r="D1325" s="3">
        <f>IFERROR(__xludf.DUMMYFUNCTION("""COMPUTED_VALUE"""),2046768.4525181055)</f>
        <v>2046768.453</v>
      </c>
      <c r="E1325" s="3">
        <f>IFERROR(__xludf.DUMMYFUNCTION("""COMPUTED_VALUE"""),3639786.7600290193)</f>
        <v>3639786.76</v>
      </c>
      <c r="F1325" s="3" t="str">
        <f>IFERROR(__xludf.DUMMYFUNCTION("""COMPUTED_VALUE"""),"LDO")</f>
        <v>LDO</v>
      </c>
      <c r="G1325" s="3"/>
    </row>
    <row r="1326">
      <c r="A1326" s="3" t="str">
        <f>IFERROR(__xludf.DUMMYFUNCTION("""COMPUTED_VALUE"""),"2022-09-18T00:00:00Z")</f>
        <v>2022-09-18T00:00:00Z</v>
      </c>
      <c r="B1326" s="3">
        <f>IFERROR(__xludf.DUMMYFUNCTION("""COMPUTED_VALUE"""),1.900844)</f>
        <v>1.900844</v>
      </c>
      <c r="C1326" s="3">
        <f>IFERROR(__xludf.DUMMYFUNCTION("""COMPUTED_VALUE"""),6.30223978816332E8)</f>
        <v>630223978.8</v>
      </c>
      <c r="D1326" s="3">
        <f>IFERROR(__xludf.DUMMYFUNCTION("""COMPUTED_VALUE"""),1998615.7820439339)</f>
        <v>1998615.782</v>
      </c>
      <c r="E1326" s="3">
        <f>IFERROR(__xludf.DUMMYFUNCTION("""COMPUTED_VALUE"""),3799056.817603519)</f>
        <v>3799056.818</v>
      </c>
      <c r="F1326" s="3" t="str">
        <f>IFERROR(__xludf.DUMMYFUNCTION("""COMPUTED_VALUE"""),"LDO")</f>
        <v>LDO</v>
      </c>
      <c r="G1326" s="3"/>
    </row>
    <row r="1327">
      <c r="A1327" s="3" t="str">
        <f>IFERROR(__xludf.DUMMYFUNCTION("""COMPUTED_VALUE"""),"2022-09-19T00:00:00Z")</f>
        <v>2022-09-19T00:00:00Z</v>
      </c>
      <c r="B1327" s="3">
        <f>IFERROR(__xludf.DUMMYFUNCTION("""COMPUTED_VALUE"""),1.697008)</f>
        <v>1.697008</v>
      </c>
      <c r="C1327" s="3">
        <f>IFERROR(__xludf.DUMMYFUNCTION("""COMPUTED_VALUE"""),6.32263703818952E8)</f>
        <v>632263703.8</v>
      </c>
      <c r="D1327" s="3">
        <f>IFERROR(__xludf.DUMMYFUNCTION("""COMPUTED_VALUE"""),2039725.0026199818)</f>
        <v>2039725.003</v>
      </c>
      <c r="E1327" s="3">
        <f>IFERROR(__xludf.DUMMYFUNCTION("""COMPUTED_VALUE"""),3461429.6472461303)</f>
        <v>3461429.647</v>
      </c>
      <c r="F1327" s="3" t="str">
        <f>IFERROR(__xludf.DUMMYFUNCTION("""COMPUTED_VALUE"""),"LDO")</f>
        <v>LDO</v>
      </c>
      <c r="G1327" s="3"/>
    </row>
    <row r="1328">
      <c r="A1328" s="3" t="str">
        <f>IFERROR(__xludf.DUMMYFUNCTION("""COMPUTED_VALUE"""),"2022-09-20T00:00:00Z")</f>
        <v>2022-09-20T00:00:00Z</v>
      </c>
      <c r="B1328" s="3">
        <f>IFERROR(__xludf.DUMMYFUNCTION("""COMPUTED_VALUE"""),1.810499)</f>
        <v>1.810499</v>
      </c>
      <c r="C1328" s="3">
        <f>IFERROR(__xludf.DUMMYFUNCTION("""COMPUTED_VALUE"""),6.34265679089634E8)</f>
        <v>634265679.1</v>
      </c>
      <c r="D1328" s="3">
        <f>IFERROR(__xludf.DUMMYFUNCTION("""COMPUTED_VALUE"""),2001975.2706819773)</f>
        <v>2001975.271</v>
      </c>
      <c r="E1328" s="3">
        <f>IFERROR(__xludf.DUMMYFUNCTION("""COMPUTED_VALUE"""),3624574.2255944493)</f>
        <v>3624574.226</v>
      </c>
      <c r="F1328" s="3" t="str">
        <f>IFERROR(__xludf.DUMMYFUNCTION("""COMPUTED_VALUE"""),"LDO")</f>
        <v>LDO</v>
      </c>
      <c r="G1328" s="3"/>
    </row>
    <row r="1329">
      <c r="A1329" s="3" t="str">
        <f>IFERROR(__xludf.DUMMYFUNCTION("""COMPUTED_VALUE"""),"2022-09-21T00:00:00Z")</f>
        <v>2022-09-21T00:00:00Z</v>
      </c>
      <c r="B1329" s="3">
        <f>IFERROR(__xludf.DUMMYFUNCTION("""COMPUTED_VALUE"""),1.79194)</f>
        <v>1.79194</v>
      </c>
      <c r="C1329" s="3">
        <f>IFERROR(__xludf.DUMMYFUNCTION("""COMPUTED_VALUE"""),6.36282772059186E8)</f>
        <v>636282772.1</v>
      </c>
      <c r="D1329" s="3">
        <f>IFERROR(__xludf.DUMMYFUNCTION("""COMPUTED_VALUE"""),2017092.96955204)</f>
        <v>2017092.97</v>
      </c>
      <c r="E1329" s="3">
        <f>IFERROR(__xludf.DUMMYFUNCTION("""COMPUTED_VALUE"""),3614509.575859083)</f>
        <v>3614509.576</v>
      </c>
      <c r="F1329" s="3" t="str">
        <f>IFERROR(__xludf.DUMMYFUNCTION("""COMPUTED_VALUE"""),"LDO")</f>
        <v>LDO</v>
      </c>
      <c r="G1329" s="3"/>
    </row>
    <row r="1330">
      <c r="A1330" s="3" t="str">
        <f>IFERROR(__xludf.DUMMYFUNCTION("""COMPUTED_VALUE"""),"2022-09-22T00:00:00Z")</f>
        <v>2022-09-22T00:00:00Z</v>
      </c>
      <c r="B1330" s="3">
        <f>IFERROR(__xludf.DUMMYFUNCTION("""COMPUTED_VALUE"""),1.819692)</f>
        <v>1.819692</v>
      </c>
      <c r="C1330" s="3">
        <f>IFERROR(__xludf.DUMMYFUNCTION("""COMPUTED_VALUE"""),6.38298185284419E8)</f>
        <v>638298185.3</v>
      </c>
      <c r="D1330" s="3">
        <f>IFERROR(__xludf.DUMMYFUNCTION("""COMPUTED_VALUE"""),2015413.2252329588)</f>
        <v>2015413.225</v>
      </c>
      <c r="E1330" s="3">
        <f>IFERROR(__xludf.DUMMYFUNCTION("""COMPUTED_VALUE"""),3667431.3226506133)</f>
        <v>3667431.323</v>
      </c>
      <c r="F1330" s="3" t="str">
        <f>IFERROR(__xludf.DUMMYFUNCTION("""COMPUTED_VALUE"""),"LDO")</f>
        <v>LDO</v>
      </c>
      <c r="G1330" s="3"/>
    </row>
    <row r="1331">
      <c r="A1331" s="3" t="str">
        <f>IFERROR(__xludf.DUMMYFUNCTION("""COMPUTED_VALUE"""),"2022-09-23T00:00:00Z")</f>
        <v>2022-09-23T00:00:00Z</v>
      </c>
      <c r="B1331" s="3">
        <f>IFERROR(__xludf.DUMMYFUNCTION("""COMPUTED_VALUE"""),1.795037)</f>
        <v>1.795037</v>
      </c>
      <c r="C1331" s="3">
        <f>IFERROR(__xludf.DUMMYFUNCTION("""COMPUTED_VALUE"""),6.40343553950005E8)</f>
        <v>640343554</v>
      </c>
      <c r="D1331" s="3">
        <f>IFERROR(__xludf.DUMMYFUNCTION("""COMPUTED_VALUE"""),2045368.665586114)</f>
        <v>2045368.666</v>
      </c>
      <c r="E1331" s="3">
        <f>IFERROR(__xludf.DUMMYFUNCTION("""COMPUTED_VALUE"""),3671512.4333677012)</f>
        <v>3671512.433</v>
      </c>
      <c r="F1331" s="3" t="str">
        <f>IFERROR(__xludf.DUMMYFUNCTION("""COMPUTED_VALUE"""),"LDO")</f>
        <v>LDO</v>
      </c>
      <c r="G1331" s="3"/>
    </row>
    <row r="1332">
      <c r="A1332" s="3" t="str">
        <f>IFERROR(__xludf.DUMMYFUNCTION("""COMPUTED_VALUE"""),"2022-09-24T00:00:00Z")</f>
        <v>2022-09-24T00:00:00Z</v>
      </c>
      <c r="B1332" s="3">
        <f>IFERROR(__xludf.DUMMYFUNCTION("""COMPUTED_VALUE"""),1.753455)</f>
        <v>1.753455</v>
      </c>
      <c r="C1332" s="3">
        <f>IFERROR(__xludf.DUMMYFUNCTION("""COMPUTED_VALUE"""),6.4243097143659E8)</f>
        <v>642430971.4</v>
      </c>
      <c r="D1332" s="3">
        <f>IFERROR(__xludf.DUMMYFUNCTION("""COMPUTED_VALUE"""),2087417.4865849018)</f>
        <v>2087417.487</v>
      </c>
      <c r="E1332" s="3">
        <f>IFERROR(__xludf.DUMMYFUNCTION("""COMPUTED_VALUE"""),3660192.628939729)</f>
        <v>3660192.629</v>
      </c>
      <c r="F1332" s="3" t="str">
        <f>IFERROR(__xludf.DUMMYFUNCTION("""COMPUTED_VALUE"""),"LDO")</f>
        <v>LDO</v>
      </c>
      <c r="G1332" s="3"/>
    </row>
    <row r="1333">
      <c r="A1333" s="3" t="str">
        <f>IFERROR(__xludf.DUMMYFUNCTION("""COMPUTED_VALUE"""),"2022-09-25T00:00:00Z")</f>
        <v>2022-09-25T00:00:00Z</v>
      </c>
      <c r="B1333" s="3">
        <f>IFERROR(__xludf.DUMMYFUNCTION("""COMPUTED_VALUE"""),1.689893)</f>
        <v>1.689893</v>
      </c>
      <c r="C1333" s="3">
        <f>IFERROR(__xludf.DUMMYFUNCTION("""COMPUTED_VALUE"""),6.44445264832277E8)</f>
        <v>644445264.8</v>
      </c>
      <c r="D1333" s="3">
        <f>IFERROR(__xludf.DUMMYFUNCTION("""COMPUTED_VALUE"""),2014293.3956871033)</f>
        <v>2014293.396</v>
      </c>
      <c r="E1333" s="3">
        <f>IFERROR(__xludf.DUMMYFUNCTION("""COMPUTED_VALUE"""),3403940.3093178663)</f>
        <v>3403940.309</v>
      </c>
      <c r="F1333" s="3" t="str">
        <f>IFERROR(__xludf.DUMMYFUNCTION("""COMPUTED_VALUE"""),"LDO")</f>
        <v>LDO</v>
      </c>
      <c r="G1333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IFERROR(__xludf.DUMMYFUNCTION("QUERY({ldo_price!A2:B1000,ARRAYFORMULA(IFERROR(VLOOKUP(ldo_price!A2:A1000,ldo_supply!$A:B,2,0),""""))},""SELECT *"",0)"),"2022-05-01T00:00:00Z")</f>
        <v>2022-05-01T00:00:00Z</v>
      </c>
      <c r="B2" s="3">
        <f>IFERROR(__xludf.DUMMYFUNCTION("""COMPUTED_VALUE"""),2.860904)</f>
        <v>2.860904</v>
      </c>
      <c r="C2" s="3">
        <f>IFERROR(__xludf.DUMMYFUNCTION("""COMPUTED_VALUE"""),3.23667143120765E8)</f>
        <v>323667143.1</v>
      </c>
      <c r="D2" s="1">
        <v>0.0</v>
      </c>
      <c r="E2" s="1">
        <v>0.0</v>
      </c>
      <c r="F2" s="3" t="str">
        <f t="shared" ref="F2:F1000" si="1">IF(ISBLANK(A2),"","LDO")</f>
        <v>LDO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IFERROR(__xludf.DUMMYFUNCTION("""COMPUTED_VALUE"""),2.842609)</f>
        <v>2.842609</v>
      </c>
      <c r="C3" s="3">
        <f>IFERROR(__xludf.DUMMYFUNCTION("""COMPUTED_VALUE"""),3.25398035982286E8)</f>
        <v>325398036</v>
      </c>
      <c r="D3" s="3">
        <f t="shared" ref="D3:D145" si="2">C3-C2</f>
        <v>1730892.862</v>
      </c>
      <c r="E3" s="3">
        <f t="shared" ref="E3:E145" si="3">B3*D3</f>
        <v>4920251.626</v>
      </c>
      <c r="F3" s="3" t="str">
        <f t="shared" si="1"/>
        <v>LDO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IFERROR(__xludf.DUMMYFUNCTION("""COMPUTED_VALUE"""),2.82277)</f>
        <v>2.82277</v>
      </c>
      <c r="C4" s="3">
        <f>IFERROR(__xludf.DUMMYFUNCTION("""COMPUTED_VALUE"""),3.27140111453602E8)</f>
        <v>327140111.5</v>
      </c>
      <c r="D4" s="3">
        <f t="shared" si="2"/>
        <v>1742075.471</v>
      </c>
      <c r="E4" s="3">
        <f t="shared" si="3"/>
        <v>4917478.378</v>
      </c>
      <c r="F4" s="3" t="str">
        <f t="shared" si="1"/>
        <v>LDO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IFERROR(__xludf.DUMMYFUNCTION("""COMPUTED_VALUE"""),2.739996)</f>
        <v>2.739996</v>
      </c>
      <c r="C5" s="3">
        <f>IFERROR(__xludf.DUMMYFUNCTION("""COMPUTED_VALUE"""),3.28886561437474E8)</f>
        <v>328886561.4</v>
      </c>
      <c r="D5" s="3">
        <f t="shared" si="2"/>
        <v>1746449.984</v>
      </c>
      <c r="E5" s="3">
        <f t="shared" si="3"/>
        <v>4785265.97</v>
      </c>
      <c r="F5" s="3" t="str">
        <f t="shared" si="1"/>
        <v>LDO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IFERROR(__xludf.DUMMYFUNCTION("""COMPUTED_VALUE"""),3.085561)</f>
        <v>3.085561</v>
      </c>
      <c r="C6" s="3">
        <f>IFERROR(__xludf.DUMMYFUNCTION("""COMPUTED_VALUE"""),3.30810316501725E8)</f>
        <v>330810316.5</v>
      </c>
      <c r="D6" s="3">
        <f t="shared" si="2"/>
        <v>1923755.064</v>
      </c>
      <c r="E6" s="3">
        <f t="shared" si="3"/>
        <v>5935863.6</v>
      </c>
      <c r="F6" s="3" t="str">
        <f t="shared" si="1"/>
        <v>LDO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IFERROR(__xludf.DUMMYFUNCTION("""COMPUTED_VALUE"""),2.80614)</f>
        <v>2.80614</v>
      </c>
      <c r="C7" s="3">
        <f>IFERROR(__xludf.DUMMYFUNCTION("""COMPUTED_VALUE"""),3.33581977275003E8)</f>
        <v>333581977.3</v>
      </c>
      <c r="D7" s="3">
        <f t="shared" si="2"/>
        <v>2771660.773</v>
      </c>
      <c r="E7" s="3">
        <f t="shared" si="3"/>
        <v>7777668.162</v>
      </c>
      <c r="F7" s="3" t="str">
        <f t="shared" si="1"/>
        <v>LDO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IFERROR(__xludf.DUMMYFUNCTION("""COMPUTED_VALUE"""),2.74319)</f>
        <v>2.74319</v>
      </c>
      <c r="C8" s="3">
        <f>IFERROR(__xludf.DUMMYFUNCTION("""COMPUTED_VALUE"""),3.35566914514167E8)</f>
        <v>335566914.5</v>
      </c>
      <c r="D8" s="3">
        <f t="shared" si="2"/>
        <v>1984937.239</v>
      </c>
      <c r="E8" s="3">
        <f t="shared" si="3"/>
        <v>5445059.985</v>
      </c>
      <c r="F8" s="3" t="str">
        <f t="shared" si="1"/>
        <v>LDO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IFERROR(__xludf.DUMMYFUNCTION("""COMPUTED_VALUE"""),2.762656)</f>
        <v>2.762656</v>
      </c>
      <c r="C9" s="3">
        <f>IFERROR(__xludf.DUMMYFUNCTION("""COMPUTED_VALUE"""),3.37571704306176E8)</f>
        <v>337571704.3</v>
      </c>
      <c r="D9" s="3">
        <f t="shared" si="2"/>
        <v>2004789.792</v>
      </c>
      <c r="E9" s="3">
        <f t="shared" si="3"/>
        <v>5538544.548</v>
      </c>
      <c r="F9" s="3" t="str">
        <f t="shared" si="1"/>
        <v>LDO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IFERROR(__xludf.DUMMYFUNCTION("""COMPUTED_VALUE"""),2.787227)</f>
        <v>2.787227</v>
      </c>
      <c r="C10" s="3">
        <f>IFERROR(__xludf.DUMMYFUNCTION("""COMPUTED_VALUE"""),3.4139207134602E8)</f>
        <v>341392071.3</v>
      </c>
      <c r="D10" s="3">
        <f t="shared" si="2"/>
        <v>3820367.04</v>
      </c>
      <c r="E10" s="3">
        <f t="shared" si="3"/>
        <v>10648230.16</v>
      </c>
      <c r="F10" s="3" t="str">
        <f t="shared" si="1"/>
        <v>LDO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IFERROR(__xludf.DUMMYFUNCTION("""COMPUTED_VALUE"""),1.991929)</f>
        <v>1.991929</v>
      </c>
      <c r="C11" s="3">
        <f>IFERROR(__xludf.DUMMYFUNCTION("""COMPUTED_VALUE"""),3.43402802113043E8)</f>
        <v>343402802.1</v>
      </c>
      <c r="D11" s="3">
        <f t="shared" si="2"/>
        <v>2010730.767</v>
      </c>
      <c r="E11" s="3">
        <f t="shared" si="3"/>
        <v>4005232.926</v>
      </c>
      <c r="F11" s="3" t="str">
        <f t="shared" si="1"/>
        <v>LDO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IFERROR(__xludf.DUMMYFUNCTION("""COMPUTED_VALUE"""),1.964434)</f>
        <v>1.964434</v>
      </c>
      <c r="C12" s="3">
        <f>IFERROR(__xludf.DUMMYFUNCTION("""COMPUTED_VALUE"""),3.45225666768197E8)</f>
        <v>345225666.8</v>
      </c>
      <c r="D12" s="3">
        <f t="shared" si="2"/>
        <v>1822864.655</v>
      </c>
      <c r="E12" s="3">
        <f t="shared" si="3"/>
        <v>3580897.306</v>
      </c>
      <c r="F12" s="3" t="str">
        <f t="shared" si="1"/>
        <v>LDO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IFERROR(__xludf.DUMMYFUNCTION("""COMPUTED_VALUE"""),1.560975)</f>
        <v>1.560975</v>
      </c>
      <c r="C13" s="3">
        <f>IFERROR(__xludf.DUMMYFUNCTION("""COMPUTED_VALUE"""),3.48427636567224E8)</f>
        <v>348427636.6</v>
      </c>
      <c r="D13" s="3">
        <f t="shared" si="2"/>
        <v>3201969.799</v>
      </c>
      <c r="E13" s="3">
        <f t="shared" si="3"/>
        <v>4998194.807</v>
      </c>
      <c r="F13" s="3" t="str">
        <f t="shared" si="1"/>
        <v>LDO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IFERROR(__xludf.DUMMYFUNCTION("""COMPUTED_VALUE"""),1.406001)</f>
        <v>1.406001</v>
      </c>
      <c r="C14" s="3">
        <f>IFERROR(__xludf.DUMMYFUNCTION("""COMPUTED_VALUE"""),3.5044231741231E8)</f>
        <v>350442317.4</v>
      </c>
      <c r="D14" s="3">
        <f t="shared" si="2"/>
        <v>2014680.845</v>
      </c>
      <c r="E14" s="3">
        <f t="shared" si="3"/>
        <v>2832643.283</v>
      </c>
      <c r="F14" s="3" t="str">
        <f t="shared" si="1"/>
        <v>LDO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IFERROR(__xludf.DUMMYFUNCTION("""COMPUTED_VALUE"""),1.460313)</f>
        <v>1.460313</v>
      </c>
      <c r="C15" s="3">
        <f>IFERROR(__xludf.DUMMYFUNCTION("""COMPUTED_VALUE"""),3.52459564016687E8)</f>
        <v>352459564</v>
      </c>
      <c r="D15" s="3">
        <f t="shared" si="2"/>
        <v>2017246.604</v>
      </c>
      <c r="E15" s="3">
        <f t="shared" si="3"/>
        <v>2945811.441</v>
      </c>
      <c r="F15" s="3" t="str">
        <f t="shared" si="1"/>
        <v>LDO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IFERROR(__xludf.DUMMYFUNCTION("""COMPUTED_VALUE"""),1.501592)</f>
        <v>1.501592</v>
      </c>
      <c r="C16" s="3">
        <f>IFERROR(__xludf.DUMMYFUNCTION("""COMPUTED_VALUE"""),3.54959106881959E8)</f>
        <v>354959106.9</v>
      </c>
      <c r="D16" s="3">
        <f t="shared" si="2"/>
        <v>2499542.865</v>
      </c>
      <c r="E16" s="3">
        <f t="shared" si="3"/>
        <v>3753293.57</v>
      </c>
      <c r="F16" s="3" t="str">
        <f t="shared" si="1"/>
        <v>LDO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IFERROR(__xludf.DUMMYFUNCTION("""COMPUTED_VALUE"""),1.473121)</f>
        <v>1.473121</v>
      </c>
      <c r="C17" s="3">
        <f>IFERROR(__xludf.DUMMYFUNCTION("""COMPUTED_VALUE"""),3.57658354316487E8)</f>
        <v>357658354.3</v>
      </c>
      <c r="D17" s="3">
        <f t="shared" si="2"/>
        <v>2699247.435</v>
      </c>
      <c r="E17" s="3">
        <f t="shared" si="3"/>
        <v>3976318.08</v>
      </c>
      <c r="F17" s="3" t="str">
        <f t="shared" si="1"/>
        <v>LDO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IFERROR(__xludf.DUMMYFUNCTION("""COMPUTED_VALUE"""),1.445745)</f>
        <v>1.445745</v>
      </c>
      <c r="C18" s="3">
        <f>IFERROR(__xludf.DUMMYFUNCTION("""COMPUTED_VALUE"""),3.59687636664445E8)</f>
        <v>359687636.7</v>
      </c>
      <c r="D18" s="3">
        <f t="shared" si="2"/>
        <v>2029282.348</v>
      </c>
      <c r="E18" s="3">
        <f t="shared" si="3"/>
        <v>2933824.808</v>
      </c>
      <c r="F18" s="3" t="str">
        <f t="shared" si="1"/>
        <v>LDO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IFERROR(__xludf.DUMMYFUNCTION("""COMPUTED_VALUE"""),1.537922)</f>
        <v>1.537922</v>
      </c>
      <c r="C19" s="3">
        <f>IFERROR(__xludf.DUMMYFUNCTION("""COMPUTED_VALUE"""),3.61672823841227E8)</f>
        <v>361672823.8</v>
      </c>
      <c r="D19" s="3">
        <f t="shared" si="2"/>
        <v>1985187.177</v>
      </c>
      <c r="E19" s="3">
        <f t="shared" si="3"/>
        <v>3053063.033</v>
      </c>
      <c r="F19" s="3" t="str">
        <f t="shared" si="1"/>
        <v>LDO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IFERROR(__xludf.DUMMYFUNCTION("""COMPUTED_VALUE"""),1.379683)</f>
        <v>1.379683</v>
      </c>
      <c r="C20" s="3">
        <f>IFERROR(__xludf.DUMMYFUNCTION("""COMPUTED_VALUE"""),3.6422477697328E8)</f>
        <v>364224777</v>
      </c>
      <c r="D20" s="3">
        <f t="shared" si="2"/>
        <v>2551953.132</v>
      </c>
      <c r="E20" s="3">
        <f t="shared" si="3"/>
        <v>3520886.353</v>
      </c>
      <c r="F20" s="3" t="str">
        <f t="shared" si="1"/>
        <v>LDO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IFERROR(__xludf.DUMMYFUNCTION("""COMPUTED_VALUE"""),1.418789)</f>
        <v>1.418789</v>
      </c>
      <c r="C21" s="3">
        <f>IFERROR(__xludf.DUMMYFUNCTION("""COMPUTED_VALUE"""),3.68216096518682E8)</f>
        <v>368216096.5</v>
      </c>
      <c r="D21" s="3">
        <f t="shared" si="2"/>
        <v>3991319.545</v>
      </c>
      <c r="E21" s="3">
        <f t="shared" si="3"/>
        <v>5662840.267</v>
      </c>
      <c r="F21" s="3" t="str">
        <f t="shared" si="1"/>
        <v>LDO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IFERROR(__xludf.DUMMYFUNCTION("""COMPUTED_VALUE"""),1.320484)</f>
        <v>1.320484</v>
      </c>
      <c r="C22" s="3">
        <f>IFERROR(__xludf.DUMMYFUNCTION("""COMPUTED_VALUE"""),3.70220011593175E8)</f>
        <v>370220011.6</v>
      </c>
      <c r="D22" s="3">
        <f t="shared" si="2"/>
        <v>2003915.074</v>
      </c>
      <c r="E22" s="3">
        <f t="shared" si="3"/>
        <v>2646137.793</v>
      </c>
      <c r="F22" s="3" t="str">
        <f t="shared" si="1"/>
        <v>LDO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IFERROR(__xludf.DUMMYFUNCTION("""COMPUTED_VALUE"""),1.319334)</f>
        <v>1.319334</v>
      </c>
      <c r="C23" s="3">
        <f>IFERROR(__xludf.DUMMYFUNCTION("""COMPUTED_VALUE"""),3.72285401488625E8)</f>
        <v>372285401.5</v>
      </c>
      <c r="D23" s="3">
        <f t="shared" si="2"/>
        <v>2065389.895</v>
      </c>
      <c r="E23" s="3">
        <f t="shared" si="3"/>
        <v>2724939.112</v>
      </c>
      <c r="F23" s="3" t="str">
        <f t="shared" si="1"/>
        <v>LDO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IFERROR(__xludf.DUMMYFUNCTION("""COMPUTED_VALUE"""),1.324456)</f>
        <v>1.324456</v>
      </c>
      <c r="C24" s="3">
        <f>IFERROR(__xludf.DUMMYFUNCTION("""COMPUTED_VALUE"""),3.74313692753636E8)</f>
        <v>374313692.8</v>
      </c>
      <c r="D24" s="3">
        <f t="shared" si="2"/>
        <v>2028291.265</v>
      </c>
      <c r="E24" s="3">
        <f t="shared" si="3"/>
        <v>2686382.536</v>
      </c>
      <c r="F24" s="3" t="str">
        <f t="shared" si="1"/>
        <v>LDO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IFERROR(__xludf.DUMMYFUNCTION("""COMPUTED_VALUE"""),1.169524)</f>
        <v>1.169524</v>
      </c>
      <c r="C25" s="3">
        <f>IFERROR(__xludf.DUMMYFUNCTION("""COMPUTED_VALUE"""),3.76316694534736E8)</f>
        <v>376316694.5</v>
      </c>
      <c r="D25" s="3">
        <f t="shared" si="2"/>
        <v>2003001.781</v>
      </c>
      <c r="E25" s="3">
        <f t="shared" si="3"/>
        <v>2342558.655</v>
      </c>
      <c r="F25" s="3" t="str">
        <f t="shared" si="1"/>
        <v>LDO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IFERROR(__xludf.DUMMYFUNCTION("""COMPUTED_VALUE"""),1.099717)</f>
        <v>1.099717</v>
      </c>
      <c r="C26" s="3">
        <f>IFERROR(__xludf.DUMMYFUNCTION("""COMPUTED_VALUE"""),3.78332294398226E8)</f>
        <v>378332294.4</v>
      </c>
      <c r="D26" s="3">
        <f t="shared" si="2"/>
        <v>2015599.863</v>
      </c>
      <c r="E26" s="3">
        <f t="shared" si="3"/>
        <v>2216589.435</v>
      </c>
      <c r="F26" s="3" t="str">
        <f t="shared" si="1"/>
        <v>LDO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IFERROR(__xludf.DUMMYFUNCTION("""COMPUTED_VALUE"""),1.086791)</f>
        <v>1.086791</v>
      </c>
      <c r="C27" s="3">
        <f>IFERROR(__xludf.DUMMYFUNCTION("""COMPUTED_VALUE"""),3.80346611123695E8)</f>
        <v>380346611.1</v>
      </c>
      <c r="D27" s="3">
        <f t="shared" si="2"/>
        <v>2014316.725</v>
      </c>
      <c r="E27" s="3">
        <f t="shared" si="3"/>
        <v>2189141.288</v>
      </c>
      <c r="F27" s="3" t="str">
        <f t="shared" si="1"/>
        <v>LDO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IFERROR(__xludf.DUMMYFUNCTION("""COMPUTED_VALUE"""),1.001103)</f>
        <v>1.001103</v>
      </c>
      <c r="C28" s="3">
        <f>IFERROR(__xludf.DUMMYFUNCTION("""COMPUTED_VALUE"""),3.82363377476296E8)</f>
        <v>382363377.5</v>
      </c>
      <c r="D28" s="3">
        <f t="shared" si="2"/>
        <v>2016766.353</v>
      </c>
      <c r="E28" s="3">
        <f t="shared" si="3"/>
        <v>2018990.846</v>
      </c>
      <c r="F28" s="3" t="str">
        <f t="shared" si="1"/>
        <v>LDO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IFERROR(__xludf.DUMMYFUNCTION("""COMPUTED_VALUE"""),1.082203)</f>
        <v>1.082203</v>
      </c>
      <c r="C29" s="3">
        <f>IFERROR(__xludf.DUMMYFUNCTION("""COMPUTED_VALUE"""),3.84392391964556E8)</f>
        <v>384392392</v>
      </c>
      <c r="D29" s="3">
        <f t="shared" si="2"/>
        <v>2029014.488</v>
      </c>
      <c r="E29" s="3">
        <f t="shared" si="3"/>
        <v>2195805.566</v>
      </c>
      <c r="F29" s="3" t="str">
        <f t="shared" si="1"/>
        <v>LDO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IFERROR(__xludf.DUMMYFUNCTION("""COMPUTED_VALUE"""),1.039655)</f>
        <v>1.039655</v>
      </c>
      <c r="C30" s="3">
        <f>IFERROR(__xludf.DUMMYFUNCTION("""COMPUTED_VALUE"""),3.86395277096744E8)</f>
        <v>386395277.1</v>
      </c>
      <c r="D30" s="3">
        <f t="shared" si="2"/>
        <v>2002885.132</v>
      </c>
      <c r="E30" s="3">
        <f t="shared" si="3"/>
        <v>2082309.542</v>
      </c>
      <c r="F30" s="3" t="str">
        <f t="shared" si="1"/>
        <v>LDO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IFERROR(__xludf.DUMMYFUNCTION("""COMPUTED_VALUE"""),1.163036)</f>
        <v>1.163036</v>
      </c>
      <c r="C31" s="3">
        <f>IFERROR(__xludf.DUMMYFUNCTION("""COMPUTED_VALUE"""),3.89242670896532E8)</f>
        <v>389242670.9</v>
      </c>
      <c r="D31" s="3">
        <f t="shared" si="2"/>
        <v>2847393.8</v>
      </c>
      <c r="E31" s="3">
        <f t="shared" si="3"/>
        <v>3311621.495</v>
      </c>
      <c r="F31" s="3" t="str">
        <f t="shared" si="1"/>
        <v>LDO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IFERROR(__xludf.DUMMYFUNCTION("""COMPUTED_VALUE"""),1.212005)</f>
        <v>1.212005</v>
      </c>
      <c r="C32" s="3">
        <f>IFERROR(__xludf.DUMMYFUNCTION("""COMPUTED_VALUE"""),3.91270798853067E8)</f>
        <v>391270798.9</v>
      </c>
      <c r="D32" s="3">
        <f t="shared" si="2"/>
        <v>2028127.957</v>
      </c>
      <c r="E32" s="3">
        <f t="shared" si="3"/>
        <v>2458101.224</v>
      </c>
      <c r="F32" s="3" t="str">
        <f t="shared" si="1"/>
        <v>LDO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IFERROR(__xludf.DUMMYFUNCTION("""COMPUTED_VALUE"""),1.050571)</f>
        <v>1.050571</v>
      </c>
      <c r="C33" s="3">
        <f>IFERROR(__xludf.DUMMYFUNCTION("""COMPUTED_VALUE"""),3.93275427506998E8)</f>
        <v>393275427.5</v>
      </c>
      <c r="D33" s="3">
        <f t="shared" si="2"/>
        <v>2004628.654</v>
      </c>
      <c r="E33" s="3">
        <f t="shared" si="3"/>
        <v>2106004.73</v>
      </c>
      <c r="F33" s="3" t="str">
        <f t="shared" si="1"/>
        <v>LDO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IFERROR(__xludf.DUMMYFUNCTION("""COMPUTED_VALUE"""),1.026171)</f>
        <v>1.026171</v>
      </c>
      <c r="C34" s="3">
        <f>IFERROR(__xludf.DUMMYFUNCTION("""COMPUTED_VALUE"""),3.95440770742884E8)</f>
        <v>395440770.7</v>
      </c>
      <c r="D34" s="3">
        <f t="shared" si="2"/>
        <v>2165343.236</v>
      </c>
      <c r="E34" s="3">
        <f t="shared" si="3"/>
        <v>2222012.434</v>
      </c>
      <c r="F34" s="3" t="str">
        <f t="shared" si="1"/>
        <v>LDO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IFERROR(__xludf.DUMMYFUNCTION("""COMPUTED_VALUE"""),1.022028)</f>
        <v>1.022028</v>
      </c>
      <c r="C35" s="3">
        <f>IFERROR(__xludf.DUMMYFUNCTION("""COMPUTED_VALUE"""),3.97485742802173E8)</f>
        <v>397485742.8</v>
      </c>
      <c r="D35" s="3">
        <f t="shared" si="2"/>
        <v>2044972.059</v>
      </c>
      <c r="E35" s="3">
        <f t="shared" si="3"/>
        <v>2090018.704</v>
      </c>
      <c r="F35" s="3" t="str">
        <f t="shared" si="1"/>
        <v>LDO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IFERROR(__xludf.DUMMYFUNCTION("""COMPUTED_VALUE"""),0.997866)</f>
        <v>0.997866</v>
      </c>
      <c r="C36" s="3">
        <f>IFERROR(__xludf.DUMMYFUNCTION("""COMPUTED_VALUE"""),3.99474093480047E8)</f>
        <v>399474093.5</v>
      </c>
      <c r="D36" s="3">
        <f t="shared" si="2"/>
        <v>1988350.678</v>
      </c>
      <c r="E36" s="3">
        <f t="shared" si="3"/>
        <v>1984107.538</v>
      </c>
      <c r="F36" s="3" t="str">
        <f t="shared" si="1"/>
        <v>LDO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IFERROR(__xludf.DUMMYFUNCTION("""COMPUTED_VALUE"""),1.013276)</f>
        <v>1.013276</v>
      </c>
      <c r="C37" s="3">
        <f>IFERROR(__xludf.DUMMYFUNCTION("""COMPUTED_VALUE"""),4.01488200237476E8)</f>
        <v>401488200.2</v>
      </c>
      <c r="D37" s="3">
        <f t="shared" si="2"/>
        <v>2014106.757</v>
      </c>
      <c r="E37" s="3">
        <f t="shared" si="3"/>
        <v>2040846.039</v>
      </c>
      <c r="F37" s="3" t="str">
        <f t="shared" si="1"/>
        <v>LDO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IFERROR(__xludf.DUMMYFUNCTION("""COMPUTED_VALUE"""),1.051294)</f>
        <v>1.051294</v>
      </c>
      <c r="C38" s="3">
        <f>IFERROR(__xludf.DUMMYFUNCTION("""COMPUTED_VALUE"""),4.03579076868571E8)</f>
        <v>403579076.9</v>
      </c>
      <c r="D38" s="3">
        <f t="shared" si="2"/>
        <v>2090876.631</v>
      </c>
      <c r="E38" s="3">
        <f t="shared" si="3"/>
        <v>2198126.057</v>
      </c>
      <c r="F38" s="3" t="str">
        <f t="shared" si="1"/>
        <v>LDO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IFERROR(__xludf.DUMMYFUNCTION("""COMPUTED_VALUE"""),1.071085)</f>
        <v>1.071085</v>
      </c>
      <c r="C39" s="3">
        <f>IFERROR(__xludf.DUMMYFUNCTION("""COMPUTED_VALUE"""),4.08095469944657E8)</f>
        <v>408095469.9</v>
      </c>
      <c r="D39" s="3">
        <f t="shared" si="2"/>
        <v>4516393.076</v>
      </c>
      <c r="E39" s="3">
        <f t="shared" si="3"/>
        <v>4837440.878</v>
      </c>
      <c r="F39" s="3" t="str">
        <f t="shared" si="1"/>
        <v>LDO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IFERROR(__xludf.DUMMYFUNCTION("""COMPUTED_VALUE"""),1.081339)</f>
        <v>1.081339</v>
      </c>
      <c r="C40" s="3">
        <f>IFERROR(__xludf.DUMMYFUNCTION("""COMPUTED_VALUE"""),4.11058488371831E8)</f>
        <v>411058488.4</v>
      </c>
      <c r="D40" s="3">
        <f t="shared" si="2"/>
        <v>2963018.427</v>
      </c>
      <c r="E40" s="3">
        <f t="shared" si="3"/>
        <v>3204027.383</v>
      </c>
      <c r="F40" s="3" t="str">
        <f t="shared" si="1"/>
        <v>LDO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IFERROR(__xludf.DUMMYFUNCTION("""COMPUTED_VALUE"""),1.009776)</f>
        <v>1.009776</v>
      </c>
      <c r="C41" s="3">
        <f>IFERROR(__xludf.DUMMYFUNCTION("""COMPUTED_VALUE"""),4.13072758437736E8)</f>
        <v>413072758.4</v>
      </c>
      <c r="D41" s="3">
        <f t="shared" si="2"/>
        <v>2014270.066</v>
      </c>
      <c r="E41" s="3">
        <f t="shared" si="3"/>
        <v>2033961.57</v>
      </c>
      <c r="F41" s="3" t="str">
        <f t="shared" si="1"/>
        <v>LDO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IFERROR(__xludf.DUMMYFUNCTION("""COMPUTED_VALUE"""),1.015426)</f>
        <v>1.015426</v>
      </c>
      <c r="C42" s="3">
        <f>IFERROR(__xludf.DUMMYFUNCTION("""COMPUTED_VALUE"""),4.15212471769503E8)</f>
        <v>415212471.8</v>
      </c>
      <c r="D42" s="3">
        <f t="shared" si="2"/>
        <v>2139713.332</v>
      </c>
      <c r="E42" s="3">
        <f t="shared" si="3"/>
        <v>2172720.55</v>
      </c>
      <c r="F42" s="3" t="str">
        <f t="shared" si="1"/>
        <v>LDO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IFERROR(__xludf.DUMMYFUNCTION("""COMPUTED_VALUE"""),1.003889)</f>
        <v>1.003889</v>
      </c>
      <c r="C43" s="3">
        <f>IFERROR(__xludf.DUMMYFUNCTION("""COMPUTED_VALUE"""),4.17337010974277E8)</f>
        <v>417337011</v>
      </c>
      <c r="D43" s="3">
        <f t="shared" si="2"/>
        <v>2124539.205</v>
      </c>
      <c r="E43" s="3">
        <f t="shared" si="3"/>
        <v>2132801.538</v>
      </c>
      <c r="F43" s="3" t="str">
        <f t="shared" si="1"/>
        <v>LDO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IFERROR(__xludf.DUMMYFUNCTION("""COMPUTED_VALUE"""),0.837094)</f>
        <v>0.837094</v>
      </c>
      <c r="C44" s="3">
        <f>IFERROR(__xludf.DUMMYFUNCTION("""COMPUTED_VALUE"""),4.19338682957791E8)</f>
        <v>419338683</v>
      </c>
      <c r="D44" s="3">
        <f t="shared" si="2"/>
        <v>2001671.984</v>
      </c>
      <c r="E44" s="3">
        <f t="shared" si="3"/>
        <v>1675587.607</v>
      </c>
      <c r="F44" s="3" t="str">
        <f t="shared" si="1"/>
        <v>LDO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IFERROR(__xludf.DUMMYFUNCTION("""COMPUTED_VALUE"""),0.794617)</f>
        <v>0.794617</v>
      </c>
      <c r="C45" s="3">
        <f>IFERROR(__xludf.DUMMYFUNCTION("""COMPUTED_VALUE"""),4.21356009225165E8)</f>
        <v>421356009.2</v>
      </c>
      <c r="D45" s="3">
        <f t="shared" si="2"/>
        <v>2017326.267</v>
      </c>
      <c r="E45" s="3">
        <f t="shared" si="3"/>
        <v>1603001.747</v>
      </c>
      <c r="F45" s="3" t="str">
        <f t="shared" si="1"/>
        <v>LDO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IFERROR(__xludf.DUMMYFUNCTION("""COMPUTED_VALUE"""),0.607146)</f>
        <v>0.607146</v>
      </c>
      <c r="C46" s="3">
        <f>IFERROR(__xludf.DUMMYFUNCTION("""COMPUTED_VALUE"""),4.23371469109962E8)</f>
        <v>423371469.1</v>
      </c>
      <c r="D46" s="3">
        <f t="shared" si="2"/>
        <v>2015459.885</v>
      </c>
      <c r="E46" s="3">
        <f t="shared" si="3"/>
        <v>1223678.407</v>
      </c>
      <c r="F46" s="3" t="str">
        <f t="shared" si="1"/>
        <v>LDO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IFERROR(__xludf.DUMMYFUNCTION("""COMPUTED_VALUE"""),0.622091)</f>
        <v>0.622091</v>
      </c>
      <c r="C47" s="3">
        <f>IFERROR(__xludf.DUMMYFUNCTION("""COMPUTED_VALUE"""),4.2538534256957E8)</f>
        <v>425385342.6</v>
      </c>
      <c r="D47" s="3">
        <f t="shared" si="2"/>
        <v>2013873.46</v>
      </c>
      <c r="E47" s="3">
        <f t="shared" si="3"/>
        <v>1252812.554</v>
      </c>
      <c r="F47" s="3" t="str">
        <f t="shared" si="1"/>
        <v>LDO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IFERROR(__xludf.DUMMYFUNCTION("""COMPUTED_VALUE"""),0.629558)</f>
        <v>0.629558</v>
      </c>
      <c r="C48" s="3">
        <f>IFERROR(__xludf.DUMMYFUNCTION("""COMPUTED_VALUE"""),4.28402832145419E8)</f>
        <v>428402832.1</v>
      </c>
      <c r="D48" s="3">
        <f t="shared" si="2"/>
        <v>3017489.576</v>
      </c>
      <c r="E48" s="3">
        <f t="shared" si="3"/>
        <v>1899684.702</v>
      </c>
      <c r="F48" s="3" t="str">
        <f t="shared" si="1"/>
        <v>LDO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IFERROR(__xludf.DUMMYFUNCTION("""COMPUTED_VALUE"""),0.537479)</f>
        <v>0.537479</v>
      </c>
      <c r="C49" s="3">
        <f>IFERROR(__xludf.DUMMYFUNCTION("""COMPUTED_VALUE"""),4.30417428828275E8)</f>
        <v>430417428.8</v>
      </c>
      <c r="D49" s="3">
        <f t="shared" si="2"/>
        <v>2014596.683</v>
      </c>
      <c r="E49" s="3">
        <f t="shared" si="3"/>
        <v>1082803.411</v>
      </c>
      <c r="F49" s="3" t="str">
        <f t="shared" si="1"/>
        <v>LDO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IFERROR(__xludf.DUMMYFUNCTION("""COMPUTED_VALUE"""),0.578682)</f>
        <v>0.578682</v>
      </c>
      <c r="C50" s="3">
        <f>IFERROR(__xludf.DUMMYFUNCTION("""COMPUTED_VALUE"""),4.32448682975626E8)</f>
        <v>432448683</v>
      </c>
      <c r="D50" s="3">
        <f t="shared" si="2"/>
        <v>2031254.147</v>
      </c>
      <c r="E50" s="3">
        <f t="shared" si="3"/>
        <v>1175450.212</v>
      </c>
      <c r="F50" s="3" t="str">
        <f t="shared" si="1"/>
        <v>LDO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IFERROR(__xludf.DUMMYFUNCTION("""COMPUTED_VALUE"""),0.465642)</f>
        <v>0.465642</v>
      </c>
      <c r="C51" s="3">
        <f>IFERROR(__xludf.DUMMYFUNCTION("""COMPUTED_VALUE"""),4.34450284969793E8)</f>
        <v>434450285</v>
      </c>
      <c r="D51" s="3">
        <f t="shared" si="2"/>
        <v>2001601.994</v>
      </c>
      <c r="E51" s="3">
        <f t="shared" si="3"/>
        <v>932029.9558</v>
      </c>
      <c r="F51" s="3" t="str">
        <f t="shared" si="1"/>
        <v>LDO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IFERROR(__xludf.DUMMYFUNCTION("""COMPUTED_VALUE"""),0.516202)</f>
        <v>0.516202</v>
      </c>
      <c r="C52" s="3">
        <f>IFERROR(__xludf.DUMMYFUNCTION("""COMPUTED_VALUE"""),4.36465488226986E8)</f>
        <v>436465488.2</v>
      </c>
      <c r="D52" s="3">
        <f t="shared" si="2"/>
        <v>2015203.257</v>
      </c>
      <c r="E52" s="3">
        <f t="shared" si="3"/>
        <v>1040251.952</v>
      </c>
      <c r="F52" s="3" t="str">
        <f t="shared" si="1"/>
        <v>LDO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IFERROR(__xludf.DUMMYFUNCTION("""COMPUTED_VALUE"""),0.51155)</f>
        <v>0.51155</v>
      </c>
      <c r="C53" s="3">
        <f>IFERROR(__xludf.DUMMYFUNCTION("""COMPUTED_VALUE"""),4.38493149587877E8)</f>
        <v>438493149.6</v>
      </c>
      <c r="D53" s="3">
        <f t="shared" si="2"/>
        <v>2027661.361</v>
      </c>
      <c r="E53" s="3">
        <f t="shared" si="3"/>
        <v>1037250.169</v>
      </c>
      <c r="F53" s="3" t="str">
        <f t="shared" si="1"/>
        <v>LDO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IFERROR(__xludf.DUMMYFUNCTION("""COMPUTED_VALUE"""),0.529479)</f>
        <v>0.529479</v>
      </c>
      <c r="C54" s="3">
        <f>IFERROR(__xludf.DUMMYFUNCTION("""COMPUTED_VALUE"""),4.40572201209176E8)</f>
        <v>440572201.2</v>
      </c>
      <c r="D54" s="3">
        <f t="shared" si="2"/>
        <v>2079051.621</v>
      </c>
      <c r="E54" s="3">
        <f t="shared" si="3"/>
        <v>1100814.173</v>
      </c>
      <c r="F54" s="3" t="str">
        <f t="shared" si="1"/>
        <v>LDO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IFERROR(__xludf.DUMMYFUNCTION("""COMPUTED_VALUE"""),0.525228)</f>
        <v>0.525228</v>
      </c>
      <c r="C55" s="3">
        <f>IFERROR(__xludf.DUMMYFUNCTION("""COMPUTED_VALUE"""),4.42601938920683E8)</f>
        <v>442601938.9</v>
      </c>
      <c r="D55" s="3">
        <f t="shared" si="2"/>
        <v>2029737.712</v>
      </c>
      <c r="E55" s="3">
        <f t="shared" si="3"/>
        <v>1066075.079</v>
      </c>
      <c r="F55" s="3" t="str">
        <f t="shared" si="1"/>
        <v>LDO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IFERROR(__xludf.DUMMYFUNCTION("""COMPUTED_VALUE"""),0.553717)</f>
        <v>0.553717</v>
      </c>
      <c r="C56" s="3">
        <f>IFERROR(__xludf.DUMMYFUNCTION("""COMPUTED_VALUE"""),4.44962981000077E8)</f>
        <v>444962981</v>
      </c>
      <c r="D56" s="3">
        <f t="shared" si="2"/>
        <v>2361042.079</v>
      </c>
      <c r="E56" s="3">
        <f t="shared" si="3"/>
        <v>1307349.137</v>
      </c>
      <c r="F56" s="3" t="str">
        <f t="shared" si="1"/>
        <v>LDO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IFERROR(__xludf.DUMMYFUNCTION("""COMPUTED_VALUE"""),0.634008)</f>
        <v>0.634008</v>
      </c>
      <c r="C57" s="3">
        <f>IFERROR(__xludf.DUMMYFUNCTION("""COMPUTED_VALUE"""),4.46983340139138E8)</f>
        <v>446983340.1</v>
      </c>
      <c r="D57" s="3">
        <f t="shared" si="2"/>
        <v>2020359.139</v>
      </c>
      <c r="E57" s="3">
        <f t="shared" si="3"/>
        <v>1280923.857</v>
      </c>
      <c r="F57" s="3" t="str">
        <f t="shared" si="1"/>
        <v>LDO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IFERROR(__xludf.DUMMYFUNCTION("""COMPUTED_VALUE"""),0.651949)</f>
        <v>0.651949</v>
      </c>
      <c r="C58" s="3">
        <f>IFERROR(__xludf.DUMMYFUNCTION("""COMPUTED_VALUE"""),4.49013007861299E8)</f>
        <v>449013007.9</v>
      </c>
      <c r="D58" s="3">
        <f t="shared" si="2"/>
        <v>2029667.722</v>
      </c>
      <c r="E58" s="3">
        <f t="shared" si="3"/>
        <v>1323239.842</v>
      </c>
      <c r="F58" s="3" t="str">
        <f t="shared" si="1"/>
        <v>LDO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IFERROR(__xludf.DUMMYFUNCTION("""COMPUTED_VALUE"""),0.606756)</f>
        <v>0.606756</v>
      </c>
      <c r="C59" s="3">
        <f>IFERROR(__xludf.DUMMYFUNCTION("""COMPUTED_VALUE"""),4.51046781281838E8)</f>
        <v>451046781.3</v>
      </c>
      <c r="D59" s="3">
        <f t="shared" si="2"/>
        <v>2033773.421</v>
      </c>
      <c r="E59" s="3">
        <f t="shared" si="3"/>
        <v>1234004.226</v>
      </c>
      <c r="F59" s="3" t="str">
        <f t="shared" si="1"/>
        <v>LDO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IFERROR(__xludf.DUMMYFUNCTION("""COMPUTED_VALUE"""),0.579123)</f>
        <v>0.579123</v>
      </c>
      <c r="C60" s="3">
        <f>IFERROR(__xludf.DUMMYFUNCTION("""COMPUTED_VALUE"""),4.53074465972511E8)</f>
        <v>453074466</v>
      </c>
      <c r="D60" s="3">
        <f t="shared" si="2"/>
        <v>2027684.691</v>
      </c>
      <c r="E60" s="3">
        <f t="shared" si="3"/>
        <v>1174278.841</v>
      </c>
      <c r="F60" s="3" t="str">
        <f t="shared" si="1"/>
        <v>LDO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IFERROR(__xludf.DUMMYFUNCTION("""COMPUTED_VALUE"""),0.521311)</f>
        <v>0.521311</v>
      </c>
      <c r="C61" s="3">
        <f>IFERROR(__xludf.DUMMYFUNCTION("""COMPUTED_VALUE"""),4.55090112495566E8)</f>
        <v>455090112.5</v>
      </c>
      <c r="D61" s="3">
        <f t="shared" si="2"/>
        <v>2015646.523</v>
      </c>
      <c r="E61" s="3">
        <f t="shared" si="3"/>
        <v>1050778.705</v>
      </c>
      <c r="F61" s="3" t="str">
        <f t="shared" si="1"/>
        <v>LDO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IFERROR(__xludf.DUMMYFUNCTION("""COMPUTED_VALUE"""),0.489294)</f>
        <v>0.489294</v>
      </c>
      <c r="C62" s="3">
        <f>IFERROR(__xludf.DUMMYFUNCTION("""COMPUTED_VALUE"""),4.57178539770128E8)</f>
        <v>457178539.8</v>
      </c>
      <c r="D62" s="3">
        <f t="shared" si="2"/>
        <v>2088427.275</v>
      </c>
      <c r="E62" s="3">
        <f t="shared" si="3"/>
        <v>1021854.935</v>
      </c>
      <c r="F62" s="3" t="str">
        <f t="shared" si="1"/>
        <v>LDO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IFERROR(__xludf.DUMMYFUNCTION("""COMPUTED_VALUE"""),0.451521)</f>
        <v>0.451521</v>
      </c>
      <c r="C63" s="3">
        <f>IFERROR(__xludf.DUMMYFUNCTION("""COMPUTED_VALUE"""),4.59560627182297E8)</f>
        <v>459560627.2</v>
      </c>
      <c r="D63" s="3">
        <f t="shared" si="2"/>
        <v>2382087.412</v>
      </c>
      <c r="E63" s="3">
        <f t="shared" si="3"/>
        <v>1075562.49</v>
      </c>
      <c r="F63" s="3" t="str">
        <f t="shared" si="1"/>
        <v>LDO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IFERROR(__xludf.DUMMYFUNCTION("""COMPUTED_VALUE"""),0.450392)</f>
        <v>0.450392</v>
      </c>
      <c r="C64" s="3">
        <f>IFERROR(__xludf.DUMMYFUNCTION("""COMPUTED_VALUE"""),4.61587098724296E8)</f>
        <v>461587098.7</v>
      </c>
      <c r="D64" s="3">
        <f t="shared" si="2"/>
        <v>2026471.542</v>
      </c>
      <c r="E64" s="3">
        <f t="shared" si="3"/>
        <v>912706.5707</v>
      </c>
      <c r="F64" s="3" t="str">
        <f t="shared" si="1"/>
        <v>LDO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IFERROR(__xludf.DUMMYFUNCTION("""COMPUTED_VALUE"""),0.474586)</f>
        <v>0.474586</v>
      </c>
      <c r="C65" s="3">
        <f>IFERROR(__xludf.DUMMYFUNCTION("""COMPUTED_VALUE"""),4.63690987037119E8)</f>
        <v>463690987</v>
      </c>
      <c r="D65" s="3">
        <f t="shared" si="2"/>
        <v>2103888.313</v>
      </c>
      <c r="E65" s="3">
        <f t="shared" si="3"/>
        <v>998475.9388</v>
      </c>
      <c r="F65" s="3" t="str">
        <f t="shared" si="1"/>
        <v>LDO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IFERROR(__xludf.DUMMYFUNCTION("""COMPUTED_VALUE"""),0.505522)</f>
        <v>0.505522</v>
      </c>
      <c r="C66" s="3">
        <f>IFERROR(__xludf.DUMMYFUNCTION("""COMPUTED_VALUE"""),4.65706726879303E8)</f>
        <v>465706726.9</v>
      </c>
      <c r="D66" s="3">
        <f t="shared" si="2"/>
        <v>2015739.842</v>
      </c>
      <c r="E66" s="3">
        <f t="shared" si="3"/>
        <v>1019000.837</v>
      </c>
      <c r="F66" s="3" t="str">
        <f t="shared" si="1"/>
        <v>LDO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IFERROR(__xludf.DUMMYFUNCTION("""COMPUTED_VALUE"""),0.548345)</f>
        <v>0.548345</v>
      </c>
      <c r="C67" s="3">
        <f>IFERROR(__xludf.DUMMYFUNCTION("""COMPUTED_VALUE"""),4.66721455756363E8)</f>
        <v>466721455.8</v>
      </c>
      <c r="D67" s="3">
        <f t="shared" si="2"/>
        <v>1014728.877</v>
      </c>
      <c r="E67" s="3">
        <f t="shared" si="3"/>
        <v>556421.5061</v>
      </c>
      <c r="F67" s="3" t="str">
        <f t="shared" si="1"/>
        <v>LDO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IFERROR(__xludf.DUMMYFUNCTION("""COMPUTED_VALUE"""),0.564199)</f>
        <v>0.564199</v>
      </c>
      <c r="C68" s="3">
        <f>IFERROR(__xludf.DUMMYFUNCTION("""COMPUTED_VALUE"""),4.70543252994612E8)</f>
        <v>470543253</v>
      </c>
      <c r="D68" s="3">
        <f t="shared" si="2"/>
        <v>3821797.238</v>
      </c>
      <c r="E68" s="3">
        <f t="shared" si="3"/>
        <v>2156254.18</v>
      </c>
      <c r="F68" s="3" t="str">
        <f t="shared" si="1"/>
        <v>LDO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IFERROR(__xludf.DUMMYFUNCTION("""COMPUTED_VALUE"""),0.596504)</f>
        <v>0.596504</v>
      </c>
      <c r="C69" s="3">
        <f>IFERROR(__xludf.DUMMYFUNCTION("""COMPUTED_VALUE"""),4.75069794525958E8)</f>
        <v>475069794.5</v>
      </c>
      <c r="D69" s="3">
        <f t="shared" si="2"/>
        <v>4526541.531</v>
      </c>
      <c r="E69" s="3">
        <f t="shared" si="3"/>
        <v>2700100.13</v>
      </c>
      <c r="F69" s="3" t="str">
        <f t="shared" si="1"/>
        <v>LDO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IFERROR(__xludf.DUMMYFUNCTION("""COMPUTED_VALUE"""),0.671012)</f>
        <v>0.671012</v>
      </c>
      <c r="C70" s="3">
        <f>IFERROR(__xludf.DUMMYFUNCTION("""COMPUTED_VALUE"""),4.77074219423772E8)</f>
        <v>477074219.4</v>
      </c>
      <c r="D70" s="3">
        <f t="shared" si="2"/>
        <v>2004424.898</v>
      </c>
      <c r="E70" s="3">
        <f t="shared" si="3"/>
        <v>1344993.16</v>
      </c>
      <c r="F70" s="3" t="str">
        <f t="shared" si="1"/>
        <v>LDO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IFERROR(__xludf.DUMMYFUNCTION("""COMPUTED_VALUE"""),0.738189)</f>
        <v>0.738189</v>
      </c>
      <c r="C71" s="3">
        <f>IFERROR(__xludf.DUMMYFUNCTION("""COMPUTED_VALUE"""),4.79088769447063E8)</f>
        <v>479088769.4</v>
      </c>
      <c r="D71" s="3">
        <f t="shared" si="2"/>
        <v>2014550.023</v>
      </c>
      <c r="E71" s="3">
        <f t="shared" si="3"/>
        <v>1487118.667</v>
      </c>
      <c r="F71" s="3" t="str">
        <f t="shared" si="1"/>
        <v>LDO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IFERROR(__xludf.DUMMYFUNCTION("""COMPUTED_VALUE"""),0.686313)</f>
        <v>0.686313</v>
      </c>
      <c r="C72" s="3">
        <f>IFERROR(__xludf.DUMMYFUNCTION("""COMPUTED_VALUE"""),4.81118413839442E8)</f>
        <v>481118413.8</v>
      </c>
      <c r="D72" s="3">
        <f t="shared" si="2"/>
        <v>2029644.392</v>
      </c>
      <c r="E72" s="3">
        <f t="shared" si="3"/>
        <v>1392971.332</v>
      </c>
      <c r="F72" s="3" t="str">
        <f t="shared" si="1"/>
        <v>LDO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IFERROR(__xludf.DUMMYFUNCTION("""COMPUTED_VALUE"""),0.636943)</f>
        <v>0.636943</v>
      </c>
      <c r="C73" s="3">
        <f>IFERROR(__xludf.DUMMYFUNCTION("""COMPUTED_VALUE"""),4.83154206166857E8)</f>
        <v>483154206.2</v>
      </c>
      <c r="D73" s="3">
        <f t="shared" si="2"/>
        <v>2035792.327</v>
      </c>
      <c r="E73" s="3">
        <f t="shared" si="3"/>
        <v>1296683.672</v>
      </c>
      <c r="F73" s="3" t="str">
        <f t="shared" si="1"/>
        <v>LDO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IFERROR(__xludf.DUMMYFUNCTION("""COMPUTED_VALUE"""),0.621504)</f>
        <v>0.621504</v>
      </c>
      <c r="C74" s="3">
        <f>IFERROR(__xludf.DUMMYFUNCTION("""COMPUTED_VALUE"""),4.8517045926425E8)</f>
        <v>485170459.3</v>
      </c>
      <c r="D74" s="3">
        <f t="shared" si="2"/>
        <v>2016253.097</v>
      </c>
      <c r="E74" s="3">
        <f t="shared" si="3"/>
        <v>1253109.365</v>
      </c>
      <c r="F74" s="3" t="str">
        <f t="shared" si="1"/>
        <v>LDO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IFERROR(__xludf.DUMMYFUNCTION("""COMPUTED_VALUE"""),0.633567)</f>
        <v>0.633567</v>
      </c>
      <c r="C75" s="3">
        <f>IFERROR(__xludf.DUMMYFUNCTION("""COMPUTED_VALUE"""),4.87198517231438E8)</f>
        <v>487198517.2</v>
      </c>
      <c r="D75" s="3">
        <f t="shared" si="2"/>
        <v>2028057.967</v>
      </c>
      <c r="E75" s="3">
        <f t="shared" si="3"/>
        <v>1284910.602</v>
      </c>
      <c r="F75" s="3" t="str">
        <f t="shared" si="1"/>
        <v>LDO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IFERROR(__xludf.DUMMYFUNCTION("""COMPUTED_VALUE"""),0.93657)</f>
        <v>0.93657</v>
      </c>
      <c r="C76" s="3">
        <f>IFERROR(__xludf.DUMMYFUNCTION("""COMPUTED_VALUE"""),4.89199769278872E8)</f>
        <v>489199769.3</v>
      </c>
      <c r="D76" s="3">
        <f t="shared" si="2"/>
        <v>2001252.047</v>
      </c>
      <c r="E76" s="3">
        <f t="shared" si="3"/>
        <v>1874312.63</v>
      </c>
      <c r="F76" s="3" t="str">
        <f t="shared" si="1"/>
        <v>LDO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IFERROR(__xludf.DUMMYFUNCTION("""COMPUTED_VALUE"""),0.915468)</f>
        <v>0.915468</v>
      </c>
      <c r="C77" s="3">
        <f>IFERROR(__xludf.DUMMYFUNCTION("""COMPUTED_VALUE"""),4.91231606670778E8)</f>
        <v>491231606.7</v>
      </c>
      <c r="D77" s="3">
        <f t="shared" si="2"/>
        <v>2031837.392</v>
      </c>
      <c r="E77" s="3">
        <f t="shared" si="3"/>
        <v>1860082.113</v>
      </c>
      <c r="F77" s="3" t="str">
        <f t="shared" si="1"/>
        <v>LDO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IFERROR(__xludf.DUMMYFUNCTION("""COMPUTED_VALUE"""),1.138277)</f>
        <v>1.138277</v>
      </c>
      <c r="C78" s="3">
        <f>IFERROR(__xludf.DUMMYFUNCTION("""COMPUTED_VALUE"""),4.93245690098426E8)</f>
        <v>493245690.1</v>
      </c>
      <c r="D78" s="3">
        <f t="shared" si="2"/>
        <v>2014083.428</v>
      </c>
      <c r="E78" s="3">
        <f t="shared" si="3"/>
        <v>2292584.842</v>
      </c>
      <c r="F78" s="3" t="str">
        <f t="shared" si="1"/>
        <v>LDO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IFERROR(__xludf.DUMMYFUNCTION("""COMPUTED_VALUE"""),1.383141)</f>
        <v>1.383141</v>
      </c>
      <c r="C79" s="3">
        <f>IFERROR(__xludf.DUMMYFUNCTION("""COMPUTED_VALUE"""),4.95362899716888E8)</f>
        <v>495362899.7</v>
      </c>
      <c r="D79" s="3">
        <f t="shared" si="2"/>
        <v>2117209.618</v>
      </c>
      <c r="E79" s="3">
        <f t="shared" si="3"/>
        <v>2928399.429</v>
      </c>
      <c r="F79" s="3" t="str">
        <f t="shared" si="1"/>
        <v>LDO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IFERROR(__xludf.DUMMYFUNCTION("""COMPUTED_VALUE"""),1.637439)</f>
        <v>1.637439</v>
      </c>
      <c r="C80" s="3">
        <f>IFERROR(__xludf.DUMMYFUNCTION("""COMPUTED_VALUE"""),4.97364268413233E8)</f>
        <v>497364268.4</v>
      </c>
      <c r="D80" s="3">
        <f t="shared" si="2"/>
        <v>2001368.696</v>
      </c>
      <c r="E80" s="3">
        <f t="shared" si="3"/>
        <v>3277119.157</v>
      </c>
      <c r="F80" s="3" t="str">
        <f t="shared" si="1"/>
        <v>LDO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IFERROR(__xludf.DUMMYFUNCTION("""COMPUTED_VALUE"""),1.531253)</f>
        <v>1.531253</v>
      </c>
      <c r="C81" s="3">
        <f>IFERROR(__xludf.DUMMYFUNCTION("""COMPUTED_VALUE"""),4.99379984925635E8)</f>
        <v>499379984.9</v>
      </c>
      <c r="D81" s="3">
        <f t="shared" si="2"/>
        <v>2015716.512</v>
      </c>
      <c r="E81" s="3">
        <f t="shared" si="3"/>
        <v>3086571.957</v>
      </c>
      <c r="F81" s="3" t="str">
        <f t="shared" si="1"/>
        <v>LDO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IFERROR(__xludf.DUMMYFUNCTION("""COMPUTED_VALUE"""),1.49256)</f>
        <v>1.49256</v>
      </c>
      <c r="C82" s="3">
        <f>IFERROR(__xludf.DUMMYFUNCTION("""COMPUTED_VALUE"""),5.0139626135281E8)</f>
        <v>501396261.4</v>
      </c>
      <c r="D82" s="3">
        <f t="shared" si="2"/>
        <v>2016276.427</v>
      </c>
      <c r="E82" s="3">
        <f t="shared" si="3"/>
        <v>3009413.544</v>
      </c>
      <c r="F82" s="3" t="str">
        <f t="shared" si="1"/>
        <v>LDO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IFERROR(__xludf.DUMMYFUNCTION("""COMPUTED_VALUE"""),1.57203)</f>
        <v>1.57203</v>
      </c>
      <c r="C83" s="3">
        <f>IFERROR(__xludf.DUMMYFUNCTION("""COMPUTED_VALUE"""),5.03411091333487E8)</f>
        <v>503411091.3</v>
      </c>
      <c r="D83" s="3">
        <f t="shared" si="2"/>
        <v>2014829.981</v>
      </c>
      <c r="E83" s="3">
        <f t="shared" si="3"/>
        <v>3167373.175</v>
      </c>
      <c r="F83" s="3" t="str">
        <f t="shared" si="1"/>
        <v>LDO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IFERROR(__xludf.DUMMYFUNCTION("""COMPUTED_VALUE"""),1.616264)</f>
        <v>1.616264</v>
      </c>
      <c r="C84" s="3">
        <f>IFERROR(__xludf.DUMMYFUNCTION("""COMPUTED_VALUE"""),5.05427671047831E8)</f>
        <v>505427671</v>
      </c>
      <c r="D84" s="3">
        <f t="shared" si="2"/>
        <v>2016579.714</v>
      </c>
      <c r="E84" s="3">
        <f t="shared" si="3"/>
        <v>3259325.195</v>
      </c>
      <c r="F84" s="3" t="str">
        <f t="shared" si="1"/>
        <v>LDO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IFERROR(__xludf.DUMMYFUNCTION("""COMPUTED_VALUE"""),1.525833)</f>
        <v>1.525833</v>
      </c>
      <c r="C85" s="3">
        <f>IFERROR(__xludf.DUMMYFUNCTION("""COMPUTED_VALUE"""),5.07443177592193E8)</f>
        <v>507443177.6</v>
      </c>
      <c r="D85" s="3">
        <f t="shared" si="2"/>
        <v>2015506.544</v>
      </c>
      <c r="E85" s="3">
        <f t="shared" si="3"/>
        <v>3075326.397</v>
      </c>
      <c r="F85" s="3" t="str">
        <f t="shared" si="1"/>
        <v>LDO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IFERROR(__xludf.DUMMYFUNCTION("""COMPUTED_VALUE"""),1.59058)</f>
        <v>1.59058</v>
      </c>
      <c r="C86" s="3">
        <f>IFERROR(__xludf.DUMMYFUNCTION("""COMPUTED_VALUE"""),5.09458964093941E8)</f>
        <v>509458964.1</v>
      </c>
      <c r="D86" s="3">
        <f t="shared" si="2"/>
        <v>2015786.502</v>
      </c>
      <c r="E86" s="3">
        <f t="shared" si="3"/>
        <v>3206269.694</v>
      </c>
      <c r="F86" s="3" t="str">
        <f t="shared" si="1"/>
        <v>LDO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IFERROR(__xludf.DUMMYFUNCTION("""COMPUTED_VALUE"""),1.631132)</f>
        <v>1.631132</v>
      </c>
      <c r="C87" s="3">
        <f>IFERROR(__xludf.DUMMYFUNCTION("""COMPUTED_VALUE"""),5.11492379134346E8)</f>
        <v>511492379.1</v>
      </c>
      <c r="D87" s="3">
        <f t="shared" si="2"/>
        <v>2033415.04</v>
      </c>
      <c r="E87" s="3">
        <f t="shared" si="3"/>
        <v>3316768.342</v>
      </c>
      <c r="F87" s="3" t="str">
        <f t="shared" si="1"/>
        <v>LDO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IFERROR(__xludf.DUMMYFUNCTION("""COMPUTED_VALUE"""),1.451041)</f>
        <v>1.451041</v>
      </c>
      <c r="C88" s="3">
        <f>IFERROR(__xludf.DUMMYFUNCTION("""COMPUTED_VALUE"""),5.13519777661085E8)</f>
        <v>513519777.7</v>
      </c>
      <c r="D88" s="3">
        <f t="shared" si="2"/>
        <v>2027398.527</v>
      </c>
      <c r="E88" s="3">
        <f t="shared" si="3"/>
        <v>2941838.386</v>
      </c>
      <c r="F88" s="3" t="str">
        <f t="shared" si="1"/>
        <v>LDO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IFERROR(__xludf.DUMMYFUNCTION("""COMPUTED_VALUE"""),1.448977)</f>
        <v>1.448977</v>
      </c>
      <c r="C89" s="3">
        <f>IFERROR(__xludf.DUMMYFUNCTION("""COMPUTED_VALUE"""),5.15535517503269E8)</f>
        <v>515535517.5</v>
      </c>
      <c r="D89" s="3">
        <f t="shared" si="2"/>
        <v>2015739.842</v>
      </c>
      <c r="E89" s="3">
        <f t="shared" si="3"/>
        <v>2920760.669</v>
      </c>
      <c r="F89" s="3" t="str">
        <f t="shared" si="1"/>
        <v>LDO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IFERROR(__xludf.DUMMYFUNCTION("""COMPUTED_VALUE"""),1.956413)</f>
        <v>1.956413</v>
      </c>
      <c r="C90" s="3">
        <f>IFERROR(__xludf.DUMMYFUNCTION("""COMPUTED_VALUE"""),5.17531613668836E8)</f>
        <v>517531613.7</v>
      </c>
      <c r="D90" s="3">
        <f t="shared" si="2"/>
        <v>1996096.166</v>
      </c>
      <c r="E90" s="3">
        <f t="shared" si="3"/>
        <v>3905188.488</v>
      </c>
      <c r="F90" s="3" t="str">
        <f t="shared" si="1"/>
        <v>LDO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IFERROR(__xludf.DUMMYFUNCTION("""COMPUTED_VALUE"""),2.219831)</f>
        <v>2.219831</v>
      </c>
      <c r="C91" s="3">
        <f>IFERROR(__xludf.DUMMYFUNCTION("""COMPUTED_VALUE"""),5.19548053404486E8)</f>
        <v>519548053.4</v>
      </c>
      <c r="D91" s="3">
        <f t="shared" si="2"/>
        <v>2016439.736</v>
      </c>
      <c r="E91" s="3">
        <f t="shared" si="3"/>
        <v>4476155.435</v>
      </c>
      <c r="F91" s="3" t="str">
        <f t="shared" si="1"/>
        <v>LDO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IFERROR(__xludf.DUMMYFUNCTION("""COMPUTED_VALUE"""),2.449432)</f>
        <v>2.449432</v>
      </c>
      <c r="C92" s="3">
        <f>IFERROR(__xludf.DUMMYFUNCTION("""COMPUTED_VALUE"""),5.21576507977972E8)</f>
        <v>521576508</v>
      </c>
      <c r="D92" s="3">
        <f t="shared" si="2"/>
        <v>2028454.573</v>
      </c>
      <c r="E92" s="3">
        <f t="shared" si="3"/>
        <v>4968561.543</v>
      </c>
      <c r="F92" s="3" t="str">
        <f t="shared" si="1"/>
        <v>LDO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IFERROR(__xludf.DUMMYFUNCTION("""COMPUTED_VALUE"""),2.324374)</f>
        <v>2.324374</v>
      </c>
      <c r="C93" s="3">
        <f>IFERROR(__xludf.DUMMYFUNCTION("""COMPUTED_VALUE"""),5.23679136482556E8)</f>
        <v>523679136.5</v>
      </c>
      <c r="D93" s="3">
        <f t="shared" si="2"/>
        <v>2102628.505</v>
      </c>
      <c r="E93" s="3">
        <f t="shared" si="3"/>
        <v>4887295.028</v>
      </c>
      <c r="F93" s="3" t="str">
        <f t="shared" si="1"/>
        <v>LDO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IFERROR(__xludf.DUMMYFUNCTION("""COMPUTED_VALUE"""),2.13709)</f>
        <v>2.13709</v>
      </c>
      <c r="C94" s="3">
        <f>IFERROR(__xludf.DUMMYFUNCTION("""COMPUTED_VALUE"""),5.25693989793016E8)</f>
        <v>525693989.8</v>
      </c>
      <c r="D94" s="3">
        <f t="shared" si="2"/>
        <v>2014853.31</v>
      </c>
      <c r="E94" s="3">
        <f t="shared" si="3"/>
        <v>4305922.861</v>
      </c>
      <c r="F94" s="3" t="str">
        <f t="shared" si="1"/>
        <v>LDO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IFERROR(__xludf.DUMMYFUNCTION("""COMPUTED_VALUE"""),2.090745)</f>
        <v>2.090745</v>
      </c>
      <c r="C95" s="3">
        <f>IFERROR(__xludf.DUMMYFUNCTION("""COMPUTED_VALUE"""),5.27723680844959E8)</f>
        <v>527723680.8</v>
      </c>
      <c r="D95" s="3">
        <f t="shared" si="2"/>
        <v>2029691.052</v>
      </c>
      <c r="E95" s="3">
        <f t="shared" si="3"/>
        <v>4243566.418</v>
      </c>
      <c r="F95" s="3" t="str">
        <f t="shared" si="1"/>
        <v>LDO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IFERROR(__xludf.DUMMYFUNCTION("""COMPUTED_VALUE"""),2.310744)</f>
        <v>2.310744</v>
      </c>
      <c r="C96" s="3">
        <f>IFERROR(__xludf.DUMMYFUNCTION("""COMPUTED_VALUE"""),5.2973865080433E8)</f>
        <v>529738650.8</v>
      </c>
      <c r="D96" s="3">
        <f t="shared" si="2"/>
        <v>2014969.959</v>
      </c>
      <c r="E96" s="3">
        <f t="shared" si="3"/>
        <v>4656079.744</v>
      </c>
      <c r="F96" s="3" t="str">
        <f t="shared" si="1"/>
        <v>LDO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IFERROR(__xludf.DUMMYFUNCTION("""COMPUTED_VALUE"""),2.574148)</f>
        <v>2.574148</v>
      </c>
      <c r="C97" s="3">
        <f>IFERROR(__xludf.DUMMYFUNCTION("""COMPUTED_VALUE"""),5.31772074621426E8)</f>
        <v>531772074.6</v>
      </c>
      <c r="D97" s="3">
        <f t="shared" si="2"/>
        <v>2033423.817</v>
      </c>
      <c r="E97" s="3">
        <f t="shared" si="3"/>
        <v>5234333.852</v>
      </c>
      <c r="F97" s="3" t="str">
        <f t="shared" si="1"/>
        <v>LDO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IFERROR(__xludf.DUMMYFUNCTION("""COMPUTED_VALUE"""),2.455623)</f>
        <v>2.455623</v>
      </c>
      <c r="C98" s="3">
        <f>IFERROR(__xludf.DUMMYFUNCTION("""COMPUTED_VALUE"""),5.36257999001951E8)</f>
        <v>536257999</v>
      </c>
      <c r="D98" s="3">
        <f t="shared" si="2"/>
        <v>4485924.381</v>
      </c>
      <c r="E98" s="3">
        <f t="shared" si="3"/>
        <v>11015739.09</v>
      </c>
      <c r="F98" s="3" t="str">
        <f t="shared" si="1"/>
        <v>LDO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IFERROR(__xludf.DUMMYFUNCTION("""COMPUTED_VALUE"""),2.650984)</f>
        <v>2.650984</v>
      </c>
      <c r="C99" s="3">
        <f>IFERROR(__xludf.DUMMYFUNCTION("""COMPUTED_VALUE"""),5.38302597784724E8)</f>
        <v>538302597.8</v>
      </c>
      <c r="D99" s="3">
        <f t="shared" si="2"/>
        <v>2044598.783</v>
      </c>
      <c r="E99" s="3">
        <f t="shared" si="3"/>
        <v>5420198.66</v>
      </c>
      <c r="F99" s="3" t="str">
        <f t="shared" si="1"/>
        <v>LDO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IFERROR(__xludf.DUMMYFUNCTION("""COMPUTED_VALUE"""),2.601278)</f>
        <v>2.601278</v>
      </c>
      <c r="C100" s="3">
        <f>IFERROR(__xludf.DUMMYFUNCTION("""COMPUTED_VALUE"""),5.40289152069368E8)</f>
        <v>540289152.1</v>
      </c>
      <c r="D100" s="3">
        <f t="shared" si="2"/>
        <v>1986554.285</v>
      </c>
      <c r="E100" s="3">
        <f t="shared" si="3"/>
        <v>5167579.956</v>
      </c>
      <c r="F100" s="3" t="str">
        <f t="shared" si="1"/>
        <v>LDO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IFERROR(__xludf.DUMMYFUNCTION("""COMPUTED_VALUE"""),2.474077)</f>
        <v>2.474077</v>
      </c>
      <c r="C101" s="3">
        <f>IFERROR(__xludf.DUMMYFUNCTION("""COMPUTED_VALUE"""),5.42305451826324E8)</f>
        <v>542305451.8</v>
      </c>
      <c r="D101" s="3">
        <f t="shared" si="2"/>
        <v>2016299.757</v>
      </c>
      <c r="E101" s="3">
        <f t="shared" si="3"/>
        <v>4988480.854</v>
      </c>
      <c r="F101" s="3" t="str">
        <f t="shared" si="1"/>
        <v>LDO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IFERROR(__xludf.DUMMYFUNCTION("""COMPUTED_VALUE"""),2.402832)</f>
        <v>2.402832</v>
      </c>
      <c r="C102" s="3">
        <f>IFERROR(__xludf.DUMMYFUNCTION("""COMPUTED_VALUE"""),5.44339178930589E8)</f>
        <v>544339178.9</v>
      </c>
      <c r="D102" s="3">
        <f t="shared" si="2"/>
        <v>2033727.104</v>
      </c>
      <c r="E102" s="3">
        <f t="shared" si="3"/>
        <v>4886704.565</v>
      </c>
      <c r="F102" s="3" t="str">
        <f t="shared" si="1"/>
        <v>LDO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IFERROR(__xludf.DUMMYFUNCTION("""COMPUTED_VALUE"""),2.24999)</f>
        <v>2.24999</v>
      </c>
      <c r="C103" s="3">
        <f>IFERROR(__xludf.DUMMYFUNCTION("""COMPUTED_VALUE"""),5.46335415074849E8)</f>
        <v>546335415.1</v>
      </c>
      <c r="D103" s="3">
        <f t="shared" si="2"/>
        <v>1996236.144</v>
      </c>
      <c r="E103" s="3">
        <f t="shared" si="3"/>
        <v>4491511.362</v>
      </c>
      <c r="F103" s="3" t="str">
        <f t="shared" si="1"/>
        <v>LDO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IFERROR(__xludf.DUMMYFUNCTION("""COMPUTED_VALUE"""),2.71756)</f>
        <v>2.71756</v>
      </c>
      <c r="C104" s="3">
        <f>IFERROR(__xludf.DUMMYFUNCTION("""COMPUTED_VALUE"""),5.49385658796361E8)</f>
        <v>549385658.8</v>
      </c>
      <c r="D104" s="3">
        <f t="shared" si="2"/>
        <v>3050243.722</v>
      </c>
      <c r="E104" s="3">
        <f t="shared" si="3"/>
        <v>8289220.328</v>
      </c>
      <c r="F104" s="3" t="str">
        <f t="shared" si="1"/>
        <v>LDO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IFERROR(__xludf.DUMMYFUNCTION("""COMPUTED_VALUE"""),2.613981)</f>
        <v>2.613981</v>
      </c>
      <c r="C105" s="3">
        <f>IFERROR(__xludf.DUMMYFUNCTION("""COMPUTED_VALUE"""),5.51413530125292E8)</f>
        <v>551413530.1</v>
      </c>
      <c r="D105" s="3">
        <f t="shared" si="2"/>
        <v>2027871.329</v>
      </c>
      <c r="E105" s="3">
        <f t="shared" si="3"/>
        <v>5300817.124</v>
      </c>
      <c r="F105" s="3" t="str">
        <f t="shared" si="1"/>
        <v>LDO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IFERROR(__xludf.DUMMYFUNCTION("""COMPUTED_VALUE"""),2.818077)</f>
        <v>2.818077</v>
      </c>
      <c r="C106" s="3">
        <f>IFERROR(__xludf.DUMMYFUNCTION("""COMPUTED_VALUE"""),5.53415808683143E8)</f>
        <v>553415808.7</v>
      </c>
      <c r="D106" s="3">
        <f t="shared" si="2"/>
        <v>2002278.558</v>
      </c>
      <c r="E106" s="3">
        <f t="shared" si="3"/>
        <v>5642575.151</v>
      </c>
      <c r="F106" s="3" t="str">
        <f t="shared" si="1"/>
        <v>LDO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IFERROR(__xludf.DUMMYFUNCTION("""COMPUTED_VALUE"""),2.930064)</f>
        <v>2.930064</v>
      </c>
      <c r="C107" s="3">
        <f>IFERROR(__xludf.DUMMYFUNCTION("""COMPUTED_VALUE"""),5.55433204939863E8)</f>
        <v>555433204.9</v>
      </c>
      <c r="D107" s="3">
        <f t="shared" si="2"/>
        <v>2017396.257</v>
      </c>
      <c r="E107" s="3">
        <f t="shared" si="3"/>
        <v>5911100.146</v>
      </c>
      <c r="F107" s="3" t="str">
        <f t="shared" si="1"/>
        <v>LDO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IFERROR(__xludf.DUMMYFUNCTION("""COMPUTED_VALUE"""),2.655666)</f>
        <v>2.655666</v>
      </c>
      <c r="C108" s="3">
        <f>IFERROR(__xludf.DUMMYFUNCTION("""COMPUTED_VALUE"""),5.5746123957727E8)</f>
        <v>557461239.6</v>
      </c>
      <c r="D108" s="3">
        <f t="shared" si="2"/>
        <v>2028034.637</v>
      </c>
      <c r="E108" s="3">
        <f t="shared" si="3"/>
        <v>5385782.633</v>
      </c>
      <c r="F108" s="3" t="str">
        <f t="shared" si="1"/>
        <v>LDO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IFERROR(__xludf.DUMMYFUNCTION("""COMPUTED_VALUE"""),2.749838)</f>
        <v>2.749838</v>
      </c>
      <c r="C109" s="3">
        <f>IFERROR(__xludf.DUMMYFUNCTION("""COMPUTED_VALUE"""),5.59463984730765E8)</f>
        <v>559463984.7</v>
      </c>
      <c r="D109" s="3">
        <f t="shared" si="2"/>
        <v>2002745.153</v>
      </c>
      <c r="E109" s="3">
        <f t="shared" si="3"/>
        <v>5507224.727</v>
      </c>
      <c r="F109" s="3" t="str">
        <f t="shared" si="1"/>
        <v>LDO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IFERROR(__xludf.DUMMYFUNCTION("""COMPUTED_VALUE"""),2.578945)</f>
        <v>2.578945</v>
      </c>
      <c r="C110" s="3">
        <f>IFERROR(__xludf.DUMMYFUNCTION("""COMPUTED_VALUE"""),5.61491949378825E8)</f>
        <v>561491949.4</v>
      </c>
      <c r="D110" s="3">
        <f t="shared" si="2"/>
        <v>2027964.648</v>
      </c>
      <c r="E110" s="3">
        <f t="shared" si="3"/>
        <v>5230009.289</v>
      </c>
      <c r="F110" s="3" t="str">
        <f t="shared" si="1"/>
        <v>LDO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IFERROR(__xludf.DUMMYFUNCTION("""COMPUTED_VALUE"""),2.478898)</f>
        <v>2.478898</v>
      </c>
      <c r="C111" s="3">
        <f>IFERROR(__xludf.DUMMYFUNCTION("""COMPUTED_VALUE"""),5.63593924649507E8)</f>
        <v>563593924.6</v>
      </c>
      <c r="D111" s="3">
        <f t="shared" si="2"/>
        <v>2101975.271</v>
      </c>
      <c r="E111" s="3">
        <f t="shared" si="3"/>
        <v>5210582.295</v>
      </c>
      <c r="F111" s="3" t="str">
        <f t="shared" si="1"/>
        <v>LDO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IFERROR(__xludf.DUMMYFUNCTION("""COMPUTED_VALUE"""),2.226746)</f>
        <v>2.226746</v>
      </c>
      <c r="C112" s="3">
        <f>IFERROR(__xludf.DUMMYFUNCTION("""COMPUTED_VALUE"""),5.75679248087734E8)</f>
        <v>575679248.1</v>
      </c>
      <c r="D112" s="3">
        <f t="shared" si="2"/>
        <v>12085323.44</v>
      </c>
      <c r="E112" s="3">
        <f t="shared" si="3"/>
        <v>26910945.62</v>
      </c>
      <c r="F112" s="3" t="str">
        <f t="shared" si="1"/>
        <v>LDO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IFERROR(__xludf.DUMMYFUNCTION("""COMPUTED_VALUE"""),1.86048)</f>
        <v>1.86048</v>
      </c>
      <c r="C113" s="3">
        <f>IFERROR(__xludf.DUMMYFUNCTION("""COMPUTED_VALUE"""),5.7769321486647E8)</f>
        <v>577693214.9</v>
      </c>
      <c r="D113" s="3">
        <f t="shared" si="2"/>
        <v>2013966.779</v>
      </c>
      <c r="E113" s="3">
        <f t="shared" si="3"/>
        <v>3746944.913</v>
      </c>
      <c r="F113" s="3" t="str">
        <f t="shared" si="1"/>
        <v>LDO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IFERROR(__xludf.DUMMYFUNCTION("""COMPUTED_VALUE"""),1.8427)</f>
        <v>1.8427</v>
      </c>
      <c r="C114" s="3">
        <f>IFERROR(__xludf.DUMMYFUNCTION("""COMPUTED_VALUE"""),5.79722579301462E8)</f>
        <v>579722579.3</v>
      </c>
      <c r="D114" s="3">
        <f t="shared" si="2"/>
        <v>2029364.435</v>
      </c>
      <c r="E114" s="3">
        <f t="shared" si="3"/>
        <v>3739509.844</v>
      </c>
      <c r="F114" s="3" t="str">
        <f t="shared" si="1"/>
        <v>LDO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IFERROR(__xludf.DUMMYFUNCTION("""COMPUTED_VALUE"""),2.162116)</f>
        <v>2.162116</v>
      </c>
      <c r="C115" s="3">
        <f>IFERROR(__xludf.DUMMYFUNCTION("""COMPUTED_VALUE"""),5.81725371114522E8)</f>
        <v>581725371.1</v>
      </c>
      <c r="D115" s="3">
        <f t="shared" si="2"/>
        <v>2002791.813</v>
      </c>
      <c r="E115" s="3">
        <f t="shared" si="3"/>
        <v>4330268.224</v>
      </c>
      <c r="F115" s="3" t="str">
        <f t="shared" si="1"/>
        <v>LDO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IFERROR(__xludf.DUMMYFUNCTION("""COMPUTED_VALUE"""),2.175232)</f>
        <v>2.175232</v>
      </c>
      <c r="C116" s="3">
        <f>IFERROR(__xludf.DUMMYFUNCTION("""COMPUTED_VALUE"""),5.83765698315816E8)</f>
        <v>583765698.3</v>
      </c>
      <c r="D116" s="3">
        <f t="shared" si="2"/>
        <v>2040327.201</v>
      </c>
      <c r="E116" s="3">
        <f t="shared" si="3"/>
        <v>4438185.019</v>
      </c>
      <c r="F116" s="3" t="str">
        <f t="shared" si="1"/>
        <v>LDO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IFERROR(__xludf.DUMMYFUNCTION("""COMPUTED_VALUE"""),2.143544)</f>
        <v>2.143544</v>
      </c>
      <c r="C117" s="3">
        <f>IFERROR(__xludf.DUMMYFUNCTION("""COMPUTED_VALUE"""),5.85779968381721E8)</f>
        <v>585779968.4</v>
      </c>
      <c r="D117" s="3">
        <f t="shared" si="2"/>
        <v>2014270.066</v>
      </c>
      <c r="E117" s="3">
        <f t="shared" si="3"/>
        <v>4317676.514</v>
      </c>
      <c r="F117" s="3" t="str">
        <f t="shared" si="1"/>
        <v>LDO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IFERROR(__xludf.DUMMYFUNCTION("""COMPUTED_VALUE"""),2.159265)</f>
        <v>2.159265</v>
      </c>
      <c r="C118" s="3">
        <f>IFERROR(__xludf.DUMMYFUNCTION("""COMPUTED_VALUE"""),5.79311152539725E8)</f>
        <v>579311152.5</v>
      </c>
      <c r="D118" s="3">
        <f t="shared" si="2"/>
        <v>-6468815.842</v>
      </c>
      <c r="E118" s="3">
        <f t="shared" si="3"/>
        <v>-13967887.64</v>
      </c>
      <c r="F118" s="3" t="str">
        <f t="shared" si="1"/>
        <v>LDO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IFERROR(__xludf.DUMMYFUNCTION("""COMPUTED_VALUE"""),2.004526)</f>
        <v>2.004526</v>
      </c>
      <c r="C119" s="3">
        <f>IFERROR(__xludf.DUMMYFUNCTION("""COMPUTED_VALUE"""),5.81411284757613E8)</f>
        <v>581411284.8</v>
      </c>
      <c r="D119" s="3">
        <f t="shared" si="2"/>
        <v>2100132.218</v>
      </c>
      <c r="E119" s="3">
        <f t="shared" si="3"/>
        <v>4209769.634</v>
      </c>
      <c r="F119" s="3" t="str">
        <f t="shared" si="1"/>
        <v>LDO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IFERROR(__xludf.DUMMYFUNCTION("""COMPUTED_VALUE"""),1.72086)</f>
        <v>1.72086</v>
      </c>
      <c r="C120" s="3">
        <f>IFERROR(__xludf.DUMMYFUNCTION("""COMPUTED_VALUE"""),5.83427444535877E8)</f>
        <v>583427444.5</v>
      </c>
      <c r="D120" s="3">
        <f t="shared" si="2"/>
        <v>2016159.778</v>
      </c>
      <c r="E120" s="3">
        <f t="shared" si="3"/>
        <v>3469528.716</v>
      </c>
      <c r="F120" s="3" t="str">
        <f t="shared" si="1"/>
        <v>LDO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IFERROR(__xludf.DUMMYFUNCTION("""COMPUTED_VALUE"""),1.637243)</f>
        <v>1.637243</v>
      </c>
      <c r="C121" s="3">
        <f>IFERROR(__xludf.DUMMYFUNCTION("""COMPUTED_VALUE"""),5.85441364655049E8)</f>
        <v>585441364.7</v>
      </c>
      <c r="D121" s="3">
        <f t="shared" si="2"/>
        <v>2013920.119</v>
      </c>
      <c r="E121" s="3">
        <f t="shared" si="3"/>
        <v>3297276.618</v>
      </c>
      <c r="F121" s="3" t="str">
        <f t="shared" si="1"/>
        <v>LDO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IFERROR(__xludf.DUMMYFUNCTION("""COMPUTED_VALUE"""),1.591317)</f>
        <v>1.591317</v>
      </c>
      <c r="C122" s="3">
        <f>IFERROR(__xludf.DUMMYFUNCTION("""COMPUTED_VALUE"""),5.87472432164142E8)</f>
        <v>587472432.2</v>
      </c>
      <c r="D122" s="3">
        <f t="shared" si="2"/>
        <v>2031067.509</v>
      </c>
      <c r="E122" s="3">
        <f t="shared" si="3"/>
        <v>3232072.255</v>
      </c>
      <c r="F122" s="3" t="str">
        <f t="shared" si="1"/>
        <v>LDO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IFERROR(__xludf.DUMMYFUNCTION("""COMPUTED_VALUE"""),1.860888)</f>
        <v>1.860888</v>
      </c>
      <c r="C123" s="3">
        <f>IFERROR(__xludf.DUMMYFUNCTION("""COMPUTED_VALUE"""),5.89475480604806E8)</f>
        <v>589475480.6</v>
      </c>
      <c r="D123" s="3">
        <f t="shared" si="2"/>
        <v>2003048.441</v>
      </c>
      <c r="E123" s="3">
        <f t="shared" si="3"/>
        <v>3727448.807</v>
      </c>
      <c r="F123" s="3" t="str">
        <f t="shared" si="1"/>
        <v>LDO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IFERROR(__xludf.DUMMYFUNCTION("""COMPUTED_VALUE"""),1.78823)</f>
        <v>1.78823</v>
      </c>
      <c r="C124" s="3">
        <f>IFERROR(__xludf.DUMMYFUNCTION("""COMPUTED_VALUE"""),5.91503748540034E8)</f>
        <v>591503748.5</v>
      </c>
      <c r="D124" s="3">
        <f t="shared" si="2"/>
        <v>2028267.935</v>
      </c>
      <c r="E124" s="3">
        <f t="shared" si="3"/>
        <v>3627009.57</v>
      </c>
      <c r="F124" s="3" t="str">
        <f t="shared" si="1"/>
        <v>LDO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IFERROR(__xludf.DUMMYFUNCTION("""COMPUTED_VALUE"""),1.987238)</f>
        <v>1.987238</v>
      </c>
      <c r="C125" s="3">
        <f>IFERROR(__xludf.DUMMYFUNCTION("""COMPUTED_VALUE"""),5.93517971946375E8)</f>
        <v>593517971.9</v>
      </c>
      <c r="D125" s="3">
        <f t="shared" si="2"/>
        <v>2014223.406</v>
      </c>
      <c r="E125" s="3">
        <f t="shared" si="3"/>
        <v>4002741.294</v>
      </c>
      <c r="F125" s="3" t="str">
        <f t="shared" si="1"/>
        <v>LDO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IFERROR(__xludf.DUMMYFUNCTION("""COMPUTED_VALUE"""),2.070306)</f>
        <v>2.070306</v>
      </c>
      <c r="C126" s="3">
        <f>IFERROR(__xludf.DUMMYFUNCTION("""COMPUTED_VALUE"""),5.9684890856531E8)</f>
        <v>596848908.6</v>
      </c>
      <c r="D126" s="3">
        <f t="shared" si="2"/>
        <v>3330936.619</v>
      </c>
      <c r="E126" s="3">
        <f t="shared" si="3"/>
        <v>6896058.068</v>
      </c>
      <c r="F126" s="3" t="str">
        <f t="shared" si="1"/>
        <v>LDO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IFERROR(__xludf.DUMMYFUNCTION("""COMPUTED_VALUE"""),2.17361)</f>
        <v>2.17361</v>
      </c>
      <c r="C127" s="3">
        <f>IFERROR(__xludf.DUMMYFUNCTION("""COMPUTED_VALUE"""),5.98851513740112E8)</f>
        <v>598851513.7</v>
      </c>
      <c r="D127" s="3">
        <f t="shared" si="2"/>
        <v>2002605.175</v>
      </c>
      <c r="E127" s="3">
        <f t="shared" si="3"/>
        <v>4352882.634</v>
      </c>
      <c r="F127" s="3" t="str">
        <f t="shared" si="1"/>
        <v>LDO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IFERROR(__xludf.DUMMYFUNCTION("""COMPUTED_VALUE"""),2.064284)</f>
        <v>2.064284</v>
      </c>
      <c r="C128" s="3">
        <f>IFERROR(__xludf.DUMMYFUNCTION("""COMPUTED_VALUE"""),6.03367883486416E8)</f>
        <v>603367883.5</v>
      </c>
      <c r="D128" s="3">
        <f t="shared" si="2"/>
        <v>4516369.746</v>
      </c>
      <c r="E128" s="3">
        <f t="shared" si="3"/>
        <v>9323069.805</v>
      </c>
      <c r="F128" s="3" t="str">
        <f t="shared" si="1"/>
        <v>LDO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IFERROR(__xludf.DUMMYFUNCTION("""COMPUTED_VALUE"""),2.066312)</f>
        <v>2.066312</v>
      </c>
      <c r="C129" s="3">
        <f>IFERROR(__xludf.DUMMYFUNCTION("""COMPUTED_VALUE"""),6.05405619626222E8)</f>
        <v>605405619.6</v>
      </c>
      <c r="D129" s="3">
        <f t="shared" si="2"/>
        <v>2037736.14</v>
      </c>
      <c r="E129" s="3">
        <f t="shared" si="3"/>
        <v>4210598.639</v>
      </c>
      <c r="F129" s="3" t="str">
        <f t="shared" si="1"/>
        <v>LDO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IFERROR(__xludf.DUMMYFUNCTION("""COMPUTED_VALUE"""),2.035755)</f>
        <v>2.035755</v>
      </c>
      <c r="C130" s="3">
        <f>IFERROR(__xludf.DUMMYFUNCTION("""COMPUTED_VALUE"""),6.07422969223378E8)</f>
        <v>607422969.2</v>
      </c>
      <c r="D130" s="3">
        <f t="shared" si="2"/>
        <v>2017349.597</v>
      </c>
      <c r="E130" s="3">
        <f t="shared" si="3"/>
        <v>4106829.529</v>
      </c>
      <c r="F130" s="3" t="str">
        <f t="shared" si="1"/>
        <v>LDO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IFERROR(__xludf.DUMMYFUNCTION("""COMPUTED_VALUE"""),1.835482)</f>
        <v>1.835482</v>
      </c>
      <c r="C131" s="3">
        <f>IFERROR(__xludf.DUMMYFUNCTION("""COMPUTED_VALUE"""),6.09437285948848E8)</f>
        <v>609437285.9</v>
      </c>
      <c r="D131" s="3">
        <f t="shared" si="2"/>
        <v>2014316.725</v>
      </c>
      <c r="E131" s="3">
        <f t="shared" si="3"/>
        <v>3697242.092</v>
      </c>
      <c r="F131" s="3" t="str">
        <f t="shared" si="1"/>
        <v>LDO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IFERROR(__xludf.DUMMYFUNCTION("""COMPUTED_VALUE"""),1.962545)</f>
        <v>1.962545</v>
      </c>
      <c r="C132" s="3">
        <f>IFERROR(__xludf.DUMMYFUNCTION("""COMPUTED_VALUE"""),6.11552465876259E8)</f>
        <v>611552465.9</v>
      </c>
      <c r="D132" s="3">
        <f t="shared" si="2"/>
        <v>2115179.927</v>
      </c>
      <c r="E132" s="3">
        <f t="shared" si="3"/>
        <v>4151135.791</v>
      </c>
      <c r="F132" s="3" t="str">
        <f t="shared" si="1"/>
        <v>LDO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IFERROR(__xludf.DUMMYFUNCTION("""COMPUTED_VALUE"""),1.884401)</f>
        <v>1.884401</v>
      </c>
      <c r="C133" s="3">
        <f>IFERROR(__xludf.DUMMYFUNCTION("""COMPUTED_VALUE"""),6.1356976881385E8)</f>
        <v>613569768.8</v>
      </c>
      <c r="D133" s="3">
        <f t="shared" si="2"/>
        <v>2017302.938</v>
      </c>
      <c r="E133" s="3">
        <f t="shared" si="3"/>
        <v>3801407.673</v>
      </c>
      <c r="F133" s="3" t="str">
        <f t="shared" si="1"/>
        <v>LDO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IFERROR(__xludf.DUMMYFUNCTION("""COMPUTED_VALUE"""),2.044631)</f>
        <v>2.044631</v>
      </c>
      <c r="C134" s="3">
        <f>IFERROR(__xludf.DUMMYFUNCTION("""COMPUTED_VALUE"""),6.15599436536011E8)</f>
        <v>615599436.5</v>
      </c>
      <c r="D134" s="3">
        <f t="shared" si="2"/>
        <v>2029667.722</v>
      </c>
      <c r="E134" s="3">
        <f t="shared" si="3"/>
        <v>4149921.544</v>
      </c>
      <c r="F134" s="3" t="str">
        <f t="shared" si="1"/>
        <v>LDO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IFERROR(__xludf.DUMMYFUNCTION("""COMPUTED_VALUE"""),2.119407)</f>
        <v>2.119407</v>
      </c>
      <c r="C135" s="3">
        <f>IFERROR(__xludf.DUMMYFUNCTION("""COMPUTED_VALUE"""),6.17601435136476E8)</f>
        <v>617601435.1</v>
      </c>
      <c r="D135" s="3">
        <f t="shared" si="2"/>
        <v>2001998.6</v>
      </c>
      <c r="E135" s="3">
        <f t="shared" si="3"/>
        <v>4243049.848</v>
      </c>
      <c r="F135" s="3" t="str">
        <f t="shared" si="1"/>
        <v>LDO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IFERROR(__xludf.DUMMYFUNCTION("""COMPUTED_VALUE"""),2.088062)</f>
        <v>2.088062</v>
      </c>
      <c r="C136" s="3">
        <f>IFERROR(__xludf.DUMMYFUNCTION("""COMPUTED_VALUE"""),6.19618294808205E8)</f>
        <v>619618294.8</v>
      </c>
      <c r="D136" s="3">
        <f t="shared" si="2"/>
        <v>2016859.672</v>
      </c>
      <c r="E136" s="3">
        <f t="shared" si="3"/>
        <v>4211328.04</v>
      </c>
      <c r="F136" s="3" t="str">
        <f t="shared" si="1"/>
        <v>LDO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IFERROR(__xludf.DUMMYFUNCTION("""COMPUTED_VALUE"""),1.981231)</f>
        <v>1.981231</v>
      </c>
      <c r="C137" s="3">
        <f>IFERROR(__xludf.DUMMYFUNCTION("""COMPUTED_VALUE"""),6.20130651831969E8)</f>
        <v>620130651.8</v>
      </c>
      <c r="D137" s="3">
        <f t="shared" si="2"/>
        <v>512357.0238</v>
      </c>
      <c r="E137" s="3">
        <f t="shared" si="3"/>
        <v>1015097.619</v>
      </c>
      <c r="F137" s="3" t="str">
        <f t="shared" si="1"/>
        <v>LDO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IFERROR(__xludf.DUMMYFUNCTION("""COMPUTED_VALUE"""),1.790695)</f>
        <v>1.790695</v>
      </c>
      <c r="C138" s="3">
        <f>IFERROR(__xludf.DUMMYFUNCTION("""COMPUTED_VALUE"""),6.22147791461086E8)</f>
        <v>622147791.5</v>
      </c>
      <c r="D138" s="3">
        <f t="shared" si="2"/>
        <v>2017139.629</v>
      </c>
      <c r="E138" s="3">
        <f t="shared" si="3"/>
        <v>3612081.848</v>
      </c>
      <c r="F138" s="3" t="str">
        <f t="shared" si="1"/>
        <v>LDO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IFERROR(__xludf.DUMMYFUNCTION("""COMPUTED_VALUE"""),1.810638)</f>
        <v>1.810638</v>
      </c>
      <c r="C139" s="3">
        <f>IFERROR(__xludf.DUMMYFUNCTION("""COMPUTED_VALUE"""),6.24164581143469E8)</f>
        <v>624164581.1</v>
      </c>
      <c r="D139" s="3">
        <f t="shared" si="2"/>
        <v>2016789.682</v>
      </c>
      <c r="E139" s="3">
        <f t="shared" si="3"/>
        <v>3651676.037</v>
      </c>
      <c r="F139" s="3" t="str">
        <f t="shared" si="1"/>
        <v>LDO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IFERROR(__xludf.DUMMYFUNCTION("""COMPUTED_VALUE"""),1.700788)</f>
        <v>1.700788</v>
      </c>
      <c r="C140" s="3">
        <f>IFERROR(__xludf.DUMMYFUNCTION("""COMPUTED_VALUE"""),6.2617859458177E8)</f>
        <v>626178594.6</v>
      </c>
      <c r="D140" s="3">
        <f t="shared" si="2"/>
        <v>2014013.438</v>
      </c>
      <c r="E140" s="3">
        <f t="shared" si="3"/>
        <v>3425409.888</v>
      </c>
      <c r="F140" s="3" t="str">
        <f t="shared" si="1"/>
        <v>LDO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IFERROR(__xludf.DUMMYFUNCTION("""COMPUTED_VALUE"""),1.778309)</f>
        <v>1.778309</v>
      </c>
      <c r="C141" s="3">
        <f>IFERROR(__xludf.DUMMYFUNCTION("""COMPUTED_VALUE"""),6.28225363034288E8)</f>
        <v>628225363</v>
      </c>
      <c r="D141" s="3">
        <f t="shared" si="2"/>
        <v>2046768.453</v>
      </c>
      <c r="E141" s="3">
        <f t="shared" si="3"/>
        <v>3639786.76</v>
      </c>
      <c r="F141" s="3" t="str">
        <f t="shared" si="1"/>
        <v>LDO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IFERROR(__xludf.DUMMYFUNCTION("""COMPUTED_VALUE"""),1.900844)</f>
        <v>1.900844</v>
      </c>
      <c r="C142" s="3">
        <f>IFERROR(__xludf.DUMMYFUNCTION("""COMPUTED_VALUE"""),6.30223978816332E8)</f>
        <v>630223978.8</v>
      </c>
      <c r="D142" s="3">
        <f t="shared" si="2"/>
        <v>1998615.782</v>
      </c>
      <c r="E142" s="3">
        <f t="shared" si="3"/>
        <v>3799056.818</v>
      </c>
      <c r="F142" s="3" t="str">
        <f t="shared" si="1"/>
        <v>LDO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IFERROR(__xludf.DUMMYFUNCTION("""COMPUTED_VALUE"""),1.697008)</f>
        <v>1.697008</v>
      </c>
      <c r="C143" s="3">
        <f>IFERROR(__xludf.DUMMYFUNCTION("""COMPUTED_VALUE"""),6.32263703818952E8)</f>
        <v>632263703.8</v>
      </c>
      <c r="D143" s="3">
        <f t="shared" si="2"/>
        <v>2039725.003</v>
      </c>
      <c r="E143" s="3">
        <f t="shared" si="3"/>
        <v>3461429.647</v>
      </c>
      <c r="F143" s="3" t="str">
        <f t="shared" si="1"/>
        <v>LDO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IFERROR(__xludf.DUMMYFUNCTION("""COMPUTED_VALUE"""),1.810499)</f>
        <v>1.810499</v>
      </c>
      <c r="C144" s="3">
        <f>IFERROR(__xludf.DUMMYFUNCTION("""COMPUTED_VALUE"""),6.34265679089634E8)</f>
        <v>634265679.1</v>
      </c>
      <c r="D144" s="3">
        <f t="shared" si="2"/>
        <v>2001975.271</v>
      </c>
      <c r="E144" s="3">
        <f t="shared" si="3"/>
        <v>3624574.226</v>
      </c>
      <c r="F144" s="3" t="str">
        <f t="shared" si="1"/>
        <v>LDO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IFERROR(__xludf.DUMMYFUNCTION("""COMPUTED_VALUE"""),1.79194)</f>
        <v>1.79194</v>
      </c>
      <c r="C145" s="3">
        <f>IFERROR(__xludf.DUMMYFUNCTION("""COMPUTED_VALUE"""),6.36282772059186E8)</f>
        <v>636282772.1</v>
      </c>
      <c r="D145" s="3">
        <f t="shared" si="2"/>
        <v>2017092.97</v>
      </c>
      <c r="E145" s="3">
        <f t="shared" si="3"/>
        <v>3614509.576</v>
      </c>
      <c r="F145" s="3" t="str">
        <f t="shared" si="1"/>
        <v>LDO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IFERROR(__xludf.DUMMYFUNCTION("""COMPUTED_VALUE"""),1.819692)</f>
        <v>1.819692</v>
      </c>
      <c r="C146" s="3">
        <f>IFERROR(__xludf.DUMMYFUNCTION("""COMPUTED_VALUE"""),6.38298185284419E8)</f>
        <v>638298185.3</v>
      </c>
      <c r="D146" s="2">
        <f t="shared" ref="D146:D1000" si="4">IF(ISBLANK(A146),"",C146-C145)</f>
        <v>2015413.225</v>
      </c>
      <c r="E146" s="2">
        <f t="shared" ref="E146:E1000" si="5">IF(ISBLANK(A146),"",B146*D146)</f>
        <v>3667431.323</v>
      </c>
      <c r="F146" s="3" t="str">
        <f t="shared" si="1"/>
        <v>LDO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IFERROR(__xludf.DUMMYFUNCTION("""COMPUTED_VALUE"""),1.795037)</f>
        <v>1.795037</v>
      </c>
      <c r="C147" s="3">
        <f>IFERROR(__xludf.DUMMYFUNCTION("""COMPUTED_VALUE"""),6.40343553950005E8)</f>
        <v>640343554</v>
      </c>
      <c r="D147" s="2">
        <f t="shared" si="4"/>
        <v>2045368.666</v>
      </c>
      <c r="E147" s="2">
        <f t="shared" si="5"/>
        <v>3671512.433</v>
      </c>
      <c r="F147" s="3" t="str">
        <f t="shared" si="1"/>
        <v>LDO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IFERROR(__xludf.DUMMYFUNCTION("""COMPUTED_VALUE"""),1.753455)</f>
        <v>1.753455</v>
      </c>
      <c r="C148" s="3">
        <f>IFERROR(__xludf.DUMMYFUNCTION("""COMPUTED_VALUE"""),6.4243097143659E8)</f>
        <v>642430971.4</v>
      </c>
      <c r="D148" s="2">
        <f t="shared" si="4"/>
        <v>2087417.487</v>
      </c>
      <c r="E148" s="2">
        <f t="shared" si="5"/>
        <v>3660192.629</v>
      </c>
      <c r="F148" s="3" t="str">
        <f t="shared" si="1"/>
        <v>LDO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IFERROR(__xludf.DUMMYFUNCTION("""COMPUTED_VALUE"""),1.689893)</f>
        <v>1.689893</v>
      </c>
      <c r="C149" s="3">
        <f>IFERROR(__xludf.DUMMYFUNCTION("""COMPUTED_VALUE"""),6.44445264832277E8)</f>
        <v>644445264.8</v>
      </c>
      <c r="D149" s="2">
        <f t="shared" si="4"/>
        <v>2014293.396</v>
      </c>
      <c r="E149" s="2">
        <f t="shared" si="5"/>
        <v>3403940.309</v>
      </c>
      <c r="F149" s="3" t="str">
        <f t="shared" si="1"/>
        <v>LDO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3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3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3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3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3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3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3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3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3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3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3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3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3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3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3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3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3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3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3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3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3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3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3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3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3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3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3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3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3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3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3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3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3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3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3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3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3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3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3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3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3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3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3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3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3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3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3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3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3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3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3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3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3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3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3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3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3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3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3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3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3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3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3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3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3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3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3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3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3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3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3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3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3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3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3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3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3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3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3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3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3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3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3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3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3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3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3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3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3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3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3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3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3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3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3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3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3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3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3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3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3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3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3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3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3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3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3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3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3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3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3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3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3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3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3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3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3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3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3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3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3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3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3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3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3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3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3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3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3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3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3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3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3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3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3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3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3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3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3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3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3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3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3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3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3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3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3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3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3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3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3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3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3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3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3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3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3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3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3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3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3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3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3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3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3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3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3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3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3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3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3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3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3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3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3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3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3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3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3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3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3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3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3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3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3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3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3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3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3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3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3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3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3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3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3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3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3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3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3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3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3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3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3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3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3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3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3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3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3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3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3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3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3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3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3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3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3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3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3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3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3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3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3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3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3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3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3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3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3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3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3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3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3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3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3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3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3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3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3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3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3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3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3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3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3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3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3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3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3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3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3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3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3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3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3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3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3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3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3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3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3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3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3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3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3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3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3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3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3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3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3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3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3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3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3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3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3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3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3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3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3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3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3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3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3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3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3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3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3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3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3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3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3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3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3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3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3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3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3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3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3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3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3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3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3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3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3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3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3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3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3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3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3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3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3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3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3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3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3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3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3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3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3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3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3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3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3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3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3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3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3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3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3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3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3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3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3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3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3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3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3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3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3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3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3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3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3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3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3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3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3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3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3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3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3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3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3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3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3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3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3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3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3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3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3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3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3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3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3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3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3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3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3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3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3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3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3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3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3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3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3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3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3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3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3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3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3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3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3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3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3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3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3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3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3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3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3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3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3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3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3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3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3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3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3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3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3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3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3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3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3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3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3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3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3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3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3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3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3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3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3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3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3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3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3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3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3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3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3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3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3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3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3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3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3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3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3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3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3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3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3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3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3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3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3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3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3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3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3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3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3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3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3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3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3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3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3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3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3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3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3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3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3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3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3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3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3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3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3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3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3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3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3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3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3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3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3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3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3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3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3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3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3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3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3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3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3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3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3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3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3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3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3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3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3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3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3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3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3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3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3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3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3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3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3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3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3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3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3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3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3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3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3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3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3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3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3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3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3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3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3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3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3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3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3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3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3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3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3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3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3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3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3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3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3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3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3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3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3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3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3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3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3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3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3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3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3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3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3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3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3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3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3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3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3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3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3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3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3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3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3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3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3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3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3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3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3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3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3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3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3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3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3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3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3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3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3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3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3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3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3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3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3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3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3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3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3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3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3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3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3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3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3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3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3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3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3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3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3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3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3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3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3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3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3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3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3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3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3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3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3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3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3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3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3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3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3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3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3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3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3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3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3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3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3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3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3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3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3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3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3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3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3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3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3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3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3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3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3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3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3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3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3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3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3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3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3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3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3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3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3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3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3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3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3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3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3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3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3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3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3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3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3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3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3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3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3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3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3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3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3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3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3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3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3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3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3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3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3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3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3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3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3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3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3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3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3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3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3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3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3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3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3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3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3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3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3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3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3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3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3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3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3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3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3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3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3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3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3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3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3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3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3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3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3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3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3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3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3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3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3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3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3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3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3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3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3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3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3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3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3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3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3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3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3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3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3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3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3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3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3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3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3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3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3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3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3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3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3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3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3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3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3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3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3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3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3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3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3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3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3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3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3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3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3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3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3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3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3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3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3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3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3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3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3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3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3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3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3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3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3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3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3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3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3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3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3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3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3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3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3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3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3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3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3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3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3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3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3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3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3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3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3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3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3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3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3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3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3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3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3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3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3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3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3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3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3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3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3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3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3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3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3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3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3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3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3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3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3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3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3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3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3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3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3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3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3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3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3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3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3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3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3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3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3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3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3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3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3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3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3" t="str">
        <f t="shared" si="1"/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IFERROR(__xludf.DUMMYFUNCTION("QUERY({mkr_price!A2:B1000,ARRAYFORMULA(IFERROR(VLOOKUP(mkr_price!A2:A1000,mkr_supply!$A:B,2,0),""""))},""SELECT *"",0)"),"2022-05-01T00:00:00Z")</f>
        <v>2022-05-01T00:00:00Z</v>
      </c>
      <c r="B2" s="3">
        <f>IFERROR(__xludf.DUMMYFUNCTION("""COMPUTED_VALUE"""),1457.752182)</f>
        <v>1457.752182</v>
      </c>
      <c r="C2" s="3">
        <f>IFERROR(__xludf.DUMMYFUNCTION("""COMPUTED_VALUE"""),977631.036951)</f>
        <v>977631.037</v>
      </c>
      <c r="D2" s="1">
        <v>0.0</v>
      </c>
      <c r="E2" s="1">
        <v>0.0</v>
      </c>
      <c r="F2" s="2" t="str">
        <f t="shared" ref="F2:F1000" si="1">IF(ISBLANK(A2),"","MKR")</f>
        <v>MKR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IFERROR(__xludf.DUMMYFUNCTION("""COMPUTED_VALUE"""),1450.077344)</f>
        <v>1450.077344</v>
      </c>
      <c r="C3" s="3">
        <f>IFERROR(__xludf.DUMMYFUNCTION("""COMPUTED_VALUE"""),977631.036951)</f>
        <v>977631.037</v>
      </c>
      <c r="D3" s="3">
        <f t="shared" ref="D3:D145" si="2">C3-C2</f>
        <v>0</v>
      </c>
      <c r="E3" s="3">
        <f t="shared" ref="E3:E145" si="3">B3*D3</f>
        <v>0</v>
      </c>
      <c r="F3" s="2" t="str">
        <f t="shared" si="1"/>
        <v>MKR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IFERROR(__xludf.DUMMYFUNCTION("""COMPUTED_VALUE"""),1486.44658)</f>
        <v>1486.44658</v>
      </c>
      <c r="C4" s="3">
        <f>IFERROR(__xludf.DUMMYFUNCTION("""COMPUTED_VALUE"""),977631.036951)</f>
        <v>977631.037</v>
      </c>
      <c r="D4" s="3">
        <f t="shared" si="2"/>
        <v>0</v>
      </c>
      <c r="E4" s="3">
        <f t="shared" si="3"/>
        <v>0</v>
      </c>
      <c r="F4" s="2" t="str">
        <f t="shared" si="1"/>
        <v>MKR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IFERROR(__xludf.DUMMYFUNCTION("""COMPUTED_VALUE"""),1401.362372)</f>
        <v>1401.362372</v>
      </c>
      <c r="C5" s="3">
        <f>IFERROR(__xludf.DUMMYFUNCTION("""COMPUTED_VALUE"""),977631.036951)</f>
        <v>977631.037</v>
      </c>
      <c r="D5" s="3">
        <f t="shared" si="2"/>
        <v>0</v>
      </c>
      <c r="E5" s="3">
        <f t="shared" si="3"/>
        <v>0</v>
      </c>
      <c r="F5" s="2" t="str">
        <f t="shared" si="1"/>
        <v>MKR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IFERROR(__xludf.DUMMYFUNCTION("""COMPUTED_VALUE"""),1496.198432)</f>
        <v>1496.198432</v>
      </c>
      <c r="C6" s="3">
        <f>IFERROR(__xludf.DUMMYFUNCTION("""COMPUTED_VALUE"""),977631.036951)</f>
        <v>977631.037</v>
      </c>
      <c r="D6" s="3">
        <f t="shared" si="2"/>
        <v>0</v>
      </c>
      <c r="E6" s="3">
        <f t="shared" si="3"/>
        <v>0</v>
      </c>
      <c r="F6" s="2" t="str">
        <f t="shared" si="1"/>
        <v>MKR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IFERROR(__xludf.DUMMYFUNCTION("""COMPUTED_VALUE"""),1377.120061)</f>
        <v>1377.120061</v>
      </c>
      <c r="C7" s="3">
        <f>IFERROR(__xludf.DUMMYFUNCTION("""COMPUTED_VALUE"""),977631.036951)</f>
        <v>977631.037</v>
      </c>
      <c r="D7" s="3">
        <f t="shared" si="2"/>
        <v>0</v>
      </c>
      <c r="E7" s="3">
        <f t="shared" si="3"/>
        <v>0</v>
      </c>
      <c r="F7" s="2" t="str">
        <f t="shared" si="1"/>
        <v>MKR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IFERROR(__xludf.DUMMYFUNCTION("""COMPUTED_VALUE"""),1334.212568)</f>
        <v>1334.212568</v>
      </c>
      <c r="C8" s="3">
        <f>IFERROR(__xludf.DUMMYFUNCTION("""COMPUTED_VALUE"""),977631.036951)</f>
        <v>977631.037</v>
      </c>
      <c r="D8" s="3">
        <f t="shared" si="2"/>
        <v>0</v>
      </c>
      <c r="E8" s="3">
        <f t="shared" si="3"/>
        <v>0</v>
      </c>
      <c r="F8" s="2" t="str">
        <f t="shared" si="1"/>
        <v>MKR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IFERROR(__xludf.DUMMYFUNCTION("""COMPUTED_VALUE"""),1265.543785)</f>
        <v>1265.543785</v>
      </c>
      <c r="C9" s="3">
        <f>IFERROR(__xludf.DUMMYFUNCTION("""COMPUTED_VALUE"""),977631.036951)</f>
        <v>977631.037</v>
      </c>
      <c r="D9" s="3">
        <f t="shared" si="2"/>
        <v>0</v>
      </c>
      <c r="E9" s="3">
        <f t="shared" si="3"/>
        <v>0</v>
      </c>
      <c r="F9" s="2" t="str">
        <f t="shared" si="1"/>
        <v>MKR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IFERROR(__xludf.DUMMYFUNCTION("""COMPUTED_VALUE"""),1192.77374)</f>
        <v>1192.77374</v>
      </c>
      <c r="C10" s="3">
        <f>IFERROR(__xludf.DUMMYFUNCTION("""COMPUTED_VALUE"""),977631.036951)</f>
        <v>977631.037</v>
      </c>
      <c r="D10" s="3">
        <f t="shared" si="2"/>
        <v>0</v>
      </c>
      <c r="E10" s="3">
        <f t="shared" si="3"/>
        <v>0</v>
      </c>
      <c r="F10" s="2" t="str">
        <f t="shared" si="1"/>
        <v>MKR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IFERROR(__xludf.DUMMYFUNCTION("""COMPUTED_VALUE"""),1050.135049)</f>
        <v>1050.135049</v>
      </c>
      <c r="C11" s="3">
        <f>IFERROR(__xludf.DUMMYFUNCTION("""COMPUTED_VALUE"""),977631.036951)</f>
        <v>977631.037</v>
      </c>
      <c r="D11" s="3">
        <f t="shared" si="2"/>
        <v>0</v>
      </c>
      <c r="E11" s="3">
        <f t="shared" si="3"/>
        <v>0</v>
      </c>
      <c r="F11" s="2" t="str">
        <f t="shared" si="1"/>
        <v>MKR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IFERROR(__xludf.DUMMYFUNCTION("""COMPUTED_VALUE"""),1221.570307)</f>
        <v>1221.570307</v>
      </c>
      <c r="C12" s="3">
        <f>IFERROR(__xludf.DUMMYFUNCTION("""COMPUTED_VALUE"""),977631.036951)</f>
        <v>977631.037</v>
      </c>
      <c r="D12" s="3">
        <f t="shared" si="2"/>
        <v>0</v>
      </c>
      <c r="E12" s="3">
        <f t="shared" si="3"/>
        <v>0</v>
      </c>
      <c r="F12" s="2" t="str">
        <f t="shared" si="1"/>
        <v>MKR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IFERROR(__xludf.DUMMYFUNCTION("""COMPUTED_VALUE"""),1127.40757)</f>
        <v>1127.40757</v>
      </c>
      <c r="C13" s="3">
        <f>IFERROR(__xludf.DUMMYFUNCTION("""COMPUTED_VALUE"""),977631.036951)</f>
        <v>977631.037</v>
      </c>
      <c r="D13" s="3">
        <f t="shared" si="2"/>
        <v>0</v>
      </c>
      <c r="E13" s="3">
        <f t="shared" si="3"/>
        <v>0</v>
      </c>
      <c r="F13" s="2" t="str">
        <f t="shared" si="1"/>
        <v>MKR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IFERROR(__xludf.DUMMYFUNCTION("""COMPUTED_VALUE"""),1335.206943)</f>
        <v>1335.206943</v>
      </c>
      <c r="C14" s="3">
        <f>IFERROR(__xludf.DUMMYFUNCTION("""COMPUTED_VALUE"""),977631.036951)</f>
        <v>977631.037</v>
      </c>
      <c r="D14" s="3">
        <f t="shared" si="2"/>
        <v>0</v>
      </c>
      <c r="E14" s="3">
        <f t="shared" si="3"/>
        <v>0</v>
      </c>
      <c r="F14" s="2" t="str">
        <f t="shared" si="1"/>
        <v>MKR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IFERROR(__xludf.DUMMYFUNCTION("""COMPUTED_VALUE"""),1381.975763)</f>
        <v>1381.975763</v>
      </c>
      <c r="C15" s="3">
        <f>IFERROR(__xludf.DUMMYFUNCTION("""COMPUTED_VALUE"""),977631.036951)</f>
        <v>977631.037</v>
      </c>
      <c r="D15" s="3">
        <f t="shared" si="2"/>
        <v>0</v>
      </c>
      <c r="E15" s="3">
        <f t="shared" si="3"/>
        <v>0</v>
      </c>
      <c r="F15" s="2" t="str">
        <f t="shared" si="1"/>
        <v>MKR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IFERROR(__xludf.DUMMYFUNCTION("""COMPUTED_VALUE"""),1561.657775)</f>
        <v>1561.657775</v>
      </c>
      <c r="C16" s="3">
        <f>IFERROR(__xludf.DUMMYFUNCTION("""COMPUTED_VALUE"""),977631.036951)</f>
        <v>977631.037</v>
      </c>
      <c r="D16" s="3">
        <f t="shared" si="2"/>
        <v>0</v>
      </c>
      <c r="E16" s="3">
        <f t="shared" si="3"/>
        <v>0</v>
      </c>
      <c r="F16" s="2" t="str">
        <f t="shared" si="1"/>
        <v>MKR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IFERROR(__xludf.DUMMYFUNCTION("""COMPUTED_VALUE"""),1573.207825)</f>
        <v>1573.207825</v>
      </c>
      <c r="C17" s="3">
        <f>IFERROR(__xludf.DUMMYFUNCTION("""COMPUTED_VALUE"""),977631.036951)</f>
        <v>977631.037</v>
      </c>
      <c r="D17" s="3">
        <f t="shared" si="2"/>
        <v>0</v>
      </c>
      <c r="E17" s="3">
        <f t="shared" si="3"/>
        <v>0</v>
      </c>
      <c r="F17" s="2" t="str">
        <f t="shared" si="1"/>
        <v>MKR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IFERROR(__xludf.DUMMYFUNCTION("""COMPUTED_VALUE"""),1529.341422)</f>
        <v>1529.341422</v>
      </c>
      <c r="C18" s="3">
        <f>IFERROR(__xludf.DUMMYFUNCTION("""COMPUTED_VALUE"""),977631.036951)</f>
        <v>977631.037</v>
      </c>
      <c r="D18" s="3">
        <f t="shared" si="2"/>
        <v>0</v>
      </c>
      <c r="E18" s="3">
        <f t="shared" si="3"/>
        <v>0</v>
      </c>
      <c r="F18" s="2" t="str">
        <f t="shared" si="1"/>
        <v>MKR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IFERROR(__xludf.DUMMYFUNCTION("""COMPUTED_VALUE"""),1570.414877)</f>
        <v>1570.414877</v>
      </c>
      <c r="C19" s="3">
        <f>IFERROR(__xludf.DUMMYFUNCTION("""COMPUTED_VALUE"""),977631.036951)</f>
        <v>977631.037</v>
      </c>
      <c r="D19" s="3">
        <f t="shared" si="2"/>
        <v>0</v>
      </c>
      <c r="E19" s="3">
        <f t="shared" si="3"/>
        <v>0</v>
      </c>
      <c r="F19" s="2" t="str">
        <f t="shared" si="1"/>
        <v>MKR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IFERROR(__xludf.DUMMYFUNCTION("""COMPUTED_VALUE"""),1432.219514)</f>
        <v>1432.219514</v>
      </c>
      <c r="C20" s="3">
        <f>IFERROR(__xludf.DUMMYFUNCTION("""COMPUTED_VALUE"""),977631.036951)</f>
        <v>977631.037</v>
      </c>
      <c r="D20" s="3">
        <f t="shared" si="2"/>
        <v>0</v>
      </c>
      <c r="E20" s="3">
        <f t="shared" si="3"/>
        <v>0</v>
      </c>
      <c r="F20" s="2" t="str">
        <f t="shared" si="1"/>
        <v>MKR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IFERROR(__xludf.DUMMYFUNCTION("""COMPUTED_VALUE"""),1433.37382)</f>
        <v>1433.37382</v>
      </c>
      <c r="C21" s="3">
        <f>IFERROR(__xludf.DUMMYFUNCTION("""COMPUTED_VALUE"""),977631.036951)</f>
        <v>977631.037</v>
      </c>
      <c r="D21" s="3">
        <f t="shared" si="2"/>
        <v>0</v>
      </c>
      <c r="E21" s="3">
        <f t="shared" si="3"/>
        <v>0</v>
      </c>
      <c r="F21" s="2" t="str">
        <f t="shared" si="1"/>
        <v>MKR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IFERROR(__xludf.DUMMYFUNCTION("""COMPUTED_VALUE"""),1391.474934)</f>
        <v>1391.474934</v>
      </c>
      <c r="C22" s="3">
        <f>IFERROR(__xludf.DUMMYFUNCTION("""COMPUTED_VALUE"""),977631.036951)</f>
        <v>977631.037</v>
      </c>
      <c r="D22" s="3">
        <f t="shared" si="2"/>
        <v>0</v>
      </c>
      <c r="E22" s="3">
        <f t="shared" si="3"/>
        <v>0</v>
      </c>
      <c r="F22" s="2" t="str">
        <f t="shared" si="1"/>
        <v>MKR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IFERROR(__xludf.DUMMYFUNCTION("""COMPUTED_VALUE"""),1398.341332)</f>
        <v>1398.341332</v>
      </c>
      <c r="C23" s="3">
        <f>IFERROR(__xludf.DUMMYFUNCTION("""COMPUTED_VALUE"""),977631.036951)</f>
        <v>977631.037</v>
      </c>
      <c r="D23" s="3">
        <f t="shared" si="2"/>
        <v>0</v>
      </c>
      <c r="E23" s="3">
        <f t="shared" si="3"/>
        <v>0</v>
      </c>
      <c r="F23" s="2" t="str">
        <f t="shared" si="1"/>
        <v>MKR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IFERROR(__xludf.DUMMYFUNCTION("""COMPUTED_VALUE"""),1429.822309)</f>
        <v>1429.822309</v>
      </c>
      <c r="C24" s="3">
        <f>IFERROR(__xludf.DUMMYFUNCTION("""COMPUTED_VALUE"""),977631.036951)</f>
        <v>977631.037</v>
      </c>
      <c r="D24" s="3">
        <f t="shared" si="2"/>
        <v>0</v>
      </c>
      <c r="E24" s="3">
        <f t="shared" si="3"/>
        <v>0</v>
      </c>
      <c r="F24" s="2" t="str">
        <f t="shared" si="1"/>
        <v>MKR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IFERROR(__xludf.DUMMYFUNCTION("""COMPUTED_VALUE"""),1302.794573)</f>
        <v>1302.794573</v>
      </c>
      <c r="C25" s="3">
        <f>IFERROR(__xludf.DUMMYFUNCTION("""COMPUTED_VALUE"""),977631.036951)</f>
        <v>977631.037</v>
      </c>
      <c r="D25" s="3">
        <f t="shared" si="2"/>
        <v>0</v>
      </c>
      <c r="E25" s="3">
        <f t="shared" si="3"/>
        <v>0</v>
      </c>
      <c r="F25" s="2" t="str">
        <f t="shared" si="1"/>
        <v>MKR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IFERROR(__xludf.DUMMYFUNCTION("""COMPUTED_VALUE"""),1292.769131)</f>
        <v>1292.769131</v>
      </c>
      <c r="C26" s="3">
        <f>IFERROR(__xludf.DUMMYFUNCTION("""COMPUTED_VALUE"""),977631.036951)</f>
        <v>977631.037</v>
      </c>
      <c r="D26" s="3">
        <f t="shared" si="2"/>
        <v>0</v>
      </c>
      <c r="E26" s="3">
        <f t="shared" si="3"/>
        <v>0</v>
      </c>
      <c r="F26" s="2" t="str">
        <f t="shared" si="1"/>
        <v>MKR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IFERROR(__xludf.DUMMYFUNCTION("""COMPUTED_VALUE"""),1260.950226)</f>
        <v>1260.950226</v>
      </c>
      <c r="C27" s="3">
        <f>IFERROR(__xludf.DUMMYFUNCTION("""COMPUTED_VALUE"""),977631.036951)</f>
        <v>977631.037</v>
      </c>
      <c r="D27" s="3">
        <f t="shared" si="2"/>
        <v>0</v>
      </c>
      <c r="E27" s="3">
        <f t="shared" si="3"/>
        <v>0</v>
      </c>
      <c r="F27" s="2" t="str">
        <f t="shared" si="1"/>
        <v>MKR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IFERROR(__xludf.DUMMYFUNCTION("""COMPUTED_VALUE"""),1148.732535)</f>
        <v>1148.732535</v>
      </c>
      <c r="C28" s="3">
        <f>IFERROR(__xludf.DUMMYFUNCTION("""COMPUTED_VALUE"""),977631.036951)</f>
        <v>977631.037</v>
      </c>
      <c r="D28" s="3">
        <f t="shared" si="2"/>
        <v>0</v>
      </c>
      <c r="E28" s="3">
        <f t="shared" si="3"/>
        <v>0</v>
      </c>
      <c r="F28" s="2" t="str">
        <f t="shared" si="1"/>
        <v>MKR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IFERROR(__xludf.DUMMYFUNCTION("""COMPUTED_VALUE"""),1119.690848)</f>
        <v>1119.690848</v>
      </c>
      <c r="C29" s="3">
        <f>IFERROR(__xludf.DUMMYFUNCTION("""COMPUTED_VALUE"""),977631.036951)</f>
        <v>977631.037</v>
      </c>
      <c r="D29" s="3">
        <f t="shared" si="2"/>
        <v>0</v>
      </c>
      <c r="E29" s="3">
        <f t="shared" si="3"/>
        <v>0</v>
      </c>
      <c r="F29" s="2" t="str">
        <f t="shared" si="1"/>
        <v>MKR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IFERROR(__xludf.DUMMYFUNCTION("""COMPUTED_VALUE"""),1209.725863)</f>
        <v>1209.725863</v>
      </c>
      <c r="C30" s="3">
        <f>IFERROR(__xludf.DUMMYFUNCTION("""COMPUTED_VALUE"""),977631.036951)</f>
        <v>977631.037</v>
      </c>
      <c r="D30" s="3">
        <f t="shared" si="2"/>
        <v>0</v>
      </c>
      <c r="E30" s="3">
        <f t="shared" si="3"/>
        <v>0</v>
      </c>
      <c r="F30" s="2" t="str">
        <f t="shared" si="1"/>
        <v>MKR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IFERROR(__xludf.DUMMYFUNCTION("""COMPUTED_VALUE"""),1193.138958)</f>
        <v>1193.138958</v>
      </c>
      <c r="C31" s="3">
        <f>IFERROR(__xludf.DUMMYFUNCTION("""COMPUTED_VALUE"""),977631.036951)</f>
        <v>977631.037</v>
      </c>
      <c r="D31" s="3">
        <f t="shared" si="2"/>
        <v>0</v>
      </c>
      <c r="E31" s="3">
        <f t="shared" si="3"/>
        <v>0</v>
      </c>
      <c r="F31" s="2" t="str">
        <f t="shared" si="1"/>
        <v>MKR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IFERROR(__xludf.DUMMYFUNCTION("""COMPUTED_VALUE"""),1369.335622)</f>
        <v>1369.335622</v>
      </c>
      <c r="C32" s="3">
        <f>IFERROR(__xludf.DUMMYFUNCTION("""COMPUTED_VALUE"""),977631.036951)</f>
        <v>977631.037</v>
      </c>
      <c r="D32" s="3">
        <f t="shared" si="2"/>
        <v>0</v>
      </c>
      <c r="E32" s="3">
        <f t="shared" si="3"/>
        <v>0</v>
      </c>
      <c r="F32" s="2" t="str">
        <f t="shared" si="1"/>
        <v>MKR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IFERROR(__xludf.DUMMYFUNCTION("""COMPUTED_VALUE"""),1321.135149)</f>
        <v>1321.135149</v>
      </c>
      <c r="C33" s="3">
        <f>IFERROR(__xludf.DUMMYFUNCTION("""COMPUTED_VALUE"""),977631.036951)</f>
        <v>977631.037</v>
      </c>
      <c r="D33" s="3">
        <f t="shared" si="2"/>
        <v>0</v>
      </c>
      <c r="E33" s="3">
        <f t="shared" si="3"/>
        <v>0</v>
      </c>
      <c r="F33" s="2" t="str">
        <f t="shared" si="1"/>
        <v>MKR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IFERROR(__xludf.DUMMYFUNCTION("""COMPUTED_VALUE"""),1208.792993)</f>
        <v>1208.792993</v>
      </c>
      <c r="C34" s="3">
        <f>IFERROR(__xludf.DUMMYFUNCTION("""COMPUTED_VALUE"""),977631.036951)</f>
        <v>977631.037</v>
      </c>
      <c r="D34" s="3">
        <f t="shared" si="2"/>
        <v>0</v>
      </c>
      <c r="E34" s="3">
        <f t="shared" si="3"/>
        <v>0</v>
      </c>
      <c r="F34" s="2" t="str">
        <f t="shared" si="1"/>
        <v>MKR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IFERROR(__xludf.DUMMYFUNCTION("""COMPUTED_VALUE"""),1205.110507)</f>
        <v>1205.110507</v>
      </c>
      <c r="C35" s="3">
        <f>IFERROR(__xludf.DUMMYFUNCTION("""COMPUTED_VALUE"""),977631.036951)</f>
        <v>977631.037</v>
      </c>
      <c r="D35" s="3">
        <f t="shared" si="2"/>
        <v>0</v>
      </c>
      <c r="E35" s="3">
        <f t="shared" si="3"/>
        <v>0</v>
      </c>
      <c r="F35" s="2" t="str">
        <f t="shared" si="1"/>
        <v>MKR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IFERROR(__xludf.DUMMYFUNCTION("""COMPUTED_VALUE"""),1146.076319)</f>
        <v>1146.076319</v>
      </c>
      <c r="C36" s="3">
        <f>IFERROR(__xludf.DUMMYFUNCTION("""COMPUTED_VALUE"""),977631.036951)</f>
        <v>977631.037</v>
      </c>
      <c r="D36" s="3">
        <f t="shared" si="2"/>
        <v>0</v>
      </c>
      <c r="E36" s="3">
        <f t="shared" si="3"/>
        <v>0</v>
      </c>
      <c r="F36" s="2" t="str">
        <f t="shared" si="1"/>
        <v>MKR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IFERROR(__xludf.DUMMYFUNCTION("""COMPUTED_VALUE"""),1172.772392)</f>
        <v>1172.772392</v>
      </c>
      <c r="C37" s="3">
        <f>IFERROR(__xludf.DUMMYFUNCTION("""COMPUTED_VALUE"""),977631.036951)</f>
        <v>977631.037</v>
      </c>
      <c r="D37" s="3">
        <f t="shared" si="2"/>
        <v>0</v>
      </c>
      <c r="E37" s="3">
        <f t="shared" si="3"/>
        <v>0</v>
      </c>
      <c r="F37" s="2" t="str">
        <f t="shared" si="1"/>
        <v>MKR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IFERROR(__xludf.DUMMYFUNCTION("""COMPUTED_VALUE"""),1179.512609)</f>
        <v>1179.512609</v>
      </c>
      <c r="C38" s="3">
        <f>IFERROR(__xludf.DUMMYFUNCTION("""COMPUTED_VALUE"""),977631.036951)</f>
        <v>977631.037</v>
      </c>
      <c r="D38" s="3">
        <f t="shared" si="2"/>
        <v>0</v>
      </c>
      <c r="E38" s="3">
        <f t="shared" si="3"/>
        <v>0</v>
      </c>
      <c r="F38" s="2" t="str">
        <f t="shared" si="1"/>
        <v>MKR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IFERROR(__xludf.DUMMYFUNCTION("""COMPUTED_VALUE"""),1211.12221)</f>
        <v>1211.12221</v>
      </c>
      <c r="C39" s="3">
        <f>IFERROR(__xludf.DUMMYFUNCTION("""COMPUTED_VALUE"""),977631.036951)</f>
        <v>977631.037</v>
      </c>
      <c r="D39" s="3">
        <f t="shared" si="2"/>
        <v>0</v>
      </c>
      <c r="E39" s="3">
        <f t="shared" si="3"/>
        <v>0</v>
      </c>
      <c r="F39" s="2" t="str">
        <f t="shared" si="1"/>
        <v>MKR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IFERROR(__xludf.DUMMYFUNCTION("""COMPUTED_VALUE"""),1157.321912)</f>
        <v>1157.321912</v>
      </c>
      <c r="C40" s="3">
        <f>IFERROR(__xludf.DUMMYFUNCTION("""COMPUTED_VALUE"""),977631.036951)</f>
        <v>977631.037</v>
      </c>
      <c r="D40" s="3">
        <f t="shared" si="2"/>
        <v>0</v>
      </c>
      <c r="E40" s="3">
        <f t="shared" si="3"/>
        <v>0</v>
      </c>
      <c r="F40" s="2" t="str">
        <f t="shared" si="1"/>
        <v>MKR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IFERROR(__xludf.DUMMYFUNCTION("""COMPUTED_VALUE"""),1154.816034)</f>
        <v>1154.816034</v>
      </c>
      <c r="C41" s="3">
        <f>IFERROR(__xludf.DUMMYFUNCTION("""COMPUTED_VALUE"""),977631.036951)</f>
        <v>977631.037</v>
      </c>
      <c r="D41" s="3">
        <f t="shared" si="2"/>
        <v>0</v>
      </c>
      <c r="E41" s="3">
        <f t="shared" si="3"/>
        <v>0</v>
      </c>
      <c r="F41" s="2" t="str">
        <f t="shared" si="1"/>
        <v>MKR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IFERROR(__xludf.DUMMYFUNCTION("""COMPUTED_VALUE"""),1134.550694)</f>
        <v>1134.550694</v>
      </c>
      <c r="C42" s="3">
        <f>IFERROR(__xludf.DUMMYFUNCTION("""COMPUTED_VALUE"""),977631.036951)</f>
        <v>977631.037</v>
      </c>
      <c r="D42" s="3">
        <f t="shared" si="2"/>
        <v>0</v>
      </c>
      <c r="E42" s="3">
        <f t="shared" si="3"/>
        <v>0</v>
      </c>
      <c r="F42" s="2" t="str">
        <f t="shared" si="1"/>
        <v>MKR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IFERROR(__xludf.DUMMYFUNCTION("""COMPUTED_VALUE"""),1044.750473)</f>
        <v>1044.750473</v>
      </c>
      <c r="C43" s="3">
        <f>IFERROR(__xludf.DUMMYFUNCTION("""COMPUTED_VALUE"""),977631.036951)</f>
        <v>977631.037</v>
      </c>
      <c r="D43" s="3">
        <f t="shared" si="2"/>
        <v>0</v>
      </c>
      <c r="E43" s="3">
        <f t="shared" si="3"/>
        <v>0</v>
      </c>
      <c r="F43" s="2" t="str">
        <f t="shared" si="1"/>
        <v>MKR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IFERROR(__xludf.DUMMYFUNCTION("""COMPUTED_VALUE"""),989.129324)</f>
        <v>989.129324</v>
      </c>
      <c r="C44" s="3">
        <f>IFERROR(__xludf.DUMMYFUNCTION("""COMPUTED_VALUE"""),977631.036951)</f>
        <v>977631.037</v>
      </c>
      <c r="D44" s="3">
        <f t="shared" si="2"/>
        <v>0</v>
      </c>
      <c r="E44" s="3">
        <f t="shared" si="3"/>
        <v>0</v>
      </c>
      <c r="F44" s="2" t="str">
        <f t="shared" si="1"/>
        <v>MKR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IFERROR(__xludf.DUMMYFUNCTION("""COMPUTED_VALUE"""),911.177587)</f>
        <v>911.177587</v>
      </c>
      <c r="C45" s="3">
        <f>IFERROR(__xludf.DUMMYFUNCTION("""COMPUTED_VALUE"""),977631.036951)</f>
        <v>977631.037</v>
      </c>
      <c r="D45" s="3">
        <f t="shared" si="2"/>
        <v>0</v>
      </c>
      <c r="E45" s="3">
        <f t="shared" si="3"/>
        <v>0</v>
      </c>
      <c r="F45" s="2" t="str">
        <f t="shared" si="1"/>
        <v>MKR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IFERROR(__xludf.DUMMYFUNCTION("""COMPUTED_VALUE"""),761.449712)</f>
        <v>761.449712</v>
      </c>
      <c r="C46" s="3">
        <f>IFERROR(__xludf.DUMMYFUNCTION("""COMPUTED_VALUE"""),977631.036951)</f>
        <v>977631.037</v>
      </c>
      <c r="D46" s="3">
        <f t="shared" si="2"/>
        <v>0</v>
      </c>
      <c r="E46" s="3">
        <f t="shared" si="3"/>
        <v>0</v>
      </c>
      <c r="F46" s="2" t="str">
        <f t="shared" si="1"/>
        <v>MKR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IFERROR(__xludf.DUMMYFUNCTION("""COMPUTED_VALUE"""),786.233662)</f>
        <v>786.233662</v>
      </c>
      <c r="C47" s="3">
        <f>IFERROR(__xludf.DUMMYFUNCTION("""COMPUTED_VALUE"""),977631.036951)</f>
        <v>977631.037</v>
      </c>
      <c r="D47" s="3">
        <f t="shared" si="2"/>
        <v>0</v>
      </c>
      <c r="E47" s="3">
        <f t="shared" si="3"/>
        <v>0</v>
      </c>
      <c r="F47" s="2" t="str">
        <f t="shared" si="1"/>
        <v>MKR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IFERROR(__xludf.DUMMYFUNCTION("""COMPUTED_VALUE"""),827.117699)</f>
        <v>827.117699</v>
      </c>
      <c r="C48" s="3">
        <f>IFERROR(__xludf.DUMMYFUNCTION("""COMPUTED_VALUE"""),977631.036951)</f>
        <v>977631.037</v>
      </c>
      <c r="D48" s="3">
        <f t="shared" si="2"/>
        <v>0</v>
      </c>
      <c r="E48" s="3">
        <f t="shared" si="3"/>
        <v>0</v>
      </c>
      <c r="F48" s="2" t="str">
        <f t="shared" si="1"/>
        <v>MKR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IFERROR(__xludf.DUMMYFUNCTION("""COMPUTED_VALUE"""),735.138136)</f>
        <v>735.138136</v>
      </c>
      <c r="C49" s="3">
        <f>IFERROR(__xludf.DUMMYFUNCTION("""COMPUTED_VALUE"""),977631.036951)</f>
        <v>977631.037</v>
      </c>
      <c r="D49" s="3">
        <f t="shared" si="2"/>
        <v>0</v>
      </c>
      <c r="E49" s="3">
        <f t="shared" si="3"/>
        <v>0</v>
      </c>
      <c r="F49" s="2" t="str">
        <f t="shared" si="1"/>
        <v>MKR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IFERROR(__xludf.DUMMYFUNCTION("""COMPUTED_VALUE"""),766.259839)</f>
        <v>766.259839</v>
      </c>
      <c r="C50" s="3">
        <f>IFERROR(__xludf.DUMMYFUNCTION("""COMPUTED_VALUE"""),977631.036951)</f>
        <v>977631.037</v>
      </c>
      <c r="D50" s="3">
        <f t="shared" si="2"/>
        <v>0</v>
      </c>
      <c r="E50" s="3">
        <f t="shared" si="3"/>
        <v>0</v>
      </c>
      <c r="F50" s="2" t="str">
        <f t="shared" si="1"/>
        <v>MKR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IFERROR(__xludf.DUMMYFUNCTION("""COMPUTED_VALUE"""),731.937656)</f>
        <v>731.937656</v>
      </c>
      <c r="C51" s="3">
        <f>IFERROR(__xludf.DUMMYFUNCTION("""COMPUTED_VALUE"""),977631.036951)</f>
        <v>977631.037</v>
      </c>
      <c r="D51" s="3">
        <f t="shared" si="2"/>
        <v>0</v>
      </c>
      <c r="E51" s="3">
        <f t="shared" si="3"/>
        <v>0</v>
      </c>
      <c r="F51" s="2" t="str">
        <f t="shared" si="1"/>
        <v>MKR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IFERROR(__xludf.DUMMYFUNCTION("""COMPUTED_VALUE"""),905.245616)</f>
        <v>905.245616</v>
      </c>
      <c r="C52" s="3">
        <f>IFERROR(__xludf.DUMMYFUNCTION("""COMPUTED_VALUE"""),977631.036951)</f>
        <v>977631.037</v>
      </c>
      <c r="D52" s="3">
        <f t="shared" si="2"/>
        <v>0</v>
      </c>
      <c r="E52" s="3">
        <f t="shared" si="3"/>
        <v>0</v>
      </c>
      <c r="F52" s="2" t="str">
        <f t="shared" si="1"/>
        <v>MKR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IFERROR(__xludf.DUMMYFUNCTION("""COMPUTED_VALUE"""),899.822742)</f>
        <v>899.822742</v>
      </c>
      <c r="C53" s="3">
        <f>IFERROR(__xludf.DUMMYFUNCTION("""COMPUTED_VALUE"""),977631.036951)</f>
        <v>977631.037</v>
      </c>
      <c r="D53" s="3">
        <f t="shared" si="2"/>
        <v>0</v>
      </c>
      <c r="E53" s="3">
        <f t="shared" si="3"/>
        <v>0</v>
      </c>
      <c r="F53" s="2" t="str">
        <f t="shared" si="1"/>
        <v>MKR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IFERROR(__xludf.DUMMYFUNCTION("""COMPUTED_VALUE"""),920.875115)</f>
        <v>920.875115</v>
      </c>
      <c r="C54" s="3">
        <f>IFERROR(__xludf.DUMMYFUNCTION("""COMPUTED_VALUE"""),977631.036951)</f>
        <v>977631.037</v>
      </c>
      <c r="D54" s="3">
        <f t="shared" si="2"/>
        <v>0</v>
      </c>
      <c r="E54" s="3">
        <f t="shared" si="3"/>
        <v>0</v>
      </c>
      <c r="F54" s="2" t="str">
        <f t="shared" si="1"/>
        <v>MKR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IFERROR(__xludf.DUMMYFUNCTION("""COMPUTED_VALUE"""),882.796852)</f>
        <v>882.796852</v>
      </c>
      <c r="C55" s="3">
        <f>IFERROR(__xludf.DUMMYFUNCTION("""COMPUTED_VALUE"""),977631.036951)</f>
        <v>977631.037</v>
      </c>
      <c r="D55" s="3">
        <f t="shared" si="2"/>
        <v>0</v>
      </c>
      <c r="E55" s="3">
        <f t="shared" si="3"/>
        <v>0</v>
      </c>
      <c r="F55" s="2" t="str">
        <f t="shared" si="1"/>
        <v>MKR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IFERROR(__xludf.DUMMYFUNCTION("""COMPUTED_VALUE"""),977.29259)</f>
        <v>977.29259</v>
      </c>
      <c r="C56" s="3">
        <f>IFERROR(__xludf.DUMMYFUNCTION("""COMPUTED_VALUE"""),977631.036951)</f>
        <v>977631.037</v>
      </c>
      <c r="D56" s="3">
        <f t="shared" si="2"/>
        <v>0</v>
      </c>
      <c r="E56" s="3">
        <f t="shared" si="3"/>
        <v>0</v>
      </c>
      <c r="F56" s="2" t="str">
        <f t="shared" si="1"/>
        <v>MKR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IFERROR(__xludf.DUMMYFUNCTION("""COMPUTED_VALUE"""),1050.843273)</f>
        <v>1050.843273</v>
      </c>
      <c r="C57" s="3">
        <f>IFERROR(__xludf.DUMMYFUNCTION("""COMPUTED_VALUE"""),977631.036951)</f>
        <v>977631.037</v>
      </c>
      <c r="D57" s="3">
        <f t="shared" si="2"/>
        <v>0</v>
      </c>
      <c r="E57" s="3">
        <f t="shared" si="3"/>
        <v>0</v>
      </c>
      <c r="F57" s="2" t="str">
        <f t="shared" si="1"/>
        <v>MKR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IFERROR(__xludf.DUMMYFUNCTION("""COMPUTED_VALUE"""),1034.220757)</f>
        <v>1034.220757</v>
      </c>
      <c r="C58" s="3">
        <f>IFERROR(__xludf.DUMMYFUNCTION("""COMPUTED_VALUE"""),977631.036951)</f>
        <v>977631.037</v>
      </c>
      <c r="D58" s="3">
        <f t="shared" si="2"/>
        <v>0</v>
      </c>
      <c r="E58" s="3">
        <f t="shared" si="3"/>
        <v>0</v>
      </c>
      <c r="F58" s="2" t="str">
        <f t="shared" si="1"/>
        <v>MKR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IFERROR(__xludf.DUMMYFUNCTION("""COMPUTED_VALUE"""),1000.608405)</f>
        <v>1000.608405</v>
      </c>
      <c r="C59" s="3">
        <f>IFERROR(__xludf.DUMMYFUNCTION("""COMPUTED_VALUE"""),977631.036951)</f>
        <v>977631.037</v>
      </c>
      <c r="D59" s="3">
        <f t="shared" si="2"/>
        <v>0</v>
      </c>
      <c r="E59" s="3">
        <f t="shared" si="3"/>
        <v>0</v>
      </c>
      <c r="F59" s="2" t="str">
        <f t="shared" si="1"/>
        <v>MKR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IFERROR(__xludf.DUMMYFUNCTION("""COMPUTED_VALUE"""),1000.902162)</f>
        <v>1000.902162</v>
      </c>
      <c r="C60" s="3">
        <f>IFERROR(__xludf.DUMMYFUNCTION("""COMPUTED_VALUE"""),977631.036951)</f>
        <v>977631.037</v>
      </c>
      <c r="D60" s="3">
        <f t="shared" si="2"/>
        <v>0</v>
      </c>
      <c r="E60" s="3">
        <f t="shared" si="3"/>
        <v>0</v>
      </c>
      <c r="F60" s="2" t="str">
        <f t="shared" si="1"/>
        <v>MKR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IFERROR(__xludf.DUMMYFUNCTION("""COMPUTED_VALUE"""),944.907829)</f>
        <v>944.907829</v>
      </c>
      <c r="C61" s="3">
        <f>IFERROR(__xludf.DUMMYFUNCTION("""COMPUTED_VALUE"""),977631.036951)</f>
        <v>977631.037</v>
      </c>
      <c r="D61" s="3">
        <f t="shared" si="2"/>
        <v>0</v>
      </c>
      <c r="E61" s="3">
        <f t="shared" si="3"/>
        <v>0</v>
      </c>
      <c r="F61" s="2" t="str">
        <f t="shared" si="1"/>
        <v>MKR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IFERROR(__xludf.DUMMYFUNCTION("""COMPUTED_VALUE"""),910.085481)</f>
        <v>910.085481</v>
      </c>
      <c r="C62" s="3">
        <f>IFERROR(__xludf.DUMMYFUNCTION("""COMPUTED_VALUE"""),977631.036951)</f>
        <v>977631.037</v>
      </c>
      <c r="D62" s="3">
        <f t="shared" si="2"/>
        <v>0</v>
      </c>
      <c r="E62" s="3">
        <f t="shared" si="3"/>
        <v>0</v>
      </c>
      <c r="F62" s="2" t="str">
        <f t="shared" si="1"/>
        <v>MKR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IFERROR(__xludf.DUMMYFUNCTION("""COMPUTED_VALUE"""),907.708961)</f>
        <v>907.708961</v>
      </c>
      <c r="C63" s="3">
        <f>IFERROR(__xludf.DUMMYFUNCTION("""COMPUTED_VALUE"""),977631.036951)</f>
        <v>977631.037</v>
      </c>
      <c r="D63" s="3">
        <f t="shared" si="2"/>
        <v>0</v>
      </c>
      <c r="E63" s="3">
        <f t="shared" si="3"/>
        <v>0</v>
      </c>
      <c r="F63" s="2" t="str">
        <f t="shared" si="1"/>
        <v>MKR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IFERROR(__xludf.DUMMYFUNCTION("""COMPUTED_VALUE"""),892.839193)</f>
        <v>892.839193</v>
      </c>
      <c r="C64" s="3">
        <f>IFERROR(__xludf.DUMMYFUNCTION("""COMPUTED_VALUE"""),977631.036951)</f>
        <v>977631.037</v>
      </c>
      <c r="D64" s="3">
        <f t="shared" si="2"/>
        <v>0</v>
      </c>
      <c r="E64" s="3">
        <f t="shared" si="3"/>
        <v>0</v>
      </c>
      <c r="F64" s="2" t="str">
        <f t="shared" si="1"/>
        <v>MKR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IFERROR(__xludf.DUMMYFUNCTION("""COMPUTED_VALUE"""),907.097228)</f>
        <v>907.097228</v>
      </c>
      <c r="C65" s="3">
        <f>IFERROR(__xludf.DUMMYFUNCTION("""COMPUTED_VALUE"""),977631.036951)</f>
        <v>977631.037</v>
      </c>
      <c r="D65" s="3">
        <f t="shared" si="2"/>
        <v>0</v>
      </c>
      <c r="E65" s="3">
        <f t="shared" si="3"/>
        <v>0</v>
      </c>
      <c r="F65" s="2" t="str">
        <f t="shared" si="1"/>
        <v>MKR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IFERROR(__xludf.DUMMYFUNCTION("""COMPUTED_VALUE"""),902.973418)</f>
        <v>902.973418</v>
      </c>
      <c r="C66" s="3">
        <f>IFERROR(__xludf.DUMMYFUNCTION("""COMPUTED_VALUE"""),977631.036951)</f>
        <v>977631.037</v>
      </c>
      <c r="D66" s="3">
        <f t="shared" si="2"/>
        <v>0</v>
      </c>
      <c r="E66" s="3">
        <f t="shared" si="3"/>
        <v>0</v>
      </c>
      <c r="F66" s="2" t="str">
        <f t="shared" si="1"/>
        <v>MKR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IFERROR(__xludf.DUMMYFUNCTION("""COMPUTED_VALUE"""),940.750624)</f>
        <v>940.750624</v>
      </c>
      <c r="C67" s="3">
        <f>IFERROR(__xludf.DUMMYFUNCTION("""COMPUTED_VALUE"""),977631.036951)</f>
        <v>977631.037</v>
      </c>
      <c r="D67" s="3">
        <f t="shared" si="2"/>
        <v>0</v>
      </c>
      <c r="E67" s="3">
        <f t="shared" si="3"/>
        <v>0</v>
      </c>
      <c r="F67" s="2" t="str">
        <f t="shared" si="1"/>
        <v>MKR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IFERROR(__xludf.DUMMYFUNCTION("""COMPUTED_VALUE"""),932.291113)</f>
        <v>932.291113</v>
      </c>
      <c r="C68" s="3">
        <f>IFERROR(__xludf.DUMMYFUNCTION("""COMPUTED_VALUE"""),977631.036951)</f>
        <v>977631.037</v>
      </c>
      <c r="D68" s="3">
        <f t="shared" si="2"/>
        <v>0</v>
      </c>
      <c r="E68" s="3">
        <f t="shared" si="3"/>
        <v>0</v>
      </c>
      <c r="F68" s="2" t="str">
        <f t="shared" si="1"/>
        <v>MKR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IFERROR(__xludf.DUMMYFUNCTION("""COMPUTED_VALUE"""),996.30388)</f>
        <v>996.30388</v>
      </c>
      <c r="C69" s="3">
        <f>IFERROR(__xludf.DUMMYFUNCTION("""COMPUTED_VALUE"""),977631.036951)</f>
        <v>977631.037</v>
      </c>
      <c r="D69" s="3">
        <f t="shared" si="2"/>
        <v>0</v>
      </c>
      <c r="E69" s="3">
        <f t="shared" si="3"/>
        <v>0</v>
      </c>
      <c r="F69" s="2" t="str">
        <f t="shared" si="1"/>
        <v>MKR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IFERROR(__xludf.DUMMYFUNCTION("""COMPUTED_VALUE"""),989.061116)</f>
        <v>989.061116</v>
      </c>
      <c r="C70" s="3">
        <f>IFERROR(__xludf.DUMMYFUNCTION("""COMPUTED_VALUE"""),977631.036951)</f>
        <v>977631.037</v>
      </c>
      <c r="D70" s="3">
        <f t="shared" si="2"/>
        <v>0</v>
      </c>
      <c r="E70" s="3">
        <f t="shared" si="3"/>
        <v>0</v>
      </c>
      <c r="F70" s="2" t="str">
        <f t="shared" si="1"/>
        <v>MKR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IFERROR(__xludf.DUMMYFUNCTION("""COMPUTED_VALUE"""),961.172374)</f>
        <v>961.172374</v>
      </c>
      <c r="C71" s="3">
        <f>IFERROR(__xludf.DUMMYFUNCTION("""COMPUTED_VALUE"""),977631.036951)</f>
        <v>977631.037</v>
      </c>
      <c r="D71" s="3">
        <f t="shared" si="2"/>
        <v>0</v>
      </c>
      <c r="E71" s="3">
        <f t="shared" si="3"/>
        <v>0</v>
      </c>
      <c r="F71" s="2" t="str">
        <f t="shared" si="1"/>
        <v>MKR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IFERROR(__xludf.DUMMYFUNCTION("""COMPUTED_VALUE"""),996.566399)</f>
        <v>996.566399</v>
      </c>
      <c r="C72" s="3">
        <f>IFERROR(__xludf.DUMMYFUNCTION("""COMPUTED_VALUE"""),977631.036951)</f>
        <v>977631.037</v>
      </c>
      <c r="D72" s="3">
        <f t="shared" si="2"/>
        <v>0</v>
      </c>
      <c r="E72" s="3">
        <f t="shared" si="3"/>
        <v>0</v>
      </c>
      <c r="F72" s="2" t="str">
        <f t="shared" si="1"/>
        <v>MKR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IFERROR(__xludf.DUMMYFUNCTION("""COMPUTED_VALUE"""),940.37503)</f>
        <v>940.37503</v>
      </c>
      <c r="C73" s="3">
        <f>IFERROR(__xludf.DUMMYFUNCTION("""COMPUTED_VALUE"""),977631.036951)</f>
        <v>977631.037</v>
      </c>
      <c r="D73" s="3">
        <f t="shared" si="2"/>
        <v>0</v>
      </c>
      <c r="E73" s="3">
        <f t="shared" si="3"/>
        <v>0</v>
      </c>
      <c r="F73" s="2" t="str">
        <f t="shared" si="1"/>
        <v>MKR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IFERROR(__xludf.DUMMYFUNCTION("""COMPUTED_VALUE"""),865.427206)</f>
        <v>865.427206</v>
      </c>
      <c r="C74" s="3">
        <f>IFERROR(__xludf.DUMMYFUNCTION("""COMPUTED_VALUE"""),977631.036951)</f>
        <v>977631.037</v>
      </c>
      <c r="D74" s="3">
        <f t="shared" si="2"/>
        <v>0</v>
      </c>
      <c r="E74" s="3">
        <f t="shared" si="3"/>
        <v>0</v>
      </c>
      <c r="F74" s="2" t="str">
        <f t="shared" si="1"/>
        <v>MKR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IFERROR(__xludf.DUMMYFUNCTION("""COMPUTED_VALUE"""),823.80403)</f>
        <v>823.80403</v>
      </c>
      <c r="C75" s="3">
        <f>IFERROR(__xludf.DUMMYFUNCTION("""COMPUTED_VALUE"""),977631.036951)</f>
        <v>977631.037</v>
      </c>
      <c r="D75" s="3">
        <f t="shared" si="2"/>
        <v>0</v>
      </c>
      <c r="E75" s="3">
        <f t="shared" si="3"/>
        <v>0</v>
      </c>
      <c r="F75" s="2" t="str">
        <f t="shared" si="1"/>
        <v>MKR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IFERROR(__xludf.DUMMYFUNCTION("""COMPUTED_VALUE"""),854.646761)</f>
        <v>854.646761</v>
      </c>
      <c r="C76" s="3">
        <f>IFERROR(__xludf.DUMMYFUNCTION("""COMPUTED_VALUE"""),977631.036951)</f>
        <v>977631.037</v>
      </c>
      <c r="D76" s="3">
        <f t="shared" si="2"/>
        <v>0</v>
      </c>
      <c r="E76" s="3">
        <f t="shared" si="3"/>
        <v>0</v>
      </c>
      <c r="F76" s="2" t="str">
        <f t="shared" si="1"/>
        <v>MKR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IFERROR(__xludf.DUMMYFUNCTION("""COMPUTED_VALUE"""),891.104176)</f>
        <v>891.104176</v>
      </c>
      <c r="C77" s="3">
        <f>IFERROR(__xludf.DUMMYFUNCTION("""COMPUTED_VALUE"""),977631.036951)</f>
        <v>977631.037</v>
      </c>
      <c r="D77" s="3">
        <f t="shared" si="2"/>
        <v>0</v>
      </c>
      <c r="E77" s="3">
        <f t="shared" si="3"/>
        <v>0</v>
      </c>
      <c r="F77" s="2" t="str">
        <f t="shared" si="1"/>
        <v>MKR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IFERROR(__xludf.DUMMYFUNCTION("""COMPUTED_VALUE"""),910.9816)</f>
        <v>910.9816</v>
      </c>
      <c r="C78" s="3">
        <f>IFERROR(__xludf.DUMMYFUNCTION("""COMPUTED_VALUE"""),977631.036951)</f>
        <v>977631.037</v>
      </c>
      <c r="D78" s="3">
        <f t="shared" si="2"/>
        <v>0</v>
      </c>
      <c r="E78" s="3">
        <f t="shared" si="3"/>
        <v>0</v>
      </c>
      <c r="F78" s="2" t="str">
        <f t="shared" si="1"/>
        <v>MKR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IFERROR(__xludf.DUMMYFUNCTION("""COMPUTED_VALUE"""),964.342157)</f>
        <v>964.342157</v>
      </c>
      <c r="C79" s="3">
        <f>IFERROR(__xludf.DUMMYFUNCTION("""COMPUTED_VALUE"""),977631.036951)</f>
        <v>977631.037</v>
      </c>
      <c r="D79" s="3">
        <f t="shared" si="2"/>
        <v>0</v>
      </c>
      <c r="E79" s="3">
        <f t="shared" si="3"/>
        <v>0</v>
      </c>
      <c r="F79" s="2" t="str">
        <f t="shared" si="1"/>
        <v>MKR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IFERROR(__xludf.DUMMYFUNCTION("""COMPUTED_VALUE"""),931.554739)</f>
        <v>931.554739</v>
      </c>
      <c r="C80" s="3">
        <f>IFERROR(__xludf.DUMMYFUNCTION("""COMPUTED_VALUE"""),977631.036951)</f>
        <v>977631.037</v>
      </c>
      <c r="D80" s="3">
        <f t="shared" si="2"/>
        <v>0</v>
      </c>
      <c r="E80" s="3">
        <f t="shared" si="3"/>
        <v>0</v>
      </c>
      <c r="F80" s="2" t="str">
        <f t="shared" si="1"/>
        <v>MKR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IFERROR(__xludf.DUMMYFUNCTION("""COMPUTED_VALUE"""),1047.34245)</f>
        <v>1047.34245</v>
      </c>
      <c r="C81" s="3">
        <f>IFERROR(__xludf.DUMMYFUNCTION("""COMPUTED_VALUE"""),977631.036951)</f>
        <v>977631.037</v>
      </c>
      <c r="D81" s="3">
        <f t="shared" si="2"/>
        <v>0</v>
      </c>
      <c r="E81" s="3">
        <f t="shared" si="3"/>
        <v>0</v>
      </c>
      <c r="F81" s="2" t="str">
        <f t="shared" si="1"/>
        <v>MKR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IFERROR(__xludf.DUMMYFUNCTION("""COMPUTED_VALUE"""),1030.166567)</f>
        <v>1030.166567</v>
      </c>
      <c r="C82" s="3">
        <f>IFERROR(__xludf.DUMMYFUNCTION("""COMPUTED_VALUE"""),977631.036951)</f>
        <v>977631.037</v>
      </c>
      <c r="D82" s="3">
        <f t="shared" si="2"/>
        <v>0</v>
      </c>
      <c r="E82" s="3">
        <f t="shared" si="3"/>
        <v>0</v>
      </c>
      <c r="F82" s="2" t="str">
        <f t="shared" si="1"/>
        <v>MKR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IFERROR(__xludf.DUMMYFUNCTION("""COMPUTED_VALUE"""),972.935891)</f>
        <v>972.935891</v>
      </c>
      <c r="C83" s="3">
        <f>IFERROR(__xludf.DUMMYFUNCTION("""COMPUTED_VALUE"""),977631.036951)</f>
        <v>977631.037</v>
      </c>
      <c r="D83" s="3">
        <f t="shared" si="2"/>
        <v>0</v>
      </c>
      <c r="E83" s="3">
        <f t="shared" si="3"/>
        <v>0</v>
      </c>
      <c r="F83" s="2" t="str">
        <f t="shared" si="1"/>
        <v>MKR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IFERROR(__xludf.DUMMYFUNCTION("""COMPUTED_VALUE"""),977.468153)</f>
        <v>977.468153</v>
      </c>
      <c r="C84" s="3">
        <f>IFERROR(__xludf.DUMMYFUNCTION("""COMPUTED_VALUE"""),977631.036951)</f>
        <v>977631.037</v>
      </c>
      <c r="D84" s="3">
        <f t="shared" si="2"/>
        <v>0</v>
      </c>
      <c r="E84" s="3">
        <f t="shared" si="3"/>
        <v>0</v>
      </c>
      <c r="F84" s="2" t="str">
        <f t="shared" si="1"/>
        <v>MKR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IFERROR(__xludf.DUMMYFUNCTION("""COMPUTED_VALUE"""),947.535406)</f>
        <v>947.535406</v>
      </c>
      <c r="C85" s="3">
        <f>IFERROR(__xludf.DUMMYFUNCTION("""COMPUTED_VALUE"""),977631.036951)</f>
        <v>977631.037</v>
      </c>
      <c r="D85" s="3">
        <f t="shared" si="2"/>
        <v>0</v>
      </c>
      <c r="E85" s="3">
        <f t="shared" si="3"/>
        <v>0</v>
      </c>
      <c r="F85" s="2" t="str">
        <f t="shared" si="1"/>
        <v>MKR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IFERROR(__xludf.DUMMYFUNCTION("""COMPUTED_VALUE"""),954.237935)</f>
        <v>954.237935</v>
      </c>
      <c r="C86" s="3">
        <f>IFERROR(__xludf.DUMMYFUNCTION("""COMPUTED_VALUE"""),977631.036951)</f>
        <v>977631.037</v>
      </c>
      <c r="D86" s="3">
        <f t="shared" si="2"/>
        <v>0</v>
      </c>
      <c r="E86" s="3">
        <f t="shared" si="3"/>
        <v>0</v>
      </c>
      <c r="F86" s="2" t="str">
        <f t="shared" si="1"/>
        <v>MKR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IFERROR(__xludf.DUMMYFUNCTION("""COMPUTED_VALUE"""),985.486235)</f>
        <v>985.486235</v>
      </c>
      <c r="C87" s="3">
        <f>IFERROR(__xludf.DUMMYFUNCTION("""COMPUTED_VALUE"""),977631.036951)</f>
        <v>977631.037</v>
      </c>
      <c r="D87" s="3">
        <f t="shared" si="2"/>
        <v>0</v>
      </c>
      <c r="E87" s="3">
        <f t="shared" si="3"/>
        <v>0</v>
      </c>
      <c r="F87" s="2" t="str">
        <f t="shared" si="1"/>
        <v>MKR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IFERROR(__xludf.DUMMYFUNCTION("""COMPUTED_VALUE"""),894.661512)</f>
        <v>894.661512</v>
      </c>
      <c r="C88" s="3">
        <f>IFERROR(__xludf.DUMMYFUNCTION("""COMPUTED_VALUE"""),977631.036951)</f>
        <v>977631.037</v>
      </c>
      <c r="D88" s="3">
        <f t="shared" si="2"/>
        <v>0</v>
      </c>
      <c r="E88" s="3">
        <f t="shared" si="3"/>
        <v>0</v>
      </c>
      <c r="F88" s="2" t="str">
        <f t="shared" si="1"/>
        <v>MKR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IFERROR(__xludf.DUMMYFUNCTION("""COMPUTED_VALUE"""),919.064914)</f>
        <v>919.064914</v>
      </c>
      <c r="C89" s="3">
        <f>IFERROR(__xludf.DUMMYFUNCTION("""COMPUTED_VALUE"""),977631.036951)</f>
        <v>977631.037</v>
      </c>
      <c r="D89" s="3">
        <f t="shared" si="2"/>
        <v>0</v>
      </c>
      <c r="E89" s="3">
        <f t="shared" si="3"/>
        <v>0</v>
      </c>
      <c r="F89" s="2" t="str">
        <f t="shared" si="1"/>
        <v>MKR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IFERROR(__xludf.DUMMYFUNCTION("""COMPUTED_VALUE"""),1012.708017)</f>
        <v>1012.708017</v>
      </c>
      <c r="C90" s="3">
        <f>IFERROR(__xludf.DUMMYFUNCTION("""COMPUTED_VALUE"""),977631.036951)</f>
        <v>977631.037</v>
      </c>
      <c r="D90" s="3">
        <f t="shared" si="2"/>
        <v>0</v>
      </c>
      <c r="E90" s="3">
        <f t="shared" si="3"/>
        <v>0</v>
      </c>
      <c r="F90" s="2" t="str">
        <f t="shared" si="1"/>
        <v>MKR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IFERROR(__xludf.DUMMYFUNCTION("""COMPUTED_VALUE"""),1115.219051)</f>
        <v>1115.219051</v>
      </c>
      <c r="C91" s="3">
        <f>IFERROR(__xludf.DUMMYFUNCTION("""COMPUTED_VALUE"""),977631.036951)</f>
        <v>977631.037</v>
      </c>
      <c r="D91" s="3">
        <f t="shared" si="2"/>
        <v>0</v>
      </c>
      <c r="E91" s="3">
        <f t="shared" si="3"/>
        <v>0</v>
      </c>
      <c r="F91" s="2" t="str">
        <f t="shared" si="1"/>
        <v>MKR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IFERROR(__xludf.DUMMYFUNCTION("""COMPUTED_VALUE"""),1154.20657)</f>
        <v>1154.20657</v>
      </c>
      <c r="C92" s="3">
        <f>IFERROR(__xludf.DUMMYFUNCTION("""COMPUTED_VALUE"""),977631.036951)</f>
        <v>977631.037</v>
      </c>
      <c r="D92" s="3">
        <f t="shared" si="2"/>
        <v>0</v>
      </c>
      <c r="E92" s="3">
        <f t="shared" si="3"/>
        <v>0</v>
      </c>
      <c r="F92" s="2" t="str">
        <f t="shared" si="1"/>
        <v>MKR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IFERROR(__xludf.DUMMYFUNCTION("""COMPUTED_VALUE"""),1122.054929)</f>
        <v>1122.054929</v>
      </c>
      <c r="C93" s="3">
        <f>IFERROR(__xludf.DUMMYFUNCTION("""COMPUTED_VALUE"""),977631.036951)</f>
        <v>977631.037</v>
      </c>
      <c r="D93" s="3">
        <f t="shared" si="2"/>
        <v>0</v>
      </c>
      <c r="E93" s="3">
        <f t="shared" si="3"/>
        <v>0</v>
      </c>
      <c r="F93" s="2" t="str">
        <f t="shared" si="1"/>
        <v>MKR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IFERROR(__xludf.DUMMYFUNCTION("""COMPUTED_VALUE"""),1100.67637)</f>
        <v>1100.67637</v>
      </c>
      <c r="C94" s="3">
        <f>IFERROR(__xludf.DUMMYFUNCTION("""COMPUTED_VALUE"""),977631.036951)</f>
        <v>977631.037</v>
      </c>
      <c r="D94" s="3">
        <f t="shared" si="2"/>
        <v>0</v>
      </c>
      <c r="E94" s="3">
        <f t="shared" si="3"/>
        <v>0</v>
      </c>
      <c r="F94" s="2" t="str">
        <f t="shared" si="1"/>
        <v>MKR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IFERROR(__xludf.DUMMYFUNCTION("""COMPUTED_VALUE"""),1061.595287)</f>
        <v>1061.595287</v>
      </c>
      <c r="C95" s="3">
        <f>IFERROR(__xludf.DUMMYFUNCTION("""COMPUTED_VALUE"""),977631.036951)</f>
        <v>977631.037</v>
      </c>
      <c r="D95" s="3">
        <f t="shared" si="2"/>
        <v>0</v>
      </c>
      <c r="E95" s="3">
        <f t="shared" si="3"/>
        <v>0</v>
      </c>
      <c r="F95" s="2" t="str">
        <f t="shared" si="1"/>
        <v>MKR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IFERROR(__xludf.DUMMYFUNCTION("""COMPUTED_VALUE"""),1044.146723)</f>
        <v>1044.146723</v>
      </c>
      <c r="C96" s="3">
        <f>IFERROR(__xludf.DUMMYFUNCTION("""COMPUTED_VALUE"""),977631.036951)</f>
        <v>977631.037</v>
      </c>
      <c r="D96" s="3">
        <f t="shared" si="2"/>
        <v>0</v>
      </c>
      <c r="E96" s="3">
        <f t="shared" si="3"/>
        <v>0</v>
      </c>
      <c r="F96" s="2" t="str">
        <f t="shared" si="1"/>
        <v>MKR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IFERROR(__xludf.DUMMYFUNCTION("""COMPUTED_VALUE"""),1040.208444)</f>
        <v>1040.208444</v>
      </c>
      <c r="C97" s="3">
        <f>IFERROR(__xludf.DUMMYFUNCTION("""COMPUTED_VALUE"""),977631.036951)</f>
        <v>977631.037</v>
      </c>
      <c r="D97" s="3">
        <f t="shared" si="2"/>
        <v>0</v>
      </c>
      <c r="E97" s="3">
        <f t="shared" si="3"/>
        <v>0</v>
      </c>
      <c r="F97" s="2" t="str">
        <f t="shared" si="1"/>
        <v>MKR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IFERROR(__xludf.DUMMYFUNCTION("""COMPUTED_VALUE"""),1050.249663)</f>
        <v>1050.249663</v>
      </c>
      <c r="C98" s="3">
        <f>IFERROR(__xludf.DUMMYFUNCTION("""COMPUTED_VALUE"""),977631.036951)</f>
        <v>977631.037</v>
      </c>
      <c r="D98" s="3">
        <f t="shared" si="2"/>
        <v>0</v>
      </c>
      <c r="E98" s="3">
        <f t="shared" si="3"/>
        <v>0</v>
      </c>
      <c r="F98" s="2" t="str">
        <f t="shared" si="1"/>
        <v>MKR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IFERROR(__xludf.DUMMYFUNCTION("""COMPUTED_VALUE"""),1121.529914)</f>
        <v>1121.529914</v>
      </c>
      <c r="C99" s="3">
        <f>IFERROR(__xludf.DUMMYFUNCTION("""COMPUTED_VALUE"""),977631.036951)</f>
        <v>977631.037</v>
      </c>
      <c r="D99" s="3">
        <f t="shared" si="2"/>
        <v>0</v>
      </c>
      <c r="E99" s="3">
        <f t="shared" si="3"/>
        <v>0</v>
      </c>
      <c r="F99" s="2" t="str">
        <f t="shared" si="1"/>
        <v>MKR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IFERROR(__xludf.DUMMYFUNCTION("""COMPUTED_VALUE"""),1085.546889)</f>
        <v>1085.546889</v>
      </c>
      <c r="C100" s="3">
        <f>IFERROR(__xludf.DUMMYFUNCTION("""COMPUTED_VALUE"""),977631.036951)</f>
        <v>977631.037</v>
      </c>
      <c r="D100" s="3">
        <f t="shared" si="2"/>
        <v>0</v>
      </c>
      <c r="E100" s="3">
        <f t="shared" si="3"/>
        <v>0</v>
      </c>
      <c r="F100" s="2" t="str">
        <f t="shared" si="1"/>
        <v>MKR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IFERROR(__xludf.DUMMYFUNCTION("""COMPUTED_VALUE"""),1128.13811)</f>
        <v>1128.13811</v>
      </c>
      <c r="C101" s="3">
        <f>IFERROR(__xludf.DUMMYFUNCTION("""COMPUTED_VALUE"""),977631.036951)</f>
        <v>977631.037</v>
      </c>
      <c r="D101" s="3">
        <f t="shared" si="2"/>
        <v>0</v>
      </c>
      <c r="E101" s="3">
        <f t="shared" si="3"/>
        <v>0</v>
      </c>
      <c r="F101" s="2" t="str">
        <f t="shared" si="1"/>
        <v>MKR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IFERROR(__xludf.DUMMYFUNCTION("""COMPUTED_VALUE"""),1143.966113)</f>
        <v>1143.966113</v>
      </c>
      <c r="C102" s="3">
        <f>IFERROR(__xludf.DUMMYFUNCTION("""COMPUTED_VALUE"""),977631.036951)</f>
        <v>977631.037</v>
      </c>
      <c r="D102" s="3">
        <f t="shared" si="2"/>
        <v>0</v>
      </c>
      <c r="E102" s="3">
        <f t="shared" si="3"/>
        <v>0</v>
      </c>
      <c r="F102" s="2" t="str">
        <f t="shared" si="1"/>
        <v>MKR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IFERROR(__xludf.DUMMYFUNCTION("""COMPUTED_VALUE"""),1068.960442)</f>
        <v>1068.960442</v>
      </c>
      <c r="C103" s="3">
        <f>IFERROR(__xludf.DUMMYFUNCTION("""COMPUTED_VALUE"""),977631.036951)</f>
        <v>977631.037</v>
      </c>
      <c r="D103" s="3">
        <f t="shared" si="2"/>
        <v>0</v>
      </c>
      <c r="E103" s="3">
        <f t="shared" si="3"/>
        <v>0</v>
      </c>
      <c r="F103" s="2" t="str">
        <f t="shared" si="1"/>
        <v>MKR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IFERROR(__xludf.DUMMYFUNCTION("""COMPUTED_VALUE"""),1115.84925)</f>
        <v>1115.84925</v>
      </c>
      <c r="C104" s="3">
        <f>IFERROR(__xludf.DUMMYFUNCTION("""COMPUTED_VALUE"""),977631.036951)</f>
        <v>977631.037</v>
      </c>
      <c r="D104" s="3">
        <f t="shared" si="2"/>
        <v>0</v>
      </c>
      <c r="E104" s="3">
        <f t="shared" si="3"/>
        <v>0</v>
      </c>
      <c r="F104" s="2" t="str">
        <f t="shared" si="1"/>
        <v>MKR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IFERROR(__xludf.DUMMYFUNCTION("""COMPUTED_VALUE"""),1081.58168)</f>
        <v>1081.58168</v>
      </c>
      <c r="C105" s="3">
        <f>IFERROR(__xludf.DUMMYFUNCTION("""COMPUTED_VALUE"""),977631.036951)</f>
        <v>977631.037</v>
      </c>
      <c r="D105" s="3">
        <f t="shared" si="2"/>
        <v>0</v>
      </c>
      <c r="E105" s="3">
        <f t="shared" si="3"/>
        <v>0</v>
      </c>
      <c r="F105" s="2" t="str">
        <f t="shared" si="1"/>
        <v>MKR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IFERROR(__xludf.DUMMYFUNCTION("""COMPUTED_VALUE"""),1082.872172)</f>
        <v>1082.872172</v>
      </c>
      <c r="C106" s="3">
        <f>IFERROR(__xludf.DUMMYFUNCTION("""COMPUTED_VALUE"""),977631.036951)</f>
        <v>977631.037</v>
      </c>
      <c r="D106" s="3">
        <f t="shared" si="2"/>
        <v>0</v>
      </c>
      <c r="E106" s="3">
        <f t="shared" si="3"/>
        <v>0</v>
      </c>
      <c r="F106" s="2" t="str">
        <f t="shared" si="1"/>
        <v>MKR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IFERROR(__xludf.DUMMYFUNCTION("""COMPUTED_VALUE"""),1069.037766)</f>
        <v>1069.037766</v>
      </c>
      <c r="C107" s="3">
        <f>IFERROR(__xludf.DUMMYFUNCTION("""COMPUTED_VALUE"""),977631.036951)</f>
        <v>977631.037</v>
      </c>
      <c r="D107" s="3">
        <f t="shared" si="2"/>
        <v>0</v>
      </c>
      <c r="E107" s="3">
        <f t="shared" si="3"/>
        <v>0</v>
      </c>
      <c r="F107" s="2" t="str">
        <f t="shared" si="1"/>
        <v>MKR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IFERROR(__xludf.DUMMYFUNCTION("""COMPUTED_VALUE"""),1024.346936)</f>
        <v>1024.346936</v>
      </c>
      <c r="C108" s="3">
        <f>IFERROR(__xludf.DUMMYFUNCTION("""COMPUTED_VALUE"""),977631.036951)</f>
        <v>977631.037</v>
      </c>
      <c r="D108" s="3">
        <f t="shared" si="2"/>
        <v>0</v>
      </c>
      <c r="E108" s="3">
        <f t="shared" si="3"/>
        <v>0</v>
      </c>
      <c r="F108" s="2" t="str">
        <f t="shared" si="1"/>
        <v>MKR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IFERROR(__xludf.DUMMYFUNCTION("""COMPUTED_VALUE"""),998.242853)</f>
        <v>998.242853</v>
      </c>
      <c r="C109" s="3">
        <f>IFERROR(__xludf.DUMMYFUNCTION("""COMPUTED_VALUE"""),977631.036951)</f>
        <v>977631.037</v>
      </c>
      <c r="D109" s="3">
        <f t="shared" si="2"/>
        <v>0</v>
      </c>
      <c r="E109" s="3">
        <f t="shared" si="3"/>
        <v>0</v>
      </c>
      <c r="F109" s="2" t="str">
        <f t="shared" si="1"/>
        <v>MKR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IFERROR(__xludf.DUMMYFUNCTION("""COMPUTED_VALUE"""),979.603079)</f>
        <v>979.603079</v>
      </c>
      <c r="C110" s="3">
        <f>IFERROR(__xludf.DUMMYFUNCTION("""COMPUTED_VALUE"""),977631.036951)</f>
        <v>977631.037</v>
      </c>
      <c r="D110" s="3">
        <f t="shared" si="2"/>
        <v>0</v>
      </c>
      <c r="E110" s="3">
        <f t="shared" si="3"/>
        <v>0</v>
      </c>
      <c r="F110" s="2" t="str">
        <f t="shared" si="1"/>
        <v>MKR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IFERROR(__xludf.DUMMYFUNCTION("""COMPUTED_VALUE"""),929.86419)</f>
        <v>929.86419</v>
      </c>
      <c r="C111" s="3">
        <f>IFERROR(__xludf.DUMMYFUNCTION("""COMPUTED_VALUE"""),977631.036951)</f>
        <v>977631.037</v>
      </c>
      <c r="D111" s="3">
        <f t="shared" si="2"/>
        <v>0</v>
      </c>
      <c r="E111" s="3">
        <f t="shared" si="3"/>
        <v>0</v>
      </c>
      <c r="F111" s="2" t="str">
        <f t="shared" si="1"/>
        <v>MKR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IFERROR(__xludf.DUMMYFUNCTION("""COMPUTED_VALUE"""),895.269864)</f>
        <v>895.269864</v>
      </c>
      <c r="C112" s="3">
        <f>IFERROR(__xludf.DUMMYFUNCTION("""COMPUTED_VALUE"""),977631.036951)</f>
        <v>977631.037</v>
      </c>
      <c r="D112" s="3">
        <f t="shared" si="2"/>
        <v>0</v>
      </c>
      <c r="E112" s="3">
        <f t="shared" si="3"/>
        <v>0</v>
      </c>
      <c r="F112" s="2" t="str">
        <f t="shared" si="1"/>
        <v>MKR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IFERROR(__xludf.DUMMYFUNCTION("""COMPUTED_VALUE"""),837.632031)</f>
        <v>837.632031</v>
      </c>
      <c r="C113" s="3">
        <f>IFERROR(__xludf.DUMMYFUNCTION("""COMPUTED_VALUE"""),977631.036951)</f>
        <v>977631.037</v>
      </c>
      <c r="D113" s="3">
        <f t="shared" si="2"/>
        <v>0</v>
      </c>
      <c r="E113" s="3">
        <f t="shared" si="3"/>
        <v>0</v>
      </c>
      <c r="F113" s="2" t="str">
        <f t="shared" si="1"/>
        <v>MKR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IFERROR(__xludf.DUMMYFUNCTION("""COMPUTED_VALUE"""),823.1706)</f>
        <v>823.1706</v>
      </c>
      <c r="C114" s="3">
        <f>IFERROR(__xludf.DUMMYFUNCTION("""COMPUTED_VALUE"""),977631.036951)</f>
        <v>977631.037</v>
      </c>
      <c r="D114" s="3">
        <f t="shared" si="2"/>
        <v>0</v>
      </c>
      <c r="E114" s="3">
        <f t="shared" si="3"/>
        <v>0</v>
      </c>
      <c r="F114" s="2" t="str">
        <f t="shared" si="1"/>
        <v>MKR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IFERROR(__xludf.DUMMYFUNCTION("""COMPUTED_VALUE"""),838.367019)</f>
        <v>838.367019</v>
      </c>
      <c r="C115" s="3">
        <f>IFERROR(__xludf.DUMMYFUNCTION("""COMPUTED_VALUE"""),977631.036951)</f>
        <v>977631.037</v>
      </c>
      <c r="D115" s="3">
        <f t="shared" si="2"/>
        <v>0</v>
      </c>
      <c r="E115" s="3">
        <f t="shared" si="3"/>
        <v>0</v>
      </c>
      <c r="F115" s="2" t="str">
        <f t="shared" si="1"/>
        <v>MKR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IFERROR(__xludf.DUMMYFUNCTION("""COMPUTED_VALUE"""),839.547227)</f>
        <v>839.547227</v>
      </c>
      <c r="C116" s="3">
        <f>IFERROR(__xludf.DUMMYFUNCTION("""COMPUTED_VALUE"""),977631.036951)</f>
        <v>977631.037</v>
      </c>
      <c r="D116" s="3">
        <f t="shared" si="2"/>
        <v>0</v>
      </c>
      <c r="E116" s="3">
        <f t="shared" si="3"/>
        <v>0</v>
      </c>
      <c r="F116" s="2" t="str">
        <f t="shared" si="1"/>
        <v>MKR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IFERROR(__xludf.DUMMYFUNCTION("""COMPUTED_VALUE"""),856.342904)</f>
        <v>856.342904</v>
      </c>
      <c r="C117" s="3">
        <f>IFERROR(__xludf.DUMMYFUNCTION("""COMPUTED_VALUE"""),977631.036951)</f>
        <v>977631.037</v>
      </c>
      <c r="D117" s="3">
        <f t="shared" si="2"/>
        <v>0</v>
      </c>
      <c r="E117" s="3">
        <f t="shared" si="3"/>
        <v>0</v>
      </c>
      <c r="F117" s="2" t="str">
        <f t="shared" si="1"/>
        <v>MKR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IFERROR(__xludf.DUMMYFUNCTION("""COMPUTED_VALUE"""),854.350231)</f>
        <v>854.350231</v>
      </c>
      <c r="C118" s="3">
        <f>IFERROR(__xludf.DUMMYFUNCTION("""COMPUTED_VALUE"""),977631.036951)</f>
        <v>977631.037</v>
      </c>
      <c r="D118" s="3">
        <f t="shared" si="2"/>
        <v>0</v>
      </c>
      <c r="E118" s="3">
        <f t="shared" si="3"/>
        <v>0</v>
      </c>
      <c r="F118" s="2" t="str">
        <f t="shared" si="1"/>
        <v>MKR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IFERROR(__xludf.DUMMYFUNCTION("""COMPUTED_VALUE"""),845.967673)</f>
        <v>845.967673</v>
      </c>
      <c r="C119" s="3">
        <f>IFERROR(__xludf.DUMMYFUNCTION("""COMPUTED_VALUE"""),977631.036951)</f>
        <v>977631.037</v>
      </c>
      <c r="D119" s="3">
        <f t="shared" si="2"/>
        <v>0</v>
      </c>
      <c r="E119" s="3">
        <f t="shared" si="3"/>
        <v>0</v>
      </c>
      <c r="F119" s="2" t="str">
        <f t="shared" si="1"/>
        <v>MKR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IFERROR(__xludf.DUMMYFUNCTION("""COMPUTED_VALUE"""),761.524045)</f>
        <v>761.524045</v>
      </c>
      <c r="C120" s="3">
        <f>IFERROR(__xludf.DUMMYFUNCTION("""COMPUTED_VALUE"""),977631.036951)</f>
        <v>977631.037</v>
      </c>
      <c r="D120" s="3">
        <f t="shared" si="2"/>
        <v>0</v>
      </c>
      <c r="E120" s="3">
        <f t="shared" si="3"/>
        <v>0</v>
      </c>
      <c r="F120" s="2" t="str">
        <f t="shared" si="1"/>
        <v>MKR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IFERROR(__xludf.DUMMYFUNCTION("""COMPUTED_VALUE"""),764.934625)</f>
        <v>764.934625</v>
      </c>
      <c r="C121" s="3">
        <f>IFERROR(__xludf.DUMMYFUNCTION("""COMPUTED_VALUE"""),977631.036951)</f>
        <v>977631.037</v>
      </c>
      <c r="D121" s="3">
        <f t="shared" si="2"/>
        <v>0</v>
      </c>
      <c r="E121" s="3">
        <f t="shared" si="3"/>
        <v>0</v>
      </c>
      <c r="F121" s="2" t="str">
        <f t="shared" si="1"/>
        <v>MKR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IFERROR(__xludf.DUMMYFUNCTION("""COMPUTED_VALUE"""),737.42424)</f>
        <v>737.42424</v>
      </c>
      <c r="C122" s="3">
        <f>IFERROR(__xludf.DUMMYFUNCTION("""COMPUTED_VALUE"""),977631.036951)</f>
        <v>977631.037</v>
      </c>
      <c r="D122" s="3">
        <f t="shared" si="2"/>
        <v>0</v>
      </c>
      <c r="E122" s="3">
        <f t="shared" si="3"/>
        <v>0</v>
      </c>
      <c r="F122" s="2" t="str">
        <f t="shared" si="1"/>
        <v>MKR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IFERROR(__xludf.DUMMYFUNCTION("""COMPUTED_VALUE"""),810.953868)</f>
        <v>810.953868</v>
      </c>
      <c r="C123" s="3">
        <f>IFERROR(__xludf.DUMMYFUNCTION("""COMPUTED_VALUE"""),977631.036951)</f>
        <v>977631.037</v>
      </c>
      <c r="D123" s="3">
        <f t="shared" si="2"/>
        <v>0</v>
      </c>
      <c r="E123" s="3">
        <f t="shared" si="3"/>
        <v>0</v>
      </c>
      <c r="F123" s="2" t="str">
        <f t="shared" si="1"/>
        <v>MKR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IFERROR(__xludf.DUMMYFUNCTION("""COMPUTED_VALUE"""),784.242987)</f>
        <v>784.242987</v>
      </c>
      <c r="C124" s="3">
        <f>IFERROR(__xludf.DUMMYFUNCTION("""COMPUTED_VALUE"""),977631.036951)</f>
        <v>977631.037</v>
      </c>
      <c r="D124" s="3">
        <f t="shared" si="2"/>
        <v>0</v>
      </c>
      <c r="E124" s="3">
        <f t="shared" si="3"/>
        <v>0</v>
      </c>
      <c r="F124" s="2" t="str">
        <f t="shared" si="1"/>
        <v>MKR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IFERROR(__xludf.DUMMYFUNCTION("""COMPUTED_VALUE"""),759.47365)</f>
        <v>759.47365</v>
      </c>
      <c r="C125" s="3">
        <f>IFERROR(__xludf.DUMMYFUNCTION("""COMPUTED_VALUE"""),977631.036951)</f>
        <v>977631.037</v>
      </c>
      <c r="D125" s="3">
        <f t="shared" si="2"/>
        <v>0</v>
      </c>
      <c r="E125" s="3">
        <f t="shared" si="3"/>
        <v>0</v>
      </c>
      <c r="F125" s="2" t="str">
        <f t="shared" si="1"/>
        <v>MKR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IFERROR(__xludf.DUMMYFUNCTION("""COMPUTED_VALUE"""),757.019348)</f>
        <v>757.019348</v>
      </c>
      <c r="C126" s="3">
        <f>IFERROR(__xludf.DUMMYFUNCTION("""COMPUTED_VALUE"""),977631.036951)</f>
        <v>977631.037</v>
      </c>
      <c r="D126" s="3">
        <f t="shared" si="2"/>
        <v>0</v>
      </c>
      <c r="E126" s="3">
        <f t="shared" si="3"/>
        <v>0</v>
      </c>
      <c r="F126" s="2" t="str">
        <f t="shared" si="1"/>
        <v>MKR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IFERROR(__xludf.DUMMYFUNCTION("""COMPUTED_VALUE"""),749.08958)</f>
        <v>749.08958</v>
      </c>
      <c r="C127" s="3">
        <f>IFERROR(__xludf.DUMMYFUNCTION("""COMPUTED_VALUE"""),977631.036951)</f>
        <v>977631.037</v>
      </c>
      <c r="D127" s="3">
        <f t="shared" si="2"/>
        <v>0</v>
      </c>
      <c r="E127" s="3">
        <f t="shared" si="3"/>
        <v>0</v>
      </c>
      <c r="F127" s="2" t="str">
        <f t="shared" si="1"/>
        <v>MKR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IFERROR(__xludf.DUMMYFUNCTION("""COMPUTED_VALUE"""),742.563512)</f>
        <v>742.563512</v>
      </c>
      <c r="C128" s="3">
        <f>IFERROR(__xludf.DUMMYFUNCTION("""COMPUTED_VALUE"""),977631.036951)</f>
        <v>977631.037</v>
      </c>
      <c r="D128" s="3">
        <f t="shared" si="2"/>
        <v>0</v>
      </c>
      <c r="E128" s="3">
        <f t="shared" si="3"/>
        <v>0</v>
      </c>
      <c r="F128" s="2" t="str">
        <f t="shared" si="1"/>
        <v>MKR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IFERROR(__xludf.DUMMYFUNCTION("""COMPUTED_VALUE"""),753.050783)</f>
        <v>753.050783</v>
      </c>
      <c r="C129" s="3">
        <f>IFERROR(__xludf.DUMMYFUNCTION("""COMPUTED_VALUE"""),977631.036951)</f>
        <v>977631.037</v>
      </c>
      <c r="D129" s="3">
        <f t="shared" si="2"/>
        <v>0</v>
      </c>
      <c r="E129" s="3">
        <f t="shared" si="3"/>
        <v>0</v>
      </c>
      <c r="F129" s="2" t="str">
        <f t="shared" si="1"/>
        <v>MKR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IFERROR(__xludf.DUMMYFUNCTION("""COMPUTED_VALUE"""),740.916367)</f>
        <v>740.916367</v>
      </c>
      <c r="C130" s="3">
        <f>IFERROR(__xludf.DUMMYFUNCTION("""COMPUTED_VALUE"""),977631.036951)</f>
        <v>977631.037</v>
      </c>
      <c r="D130" s="3">
        <f t="shared" si="2"/>
        <v>0</v>
      </c>
      <c r="E130" s="3">
        <f t="shared" si="3"/>
        <v>0</v>
      </c>
      <c r="F130" s="2" t="str">
        <f t="shared" si="1"/>
        <v>MKR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IFERROR(__xludf.DUMMYFUNCTION("""COMPUTED_VALUE"""),725.817363)</f>
        <v>725.817363</v>
      </c>
      <c r="C131" s="3">
        <f>IFERROR(__xludf.DUMMYFUNCTION("""COMPUTED_VALUE"""),977631.036951)</f>
        <v>977631.037</v>
      </c>
      <c r="D131" s="3">
        <f t="shared" si="2"/>
        <v>0</v>
      </c>
      <c r="E131" s="3">
        <f t="shared" si="3"/>
        <v>0</v>
      </c>
      <c r="F131" s="2" t="str">
        <f t="shared" si="1"/>
        <v>MKR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IFERROR(__xludf.DUMMYFUNCTION("""COMPUTED_VALUE"""),738.950022)</f>
        <v>738.950022</v>
      </c>
      <c r="C132" s="3">
        <f>IFERROR(__xludf.DUMMYFUNCTION("""COMPUTED_VALUE"""),977631.036951)</f>
        <v>977631.037</v>
      </c>
      <c r="D132" s="3">
        <f t="shared" si="2"/>
        <v>0</v>
      </c>
      <c r="E132" s="3">
        <f t="shared" si="3"/>
        <v>0</v>
      </c>
      <c r="F132" s="2" t="str">
        <f t="shared" si="1"/>
        <v>MKR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IFERROR(__xludf.DUMMYFUNCTION("""COMPUTED_VALUE"""),726.280545)</f>
        <v>726.280545</v>
      </c>
      <c r="C133" s="3">
        <f>IFERROR(__xludf.DUMMYFUNCTION("""COMPUTED_VALUE"""),977631.036951)</f>
        <v>977631.037</v>
      </c>
      <c r="D133" s="3">
        <f t="shared" si="2"/>
        <v>0</v>
      </c>
      <c r="E133" s="3">
        <f t="shared" si="3"/>
        <v>0</v>
      </c>
      <c r="F133" s="2" t="str">
        <f t="shared" si="1"/>
        <v>MKR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IFERROR(__xludf.DUMMYFUNCTION("""COMPUTED_VALUE"""),779.9773)</f>
        <v>779.9773</v>
      </c>
      <c r="C134" s="3">
        <f>IFERROR(__xludf.DUMMYFUNCTION("""COMPUTED_VALUE"""),977631.036951)</f>
        <v>977631.037</v>
      </c>
      <c r="D134" s="3">
        <f t="shared" si="2"/>
        <v>0</v>
      </c>
      <c r="E134" s="3">
        <f t="shared" si="3"/>
        <v>0</v>
      </c>
      <c r="F134" s="2" t="str">
        <f t="shared" si="1"/>
        <v>MKR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IFERROR(__xludf.DUMMYFUNCTION("""COMPUTED_VALUE"""),764.980997)</f>
        <v>764.980997</v>
      </c>
      <c r="C135" s="3">
        <f>IFERROR(__xludf.DUMMYFUNCTION("""COMPUTED_VALUE"""),977631.036951)</f>
        <v>977631.037</v>
      </c>
      <c r="D135" s="3">
        <f t="shared" si="2"/>
        <v>0</v>
      </c>
      <c r="E135" s="3">
        <f t="shared" si="3"/>
        <v>0</v>
      </c>
      <c r="F135" s="2" t="str">
        <f t="shared" si="1"/>
        <v>MKR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IFERROR(__xludf.DUMMYFUNCTION("""COMPUTED_VALUE"""),753.805194)</f>
        <v>753.805194</v>
      </c>
      <c r="C136" s="3">
        <f>IFERROR(__xludf.DUMMYFUNCTION("""COMPUTED_VALUE"""),977631.036951)</f>
        <v>977631.037</v>
      </c>
      <c r="D136" s="3">
        <f t="shared" si="2"/>
        <v>0</v>
      </c>
      <c r="E136" s="3">
        <f t="shared" si="3"/>
        <v>0</v>
      </c>
      <c r="F136" s="2" t="str">
        <f t="shared" si="1"/>
        <v>MKR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IFERROR(__xludf.DUMMYFUNCTION("""COMPUTED_VALUE"""),737.184599)</f>
        <v>737.184599</v>
      </c>
      <c r="C137" s="3">
        <f>IFERROR(__xludf.DUMMYFUNCTION("""COMPUTED_VALUE"""),977631.036951)</f>
        <v>977631.037</v>
      </c>
      <c r="D137" s="3">
        <f t="shared" si="2"/>
        <v>0</v>
      </c>
      <c r="E137" s="3">
        <f t="shared" si="3"/>
        <v>0</v>
      </c>
      <c r="F137" s="2" t="str">
        <f t="shared" si="1"/>
        <v>MKR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IFERROR(__xludf.DUMMYFUNCTION("""COMPUTED_VALUE"""),695.321552)</f>
        <v>695.321552</v>
      </c>
      <c r="C138" s="3">
        <f>IFERROR(__xludf.DUMMYFUNCTION("""COMPUTED_VALUE"""),977631.036951)</f>
        <v>977631.037</v>
      </c>
      <c r="D138" s="3">
        <f t="shared" si="2"/>
        <v>0</v>
      </c>
      <c r="E138" s="3">
        <f t="shared" si="3"/>
        <v>0</v>
      </c>
      <c r="F138" s="2" t="str">
        <f t="shared" si="1"/>
        <v>MKR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IFERROR(__xludf.DUMMYFUNCTION("""COMPUTED_VALUE"""),701.211482)</f>
        <v>701.211482</v>
      </c>
      <c r="C139" s="3">
        <f>IFERROR(__xludf.DUMMYFUNCTION("""COMPUTED_VALUE"""),977631.036951)</f>
        <v>977631.037</v>
      </c>
      <c r="D139" s="3">
        <f t="shared" si="2"/>
        <v>0</v>
      </c>
      <c r="E139" s="3">
        <f t="shared" si="3"/>
        <v>0</v>
      </c>
      <c r="F139" s="2" t="str">
        <f t="shared" si="1"/>
        <v>MKR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IFERROR(__xludf.DUMMYFUNCTION("""COMPUTED_VALUE"""),659.799783)</f>
        <v>659.799783</v>
      </c>
      <c r="C140" s="3">
        <f>IFERROR(__xludf.DUMMYFUNCTION("""COMPUTED_VALUE"""),977631.036951)</f>
        <v>977631.037</v>
      </c>
      <c r="D140" s="3">
        <f t="shared" si="2"/>
        <v>0</v>
      </c>
      <c r="E140" s="3">
        <f t="shared" si="3"/>
        <v>0</v>
      </c>
      <c r="F140" s="2" t="str">
        <f t="shared" si="1"/>
        <v>MKR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IFERROR(__xludf.DUMMYFUNCTION("""COMPUTED_VALUE"""),669.338617)</f>
        <v>669.338617</v>
      </c>
      <c r="C141" s="3">
        <f>IFERROR(__xludf.DUMMYFUNCTION("""COMPUTED_VALUE"""),977631.036951)</f>
        <v>977631.037</v>
      </c>
      <c r="D141" s="3">
        <f t="shared" si="2"/>
        <v>0</v>
      </c>
      <c r="E141" s="3">
        <f t="shared" si="3"/>
        <v>0</v>
      </c>
      <c r="F141" s="2" t="str">
        <f t="shared" si="1"/>
        <v>MKR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IFERROR(__xludf.DUMMYFUNCTION("""COMPUTED_VALUE"""),686.441226)</f>
        <v>686.441226</v>
      </c>
      <c r="C142" s="3">
        <f>IFERROR(__xludf.DUMMYFUNCTION("""COMPUTED_VALUE"""),977631.036951)</f>
        <v>977631.037</v>
      </c>
      <c r="D142" s="3">
        <f t="shared" si="2"/>
        <v>0</v>
      </c>
      <c r="E142" s="3">
        <f t="shared" si="3"/>
        <v>0</v>
      </c>
      <c r="F142" s="2" t="str">
        <f t="shared" si="1"/>
        <v>MKR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IFERROR(__xludf.DUMMYFUNCTION("""COMPUTED_VALUE"""),632.964893)</f>
        <v>632.964893</v>
      </c>
      <c r="C143" s="3">
        <f>IFERROR(__xludf.DUMMYFUNCTION("""COMPUTED_VALUE"""),977631.036951)</f>
        <v>977631.037</v>
      </c>
      <c r="D143" s="3">
        <f t="shared" si="2"/>
        <v>0</v>
      </c>
      <c r="E143" s="3">
        <f t="shared" si="3"/>
        <v>0</v>
      </c>
      <c r="F143" s="2" t="str">
        <f t="shared" si="1"/>
        <v>MKR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IFERROR(__xludf.DUMMYFUNCTION("""COMPUTED_VALUE"""),628.304849)</f>
        <v>628.304849</v>
      </c>
      <c r="C144" s="3">
        <f>IFERROR(__xludf.DUMMYFUNCTION("""COMPUTED_VALUE"""),977631.036951)</f>
        <v>977631.037</v>
      </c>
      <c r="D144" s="3">
        <f t="shared" si="2"/>
        <v>0</v>
      </c>
      <c r="E144" s="3">
        <f t="shared" si="3"/>
        <v>0</v>
      </c>
      <c r="F144" s="2" t="str">
        <f t="shared" si="1"/>
        <v>MKR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IFERROR(__xludf.DUMMYFUNCTION("""COMPUTED_VALUE"""),609.543116)</f>
        <v>609.543116</v>
      </c>
      <c r="C145" s="3">
        <f>IFERROR(__xludf.DUMMYFUNCTION("""COMPUTED_VALUE"""),977631.036951)</f>
        <v>977631.037</v>
      </c>
      <c r="D145" s="3">
        <f t="shared" si="2"/>
        <v>0</v>
      </c>
      <c r="E145" s="3">
        <f t="shared" si="3"/>
        <v>0</v>
      </c>
      <c r="F145" s="2" t="str">
        <f t="shared" si="1"/>
        <v>MKR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IFERROR(__xludf.DUMMYFUNCTION("""COMPUTED_VALUE"""),591.040825)</f>
        <v>591.040825</v>
      </c>
      <c r="C146" s="3">
        <f>IFERROR(__xludf.DUMMYFUNCTION("""COMPUTED_VALUE"""),977631.036951)</f>
        <v>977631.037</v>
      </c>
      <c r="D146" s="2">
        <f t="shared" ref="D146:D1000" si="4">IF(ISBLANK(A146),"",C146-C145)</f>
        <v>0</v>
      </c>
      <c r="E146" s="2">
        <f t="shared" ref="E146:E1000" si="5">IF(ISBLANK(A146),"",B146*D146)</f>
        <v>0</v>
      </c>
      <c r="F146" s="2" t="str">
        <f t="shared" si="1"/>
        <v>MKR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IFERROR(__xludf.DUMMYFUNCTION("""COMPUTED_VALUE"""),649.326139)</f>
        <v>649.326139</v>
      </c>
      <c r="C147" s="3">
        <f>IFERROR(__xludf.DUMMYFUNCTION("""COMPUTED_VALUE"""),977631.036951)</f>
        <v>977631.037</v>
      </c>
      <c r="D147" s="2">
        <f t="shared" si="4"/>
        <v>0</v>
      </c>
      <c r="E147" s="2">
        <f t="shared" si="5"/>
        <v>0</v>
      </c>
      <c r="F147" s="2" t="str">
        <f t="shared" si="1"/>
        <v>MKR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IFERROR(__xludf.DUMMYFUNCTION("""COMPUTED_VALUE"""),671.596707)</f>
        <v>671.596707</v>
      </c>
      <c r="C148" s="3">
        <f>IFERROR(__xludf.DUMMYFUNCTION("""COMPUTED_VALUE"""),977631.036951)</f>
        <v>977631.037</v>
      </c>
      <c r="D148" s="2">
        <f t="shared" si="4"/>
        <v>0</v>
      </c>
      <c r="E148" s="2">
        <f t="shared" si="5"/>
        <v>0</v>
      </c>
      <c r="F148" s="2" t="str">
        <f t="shared" si="1"/>
        <v>MKR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IFERROR(__xludf.DUMMYFUNCTION("""COMPUTED_VALUE"""),679.973916)</f>
        <v>679.973916</v>
      </c>
      <c r="C149" s="3">
        <f>IFERROR(__xludf.DUMMYFUNCTION("""COMPUTED_VALUE"""),977631.036951)</f>
        <v>977631.037</v>
      </c>
      <c r="D149" s="2">
        <f t="shared" si="4"/>
        <v>0</v>
      </c>
      <c r="E149" s="2">
        <f t="shared" si="5"/>
        <v>0</v>
      </c>
      <c r="F149" s="2" t="str">
        <f t="shared" si="1"/>
        <v>MKR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2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2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2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2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2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2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2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2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2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2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2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2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2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2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2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2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2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2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2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2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2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2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2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2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2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2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2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2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2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2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2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2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2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2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2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2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2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2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2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2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2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2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2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2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2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2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2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2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2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2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2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2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2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2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2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2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2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2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2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2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2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2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2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2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2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2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2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2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2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2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2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2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2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2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2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2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2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2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2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2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2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2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2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2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2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2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2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2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2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2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2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2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2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2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2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2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2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2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2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2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2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2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2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2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2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2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2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2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2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2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2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2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2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2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2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2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2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2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2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2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2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2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2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2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2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2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2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2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2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2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2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2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2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2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2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2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2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2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2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2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2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2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2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2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2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2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2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2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2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2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2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2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2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2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2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2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2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2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2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2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2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2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2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2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2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2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2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2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2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2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2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2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2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2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2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2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2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2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2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2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2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2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2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2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2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2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2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2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2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2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2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2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2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2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2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2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2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2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2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2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2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2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2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2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2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2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2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2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2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2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2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2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2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2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2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2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2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2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2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2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2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2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2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2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2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2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2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2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2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2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2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2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2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2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2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2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2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2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2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2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2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2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2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2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2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2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2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2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2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2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2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2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2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2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2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2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2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2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2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2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2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2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2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2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2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2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2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2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2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2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2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2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2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2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2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2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2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2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2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2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2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2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2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2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2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2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2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2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2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2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2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2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2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2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2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2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2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2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2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2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2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2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2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2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2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2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2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2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2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2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2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2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2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2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2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2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2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2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2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2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2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2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2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2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2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2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2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2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2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2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2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2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2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2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2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2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2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2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2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2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2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2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2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2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2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2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2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2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2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2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2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2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2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2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2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2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2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2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2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2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2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2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2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2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2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2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2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2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2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2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2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2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2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2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2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2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2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2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2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2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2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2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2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2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2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2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2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2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2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2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2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2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2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2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2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2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2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2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2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2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2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2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2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2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2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2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2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2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2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2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2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2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2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2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2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2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2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2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2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2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2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2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2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2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2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2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2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2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2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2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2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2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2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2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2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2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2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2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2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2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2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2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2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2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2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2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2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2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2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2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2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2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2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2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2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2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2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2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2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2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2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2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2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2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2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2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2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2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2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2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2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2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2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2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2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2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2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2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2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2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2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2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2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2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2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2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2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2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2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2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2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2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2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2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2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2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2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2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2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2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2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2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2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2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2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2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2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2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2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2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2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2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2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2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2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2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2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2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2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2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2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2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2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2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2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2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2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2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2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2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2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2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2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2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2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2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2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2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2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2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2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2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2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2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2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2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2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2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2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2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2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2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2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2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2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2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2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2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2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2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2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2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2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2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2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2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2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2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2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2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2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2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2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2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2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2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2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2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2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2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2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2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2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2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2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2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2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2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2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2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2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2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2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2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2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2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2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2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2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2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2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2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2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2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2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2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2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2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2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2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2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2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2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2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2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2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2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2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2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2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2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2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2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2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2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2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2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2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2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2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2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2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2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2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2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2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2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2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2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2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2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2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2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2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2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2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2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2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2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2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2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2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2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2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2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2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2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2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2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2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2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2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2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2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2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2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2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2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2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2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2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2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2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2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2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2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2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2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2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2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2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2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2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2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2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2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2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2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2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2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2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2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2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2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2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2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2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2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2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2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2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2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2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2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2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2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2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2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2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2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2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2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2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2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2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2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2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2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2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2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2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2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2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2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2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2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2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2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2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2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2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2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2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2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2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2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2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2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2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2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2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2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2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2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2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2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2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2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2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2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2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2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2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2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2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2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2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2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2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2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2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2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2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2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2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2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2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2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2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2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2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2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2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2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2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2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2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2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2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2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2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2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2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2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2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2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2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2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2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2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2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2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2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2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2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2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2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2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2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2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2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2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2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2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2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2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2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2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2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2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2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2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2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2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2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2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2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2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2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2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2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2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2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2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2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2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2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2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2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2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2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2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2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2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2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2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2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2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2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2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2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2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2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2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2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2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2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2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2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2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2" t="str">
        <f t="shared" si="1"/>
        <v/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>
      <c r="A2" s="5" t="str">
        <f>IFERROR(__xludf.DUMMYFUNCTION("QUERY({btc_price!A2:B1000,ARRAYFORMULA(IFERROR(VLOOKUP(btc_price!A2:A1000,eth_price!$A:B,2,0),"""")),ARRAYFORMULA(IFERROR(VLOOKUP(btc_price!A2:A1000,sol_price!$A:B,2,0),"""")),ARRAYFORMULA(IFERROR(VLOOKUP(btc_price!A2:A1000,aave_price!$A:B,2,0),"""")),ARR"&amp;"AYFORMULA(IFERROR(VLOOKUP(btc_price!A2:A1000,uni_price!$A:B,2,0),"""")),ARRAYFORMULA(IFERROR(VLOOKUP(btc_price!A2:A1000,mkr_price!$A:B,2,0),"""")),ARRAYFORMULA(IFERROR(VLOOKUP(btc_price!A2:A1000,crv_price!$A:B,2,0),"""")),ARRAYFORMULA(IFERROR(VLOOKUP(btc_"&amp;"price!A2:A1000,ldo_price!$A:B,2,0),""""))}, ""SELECT *"",0)"),"2022-05-01T00:00:00Z")</f>
        <v>2022-05-01T00:00:00Z</v>
      </c>
      <c r="B2" s="3">
        <f>IFERROR(__xludf.DUMMYFUNCTION("""COMPUTED_VALUE"""),38474.808133)</f>
        <v>38474.80813</v>
      </c>
      <c r="C2" s="3">
        <f>IFERROR(__xludf.DUMMYFUNCTION("""COMPUTED_VALUE"""),2726.085184)</f>
        <v>2726.085184</v>
      </c>
      <c r="D2" s="3">
        <f>IFERROR(__xludf.DUMMYFUNCTION("""COMPUTED_VALUE"""),84.637333)</f>
        <v>84.637333</v>
      </c>
      <c r="E2" s="3">
        <f>IFERROR(__xludf.DUMMYFUNCTION("""COMPUTED_VALUE"""),142.232089)</f>
        <v>142.232089</v>
      </c>
      <c r="F2" s="3">
        <f>IFERROR(__xludf.DUMMYFUNCTION("""COMPUTED_VALUE"""),6.752732)</f>
        <v>6.752732</v>
      </c>
      <c r="G2" s="3">
        <f>IFERROR(__xludf.DUMMYFUNCTION("""COMPUTED_VALUE"""),1457.752182)</f>
        <v>1457.752182</v>
      </c>
      <c r="H2" s="3">
        <f>IFERROR(__xludf.DUMMYFUNCTION("""COMPUTED_VALUE"""),1.994207)</f>
        <v>1.994207</v>
      </c>
      <c r="I2" s="3">
        <f>IFERROR(__xludf.DUMMYFUNCTION("""COMPUTED_VALUE"""),2.860904)</f>
        <v>2.860904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IFERROR(__xludf.DUMMYFUNCTION("""COMPUTED_VALUE"""),38518.419234)</f>
        <v>38518.41923</v>
      </c>
      <c r="C3" s="3">
        <f>IFERROR(__xludf.DUMMYFUNCTION("""COMPUTED_VALUE"""),2824.95294)</f>
        <v>2824.95294</v>
      </c>
      <c r="D3" s="3">
        <f>IFERROR(__xludf.DUMMYFUNCTION("""COMPUTED_VALUE"""),89.685037)</f>
        <v>89.685037</v>
      </c>
      <c r="E3" s="3">
        <f>IFERROR(__xludf.DUMMYFUNCTION("""COMPUTED_VALUE"""),146.5505)</f>
        <v>146.5505</v>
      </c>
      <c r="F3" s="3">
        <f>IFERROR(__xludf.DUMMYFUNCTION("""COMPUTED_VALUE"""),7.114579)</f>
        <v>7.114579</v>
      </c>
      <c r="G3" s="3">
        <f>IFERROR(__xludf.DUMMYFUNCTION("""COMPUTED_VALUE"""),1450.077344)</f>
        <v>1450.077344</v>
      </c>
      <c r="H3" s="3">
        <f>IFERROR(__xludf.DUMMYFUNCTION("""COMPUTED_VALUE"""),2.066509)</f>
        <v>2.066509</v>
      </c>
      <c r="I3" s="3">
        <f>IFERROR(__xludf.DUMMYFUNCTION("""COMPUTED_VALUE"""),2.842609)</f>
        <v>2.842609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IFERROR(__xludf.DUMMYFUNCTION("""COMPUTED_VALUE"""),37724.773932)</f>
        <v>37724.77393</v>
      </c>
      <c r="C4" s="3">
        <f>IFERROR(__xludf.DUMMYFUNCTION("""COMPUTED_VALUE"""),2856.216929)</f>
        <v>2856.216929</v>
      </c>
      <c r="D4" s="3">
        <f>IFERROR(__xludf.DUMMYFUNCTION("""COMPUTED_VALUE"""),87.481517)</f>
        <v>87.481517</v>
      </c>
      <c r="E4" s="3">
        <f>IFERROR(__xludf.DUMMYFUNCTION("""COMPUTED_VALUE"""),144.167525)</f>
        <v>144.167525</v>
      </c>
      <c r="F4" s="3">
        <f>IFERROR(__xludf.DUMMYFUNCTION("""COMPUTED_VALUE"""),6.929338)</f>
        <v>6.929338</v>
      </c>
      <c r="G4" s="3">
        <f>IFERROR(__xludf.DUMMYFUNCTION("""COMPUTED_VALUE"""),1486.44658)</f>
        <v>1486.44658</v>
      </c>
      <c r="H4" s="3">
        <f>IFERROR(__xludf.DUMMYFUNCTION("""COMPUTED_VALUE"""),2.100397)</f>
        <v>2.100397</v>
      </c>
      <c r="I4" s="3">
        <f>IFERROR(__xludf.DUMMYFUNCTION("""COMPUTED_VALUE"""),2.82277)</f>
        <v>2.82277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IFERROR(__xludf.DUMMYFUNCTION("""COMPUTED_VALUE"""),39678.473342)</f>
        <v>39678.47334</v>
      </c>
      <c r="C5" s="3">
        <f>IFERROR(__xludf.DUMMYFUNCTION("""COMPUTED_VALUE"""),2780.836879)</f>
        <v>2780.836879</v>
      </c>
      <c r="D5" s="3">
        <f>IFERROR(__xludf.DUMMYFUNCTION("""COMPUTED_VALUE"""),85.847885)</f>
        <v>85.847885</v>
      </c>
      <c r="E5" s="3">
        <f>IFERROR(__xludf.DUMMYFUNCTION("""COMPUTED_VALUE"""),141.11723)</f>
        <v>141.11723</v>
      </c>
      <c r="F5" s="3">
        <f>IFERROR(__xludf.DUMMYFUNCTION("""COMPUTED_VALUE"""),6.856312)</f>
        <v>6.856312</v>
      </c>
      <c r="G5" s="3">
        <f>IFERROR(__xludf.DUMMYFUNCTION("""COMPUTED_VALUE"""),1401.362372)</f>
        <v>1401.362372</v>
      </c>
      <c r="H5" s="3">
        <f>IFERROR(__xludf.DUMMYFUNCTION("""COMPUTED_VALUE"""),2.15616)</f>
        <v>2.15616</v>
      </c>
      <c r="I5" s="3">
        <f>IFERROR(__xludf.DUMMYFUNCTION("""COMPUTED_VALUE"""),2.739996)</f>
        <v>2.739996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IFERROR(__xludf.DUMMYFUNCTION("""COMPUTED_VALUE"""),36547.03884)</f>
        <v>36547.03884</v>
      </c>
      <c r="C6" s="3">
        <f>IFERROR(__xludf.DUMMYFUNCTION("""COMPUTED_VALUE"""),2940.170177)</f>
        <v>2940.170177</v>
      </c>
      <c r="D6" s="3">
        <f>IFERROR(__xludf.DUMMYFUNCTION("""COMPUTED_VALUE"""),92.762378)</f>
        <v>92.762378</v>
      </c>
      <c r="E6" s="3">
        <f>IFERROR(__xludf.DUMMYFUNCTION("""COMPUTED_VALUE"""),159.568297)</f>
        <v>159.568297</v>
      </c>
      <c r="F6" s="3">
        <f>IFERROR(__xludf.DUMMYFUNCTION("""COMPUTED_VALUE"""),7.936684)</f>
        <v>7.936684</v>
      </c>
      <c r="G6" s="3">
        <f>IFERROR(__xludf.DUMMYFUNCTION("""COMPUTED_VALUE"""),1496.198432)</f>
        <v>1496.198432</v>
      </c>
      <c r="H6" s="3">
        <f>IFERROR(__xludf.DUMMYFUNCTION("""COMPUTED_VALUE"""),2.595929)</f>
        <v>2.595929</v>
      </c>
      <c r="I6" s="3">
        <f>IFERROR(__xludf.DUMMYFUNCTION("""COMPUTED_VALUE"""),3.085561)</f>
        <v>3.085561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IFERROR(__xludf.DUMMYFUNCTION("""COMPUTED_VALUE"""),35997.002496)</f>
        <v>35997.0025</v>
      </c>
      <c r="C7" s="3">
        <f>IFERROR(__xludf.DUMMYFUNCTION("""COMPUTED_VALUE"""),2747.552793)</f>
        <v>2747.552793</v>
      </c>
      <c r="D7" s="3">
        <f>IFERROR(__xludf.DUMMYFUNCTION("""COMPUTED_VALUE"""),84.503459)</f>
        <v>84.503459</v>
      </c>
      <c r="E7" s="3">
        <f>IFERROR(__xludf.DUMMYFUNCTION("""COMPUTED_VALUE"""),141.347477)</f>
        <v>141.347477</v>
      </c>
      <c r="F7" s="3">
        <f>IFERROR(__xludf.DUMMYFUNCTION("""COMPUTED_VALUE"""),7.347492)</f>
        <v>7.347492</v>
      </c>
      <c r="G7" s="3">
        <f>IFERROR(__xludf.DUMMYFUNCTION("""COMPUTED_VALUE"""),1377.120061)</f>
        <v>1377.120061</v>
      </c>
      <c r="H7" s="3">
        <f>IFERROR(__xludf.DUMMYFUNCTION("""COMPUTED_VALUE"""),2.458675)</f>
        <v>2.458675</v>
      </c>
      <c r="I7" s="3">
        <f>IFERROR(__xludf.DUMMYFUNCTION("""COMPUTED_VALUE"""),2.80614)</f>
        <v>2.80614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IFERROR(__xludf.DUMMYFUNCTION("""COMPUTED_VALUE"""),35450.771743)</f>
        <v>35450.77174</v>
      </c>
      <c r="C8" s="3">
        <f>IFERROR(__xludf.DUMMYFUNCTION("""COMPUTED_VALUE"""),2691.845625)</f>
        <v>2691.845625</v>
      </c>
      <c r="D8" s="3">
        <f>IFERROR(__xludf.DUMMYFUNCTION("""COMPUTED_VALUE"""),81.645169)</f>
        <v>81.645169</v>
      </c>
      <c r="E8" s="3">
        <f>IFERROR(__xludf.DUMMYFUNCTION("""COMPUTED_VALUE"""),138.374756)</f>
        <v>138.374756</v>
      </c>
      <c r="F8" s="3">
        <f>IFERROR(__xludf.DUMMYFUNCTION("""COMPUTED_VALUE"""),7.584601)</f>
        <v>7.584601</v>
      </c>
      <c r="G8" s="3">
        <f>IFERROR(__xludf.DUMMYFUNCTION("""COMPUTED_VALUE"""),1334.212568)</f>
        <v>1334.212568</v>
      </c>
      <c r="H8" s="3">
        <f>IFERROR(__xludf.DUMMYFUNCTION("""COMPUTED_VALUE"""),2.29207)</f>
        <v>2.29207</v>
      </c>
      <c r="I8" s="3">
        <f>IFERROR(__xludf.DUMMYFUNCTION("""COMPUTED_VALUE"""),2.74319)</f>
        <v>2.74319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IFERROR(__xludf.DUMMYFUNCTION("""COMPUTED_VALUE"""),34027.021333)</f>
        <v>34027.02133</v>
      </c>
      <c r="C9" s="3">
        <f>IFERROR(__xludf.DUMMYFUNCTION("""COMPUTED_VALUE"""),2634.91257)</f>
        <v>2634.91257</v>
      </c>
      <c r="D9" s="3">
        <f>IFERROR(__xludf.DUMMYFUNCTION("""COMPUTED_VALUE"""),78.846263)</f>
        <v>78.846263</v>
      </c>
      <c r="E9" s="3">
        <f>IFERROR(__xludf.DUMMYFUNCTION("""COMPUTED_VALUE"""),132.18587)</f>
        <v>132.18587</v>
      </c>
      <c r="F9" s="3">
        <f>IFERROR(__xludf.DUMMYFUNCTION("""COMPUTED_VALUE"""),7.171079)</f>
        <v>7.171079</v>
      </c>
      <c r="G9" s="3">
        <f>IFERROR(__xludf.DUMMYFUNCTION("""COMPUTED_VALUE"""),1265.543785)</f>
        <v>1265.543785</v>
      </c>
      <c r="H9" s="3">
        <f>IFERROR(__xludf.DUMMYFUNCTION("""COMPUTED_VALUE"""),2.226843)</f>
        <v>2.226843</v>
      </c>
      <c r="I9" s="3">
        <f>IFERROR(__xludf.DUMMYFUNCTION("""COMPUTED_VALUE"""),2.762656)</f>
        <v>2.762656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IFERROR(__xludf.DUMMYFUNCTION("""COMPUTED_VALUE"""),30072.939281)</f>
        <v>30072.93928</v>
      </c>
      <c r="C10" s="3">
        <f>IFERROR(__xludf.DUMMYFUNCTION("""COMPUTED_VALUE"""),2519.05337)</f>
        <v>2519.05337</v>
      </c>
      <c r="D10" s="3">
        <f>IFERROR(__xludf.DUMMYFUNCTION("""COMPUTED_VALUE"""),75.369953)</f>
        <v>75.369953</v>
      </c>
      <c r="E10" s="3">
        <f>IFERROR(__xludf.DUMMYFUNCTION("""COMPUTED_VALUE"""),125.988821)</f>
        <v>125.988821</v>
      </c>
      <c r="F10" s="3">
        <f>IFERROR(__xludf.DUMMYFUNCTION("""COMPUTED_VALUE"""),7.098135)</f>
        <v>7.098135</v>
      </c>
      <c r="G10" s="3">
        <f>IFERROR(__xludf.DUMMYFUNCTION("""COMPUTED_VALUE"""),1192.77374)</f>
        <v>1192.77374</v>
      </c>
      <c r="H10" s="3">
        <f>IFERROR(__xludf.DUMMYFUNCTION("""COMPUTED_VALUE"""),2.34783)</f>
        <v>2.34783</v>
      </c>
      <c r="I10" s="3">
        <f>IFERROR(__xludf.DUMMYFUNCTION("""COMPUTED_VALUE"""),2.787227)</f>
        <v>2.787227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IFERROR(__xludf.DUMMYFUNCTION("""COMPUTED_VALUE"""),31012.796392)</f>
        <v>31012.79639</v>
      </c>
      <c r="C11" s="3">
        <f>IFERROR(__xludf.DUMMYFUNCTION("""COMPUTED_VALUE"""),2227.956716)</f>
        <v>2227.956716</v>
      </c>
      <c r="D11" s="3">
        <f>IFERROR(__xludf.DUMMYFUNCTION("""COMPUTED_VALUE"""),62.139162)</f>
        <v>62.139162</v>
      </c>
      <c r="E11" s="3">
        <f>IFERROR(__xludf.DUMMYFUNCTION("""COMPUTED_VALUE"""),99.348682)</f>
        <v>99.348682</v>
      </c>
      <c r="F11" s="3">
        <f>IFERROR(__xludf.DUMMYFUNCTION("""COMPUTED_VALUE"""),5.954821)</f>
        <v>5.954821</v>
      </c>
      <c r="G11" s="3">
        <f>IFERROR(__xludf.DUMMYFUNCTION("""COMPUTED_VALUE"""),1050.135049)</f>
        <v>1050.135049</v>
      </c>
      <c r="H11" s="3">
        <f>IFERROR(__xludf.DUMMYFUNCTION("""COMPUTED_VALUE"""),1.910542)</f>
        <v>1.910542</v>
      </c>
      <c r="I11" s="3">
        <f>IFERROR(__xludf.DUMMYFUNCTION("""COMPUTED_VALUE"""),1.991929)</f>
        <v>1.991929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IFERROR(__xludf.DUMMYFUNCTION("""COMPUTED_VALUE"""),28975.801361)</f>
        <v>28975.80136</v>
      </c>
      <c r="C12" s="3">
        <f>IFERROR(__xludf.DUMMYFUNCTION("""COMPUTED_VALUE"""),2341.227498)</f>
        <v>2341.227498</v>
      </c>
      <c r="D12" s="3">
        <f>IFERROR(__xludf.DUMMYFUNCTION("""COMPUTED_VALUE"""),66.859951)</f>
        <v>66.859951</v>
      </c>
      <c r="E12" s="3">
        <f>IFERROR(__xludf.DUMMYFUNCTION("""COMPUTED_VALUE"""),105.141455)</f>
        <v>105.141455</v>
      </c>
      <c r="F12" s="3">
        <f>IFERROR(__xludf.DUMMYFUNCTION("""COMPUTED_VALUE"""),6.069774)</f>
        <v>6.069774</v>
      </c>
      <c r="G12" s="3">
        <f>IFERROR(__xludf.DUMMYFUNCTION("""COMPUTED_VALUE"""),1221.570307)</f>
        <v>1221.570307</v>
      </c>
      <c r="H12" s="3">
        <f>IFERROR(__xludf.DUMMYFUNCTION("""COMPUTED_VALUE"""),1.974685)</f>
        <v>1.974685</v>
      </c>
      <c r="I12" s="3">
        <f>IFERROR(__xludf.DUMMYFUNCTION("""COMPUTED_VALUE"""),1.964434)</f>
        <v>1.964434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IFERROR(__xludf.DUMMYFUNCTION("""COMPUTED_VALUE"""),28959.389929)</f>
        <v>28959.38993</v>
      </c>
      <c r="C13" s="3">
        <f>IFERROR(__xludf.DUMMYFUNCTION("""COMPUTED_VALUE"""),2076.812833)</f>
        <v>2076.812833</v>
      </c>
      <c r="D13" s="3">
        <f>IFERROR(__xludf.DUMMYFUNCTION("""COMPUTED_VALUE"""),50.713735)</f>
        <v>50.713735</v>
      </c>
      <c r="E13" s="3">
        <f>IFERROR(__xludf.DUMMYFUNCTION("""COMPUTED_VALUE"""),82.203149)</f>
        <v>82.203149</v>
      </c>
      <c r="F13" s="3">
        <f>IFERROR(__xludf.DUMMYFUNCTION("""COMPUTED_VALUE"""),4.892984)</f>
        <v>4.892984</v>
      </c>
      <c r="G13" s="3">
        <f>IFERROR(__xludf.DUMMYFUNCTION("""COMPUTED_VALUE"""),1127.40757)</f>
        <v>1127.40757</v>
      </c>
      <c r="H13" s="3">
        <f>IFERROR(__xludf.DUMMYFUNCTION("""COMPUTED_VALUE"""),1.501801)</f>
        <v>1.501801</v>
      </c>
      <c r="I13" s="3">
        <f>IFERROR(__xludf.DUMMYFUNCTION("""COMPUTED_VALUE"""),1.560975)</f>
        <v>1.560975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IFERROR(__xludf.DUMMYFUNCTION("""COMPUTED_VALUE"""),29245.757314)</f>
        <v>29245.75731</v>
      </c>
      <c r="C14" s="3">
        <f>IFERROR(__xludf.DUMMYFUNCTION("""COMPUTED_VALUE"""),1954.181681)</f>
        <v>1954.181681</v>
      </c>
      <c r="D14" s="3">
        <f>IFERROR(__xludf.DUMMYFUNCTION("""COMPUTED_VALUE"""),44.540271)</f>
        <v>44.540271</v>
      </c>
      <c r="E14" s="3">
        <f>IFERROR(__xludf.DUMMYFUNCTION("""COMPUTED_VALUE"""),76.900714)</f>
        <v>76.900714</v>
      </c>
      <c r="F14" s="3">
        <f>IFERROR(__xludf.DUMMYFUNCTION("""COMPUTED_VALUE"""),4.656379)</f>
        <v>4.656379</v>
      </c>
      <c r="G14" s="3">
        <f>IFERROR(__xludf.DUMMYFUNCTION("""COMPUTED_VALUE"""),1335.206943)</f>
        <v>1335.206943</v>
      </c>
      <c r="H14" s="3">
        <f>IFERROR(__xludf.DUMMYFUNCTION("""COMPUTED_VALUE"""),1.304043)</f>
        <v>1.304043</v>
      </c>
      <c r="I14" s="3">
        <f>IFERROR(__xludf.DUMMYFUNCTION("""COMPUTED_VALUE"""),1.406001)</f>
        <v>1.406001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IFERROR(__xludf.DUMMYFUNCTION("""COMPUTED_VALUE"""),30048.70072)</f>
        <v>30048.70072</v>
      </c>
      <c r="C15" s="3">
        <f>IFERROR(__xludf.DUMMYFUNCTION("""COMPUTED_VALUE"""),2006.196794)</f>
        <v>2006.196794</v>
      </c>
      <c r="D15" s="3">
        <f>IFERROR(__xludf.DUMMYFUNCTION("""COMPUTED_VALUE"""),48.873913)</f>
        <v>48.873913</v>
      </c>
      <c r="E15" s="3">
        <f>IFERROR(__xludf.DUMMYFUNCTION("""COMPUTED_VALUE"""),82.341252)</f>
        <v>82.341252</v>
      </c>
      <c r="F15" s="3">
        <f>IFERROR(__xludf.DUMMYFUNCTION("""COMPUTED_VALUE"""),5.127297)</f>
        <v>5.127297</v>
      </c>
      <c r="G15" s="3">
        <f>IFERROR(__xludf.DUMMYFUNCTION("""COMPUTED_VALUE"""),1381.975763)</f>
        <v>1381.975763</v>
      </c>
      <c r="H15" s="3">
        <f>IFERROR(__xludf.DUMMYFUNCTION("""COMPUTED_VALUE"""),1.31615)</f>
        <v>1.31615</v>
      </c>
      <c r="I15" s="3">
        <f>IFERROR(__xludf.DUMMYFUNCTION("""COMPUTED_VALUE"""),1.460313)</f>
        <v>1.460313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IFERROR(__xludf.DUMMYFUNCTION("""COMPUTED_VALUE"""),31292.530861)</f>
        <v>31292.53086</v>
      </c>
      <c r="C16" s="3">
        <f>IFERROR(__xludf.DUMMYFUNCTION("""COMPUTED_VALUE"""),2053.6366)</f>
        <v>2053.6366</v>
      </c>
      <c r="D16" s="3">
        <f>IFERROR(__xludf.DUMMYFUNCTION("""COMPUTED_VALUE"""),52.378337)</f>
        <v>52.378337</v>
      </c>
      <c r="E16" s="3">
        <f>IFERROR(__xludf.DUMMYFUNCTION("""COMPUTED_VALUE"""),86.515951)</f>
        <v>86.515951</v>
      </c>
      <c r="F16" s="3">
        <f>IFERROR(__xludf.DUMMYFUNCTION("""COMPUTED_VALUE"""),5.169285)</f>
        <v>5.169285</v>
      </c>
      <c r="G16" s="3">
        <f>IFERROR(__xludf.DUMMYFUNCTION("""COMPUTED_VALUE"""),1561.657775)</f>
        <v>1561.657775</v>
      </c>
      <c r="H16" s="3">
        <f>IFERROR(__xludf.DUMMYFUNCTION("""COMPUTED_VALUE"""),1.414553)</f>
        <v>1.414553</v>
      </c>
      <c r="I16" s="3">
        <f>IFERROR(__xludf.DUMMYFUNCTION("""COMPUTED_VALUE"""),1.501592)</f>
        <v>1.501592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IFERROR(__xludf.DUMMYFUNCTION("""COMPUTED_VALUE"""),29832.780715)</f>
        <v>29832.78072</v>
      </c>
      <c r="C17" s="3">
        <f>IFERROR(__xludf.DUMMYFUNCTION("""COMPUTED_VALUE"""),2142.663402)</f>
        <v>2142.663402</v>
      </c>
      <c r="D17" s="3">
        <f>IFERROR(__xludf.DUMMYFUNCTION("""COMPUTED_VALUE"""),58.748797)</f>
        <v>58.748797</v>
      </c>
      <c r="E17" s="3">
        <f>IFERROR(__xludf.DUMMYFUNCTION("""COMPUTED_VALUE"""),91.982302)</f>
        <v>91.982302</v>
      </c>
      <c r="F17" s="3">
        <f>IFERROR(__xludf.DUMMYFUNCTION("""COMPUTED_VALUE"""),5.443996)</f>
        <v>5.443996</v>
      </c>
      <c r="G17" s="3">
        <f>IFERROR(__xludf.DUMMYFUNCTION("""COMPUTED_VALUE"""),1573.207825)</f>
        <v>1573.207825</v>
      </c>
      <c r="H17" s="3">
        <f>IFERROR(__xludf.DUMMYFUNCTION("""COMPUTED_VALUE"""),1.507382)</f>
        <v>1.507382</v>
      </c>
      <c r="I17" s="3">
        <f>IFERROR(__xludf.DUMMYFUNCTION("""COMPUTED_VALUE"""),1.473121)</f>
        <v>1.473121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IFERROR(__xludf.DUMMYFUNCTION("""COMPUTED_VALUE"""),30412.489302)</f>
        <v>30412.4893</v>
      </c>
      <c r="C18" s="3">
        <f>IFERROR(__xludf.DUMMYFUNCTION("""COMPUTED_VALUE"""),2021.279565)</f>
        <v>2021.279565</v>
      </c>
      <c r="D18" s="3">
        <f>IFERROR(__xludf.DUMMYFUNCTION("""COMPUTED_VALUE"""),53.755147)</f>
        <v>53.755147</v>
      </c>
      <c r="E18" s="3">
        <f>IFERROR(__xludf.DUMMYFUNCTION("""COMPUTED_VALUE"""),83.895907)</f>
        <v>83.895907</v>
      </c>
      <c r="F18" s="3">
        <f>IFERROR(__xludf.DUMMYFUNCTION("""COMPUTED_VALUE"""),5.052133)</f>
        <v>5.052133</v>
      </c>
      <c r="G18" s="3">
        <f>IFERROR(__xludf.DUMMYFUNCTION("""COMPUTED_VALUE"""),1529.341422)</f>
        <v>1529.341422</v>
      </c>
      <c r="H18" s="3">
        <f>IFERROR(__xludf.DUMMYFUNCTION("""COMPUTED_VALUE"""),1.362627)</f>
        <v>1.362627</v>
      </c>
      <c r="I18" s="3">
        <f>IFERROR(__xludf.DUMMYFUNCTION("""COMPUTED_VALUE"""),1.445745)</f>
        <v>1.445745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IFERROR(__xludf.DUMMYFUNCTION("""COMPUTED_VALUE"""),28673.357006)</f>
        <v>28673.35701</v>
      </c>
      <c r="C19" s="3">
        <f>IFERROR(__xludf.DUMMYFUNCTION("""COMPUTED_VALUE"""),2087.966866)</f>
        <v>2087.966866</v>
      </c>
      <c r="D19" s="3">
        <f>IFERROR(__xludf.DUMMYFUNCTION("""COMPUTED_VALUE"""),56.951284)</f>
        <v>56.951284</v>
      </c>
      <c r="E19" s="3">
        <f>IFERROR(__xludf.DUMMYFUNCTION("""COMPUTED_VALUE"""),92.560855)</f>
        <v>92.560855</v>
      </c>
      <c r="F19" s="3">
        <f>IFERROR(__xludf.DUMMYFUNCTION("""COMPUTED_VALUE"""),5.459629)</f>
        <v>5.459629</v>
      </c>
      <c r="G19" s="3">
        <f>IFERROR(__xludf.DUMMYFUNCTION("""COMPUTED_VALUE"""),1570.414877)</f>
        <v>1570.414877</v>
      </c>
      <c r="H19" s="3">
        <f>IFERROR(__xludf.DUMMYFUNCTION("""COMPUTED_VALUE"""),1.389919)</f>
        <v>1.389919</v>
      </c>
      <c r="I19" s="3">
        <f>IFERROR(__xludf.DUMMYFUNCTION("""COMPUTED_VALUE"""),1.537922)</f>
        <v>1.537922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IFERROR(__xludf.DUMMYFUNCTION("""COMPUTED_VALUE"""),30281.175993)</f>
        <v>30281.17599</v>
      </c>
      <c r="C20" s="3">
        <f>IFERROR(__xludf.DUMMYFUNCTION("""COMPUTED_VALUE"""),1913.050302)</f>
        <v>1913.050302</v>
      </c>
      <c r="D20" s="3">
        <f>IFERROR(__xludf.DUMMYFUNCTION("""COMPUTED_VALUE"""),49.873637)</f>
        <v>49.873637</v>
      </c>
      <c r="E20" s="3">
        <f>IFERROR(__xludf.DUMMYFUNCTION("""COMPUTED_VALUE"""),81.870482)</f>
        <v>81.870482</v>
      </c>
      <c r="F20" s="3">
        <f>IFERROR(__xludf.DUMMYFUNCTION("""COMPUTED_VALUE"""),4.922264)</f>
        <v>4.922264</v>
      </c>
      <c r="G20" s="3">
        <f>IFERROR(__xludf.DUMMYFUNCTION("""COMPUTED_VALUE"""),1432.219514)</f>
        <v>1432.219514</v>
      </c>
      <c r="H20" s="3">
        <f>IFERROR(__xludf.DUMMYFUNCTION("""COMPUTED_VALUE"""),1.228163)</f>
        <v>1.228163</v>
      </c>
      <c r="I20" s="3">
        <f>IFERROR(__xludf.DUMMYFUNCTION("""COMPUTED_VALUE"""),1.379683)</f>
        <v>1.379683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IFERROR(__xludf.DUMMYFUNCTION("""COMPUTED_VALUE"""),29163.241708)</f>
        <v>29163.24171</v>
      </c>
      <c r="C21" s="3">
        <f>IFERROR(__xludf.DUMMYFUNCTION("""COMPUTED_VALUE"""),2016.952653)</f>
        <v>2016.952653</v>
      </c>
      <c r="D21" s="3">
        <f>IFERROR(__xludf.DUMMYFUNCTION("""COMPUTED_VALUE"""),52.125185)</f>
        <v>52.125185</v>
      </c>
      <c r="E21" s="3">
        <f>IFERROR(__xludf.DUMMYFUNCTION("""COMPUTED_VALUE"""),91.710091)</f>
        <v>91.710091</v>
      </c>
      <c r="F21" s="3">
        <f>IFERROR(__xludf.DUMMYFUNCTION("""COMPUTED_VALUE"""),5.185391)</f>
        <v>5.185391</v>
      </c>
      <c r="G21" s="3">
        <f>IFERROR(__xludf.DUMMYFUNCTION("""COMPUTED_VALUE"""),1433.37382)</f>
        <v>1433.37382</v>
      </c>
      <c r="H21" s="3">
        <f>IFERROR(__xludf.DUMMYFUNCTION("""COMPUTED_VALUE"""),1.079349)</f>
        <v>1.079349</v>
      </c>
      <c r="I21" s="3">
        <f>IFERROR(__xludf.DUMMYFUNCTION("""COMPUTED_VALUE"""),1.418789)</f>
        <v>1.418789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IFERROR(__xludf.DUMMYFUNCTION("""COMPUTED_VALUE"""),29439.303354)</f>
        <v>29439.30335</v>
      </c>
      <c r="C22" s="3">
        <f>IFERROR(__xludf.DUMMYFUNCTION("""COMPUTED_VALUE"""),1956.668407)</f>
        <v>1956.668407</v>
      </c>
      <c r="D22" s="3">
        <f>IFERROR(__xludf.DUMMYFUNCTION("""COMPUTED_VALUE"""),49.368749)</f>
        <v>49.368749</v>
      </c>
      <c r="E22" s="3">
        <f>IFERROR(__xludf.DUMMYFUNCTION("""COMPUTED_VALUE"""),90.133435)</f>
        <v>90.133435</v>
      </c>
      <c r="F22" s="3">
        <f>IFERROR(__xludf.DUMMYFUNCTION("""COMPUTED_VALUE"""),5.088243)</f>
        <v>5.088243</v>
      </c>
      <c r="G22" s="3">
        <f>IFERROR(__xludf.DUMMYFUNCTION("""COMPUTED_VALUE"""),1391.474934)</f>
        <v>1391.474934</v>
      </c>
      <c r="H22" s="3">
        <f>IFERROR(__xludf.DUMMYFUNCTION("""COMPUTED_VALUE"""),1.127977)</f>
        <v>1.127977</v>
      </c>
      <c r="I22" s="3">
        <f>IFERROR(__xludf.DUMMYFUNCTION("""COMPUTED_VALUE"""),1.320484)</f>
        <v>1.320484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IFERROR(__xludf.DUMMYFUNCTION("""COMPUTED_VALUE"""),30259.633249)</f>
        <v>30259.63325</v>
      </c>
      <c r="C23" s="3">
        <f>IFERROR(__xludf.DUMMYFUNCTION("""COMPUTED_VALUE"""),1972.557944)</f>
        <v>1972.557944</v>
      </c>
      <c r="D23" s="3">
        <f>IFERROR(__xludf.DUMMYFUNCTION("""COMPUTED_VALUE"""),50.241556)</f>
        <v>50.241556</v>
      </c>
      <c r="E23" s="3">
        <f>IFERROR(__xludf.DUMMYFUNCTION("""COMPUTED_VALUE"""),91.162551)</f>
        <v>91.162551</v>
      </c>
      <c r="F23" s="3">
        <f>IFERROR(__xludf.DUMMYFUNCTION("""COMPUTED_VALUE"""),5.22356)</f>
        <v>5.22356</v>
      </c>
      <c r="G23" s="3">
        <f>IFERROR(__xludf.DUMMYFUNCTION("""COMPUTED_VALUE"""),1398.341332)</f>
        <v>1398.341332</v>
      </c>
      <c r="H23" s="3">
        <f>IFERROR(__xludf.DUMMYFUNCTION("""COMPUTED_VALUE"""),1.211265)</f>
        <v>1.211265</v>
      </c>
      <c r="I23" s="3">
        <f>IFERROR(__xludf.DUMMYFUNCTION("""COMPUTED_VALUE"""),1.319334)</f>
        <v>1.319334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IFERROR(__xludf.DUMMYFUNCTION("""COMPUTED_VALUE"""),29080.601914)</f>
        <v>29080.60191</v>
      </c>
      <c r="C24" s="3">
        <f>IFERROR(__xludf.DUMMYFUNCTION("""COMPUTED_VALUE"""),2040.481354)</f>
        <v>2040.481354</v>
      </c>
      <c r="D24" s="3">
        <f>IFERROR(__xludf.DUMMYFUNCTION("""COMPUTED_VALUE"""),52.407203)</f>
        <v>52.407203</v>
      </c>
      <c r="E24" s="3">
        <f>IFERROR(__xludf.DUMMYFUNCTION("""COMPUTED_VALUE"""),93.996349)</f>
        <v>93.996349</v>
      </c>
      <c r="F24" s="3">
        <f>IFERROR(__xludf.DUMMYFUNCTION("""COMPUTED_VALUE"""),5.47627)</f>
        <v>5.47627</v>
      </c>
      <c r="G24" s="3">
        <f>IFERROR(__xludf.DUMMYFUNCTION("""COMPUTED_VALUE"""),1429.822309)</f>
        <v>1429.822309</v>
      </c>
      <c r="H24" s="3">
        <f>IFERROR(__xludf.DUMMYFUNCTION("""COMPUTED_VALUE"""),1.272592)</f>
        <v>1.272592</v>
      </c>
      <c r="I24" s="3">
        <f>IFERROR(__xludf.DUMMYFUNCTION("""COMPUTED_VALUE"""),1.324456)</f>
        <v>1.324456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IFERROR(__xludf.DUMMYFUNCTION("""COMPUTED_VALUE"""),29624.359243)</f>
        <v>29624.35924</v>
      </c>
      <c r="C25" s="3">
        <f>IFERROR(__xludf.DUMMYFUNCTION("""COMPUTED_VALUE"""),1971.310984)</f>
        <v>1971.310984</v>
      </c>
      <c r="D25" s="3">
        <f>IFERROR(__xludf.DUMMYFUNCTION("""COMPUTED_VALUE"""),49.101744)</f>
        <v>49.101744</v>
      </c>
      <c r="E25" s="3">
        <f>IFERROR(__xludf.DUMMYFUNCTION("""COMPUTED_VALUE"""),99.176523)</f>
        <v>99.176523</v>
      </c>
      <c r="F25" s="3">
        <f>IFERROR(__xludf.DUMMYFUNCTION("""COMPUTED_VALUE"""),5.625066)</f>
        <v>5.625066</v>
      </c>
      <c r="G25" s="3">
        <f>IFERROR(__xludf.DUMMYFUNCTION("""COMPUTED_VALUE"""),1302.794573)</f>
        <v>1302.794573</v>
      </c>
      <c r="H25" s="3">
        <f>IFERROR(__xludf.DUMMYFUNCTION("""COMPUTED_VALUE"""),1.29893)</f>
        <v>1.29893</v>
      </c>
      <c r="I25" s="3">
        <f>IFERROR(__xludf.DUMMYFUNCTION("""COMPUTED_VALUE"""),1.169524)</f>
        <v>1.169524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IFERROR(__xludf.DUMMYFUNCTION("""COMPUTED_VALUE"""),29511.77479)</f>
        <v>29511.77479</v>
      </c>
      <c r="C26" s="3">
        <f>IFERROR(__xludf.DUMMYFUNCTION("""COMPUTED_VALUE"""),1977.234532)</f>
        <v>1977.234532</v>
      </c>
      <c r="D26" s="3">
        <f>IFERROR(__xludf.DUMMYFUNCTION("""COMPUTED_VALUE"""),49.609853)</f>
        <v>49.609853</v>
      </c>
      <c r="E26" s="3">
        <f>IFERROR(__xludf.DUMMYFUNCTION("""COMPUTED_VALUE"""),106.403542)</f>
        <v>106.403542</v>
      </c>
      <c r="F26" s="3">
        <f>IFERROR(__xludf.DUMMYFUNCTION("""COMPUTED_VALUE"""),5.590588)</f>
        <v>5.590588</v>
      </c>
      <c r="G26" s="3">
        <f>IFERROR(__xludf.DUMMYFUNCTION("""COMPUTED_VALUE"""),1292.769131)</f>
        <v>1292.769131</v>
      </c>
      <c r="H26" s="3">
        <f>IFERROR(__xludf.DUMMYFUNCTION("""COMPUTED_VALUE"""),1.255562)</f>
        <v>1.255562</v>
      </c>
      <c r="I26" s="3">
        <f>IFERROR(__xludf.DUMMYFUNCTION("""COMPUTED_VALUE"""),1.099717)</f>
        <v>1.099717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IFERROR(__xludf.DUMMYFUNCTION("""COMPUTED_VALUE"""),29167.964539)</f>
        <v>29167.96454</v>
      </c>
      <c r="C27" s="3">
        <f>IFERROR(__xludf.DUMMYFUNCTION("""COMPUTED_VALUE"""),1940.318059)</f>
        <v>1940.318059</v>
      </c>
      <c r="D27" s="3">
        <f>IFERROR(__xludf.DUMMYFUNCTION("""COMPUTED_VALUE"""),47.912399)</f>
        <v>47.912399</v>
      </c>
      <c r="E27" s="3">
        <f>IFERROR(__xludf.DUMMYFUNCTION("""COMPUTED_VALUE"""),101.925442)</f>
        <v>101.925442</v>
      </c>
      <c r="F27" s="3">
        <f>IFERROR(__xludf.DUMMYFUNCTION("""COMPUTED_VALUE"""),5.618831)</f>
        <v>5.618831</v>
      </c>
      <c r="G27" s="3">
        <f>IFERROR(__xludf.DUMMYFUNCTION("""COMPUTED_VALUE"""),1260.950226)</f>
        <v>1260.950226</v>
      </c>
      <c r="H27" s="3">
        <f>IFERROR(__xludf.DUMMYFUNCTION("""COMPUTED_VALUE"""),1.232968)</f>
        <v>1.232968</v>
      </c>
      <c r="I27" s="3">
        <f>IFERROR(__xludf.DUMMYFUNCTION("""COMPUTED_VALUE"""),1.086791)</f>
        <v>1.086791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IFERROR(__xludf.DUMMYFUNCTION("""COMPUTED_VALUE"""),28597.029821)</f>
        <v>28597.02982</v>
      </c>
      <c r="C28" s="3">
        <f>IFERROR(__xludf.DUMMYFUNCTION("""COMPUTED_VALUE"""),1790.309723)</f>
        <v>1790.309723</v>
      </c>
      <c r="D28" s="3">
        <f>IFERROR(__xludf.DUMMYFUNCTION("""COMPUTED_VALUE"""),43.394001)</f>
        <v>43.394001</v>
      </c>
      <c r="E28" s="3">
        <f>IFERROR(__xludf.DUMMYFUNCTION("""COMPUTED_VALUE"""),100.896645)</f>
        <v>100.896645</v>
      </c>
      <c r="F28" s="3">
        <f>IFERROR(__xludf.DUMMYFUNCTION("""COMPUTED_VALUE"""),4.942806)</f>
        <v>4.942806</v>
      </c>
      <c r="G28" s="3">
        <f>IFERROR(__xludf.DUMMYFUNCTION("""COMPUTED_VALUE"""),1148.732535)</f>
        <v>1148.732535</v>
      </c>
      <c r="H28" s="3">
        <f>IFERROR(__xludf.DUMMYFUNCTION("""COMPUTED_VALUE"""),1.205091)</f>
        <v>1.205091</v>
      </c>
      <c r="I28" s="3">
        <f>IFERROR(__xludf.DUMMYFUNCTION("""COMPUTED_VALUE"""),1.001103)</f>
        <v>1.001103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IFERROR(__xludf.DUMMYFUNCTION("""COMPUTED_VALUE"""),29009.301507)</f>
        <v>29009.30151</v>
      </c>
      <c r="C29" s="3">
        <f>IFERROR(__xludf.DUMMYFUNCTION("""COMPUTED_VALUE"""),1725.462226)</f>
        <v>1725.462226</v>
      </c>
      <c r="D29" s="3">
        <f>IFERROR(__xludf.DUMMYFUNCTION("""COMPUTED_VALUE"""),41.136324)</f>
        <v>41.136324</v>
      </c>
      <c r="E29" s="3">
        <f>IFERROR(__xludf.DUMMYFUNCTION("""COMPUTED_VALUE"""),92.320174)</f>
        <v>92.320174</v>
      </c>
      <c r="F29" s="3">
        <f>IFERROR(__xludf.DUMMYFUNCTION("""COMPUTED_VALUE"""),4.692841)</f>
        <v>4.692841</v>
      </c>
      <c r="G29" s="3">
        <f>IFERROR(__xludf.DUMMYFUNCTION("""COMPUTED_VALUE"""),1119.690848)</f>
        <v>1119.690848</v>
      </c>
      <c r="H29" s="3">
        <f>IFERROR(__xludf.DUMMYFUNCTION("""COMPUTED_VALUE"""),1.171713)</f>
        <v>1.171713</v>
      </c>
      <c r="I29" s="3">
        <f>IFERROR(__xludf.DUMMYFUNCTION("""COMPUTED_VALUE"""),1.082203)</f>
        <v>1.082203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IFERROR(__xludf.DUMMYFUNCTION("""COMPUTED_VALUE"""),29452.109529)</f>
        <v>29452.10953</v>
      </c>
      <c r="C30" s="3">
        <f>IFERROR(__xludf.DUMMYFUNCTION("""COMPUTED_VALUE"""),1790.896078)</f>
        <v>1790.896078</v>
      </c>
      <c r="D30" s="3">
        <f>IFERROR(__xludf.DUMMYFUNCTION("""COMPUTED_VALUE"""),44.210894)</f>
        <v>44.210894</v>
      </c>
      <c r="E30" s="3">
        <f>IFERROR(__xludf.DUMMYFUNCTION("""COMPUTED_VALUE"""),95.399369)</f>
        <v>95.399369</v>
      </c>
      <c r="F30" s="3">
        <f>IFERROR(__xludf.DUMMYFUNCTION("""COMPUTED_VALUE"""),4.980048)</f>
        <v>4.980048</v>
      </c>
      <c r="G30" s="3">
        <f>IFERROR(__xludf.DUMMYFUNCTION("""COMPUTED_VALUE"""),1209.725863)</f>
        <v>1209.725863</v>
      </c>
      <c r="H30" s="3">
        <f>IFERROR(__xludf.DUMMYFUNCTION("""COMPUTED_VALUE"""),1.218375)</f>
        <v>1.218375</v>
      </c>
      <c r="I30" s="3">
        <f>IFERROR(__xludf.DUMMYFUNCTION("""COMPUTED_VALUE"""),1.039655)</f>
        <v>1.039655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IFERROR(__xludf.DUMMYFUNCTION("""COMPUTED_VALUE"""),31708.966946)</f>
        <v>31708.96695</v>
      </c>
      <c r="C31" s="3">
        <f>IFERROR(__xludf.DUMMYFUNCTION("""COMPUTED_VALUE"""),1812.714869)</f>
        <v>1812.714869</v>
      </c>
      <c r="D31" s="3">
        <f>IFERROR(__xludf.DUMMYFUNCTION("""COMPUTED_VALUE"""),44.960477)</f>
        <v>44.960477</v>
      </c>
      <c r="E31" s="3">
        <f>IFERROR(__xludf.DUMMYFUNCTION("""COMPUTED_VALUE"""),95.413491)</f>
        <v>95.413491</v>
      </c>
      <c r="F31" s="3">
        <f>IFERROR(__xludf.DUMMYFUNCTION("""COMPUTED_VALUE"""),4.942211)</f>
        <v>4.942211</v>
      </c>
      <c r="G31" s="3">
        <f>IFERROR(__xludf.DUMMYFUNCTION("""COMPUTED_VALUE"""),1193.138958)</f>
        <v>1193.138958</v>
      </c>
      <c r="H31" s="3">
        <f>IFERROR(__xludf.DUMMYFUNCTION("""COMPUTED_VALUE"""),1.254631)</f>
        <v>1.254631</v>
      </c>
      <c r="I31" s="3">
        <f>IFERROR(__xludf.DUMMYFUNCTION("""COMPUTED_VALUE"""),1.163036)</f>
        <v>1.163036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IFERROR(__xludf.DUMMYFUNCTION("""COMPUTED_VALUE"""),31771.389376)</f>
        <v>31771.38938</v>
      </c>
      <c r="C32" s="3">
        <f>IFERROR(__xludf.DUMMYFUNCTION("""COMPUTED_VALUE"""),1996.563513)</f>
        <v>1996.563513</v>
      </c>
      <c r="D32" s="3">
        <f>IFERROR(__xludf.DUMMYFUNCTION("""COMPUTED_VALUE"""),47.177405)</f>
        <v>47.177405</v>
      </c>
      <c r="E32" s="3">
        <f>IFERROR(__xludf.DUMMYFUNCTION("""COMPUTED_VALUE"""),117.207908)</f>
        <v>117.207908</v>
      </c>
      <c r="F32" s="3">
        <f>IFERROR(__xludf.DUMMYFUNCTION("""COMPUTED_VALUE"""),5.652219)</f>
        <v>5.652219</v>
      </c>
      <c r="G32" s="3">
        <f>IFERROR(__xludf.DUMMYFUNCTION("""COMPUTED_VALUE"""),1369.335622)</f>
        <v>1369.335622</v>
      </c>
      <c r="H32" s="3">
        <f>IFERROR(__xludf.DUMMYFUNCTION("""COMPUTED_VALUE"""),1.386603)</f>
        <v>1.386603</v>
      </c>
      <c r="I32" s="3">
        <f>IFERROR(__xludf.DUMMYFUNCTION("""COMPUTED_VALUE"""),1.212005)</f>
        <v>1.212005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IFERROR(__xludf.DUMMYFUNCTION("""COMPUTED_VALUE"""),29788.693905)</f>
        <v>29788.69391</v>
      </c>
      <c r="C33" s="3">
        <f>IFERROR(__xludf.DUMMYFUNCTION("""COMPUTED_VALUE"""),1940.436137)</f>
        <v>1940.436137</v>
      </c>
      <c r="D33" s="3">
        <f>IFERROR(__xludf.DUMMYFUNCTION("""COMPUTED_VALUE"""),45.746213)</f>
        <v>45.746213</v>
      </c>
      <c r="E33" s="3">
        <f>IFERROR(__xludf.DUMMYFUNCTION("""COMPUTED_VALUE"""),112.828191)</f>
        <v>112.828191</v>
      </c>
      <c r="F33" s="3">
        <f>IFERROR(__xludf.DUMMYFUNCTION("""COMPUTED_VALUE"""),5.687735)</f>
        <v>5.687735</v>
      </c>
      <c r="G33" s="3">
        <f>IFERROR(__xludf.DUMMYFUNCTION("""COMPUTED_VALUE"""),1321.135149)</f>
        <v>1321.135149</v>
      </c>
      <c r="H33" s="3">
        <f>IFERROR(__xludf.DUMMYFUNCTION("""COMPUTED_VALUE"""),1.380196)</f>
        <v>1.380196</v>
      </c>
      <c r="I33" s="3">
        <f>IFERROR(__xludf.DUMMYFUNCTION("""COMPUTED_VALUE"""),1.050571)</f>
        <v>1.050571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IFERROR(__xludf.DUMMYFUNCTION("""COMPUTED_VALUE"""),30436.463428)</f>
        <v>30436.46343</v>
      </c>
      <c r="C34" s="3">
        <f>IFERROR(__xludf.DUMMYFUNCTION("""COMPUTED_VALUE"""),1816.84699)</f>
        <v>1816.84699</v>
      </c>
      <c r="D34" s="3">
        <f>IFERROR(__xludf.DUMMYFUNCTION("""COMPUTED_VALUE"""),40.161184)</f>
        <v>40.161184</v>
      </c>
      <c r="E34" s="3">
        <f>IFERROR(__xludf.DUMMYFUNCTION("""COMPUTED_VALUE"""),106.318607)</f>
        <v>106.318607</v>
      </c>
      <c r="F34" s="3">
        <f>IFERROR(__xludf.DUMMYFUNCTION("""COMPUTED_VALUE"""),5.141428)</f>
        <v>5.141428</v>
      </c>
      <c r="G34" s="3">
        <f>IFERROR(__xludf.DUMMYFUNCTION("""COMPUTED_VALUE"""),1208.792993)</f>
        <v>1208.792993</v>
      </c>
      <c r="H34" s="3">
        <f>IFERROR(__xludf.DUMMYFUNCTION("""COMPUTED_VALUE"""),1.266987)</f>
        <v>1.266987</v>
      </c>
      <c r="I34" s="3">
        <f>IFERROR(__xludf.DUMMYFUNCTION("""COMPUTED_VALUE"""),1.026171)</f>
        <v>1.026171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IFERROR(__xludf.DUMMYFUNCTION("""COMPUTED_VALUE"""),29676.165409)</f>
        <v>29676.16541</v>
      </c>
      <c r="C35" s="3">
        <f>IFERROR(__xludf.DUMMYFUNCTION("""COMPUTED_VALUE"""),1832.654399)</f>
        <v>1832.654399</v>
      </c>
      <c r="D35" s="3">
        <f>IFERROR(__xludf.DUMMYFUNCTION("""COMPUTED_VALUE"""),40.827216)</f>
        <v>40.827216</v>
      </c>
      <c r="E35" s="3">
        <f>IFERROR(__xludf.DUMMYFUNCTION("""COMPUTED_VALUE"""),110.963515)</f>
        <v>110.963515</v>
      </c>
      <c r="F35" s="3">
        <f>IFERROR(__xludf.DUMMYFUNCTION("""COMPUTED_VALUE"""),5.280675)</f>
        <v>5.280675</v>
      </c>
      <c r="G35" s="3">
        <f>IFERROR(__xludf.DUMMYFUNCTION("""COMPUTED_VALUE"""),1205.110507)</f>
        <v>1205.110507</v>
      </c>
      <c r="H35" s="3">
        <f>IFERROR(__xludf.DUMMYFUNCTION("""COMPUTED_VALUE"""),1.255532)</f>
        <v>1.255532</v>
      </c>
      <c r="I35" s="3">
        <f>IFERROR(__xludf.DUMMYFUNCTION("""COMPUTED_VALUE"""),1.022028)</f>
        <v>1.022028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IFERROR(__xludf.DUMMYFUNCTION("""COMPUTED_VALUE"""),29847.733072)</f>
        <v>29847.73307</v>
      </c>
      <c r="C36" s="3">
        <f>IFERROR(__xludf.DUMMYFUNCTION("""COMPUTED_VALUE"""),1773.519807)</f>
        <v>1773.519807</v>
      </c>
      <c r="D36" s="3">
        <f>IFERROR(__xludf.DUMMYFUNCTION("""COMPUTED_VALUE"""),38.247967)</f>
        <v>38.247967</v>
      </c>
      <c r="E36" s="3">
        <f>IFERROR(__xludf.DUMMYFUNCTION("""COMPUTED_VALUE"""),106.888531)</f>
        <v>106.888531</v>
      </c>
      <c r="F36" s="3">
        <f>IFERROR(__xludf.DUMMYFUNCTION("""COMPUTED_VALUE"""),5.072912)</f>
        <v>5.072912</v>
      </c>
      <c r="G36" s="3">
        <f>IFERROR(__xludf.DUMMYFUNCTION("""COMPUTED_VALUE"""),1146.076319)</f>
        <v>1146.076319</v>
      </c>
      <c r="H36" s="3">
        <f>IFERROR(__xludf.DUMMYFUNCTION("""COMPUTED_VALUE"""),1.171612)</f>
        <v>1.171612</v>
      </c>
      <c r="I36" s="3">
        <f>IFERROR(__xludf.DUMMYFUNCTION("""COMPUTED_VALUE"""),0.997866)</f>
        <v>0.997866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IFERROR(__xludf.DUMMYFUNCTION("""COMPUTED_VALUE"""),29899.877693)</f>
        <v>29899.87769</v>
      </c>
      <c r="C37" s="3">
        <f>IFERROR(__xludf.DUMMYFUNCTION("""COMPUTED_VALUE"""),1803.646978)</f>
        <v>1803.646978</v>
      </c>
      <c r="D37" s="3">
        <f>IFERROR(__xludf.DUMMYFUNCTION("""COMPUTED_VALUE"""),38.991597)</f>
        <v>38.991597</v>
      </c>
      <c r="E37" s="3">
        <f>IFERROR(__xludf.DUMMYFUNCTION("""COMPUTED_VALUE"""),106.904204)</f>
        <v>106.904204</v>
      </c>
      <c r="F37" s="3">
        <f>IFERROR(__xludf.DUMMYFUNCTION("""COMPUTED_VALUE"""),5.112042)</f>
        <v>5.112042</v>
      </c>
      <c r="G37" s="3">
        <f>IFERROR(__xludf.DUMMYFUNCTION("""COMPUTED_VALUE"""),1172.772392)</f>
        <v>1172.772392</v>
      </c>
      <c r="H37" s="3">
        <f>IFERROR(__xludf.DUMMYFUNCTION("""COMPUTED_VALUE"""),1.17858)</f>
        <v>1.17858</v>
      </c>
      <c r="I37" s="3">
        <f>IFERROR(__xludf.DUMMYFUNCTION("""COMPUTED_VALUE"""),1.013276)</f>
        <v>1.013276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IFERROR(__xludf.DUMMYFUNCTION("""COMPUTED_VALUE"""),31350.041508)</f>
        <v>31350.04151</v>
      </c>
      <c r="C38" s="3">
        <f>IFERROR(__xludf.DUMMYFUNCTION("""COMPUTED_VALUE"""),1804.777612)</f>
        <v>1804.777612</v>
      </c>
      <c r="D38" s="3">
        <f>IFERROR(__xludf.DUMMYFUNCTION("""COMPUTED_VALUE"""),38.488084)</f>
        <v>38.488084</v>
      </c>
      <c r="E38" s="3">
        <f>IFERROR(__xludf.DUMMYFUNCTION("""COMPUTED_VALUE"""),103.559044)</f>
        <v>103.559044</v>
      </c>
      <c r="F38" s="3">
        <f>IFERROR(__xludf.DUMMYFUNCTION("""COMPUTED_VALUE"""),5.087729)</f>
        <v>5.087729</v>
      </c>
      <c r="G38" s="3">
        <f>IFERROR(__xludf.DUMMYFUNCTION("""COMPUTED_VALUE"""),1179.512609)</f>
        <v>1179.512609</v>
      </c>
      <c r="H38" s="3">
        <f>IFERROR(__xludf.DUMMYFUNCTION("""COMPUTED_VALUE"""),1.210666)</f>
        <v>1.210666</v>
      </c>
      <c r="I38" s="3">
        <f>IFERROR(__xludf.DUMMYFUNCTION("""COMPUTED_VALUE"""),1.051294)</f>
        <v>1.051294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IFERROR(__xludf.DUMMYFUNCTION("""COMPUTED_VALUE"""),31107.537985)</f>
        <v>31107.53799</v>
      </c>
      <c r="C39" s="3">
        <f>IFERROR(__xludf.DUMMYFUNCTION("""COMPUTED_VALUE"""),1858.261725)</f>
        <v>1858.261725</v>
      </c>
      <c r="D39" s="3">
        <f>IFERROR(__xludf.DUMMYFUNCTION("""COMPUTED_VALUE"""),42.349219)</f>
        <v>42.349219</v>
      </c>
      <c r="E39" s="3">
        <f>IFERROR(__xludf.DUMMYFUNCTION("""COMPUTED_VALUE"""),105.896453)</f>
        <v>105.896453</v>
      </c>
      <c r="F39" s="3">
        <f>IFERROR(__xludf.DUMMYFUNCTION("""COMPUTED_VALUE"""),5.346567)</f>
        <v>5.346567</v>
      </c>
      <c r="G39" s="3">
        <f>IFERROR(__xludf.DUMMYFUNCTION("""COMPUTED_VALUE"""),1211.12221)</f>
        <v>1211.12221</v>
      </c>
      <c r="H39" s="3">
        <f>IFERROR(__xludf.DUMMYFUNCTION("""COMPUTED_VALUE"""),1.2859)</f>
        <v>1.2859</v>
      </c>
      <c r="I39" s="3">
        <f>IFERROR(__xludf.DUMMYFUNCTION("""COMPUTED_VALUE"""),1.071085)</f>
        <v>1.071085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IFERROR(__xludf.DUMMYFUNCTION("""COMPUTED_VALUE"""),30189.674427)</f>
        <v>30189.67443</v>
      </c>
      <c r="C40" s="3">
        <f>IFERROR(__xludf.DUMMYFUNCTION("""COMPUTED_VALUE"""),1812.039766)</f>
        <v>1812.039766</v>
      </c>
      <c r="D40" s="3">
        <f>IFERROR(__xludf.DUMMYFUNCTION("""COMPUTED_VALUE"""),39.288669)</f>
        <v>39.288669</v>
      </c>
      <c r="E40" s="3">
        <f>IFERROR(__xludf.DUMMYFUNCTION("""COMPUTED_VALUE"""),99.179132)</f>
        <v>99.179132</v>
      </c>
      <c r="F40" s="3">
        <f>IFERROR(__xludf.DUMMYFUNCTION("""COMPUTED_VALUE"""),5.213563)</f>
        <v>5.213563</v>
      </c>
      <c r="G40" s="3">
        <f>IFERROR(__xludf.DUMMYFUNCTION("""COMPUTED_VALUE"""),1157.321912)</f>
        <v>1157.321912</v>
      </c>
      <c r="H40" s="3">
        <f>IFERROR(__xludf.DUMMYFUNCTION("""COMPUTED_VALUE"""),1.187618)</f>
        <v>1.187618</v>
      </c>
      <c r="I40" s="3">
        <f>IFERROR(__xludf.DUMMYFUNCTION("""COMPUTED_VALUE"""),1.081339)</f>
        <v>1.081339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IFERROR(__xludf.DUMMYFUNCTION("""COMPUTED_VALUE"""),30076.379892)</f>
        <v>30076.37989</v>
      </c>
      <c r="C41" s="3">
        <f>IFERROR(__xludf.DUMMYFUNCTION("""COMPUTED_VALUE"""),1790.736107)</f>
        <v>1790.736107</v>
      </c>
      <c r="D41" s="3">
        <f>IFERROR(__xludf.DUMMYFUNCTION("""COMPUTED_VALUE"""),38.808699)</f>
        <v>38.808699</v>
      </c>
      <c r="E41" s="3">
        <f>IFERROR(__xludf.DUMMYFUNCTION("""COMPUTED_VALUE"""),96.458873)</f>
        <v>96.458873</v>
      </c>
      <c r="F41" s="3">
        <f>IFERROR(__xludf.DUMMYFUNCTION("""COMPUTED_VALUE"""),5.079823)</f>
        <v>5.079823</v>
      </c>
      <c r="G41" s="3">
        <f>IFERROR(__xludf.DUMMYFUNCTION("""COMPUTED_VALUE"""),1154.816034)</f>
        <v>1154.816034</v>
      </c>
      <c r="H41" s="3">
        <f>IFERROR(__xludf.DUMMYFUNCTION("""COMPUTED_VALUE"""),1.158723)</f>
        <v>1.158723</v>
      </c>
      <c r="I41" s="3">
        <f>IFERROR(__xludf.DUMMYFUNCTION("""COMPUTED_VALUE"""),1.009776)</f>
        <v>1.009776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IFERROR(__xludf.DUMMYFUNCTION("""COMPUTED_VALUE"""),29069.629058)</f>
        <v>29069.62906</v>
      </c>
      <c r="C42" s="3">
        <f>IFERROR(__xludf.DUMMYFUNCTION("""COMPUTED_VALUE"""),1786.328856)</f>
        <v>1786.328856</v>
      </c>
      <c r="D42" s="3">
        <f>IFERROR(__xludf.DUMMYFUNCTION("""COMPUTED_VALUE"""),39.903383)</f>
        <v>39.903383</v>
      </c>
      <c r="E42" s="3">
        <f>IFERROR(__xludf.DUMMYFUNCTION("""COMPUTED_VALUE"""),95.631085)</f>
        <v>95.631085</v>
      </c>
      <c r="F42" s="3">
        <f>IFERROR(__xludf.DUMMYFUNCTION("""COMPUTED_VALUE"""),5.19541)</f>
        <v>5.19541</v>
      </c>
      <c r="G42" s="3">
        <f>IFERROR(__xludf.DUMMYFUNCTION("""COMPUTED_VALUE"""),1134.550694)</f>
        <v>1134.550694</v>
      </c>
      <c r="H42" s="3">
        <f>IFERROR(__xludf.DUMMYFUNCTION("""COMPUTED_VALUE"""),1.14643)</f>
        <v>1.14643</v>
      </c>
      <c r="I42" s="3">
        <f>IFERROR(__xludf.DUMMYFUNCTION("""COMPUTED_VALUE"""),1.015426)</f>
        <v>1.015426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IFERROR(__xludf.DUMMYFUNCTION("""COMPUTED_VALUE"""),28393.12275)</f>
        <v>28393.12275</v>
      </c>
      <c r="C43" s="3">
        <f>IFERROR(__xludf.DUMMYFUNCTION("""COMPUTED_VALUE"""),1661.421355)</f>
        <v>1661.421355</v>
      </c>
      <c r="D43" s="3">
        <f>IFERROR(__xludf.DUMMYFUNCTION("""COMPUTED_VALUE"""),37.127259)</f>
        <v>37.127259</v>
      </c>
      <c r="E43" s="3">
        <f>IFERROR(__xludf.DUMMYFUNCTION("""COMPUTED_VALUE"""),88.053995)</f>
        <v>88.053995</v>
      </c>
      <c r="F43" s="3">
        <f>IFERROR(__xludf.DUMMYFUNCTION("""COMPUTED_VALUE"""),4.812547)</f>
        <v>4.812547</v>
      </c>
      <c r="G43" s="3">
        <f>IFERROR(__xludf.DUMMYFUNCTION("""COMPUTED_VALUE"""),1044.750473)</f>
        <v>1044.750473</v>
      </c>
      <c r="H43" s="3">
        <f>IFERROR(__xludf.DUMMYFUNCTION("""COMPUTED_VALUE"""),1.026847)</f>
        <v>1.026847</v>
      </c>
      <c r="I43" s="3">
        <f>IFERROR(__xludf.DUMMYFUNCTION("""COMPUTED_VALUE"""),1.003889)</f>
        <v>1.003889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IFERROR(__xludf.DUMMYFUNCTION("""COMPUTED_VALUE"""),26553.86776)</f>
        <v>26553.86776</v>
      </c>
      <c r="C44" s="3">
        <f>IFERROR(__xludf.DUMMYFUNCTION("""COMPUTED_VALUE"""),1531.104694)</f>
        <v>1531.104694</v>
      </c>
      <c r="D44" s="3">
        <f>IFERROR(__xludf.DUMMYFUNCTION("""COMPUTED_VALUE"""),33.900268)</f>
        <v>33.900268</v>
      </c>
      <c r="E44" s="3">
        <f>IFERROR(__xludf.DUMMYFUNCTION("""COMPUTED_VALUE"""),77.181857)</f>
        <v>77.181857</v>
      </c>
      <c r="F44" s="3">
        <f>IFERROR(__xludf.DUMMYFUNCTION("""COMPUTED_VALUE"""),4.383471)</f>
        <v>4.383471</v>
      </c>
      <c r="G44" s="3">
        <f>IFERROR(__xludf.DUMMYFUNCTION("""COMPUTED_VALUE"""),989.129324)</f>
        <v>989.129324</v>
      </c>
      <c r="H44" s="3">
        <f>IFERROR(__xludf.DUMMYFUNCTION("""COMPUTED_VALUE"""),0.909303)</f>
        <v>0.909303</v>
      </c>
      <c r="I44" s="3">
        <f>IFERROR(__xludf.DUMMYFUNCTION("""COMPUTED_VALUE"""),0.837094)</f>
        <v>0.837094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IFERROR(__xludf.DUMMYFUNCTION("""COMPUTED_VALUE"""),22454.299298)</f>
        <v>22454.2993</v>
      </c>
      <c r="C45" s="3">
        <f>IFERROR(__xludf.DUMMYFUNCTION("""COMPUTED_VALUE"""),1433.782545)</f>
        <v>1433.782545</v>
      </c>
      <c r="D45" s="3">
        <f>IFERROR(__xludf.DUMMYFUNCTION("""COMPUTED_VALUE"""),30.569833)</f>
        <v>30.569833</v>
      </c>
      <c r="E45" s="3">
        <f>IFERROR(__xludf.DUMMYFUNCTION("""COMPUTED_VALUE"""),70.333355)</f>
        <v>70.333355</v>
      </c>
      <c r="F45" s="3">
        <f>IFERROR(__xludf.DUMMYFUNCTION("""COMPUTED_VALUE"""),4.056605)</f>
        <v>4.056605</v>
      </c>
      <c r="G45" s="3">
        <f>IFERROR(__xludf.DUMMYFUNCTION("""COMPUTED_VALUE"""),911.177587)</f>
        <v>911.177587</v>
      </c>
      <c r="H45" s="3">
        <f>IFERROR(__xludf.DUMMYFUNCTION("""COMPUTED_VALUE"""),0.863761)</f>
        <v>0.863761</v>
      </c>
      <c r="I45" s="3">
        <f>IFERROR(__xludf.DUMMYFUNCTION("""COMPUTED_VALUE"""),0.794617)</f>
        <v>0.794617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IFERROR(__xludf.DUMMYFUNCTION("""COMPUTED_VALUE"""),22110.001141)</f>
        <v>22110.00114</v>
      </c>
      <c r="C46" s="3">
        <f>IFERROR(__xludf.DUMMYFUNCTION("""COMPUTED_VALUE"""),1207.446724)</f>
        <v>1207.446724</v>
      </c>
      <c r="D46" s="3">
        <f>IFERROR(__xludf.DUMMYFUNCTION("""COMPUTED_VALUE"""),28.550636)</f>
        <v>28.550636</v>
      </c>
      <c r="E46" s="3">
        <f>IFERROR(__xludf.DUMMYFUNCTION("""COMPUTED_VALUE"""),59.655845)</f>
        <v>59.655845</v>
      </c>
      <c r="F46" s="3">
        <f>IFERROR(__xludf.DUMMYFUNCTION("""COMPUTED_VALUE"""),3.664061)</f>
        <v>3.664061</v>
      </c>
      <c r="G46" s="3">
        <f>IFERROR(__xludf.DUMMYFUNCTION("""COMPUTED_VALUE"""),761.449712)</f>
        <v>761.449712</v>
      </c>
      <c r="H46" s="3">
        <f>IFERROR(__xludf.DUMMYFUNCTION("""COMPUTED_VALUE"""),0.717807)</f>
        <v>0.717807</v>
      </c>
      <c r="I46" s="3">
        <f>IFERROR(__xludf.DUMMYFUNCTION("""COMPUTED_VALUE"""),0.607146)</f>
        <v>0.607146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IFERROR(__xludf.DUMMYFUNCTION("""COMPUTED_VALUE"""),22557.775395)</f>
        <v>22557.7754</v>
      </c>
      <c r="C47" s="3">
        <f>IFERROR(__xludf.DUMMYFUNCTION("""COMPUTED_VALUE"""),1208.795428)</f>
        <v>1208.795428</v>
      </c>
      <c r="D47" s="3">
        <f>IFERROR(__xludf.DUMMYFUNCTION("""COMPUTED_VALUE"""),29.549751)</f>
        <v>29.549751</v>
      </c>
      <c r="E47" s="3">
        <f>IFERROR(__xludf.DUMMYFUNCTION("""COMPUTED_VALUE"""),62.114023)</f>
        <v>62.114023</v>
      </c>
      <c r="F47" s="3">
        <f>IFERROR(__xludf.DUMMYFUNCTION("""COMPUTED_VALUE"""),3.861913)</f>
        <v>3.861913</v>
      </c>
      <c r="G47" s="3">
        <f>IFERROR(__xludf.DUMMYFUNCTION("""COMPUTED_VALUE"""),786.233662)</f>
        <v>786.233662</v>
      </c>
      <c r="H47" s="3">
        <f>IFERROR(__xludf.DUMMYFUNCTION("""COMPUTED_VALUE"""),0.730452)</f>
        <v>0.730452</v>
      </c>
      <c r="I47" s="3">
        <f>IFERROR(__xludf.DUMMYFUNCTION("""COMPUTED_VALUE"""),0.622091)</f>
        <v>0.622091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IFERROR(__xludf.DUMMYFUNCTION("""COMPUTED_VALUE"""),20370.981748)</f>
        <v>20370.98175</v>
      </c>
      <c r="C48" s="3">
        <f>IFERROR(__xludf.DUMMYFUNCTION("""COMPUTED_VALUE"""),1236.322434)</f>
        <v>1236.322434</v>
      </c>
      <c r="D48" s="3">
        <f>IFERROR(__xludf.DUMMYFUNCTION("""COMPUTED_VALUE"""),34.703612)</f>
        <v>34.703612</v>
      </c>
      <c r="E48" s="3">
        <f>IFERROR(__xludf.DUMMYFUNCTION("""COMPUTED_VALUE"""),66.547277)</f>
        <v>66.547277</v>
      </c>
      <c r="F48" s="3">
        <f>IFERROR(__xludf.DUMMYFUNCTION("""COMPUTED_VALUE"""),4.42163)</f>
        <v>4.42163</v>
      </c>
      <c r="G48" s="3">
        <f>IFERROR(__xludf.DUMMYFUNCTION("""COMPUTED_VALUE"""),827.117699)</f>
        <v>827.117699</v>
      </c>
      <c r="H48" s="3">
        <f>IFERROR(__xludf.DUMMYFUNCTION("""COMPUTED_VALUE"""),0.767285)</f>
        <v>0.767285</v>
      </c>
      <c r="I48" s="3">
        <f>IFERROR(__xludf.DUMMYFUNCTION("""COMPUTED_VALUE"""),0.629558)</f>
        <v>0.629558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IFERROR(__xludf.DUMMYFUNCTION("""COMPUTED_VALUE"""),20413.201586)</f>
        <v>20413.20159</v>
      </c>
      <c r="C49" s="3">
        <f>IFERROR(__xludf.DUMMYFUNCTION("""COMPUTED_VALUE"""),1067.933684)</f>
        <v>1067.933684</v>
      </c>
      <c r="D49" s="3">
        <f>IFERROR(__xludf.DUMMYFUNCTION("""COMPUTED_VALUE"""),30.096099)</f>
        <v>30.096099</v>
      </c>
      <c r="E49" s="3">
        <f>IFERROR(__xludf.DUMMYFUNCTION("""COMPUTED_VALUE"""),56.569649)</f>
        <v>56.569649</v>
      </c>
      <c r="F49" s="3">
        <f>IFERROR(__xludf.DUMMYFUNCTION("""COMPUTED_VALUE"""),3.835729)</f>
        <v>3.835729</v>
      </c>
      <c r="G49" s="3">
        <f>IFERROR(__xludf.DUMMYFUNCTION("""COMPUTED_VALUE"""),735.138136)</f>
        <v>735.138136</v>
      </c>
      <c r="H49" s="3">
        <f>IFERROR(__xludf.DUMMYFUNCTION("""COMPUTED_VALUE"""),0.664641)</f>
        <v>0.664641</v>
      </c>
      <c r="I49" s="3">
        <f>IFERROR(__xludf.DUMMYFUNCTION("""COMPUTED_VALUE"""),0.537479)</f>
        <v>0.537479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IFERROR(__xludf.DUMMYFUNCTION("""COMPUTED_VALUE"""),18947.075421)</f>
        <v>18947.07542</v>
      </c>
      <c r="C50" s="3">
        <f>IFERROR(__xludf.DUMMYFUNCTION("""COMPUTED_VALUE"""),1085.019601)</f>
        <v>1085.019601</v>
      </c>
      <c r="D50" s="3">
        <f>IFERROR(__xludf.DUMMYFUNCTION("""COMPUTED_VALUE"""),30.668175)</f>
        <v>30.668175</v>
      </c>
      <c r="E50" s="3">
        <f>IFERROR(__xludf.DUMMYFUNCTION("""COMPUTED_VALUE"""),57.303359)</f>
        <v>57.303359</v>
      </c>
      <c r="F50" s="3">
        <f>IFERROR(__xludf.DUMMYFUNCTION("""COMPUTED_VALUE"""),3.93036)</f>
        <v>3.93036</v>
      </c>
      <c r="G50" s="3">
        <f>IFERROR(__xludf.DUMMYFUNCTION("""COMPUTED_VALUE"""),766.259839)</f>
        <v>766.259839</v>
      </c>
      <c r="H50" s="3">
        <f>IFERROR(__xludf.DUMMYFUNCTION("""COMPUTED_VALUE"""),0.660001)</f>
        <v>0.660001</v>
      </c>
      <c r="I50" s="3">
        <f>IFERROR(__xludf.DUMMYFUNCTION("""COMPUTED_VALUE"""),0.578682)</f>
        <v>0.578682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IFERROR(__xludf.DUMMYFUNCTION("""COMPUTED_VALUE"""),20547.071879)</f>
        <v>20547.07188</v>
      </c>
      <c r="C51" s="3">
        <f>IFERROR(__xludf.DUMMYFUNCTION("""COMPUTED_VALUE"""),993.697714)</f>
        <v>993.697714</v>
      </c>
      <c r="D51" s="3">
        <f>IFERROR(__xludf.DUMMYFUNCTION("""COMPUTED_VALUE"""),31.975383)</f>
        <v>31.975383</v>
      </c>
      <c r="E51" s="3">
        <f>IFERROR(__xludf.DUMMYFUNCTION("""COMPUTED_VALUE"""),49.579584)</f>
        <v>49.579584</v>
      </c>
      <c r="F51" s="3">
        <f>IFERROR(__xludf.DUMMYFUNCTION("""COMPUTED_VALUE"""),3.642738)</f>
        <v>3.642738</v>
      </c>
      <c r="G51" s="3">
        <f>IFERROR(__xludf.DUMMYFUNCTION("""COMPUTED_VALUE"""),731.937656)</f>
        <v>731.937656</v>
      </c>
      <c r="H51" s="3">
        <f>IFERROR(__xludf.DUMMYFUNCTION("""COMPUTED_VALUE"""),0.582753)</f>
        <v>0.582753</v>
      </c>
      <c r="I51" s="3">
        <f>IFERROR(__xludf.DUMMYFUNCTION("""COMPUTED_VALUE"""),0.465642)</f>
        <v>0.465642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IFERROR(__xludf.DUMMYFUNCTION("""COMPUTED_VALUE"""),20551.426495)</f>
        <v>20551.4265</v>
      </c>
      <c r="C52" s="3">
        <f>IFERROR(__xludf.DUMMYFUNCTION("""COMPUTED_VALUE"""),1125.778885)</f>
        <v>1125.778885</v>
      </c>
      <c r="D52" s="3">
        <f>IFERROR(__xludf.DUMMYFUNCTION("""COMPUTED_VALUE"""),34.139004)</f>
        <v>34.139004</v>
      </c>
      <c r="E52" s="3">
        <f>IFERROR(__xludf.DUMMYFUNCTION("""COMPUTED_VALUE"""),53.989446)</f>
        <v>53.989446</v>
      </c>
      <c r="F52" s="3">
        <f>IFERROR(__xludf.DUMMYFUNCTION("""COMPUTED_VALUE"""),4.186464)</f>
        <v>4.186464</v>
      </c>
      <c r="G52" s="3">
        <f>IFERROR(__xludf.DUMMYFUNCTION("""COMPUTED_VALUE"""),905.245616)</f>
        <v>905.245616</v>
      </c>
      <c r="H52" s="3">
        <f>IFERROR(__xludf.DUMMYFUNCTION("""COMPUTED_VALUE"""),0.645372)</f>
        <v>0.645372</v>
      </c>
      <c r="I52" s="3">
        <f>IFERROR(__xludf.DUMMYFUNCTION("""COMPUTED_VALUE"""),0.516202)</f>
        <v>0.516202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IFERROR(__xludf.DUMMYFUNCTION("""COMPUTED_VALUE"""),20696.526127)</f>
        <v>20696.52613</v>
      </c>
      <c r="C53" s="3">
        <f>IFERROR(__xludf.DUMMYFUNCTION("""COMPUTED_VALUE"""),1126.900833)</f>
        <v>1126.900833</v>
      </c>
      <c r="D53" s="3">
        <f>IFERROR(__xludf.DUMMYFUNCTION("""COMPUTED_VALUE"""),35.210349)</f>
        <v>35.210349</v>
      </c>
      <c r="E53" s="3">
        <f>IFERROR(__xludf.DUMMYFUNCTION("""COMPUTED_VALUE"""),61.513371)</f>
        <v>61.513371</v>
      </c>
      <c r="F53" s="3">
        <f>IFERROR(__xludf.DUMMYFUNCTION("""COMPUTED_VALUE"""),4.289353)</f>
        <v>4.289353</v>
      </c>
      <c r="G53" s="3">
        <f>IFERROR(__xludf.DUMMYFUNCTION("""COMPUTED_VALUE"""),899.822742)</f>
        <v>899.822742</v>
      </c>
      <c r="H53" s="3">
        <f>IFERROR(__xludf.DUMMYFUNCTION("""COMPUTED_VALUE"""),0.701057)</f>
        <v>0.701057</v>
      </c>
      <c r="I53" s="3">
        <f>IFERROR(__xludf.DUMMYFUNCTION("""COMPUTED_VALUE"""),0.51155)</f>
        <v>0.51155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IFERROR(__xludf.DUMMYFUNCTION("""COMPUTED_VALUE"""),19963.620056)</f>
        <v>19963.62006</v>
      </c>
      <c r="C54" s="3">
        <f>IFERROR(__xludf.DUMMYFUNCTION("""COMPUTED_VALUE"""),1124.351454)</f>
        <v>1124.351454</v>
      </c>
      <c r="D54" s="3">
        <f>IFERROR(__xludf.DUMMYFUNCTION("""COMPUTED_VALUE"""),36.376838)</f>
        <v>36.376838</v>
      </c>
      <c r="E54" s="3">
        <f>IFERROR(__xludf.DUMMYFUNCTION("""COMPUTED_VALUE"""),66.324997)</f>
        <v>66.324997</v>
      </c>
      <c r="F54" s="3">
        <f>IFERROR(__xludf.DUMMYFUNCTION("""COMPUTED_VALUE"""),4.773112)</f>
        <v>4.773112</v>
      </c>
      <c r="G54" s="3">
        <f>IFERROR(__xludf.DUMMYFUNCTION("""COMPUTED_VALUE"""),920.875115)</f>
        <v>920.875115</v>
      </c>
      <c r="H54" s="3">
        <f>IFERROR(__xludf.DUMMYFUNCTION("""COMPUTED_VALUE"""),0.724939)</f>
        <v>0.724939</v>
      </c>
      <c r="I54" s="3">
        <f>IFERROR(__xludf.DUMMYFUNCTION("""COMPUTED_VALUE"""),0.529479)</f>
        <v>0.529479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IFERROR(__xludf.DUMMYFUNCTION("""COMPUTED_VALUE"""),21089.983764)</f>
        <v>21089.98376</v>
      </c>
      <c r="C55" s="3">
        <f>IFERROR(__xludf.DUMMYFUNCTION("""COMPUTED_VALUE"""),1049.023815)</f>
        <v>1049.023815</v>
      </c>
      <c r="D55" s="3">
        <f>IFERROR(__xludf.DUMMYFUNCTION("""COMPUTED_VALUE"""),34.093257)</f>
        <v>34.093257</v>
      </c>
      <c r="E55" s="3">
        <f>IFERROR(__xludf.DUMMYFUNCTION("""COMPUTED_VALUE"""),61.898415)</f>
        <v>61.898415</v>
      </c>
      <c r="F55" s="3">
        <f>IFERROR(__xludf.DUMMYFUNCTION("""COMPUTED_VALUE"""),4.982678)</f>
        <v>4.982678</v>
      </c>
      <c r="G55" s="3">
        <f>IFERROR(__xludf.DUMMYFUNCTION("""COMPUTED_VALUE"""),882.796852)</f>
        <v>882.796852</v>
      </c>
      <c r="H55" s="3">
        <f>IFERROR(__xludf.DUMMYFUNCTION("""COMPUTED_VALUE"""),0.699038)</f>
        <v>0.699038</v>
      </c>
      <c r="I55" s="3">
        <f>IFERROR(__xludf.DUMMYFUNCTION("""COMPUTED_VALUE"""),0.525228)</f>
        <v>0.525228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IFERROR(__xludf.DUMMYFUNCTION("""COMPUTED_VALUE"""),21112.96488)</f>
        <v>21112.96488</v>
      </c>
      <c r="C56" s="3">
        <f>IFERROR(__xludf.DUMMYFUNCTION("""COMPUTED_VALUE"""),1143.576413)</f>
        <v>1143.576413</v>
      </c>
      <c r="D56" s="3">
        <f>IFERROR(__xludf.DUMMYFUNCTION("""COMPUTED_VALUE"""),38.122496)</f>
        <v>38.122496</v>
      </c>
      <c r="E56" s="3">
        <f>IFERROR(__xludf.DUMMYFUNCTION("""COMPUTED_VALUE"""),67.949347)</f>
        <v>67.949347</v>
      </c>
      <c r="F56" s="3">
        <f>IFERROR(__xludf.DUMMYFUNCTION("""COMPUTED_VALUE"""),5.605006)</f>
        <v>5.605006</v>
      </c>
      <c r="G56" s="3">
        <f>IFERROR(__xludf.DUMMYFUNCTION("""COMPUTED_VALUE"""),977.29259)</f>
        <v>977.29259</v>
      </c>
      <c r="H56" s="3">
        <f>IFERROR(__xludf.DUMMYFUNCTION("""COMPUTED_VALUE"""),0.830443)</f>
        <v>0.830443</v>
      </c>
      <c r="I56" s="3">
        <f>IFERROR(__xludf.DUMMYFUNCTION("""COMPUTED_VALUE"""),0.553717)</f>
        <v>0.553717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IFERROR(__xludf.DUMMYFUNCTION("""COMPUTED_VALUE"""),21479.437446)</f>
        <v>21479.43745</v>
      </c>
      <c r="C57" s="3">
        <f>IFERROR(__xludf.DUMMYFUNCTION("""COMPUTED_VALUE"""),1221.46879)</f>
        <v>1221.46879</v>
      </c>
      <c r="D57" s="3">
        <f>IFERROR(__xludf.DUMMYFUNCTION("""COMPUTED_VALUE"""),41.804762)</f>
        <v>41.804762</v>
      </c>
      <c r="E57" s="3">
        <f>IFERROR(__xludf.DUMMYFUNCTION("""COMPUTED_VALUE"""),70.911279)</f>
        <v>70.911279</v>
      </c>
      <c r="F57" s="3">
        <f>IFERROR(__xludf.DUMMYFUNCTION("""COMPUTED_VALUE"""),5.455058)</f>
        <v>5.455058</v>
      </c>
      <c r="G57" s="3">
        <f>IFERROR(__xludf.DUMMYFUNCTION("""COMPUTED_VALUE"""),1050.843273)</f>
        <v>1050.843273</v>
      </c>
      <c r="H57" s="3">
        <f>IFERROR(__xludf.DUMMYFUNCTION("""COMPUTED_VALUE"""),0.839173)</f>
        <v>0.839173</v>
      </c>
      <c r="I57" s="3">
        <f>IFERROR(__xludf.DUMMYFUNCTION("""COMPUTED_VALUE"""),0.634008)</f>
        <v>0.634008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IFERROR(__xludf.DUMMYFUNCTION("""COMPUTED_VALUE"""),21028.08688)</f>
        <v>21028.08688</v>
      </c>
      <c r="C58" s="3">
        <f>IFERROR(__xludf.DUMMYFUNCTION("""COMPUTED_VALUE"""),1241.475753)</f>
        <v>1241.475753</v>
      </c>
      <c r="D58" s="3">
        <f>IFERROR(__xludf.DUMMYFUNCTION("""COMPUTED_VALUE"""),42.206675)</f>
        <v>42.206675</v>
      </c>
      <c r="E58" s="3">
        <f>IFERROR(__xludf.DUMMYFUNCTION("""COMPUTED_VALUE"""),69.950212)</f>
        <v>69.950212</v>
      </c>
      <c r="F58" s="3">
        <f>IFERROR(__xludf.DUMMYFUNCTION("""COMPUTED_VALUE"""),5.618101)</f>
        <v>5.618101</v>
      </c>
      <c r="G58" s="3">
        <f>IFERROR(__xludf.DUMMYFUNCTION("""COMPUTED_VALUE"""),1034.220757)</f>
        <v>1034.220757</v>
      </c>
      <c r="H58" s="3">
        <f>IFERROR(__xludf.DUMMYFUNCTION("""COMPUTED_VALUE"""),0.818784)</f>
        <v>0.818784</v>
      </c>
      <c r="I58" s="3">
        <f>IFERROR(__xludf.DUMMYFUNCTION("""COMPUTED_VALUE"""),0.651949)</f>
        <v>0.651949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IFERROR(__xludf.DUMMYFUNCTION("""COMPUTED_VALUE"""),20719.11019)</f>
        <v>20719.11019</v>
      </c>
      <c r="C59" s="3">
        <f>IFERROR(__xludf.DUMMYFUNCTION("""COMPUTED_VALUE"""),1196.723957)</f>
        <v>1196.723957</v>
      </c>
      <c r="D59" s="3">
        <f>IFERROR(__xludf.DUMMYFUNCTION("""COMPUTED_VALUE"""),39.359371)</f>
        <v>39.359371</v>
      </c>
      <c r="E59" s="3">
        <f>IFERROR(__xludf.DUMMYFUNCTION("""COMPUTED_VALUE"""),65.356454)</f>
        <v>65.356454</v>
      </c>
      <c r="F59" s="3">
        <f>IFERROR(__xludf.DUMMYFUNCTION("""COMPUTED_VALUE"""),5.591552)</f>
        <v>5.591552</v>
      </c>
      <c r="G59" s="3">
        <f>IFERROR(__xludf.DUMMYFUNCTION("""COMPUTED_VALUE"""),1000.608405)</f>
        <v>1000.608405</v>
      </c>
      <c r="H59" s="3">
        <f>IFERROR(__xludf.DUMMYFUNCTION("""COMPUTED_VALUE"""),0.747895)</f>
        <v>0.747895</v>
      </c>
      <c r="I59" s="3">
        <f>IFERROR(__xludf.DUMMYFUNCTION("""COMPUTED_VALUE"""),0.606756)</f>
        <v>0.606756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IFERROR(__xludf.DUMMYFUNCTION("""COMPUTED_VALUE"""),20256.414987)</f>
        <v>20256.41499</v>
      </c>
      <c r="C60" s="3">
        <f>IFERROR(__xludf.DUMMYFUNCTION("""COMPUTED_VALUE"""),1191.173331)</f>
        <v>1191.173331</v>
      </c>
      <c r="D60" s="3">
        <f>IFERROR(__xludf.DUMMYFUNCTION("""COMPUTED_VALUE"""),38.466239)</f>
        <v>38.466239</v>
      </c>
      <c r="E60" s="3">
        <f>IFERROR(__xludf.DUMMYFUNCTION("""COMPUTED_VALUE"""),65.52729)</f>
        <v>65.52729</v>
      </c>
      <c r="F60" s="3">
        <f>IFERROR(__xludf.DUMMYFUNCTION("""COMPUTED_VALUE"""),5.333516)</f>
        <v>5.333516</v>
      </c>
      <c r="G60" s="3">
        <f>IFERROR(__xludf.DUMMYFUNCTION("""COMPUTED_VALUE"""),1000.902162)</f>
        <v>1000.902162</v>
      </c>
      <c r="H60" s="3">
        <f>IFERROR(__xludf.DUMMYFUNCTION("""COMPUTED_VALUE"""),0.734849)</f>
        <v>0.734849</v>
      </c>
      <c r="I60" s="3">
        <f>IFERROR(__xludf.DUMMYFUNCTION("""COMPUTED_VALUE"""),0.579123)</f>
        <v>0.579123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IFERROR(__xludf.DUMMYFUNCTION("""COMPUTED_VALUE"""),20096.416033)</f>
        <v>20096.41603</v>
      </c>
      <c r="C61" s="3">
        <f>IFERROR(__xludf.DUMMYFUNCTION("""COMPUTED_VALUE"""),1142.30519)</f>
        <v>1142.30519</v>
      </c>
      <c r="D61" s="3">
        <f>IFERROR(__xludf.DUMMYFUNCTION("""COMPUTED_VALUE"""),35.282115)</f>
        <v>35.282115</v>
      </c>
      <c r="E61" s="3">
        <f>IFERROR(__xludf.DUMMYFUNCTION("""COMPUTED_VALUE"""),60.006214)</f>
        <v>60.006214</v>
      </c>
      <c r="F61" s="3">
        <f>IFERROR(__xludf.DUMMYFUNCTION("""COMPUTED_VALUE"""),4.915156)</f>
        <v>4.915156</v>
      </c>
      <c r="G61" s="3">
        <f>IFERROR(__xludf.DUMMYFUNCTION("""COMPUTED_VALUE"""),944.907829)</f>
        <v>944.907829</v>
      </c>
      <c r="H61" s="3">
        <f>IFERROR(__xludf.DUMMYFUNCTION("""COMPUTED_VALUE"""),0.695389)</f>
        <v>0.695389</v>
      </c>
      <c r="I61" s="3">
        <f>IFERROR(__xludf.DUMMYFUNCTION("""COMPUTED_VALUE"""),0.521311)</f>
        <v>0.521311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IFERROR(__xludf.DUMMYFUNCTION("""COMPUTED_VALUE"""),19944.730424)</f>
        <v>19944.73042</v>
      </c>
      <c r="C62" s="3">
        <f>IFERROR(__xludf.DUMMYFUNCTION("""COMPUTED_VALUE"""),1098.892355)</f>
        <v>1098.892355</v>
      </c>
      <c r="D62" s="3">
        <f>IFERROR(__xludf.DUMMYFUNCTION("""COMPUTED_VALUE"""),34.013169)</f>
        <v>34.013169</v>
      </c>
      <c r="E62" s="3">
        <f>IFERROR(__xludf.DUMMYFUNCTION("""COMPUTED_VALUE"""),59.820593)</f>
        <v>59.820593</v>
      </c>
      <c r="F62" s="3">
        <f>IFERROR(__xludf.DUMMYFUNCTION("""COMPUTED_VALUE"""),5.109)</f>
        <v>5.109</v>
      </c>
      <c r="G62" s="3">
        <f>IFERROR(__xludf.DUMMYFUNCTION("""COMPUTED_VALUE"""),910.085481)</f>
        <v>910.085481</v>
      </c>
      <c r="H62" s="3">
        <f>IFERROR(__xludf.DUMMYFUNCTION("""COMPUTED_VALUE"""),0.709674)</f>
        <v>0.709674</v>
      </c>
      <c r="I62" s="3">
        <f>IFERROR(__xludf.DUMMYFUNCTION("""COMPUTED_VALUE"""),0.489294)</f>
        <v>0.489294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IFERROR(__xludf.DUMMYFUNCTION("""COMPUTED_VALUE"""),19252.146475)</f>
        <v>19252.14648</v>
      </c>
      <c r="C63" s="3">
        <f>IFERROR(__xludf.DUMMYFUNCTION("""COMPUTED_VALUE"""),1069.566257)</f>
        <v>1069.566257</v>
      </c>
      <c r="D63" s="3">
        <f>IFERROR(__xludf.DUMMYFUNCTION("""COMPUTED_VALUE"""),33.715618)</f>
        <v>33.715618</v>
      </c>
      <c r="E63" s="3">
        <f>IFERROR(__xludf.DUMMYFUNCTION("""COMPUTED_VALUE"""),56.972626)</f>
        <v>56.972626</v>
      </c>
      <c r="F63" s="3">
        <f>IFERROR(__xludf.DUMMYFUNCTION("""COMPUTED_VALUE"""),4.996136)</f>
        <v>4.996136</v>
      </c>
      <c r="G63" s="3">
        <f>IFERROR(__xludf.DUMMYFUNCTION("""COMPUTED_VALUE"""),907.708961)</f>
        <v>907.708961</v>
      </c>
      <c r="H63" s="3">
        <f>IFERROR(__xludf.DUMMYFUNCTION("""COMPUTED_VALUE"""),0.686009)</f>
        <v>0.686009</v>
      </c>
      <c r="I63" s="3">
        <f>IFERROR(__xludf.DUMMYFUNCTION("""COMPUTED_VALUE"""),0.451521)</f>
        <v>0.451521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IFERROR(__xludf.DUMMYFUNCTION("""COMPUTED_VALUE"""),19224.058542)</f>
        <v>19224.05854</v>
      </c>
      <c r="C64" s="3">
        <f>IFERROR(__xludf.DUMMYFUNCTION("""COMPUTED_VALUE"""),1058.421834)</f>
        <v>1058.421834</v>
      </c>
      <c r="D64" s="3">
        <f>IFERROR(__xludf.DUMMYFUNCTION("""COMPUTED_VALUE"""),32.807389)</f>
        <v>32.807389</v>
      </c>
      <c r="E64" s="3">
        <f>IFERROR(__xludf.DUMMYFUNCTION("""COMPUTED_VALUE"""),56.308116)</f>
        <v>56.308116</v>
      </c>
      <c r="F64" s="3">
        <f>IFERROR(__xludf.DUMMYFUNCTION("""COMPUTED_VALUE"""),4.855572)</f>
        <v>4.855572</v>
      </c>
      <c r="G64" s="3">
        <f>IFERROR(__xludf.DUMMYFUNCTION("""COMPUTED_VALUE"""),892.839193)</f>
        <v>892.839193</v>
      </c>
      <c r="H64" s="3">
        <f>IFERROR(__xludf.DUMMYFUNCTION("""COMPUTED_VALUE"""),0.74583)</f>
        <v>0.74583</v>
      </c>
      <c r="I64" s="3">
        <f>IFERROR(__xludf.DUMMYFUNCTION("""COMPUTED_VALUE"""),0.450392)</f>
        <v>0.450392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IFERROR(__xludf.DUMMYFUNCTION("""COMPUTED_VALUE"""),19291.954943)</f>
        <v>19291.95494</v>
      </c>
      <c r="C65" s="3">
        <f>IFERROR(__xludf.DUMMYFUNCTION("""COMPUTED_VALUE"""),1065.663291)</f>
        <v>1065.663291</v>
      </c>
      <c r="D65" s="3">
        <f>IFERROR(__xludf.DUMMYFUNCTION("""COMPUTED_VALUE"""),33.329921)</f>
        <v>33.329921</v>
      </c>
      <c r="E65" s="3">
        <f>IFERROR(__xludf.DUMMYFUNCTION("""COMPUTED_VALUE"""),57.821796)</f>
        <v>57.821796</v>
      </c>
      <c r="F65" s="3">
        <f>IFERROR(__xludf.DUMMYFUNCTION("""COMPUTED_VALUE"""),4.90749)</f>
        <v>4.90749</v>
      </c>
      <c r="G65" s="3">
        <f>IFERROR(__xludf.DUMMYFUNCTION("""COMPUTED_VALUE"""),907.097228)</f>
        <v>907.097228</v>
      </c>
      <c r="H65" s="3">
        <f>IFERROR(__xludf.DUMMYFUNCTION("""COMPUTED_VALUE"""),0.77792)</f>
        <v>0.77792</v>
      </c>
      <c r="I65" s="3">
        <f>IFERROR(__xludf.DUMMYFUNCTION("""COMPUTED_VALUE"""),0.474586)</f>
        <v>0.474586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IFERROR(__xludf.DUMMYFUNCTION("""COMPUTED_VALUE"""),20211.885516)</f>
        <v>20211.88552</v>
      </c>
      <c r="C66" s="3">
        <f>IFERROR(__xludf.DUMMYFUNCTION("""COMPUTED_VALUE"""),1072.918241)</f>
        <v>1072.918241</v>
      </c>
      <c r="D66" s="3">
        <f>IFERROR(__xludf.DUMMYFUNCTION("""COMPUTED_VALUE"""),33.349764)</f>
        <v>33.349764</v>
      </c>
      <c r="E66" s="3">
        <f>IFERROR(__xludf.DUMMYFUNCTION("""COMPUTED_VALUE"""),57.573546)</f>
        <v>57.573546</v>
      </c>
      <c r="F66" s="3">
        <f>IFERROR(__xludf.DUMMYFUNCTION("""COMPUTED_VALUE"""),4.912893)</f>
        <v>4.912893</v>
      </c>
      <c r="G66" s="3">
        <f>IFERROR(__xludf.DUMMYFUNCTION("""COMPUTED_VALUE"""),902.973418)</f>
        <v>902.973418</v>
      </c>
      <c r="H66" s="3">
        <f>IFERROR(__xludf.DUMMYFUNCTION("""COMPUTED_VALUE"""),0.79559)</f>
        <v>0.79559</v>
      </c>
      <c r="I66" s="3">
        <f>IFERROR(__xludf.DUMMYFUNCTION("""COMPUTED_VALUE"""),0.505522)</f>
        <v>0.505522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IFERROR(__xludf.DUMMYFUNCTION("""COMPUTED_VALUE"""),20159.349158)</f>
        <v>20159.34916</v>
      </c>
      <c r="C67" s="3">
        <f>IFERROR(__xludf.DUMMYFUNCTION("""COMPUTED_VALUE"""),1149.731816)</f>
        <v>1149.731816</v>
      </c>
      <c r="D67" s="3">
        <f>IFERROR(__xludf.DUMMYFUNCTION("""COMPUTED_VALUE"""),36.676903)</f>
        <v>36.676903</v>
      </c>
      <c r="E67" s="3">
        <f>IFERROR(__xludf.DUMMYFUNCTION("""COMPUTED_VALUE"""),63.051996)</f>
        <v>63.051996</v>
      </c>
      <c r="F67" s="3">
        <f>IFERROR(__xludf.DUMMYFUNCTION("""COMPUTED_VALUE"""),5.324687)</f>
        <v>5.324687</v>
      </c>
      <c r="G67" s="3">
        <f>IFERROR(__xludf.DUMMYFUNCTION("""COMPUTED_VALUE"""),940.750624)</f>
        <v>940.750624</v>
      </c>
      <c r="H67" s="3">
        <f>IFERROR(__xludf.DUMMYFUNCTION("""COMPUTED_VALUE"""),0.864754)</f>
        <v>0.864754</v>
      </c>
      <c r="I67" s="3">
        <f>IFERROR(__xludf.DUMMYFUNCTION("""COMPUTED_VALUE"""),0.548345)</f>
        <v>0.548345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IFERROR(__xludf.DUMMYFUNCTION("""COMPUTED_VALUE"""),20544.630589)</f>
        <v>20544.63059</v>
      </c>
      <c r="C68" s="3">
        <f>IFERROR(__xludf.DUMMYFUNCTION("""COMPUTED_VALUE"""),1131.403557)</f>
        <v>1131.403557</v>
      </c>
      <c r="D68" s="3">
        <f>IFERROR(__xludf.DUMMYFUNCTION("""COMPUTED_VALUE"""),35.364436)</f>
        <v>35.364436</v>
      </c>
      <c r="E68" s="3">
        <f>IFERROR(__xludf.DUMMYFUNCTION("""COMPUTED_VALUE"""),60.559089)</f>
        <v>60.559089</v>
      </c>
      <c r="F68" s="3">
        <f>IFERROR(__xludf.DUMMYFUNCTION("""COMPUTED_VALUE"""),5.301804)</f>
        <v>5.301804</v>
      </c>
      <c r="G68" s="3">
        <f>IFERROR(__xludf.DUMMYFUNCTION("""COMPUTED_VALUE"""),932.291113)</f>
        <v>932.291113</v>
      </c>
      <c r="H68" s="3">
        <f>IFERROR(__xludf.DUMMYFUNCTION("""COMPUTED_VALUE"""),0.954846)</f>
        <v>0.954846</v>
      </c>
      <c r="I68" s="3">
        <f>IFERROR(__xludf.DUMMYFUNCTION("""COMPUTED_VALUE"""),0.564199)</f>
        <v>0.564199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IFERROR(__xludf.DUMMYFUNCTION("""COMPUTED_VALUE"""),21612.685158)</f>
        <v>21612.68516</v>
      </c>
      <c r="C69" s="3">
        <f>IFERROR(__xludf.DUMMYFUNCTION("""COMPUTED_VALUE"""),1185.475647)</f>
        <v>1185.475647</v>
      </c>
      <c r="D69" s="3">
        <f>IFERROR(__xludf.DUMMYFUNCTION("""COMPUTED_VALUE"""),37.012435)</f>
        <v>37.012435</v>
      </c>
      <c r="E69" s="3">
        <f>IFERROR(__xludf.DUMMYFUNCTION("""COMPUTED_VALUE"""),62.943331)</f>
        <v>62.943331</v>
      </c>
      <c r="F69" s="3">
        <f>IFERROR(__xludf.DUMMYFUNCTION("""COMPUTED_VALUE"""),5.349806)</f>
        <v>5.349806</v>
      </c>
      <c r="G69" s="3">
        <f>IFERROR(__xludf.DUMMYFUNCTION("""COMPUTED_VALUE"""),996.30388)</f>
        <v>996.30388</v>
      </c>
      <c r="H69" s="3">
        <f>IFERROR(__xludf.DUMMYFUNCTION("""COMPUTED_VALUE"""),0.960853)</f>
        <v>0.960853</v>
      </c>
      <c r="I69" s="3">
        <f>IFERROR(__xludf.DUMMYFUNCTION("""COMPUTED_VALUE"""),0.596504)</f>
        <v>0.596504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IFERROR(__xludf.DUMMYFUNCTION("""COMPUTED_VALUE"""),21588.881649)</f>
        <v>21588.88165</v>
      </c>
      <c r="C70" s="3">
        <f>IFERROR(__xludf.DUMMYFUNCTION("""COMPUTED_VALUE"""),1236.981738)</f>
        <v>1236.981738</v>
      </c>
      <c r="D70" s="3">
        <f>IFERROR(__xludf.DUMMYFUNCTION("""COMPUTED_VALUE"""),38.446775)</f>
        <v>38.446775</v>
      </c>
      <c r="E70" s="3">
        <f>IFERROR(__xludf.DUMMYFUNCTION("""COMPUTED_VALUE"""),71.152454)</f>
        <v>71.152454</v>
      </c>
      <c r="F70" s="3">
        <f>IFERROR(__xludf.DUMMYFUNCTION("""COMPUTED_VALUE"""),5.729551)</f>
        <v>5.729551</v>
      </c>
      <c r="G70" s="3">
        <f>IFERROR(__xludf.DUMMYFUNCTION("""COMPUTED_VALUE"""),989.061116)</f>
        <v>989.061116</v>
      </c>
      <c r="H70" s="3">
        <f>IFERROR(__xludf.DUMMYFUNCTION("""COMPUTED_VALUE"""),1.050134)</f>
        <v>1.050134</v>
      </c>
      <c r="I70" s="3">
        <f>IFERROR(__xludf.DUMMYFUNCTION("""COMPUTED_VALUE"""),0.671012)</f>
        <v>0.671012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IFERROR(__xludf.DUMMYFUNCTION("""COMPUTED_VALUE"""),21581.403251)</f>
        <v>21581.40325</v>
      </c>
      <c r="C71" s="3">
        <f>IFERROR(__xludf.DUMMYFUNCTION("""COMPUTED_VALUE"""),1213.257471)</f>
        <v>1213.257471</v>
      </c>
      <c r="D71" s="3">
        <f>IFERROR(__xludf.DUMMYFUNCTION("""COMPUTED_VALUE"""),38.102132)</f>
        <v>38.102132</v>
      </c>
      <c r="E71" s="3">
        <f>IFERROR(__xludf.DUMMYFUNCTION("""COMPUTED_VALUE"""),71.585682)</f>
        <v>71.585682</v>
      </c>
      <c r="F71" s="3">
        <f>IFERROR(__xludf.DUMMYFUNCTION("""COMPUTED_VALUE"""),5.796142)</f>
        <v>5.796142</v>
      </c>
      <c r="G71" s="3">
        <f>IFERROR(__xludf.DUMMYFUNCTION("""COMPUTED_VALUE"""),961.172374)</f>
        <v>961.172374</v>
      </c>
      <c r="H71" s="3">
        <f>IFERROR(__xludf.DUMMYFUNCTION("""COMPUTED_VALUE"""),1.007646)</f>
        <v>1.007646</v>
      </c>
      <c r="I71" s="3">
        <f>IFERROR(__xludf.DUMMYFUNCTION("""COMPUTED_VALUE"""),0.738189)</f>
        <v>0.738189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IFERROR(__xludf.DUMMYFUNCTION("""COMPUTED_VALUE"""),20849.061868)</f>
        <v>20849.06187</v>
      </c>
      <c r="C72" s="3">
        <f>IFERROR(__xludf.DUMMYFUNCTION("""COMPUTED_VALUE"""),1216.416525)</f>
        <v>1216.416525</v>
      </c>
      <c r="D72" s="3">
        <f>IFERROR(__xludf.DUMMYFUNCTION("""COMPUTED_VALUE"""),38.038791)</f>
        <v>38.038791</v>
      </c>
      <c r="E72" s="3">
        <f>IFERROR(__xludf.DUMMYFUNCTION("""COMPUTED_VALUE"""),81.925378)</f>
        <v>81.925378</v>
      </c>
      <c r="F72" s="3">
        <f>IFERROR(__xludf.DUMMYFUNCTION("""COMPUTED_VALUE"""),6.452374)</f>
        <v>6.452374</v>
      </c>
      <c r="G72" s="3">
        <f>IFERROR(__xludf.DUMMYFUNCTION("""COMPUTED_VALUE"""),996.566399)</f>
        <v>996.566399</v>
      </c>
      <c r="H72" s="3">
        <f>IFERROR(__xludf.DUMMYFUNCTION("""COMPUTED_VALUE"""),1.014689)</f>
        <v>1.014689</v>
      </c>
      <c r="I72" s="3">
        <f>IFERROR(__xludf.DUMMYFUNCTION("""COMPUTED_VALUE"""),0.686313)</f>
        <v>0.686313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IFERROR(__xludf.DUMMYFUNCTION("""COMPUTED_VALUE"""),19945.553951)</f>
        <v>19945.55395</v>
      </c>
      <c r="C73" s="3">
        <f>IFERROR(__xludf.DUMMYFUNCTION("""COMPUTED_VALUE"""),1167.566741)</f>
        <v>1167.566741</v>
      </c>
      <c r="D73" s="3">
        <f>IFERROR(__xludf.DUMMYFUNCTION("""COMPUTED_VALUE"""),36.684292)</f>
        <v>36.684292</v>
      </c>
      <c r="E73" s="3">
        <f>IFERROR(__xludf.DUMMYFUNCTION("""COMPUTED_VALUE"""),77.75512)</f>
        <v>77.75512</v>
      </c>
      <c r="F73" s="3">
        <f>IFERROR(__xludf.DUMMYFUNCTION("""COMPUTED_VALUE"""),6.232659)</f>
        <v>6.232659</v>
      </c>
      <c r="G73" s="3">
        <f>IFERROR(__xludf.DUMMYFUNCTION("""COMPUTED_VALUE"""),940.37503)</f>
        <v>940.37503</v>
      </c>
      <c r="H73" s="3">
        <f>IFERROR(__xludf.DUMMYFUNCTION("""COMPUTED_VALUE"""),0.954082)</f>
        <v>0.954082</v>
      </c>
      <c r="I73" s="3">
        <f>IFERROR(__xludf.DUMMYFUNCTION("""COMPUTED_VALUE"""),0.636943)</f>
        <v>0.636943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IFERROR(__xludf.DUMMYFUNCTION("""COMPUTED_VALUE"""),19311.500765)</f>
        <v>19311.50077</v>
      </c>
      <c r="C74" s="3">
        <f>IFERROR(__xludf.DUMMYFUNCTION("""COMPUTED_VALUE"""),1095.325757)</f>
        <v>1095.325757</v>
      </c>
      <c r="D74" s="3">
        <f>IFERROR(__xludf.DUMMYFUNCTION("""COMPUTED_VALUE"""),33.389058)</f>
        <v>33.389058</v>
      </c>
      <c r="E74" s="3">
        <f>IFERROR(__xludf.DUMMYFUNCTION("""COMPUTED_VALUE"""),69.812984)</f>
        <v>69.812984</v>
      </c>
      <c r="F74" s="3">
        <f>IFERROR(__xludf.DUMMYFUNCTION("""COMPUTED_VALUE"""),5.560908)</f>
        <v>5.560908</v>
      </c>
      <c r="G74" s="3">
        <f>IFERROR(__xludf.DUMMYFUNCTION("""COMPUTED_VALUE"""),865.427206)</f>
        <v>865.427206</v>
      </c>
      <c r="H74" s="3">
        <f>IFERROR(__xludf.DUMMYFUNCTION("""COMPUTED_VALUE"""),0.887373)</f>
        <v>0.887373</v>
      </c>
      <c r="I74" s="3">
        <f>IFERROR(__xludf.DUMMYFUNCTION("""COMPUTED_VALUE"""),0.621504)</f>
        <v>0.621504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IFERROR(__xludf.DUMMYFUNCTION("""COMPUTED_VALUE"""),20223.657383)</f>
        <v>20223.65738</v>
      </c>
      <c r="C75" s="3">
        <f>IFERROR(__xludf.DUMMYFUNCTION("""COMPUTED_VALUE"""),1037.541899)</f>
        <v>1037.541899</v>
      </c>
      <c r="D75" s="3">
        <f>IFERROR(__xludf.DUMMYFUNCTION("""COMPUTED_VALUE"""),32.653743)</f>
        <v>32.653743</v>
      </c>
      <c r="E75" s="3">
        <f>IFERROR(__xludf.DUMMYFUNCTION("""COMPUTED_VALUE"""),68.318888)</f>
        <v>68.318888</v>
      </c>
      <c r="F75" s="3">
        <f>IFERROR(__xludf.DUMMYFUNCTION("""COMPUTED_VALUE"""),5.531975)</f>
        <v>5.531975</v>
      </c>
      <c r="G75" s="3">
        <f>IFERROR(__xludf.DUMMYFUNCTION("""COMPUTED_VALUE"""),823.80403)</f>
        <v>823.80403</v>
      </c>
      <c r="H75" s="3">
        <f>IFERROR(__xludf.DUMMYFUNCTION("""COMPUTED_VALUE"""),0.875817)</f>
        <v>0.875817</v>
      </c>
      <c r="I75" s="3">
        <f>IFERROR(__xludf.DUMMYFUNCTION("""COMPUTED_VALUE"""),0.633567)</f>
        <v>0.633567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IFERROR(__xludf.DUMMYFUNCTION("""COMPUTED_VALUE"""),20574.456765)</f>
        <v>20574.45677</v>
      </c>
      <c r="C76" s="3">
        <f>IFERROR(__xludf.DUMMYFUNCTION("""COMPUTED_VALUE"""),1114.189456)</f>
        <v>1114.189456</v>
      </c>
      <c r="D76" s="3">
        <f>IFERROR(__xludf.DUMMYFUNCTION("""COMPUTED_VALUE"""),34.91369)</f>
        <v>34.91369</v>
      </c>
      <c r="E76" s="3">
        <f>IFERROR(__xludf.DUMMYFUNCTION("""COMPUTED_VALUE"""),79.725446)</f>
        <v>79.725446</v>
      </c>
      <c r="F76" s="3">
        <f>IFERROR(__xludf.DUMMYFUNCTION("""COMPUTED_VALUE"""),6.11417)</f>
        <v>6.11417</v>
      </c>
      <c r="G76" s="3">
        <f>IFERROR(__xludf.DUMMYFUNCTION("""COMPUTED_VALUE"""),854.646761)</f>
        <v>854.646761</v>
      </c>
      <c r="H76" s="3">
        <f>IFERROR(__xludf.DUMMYFUNCTION("""COMPUTED_VALUE"""),1.048413)</f>
        <v>1.048413</v>
      </c>
      <c r="I76" s="3">
        <f>IFERROR(__xludf.DUMMYFUNCTION("""COMPUTED_VALUE"""),0.93657)</f>
        <v>0.93657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IFERROR(__xludf.DUMMYFUNCTION("""COMPUTED_VALUE"""),20819.9152)</f>
        <v>20819.9152</v>
      </c>
      <c r="C77" s="3">
        <f>IFERROR(__xludf.DUMMYFUNCTION("""COMPUTED_VALUE"""),1192.488217)</f>
        <v>1192.488217</v>
      </c>
      <c r="D77" s="3">
        <f>IFERROR(__xludf.DUMMYFUNCTION("""COMPUTED_VALUE"""),37.111432)</f>
        <v>37.111432</v>
      </c>
      <c r="E77" s="3">
        <f>IFERROR(__xludf.DUMMYFUNCTION("""COMPUTED_VALUE"""),91.189318)</f>
        <v>91.189318</v>
      </c>
      <c r="F77" s="3">
        <f>IFERROR(__xludf.DUMMYFUNCTION("""COMPUTED_VALUE"""),7.009815)</f>
        <v>7.009815</v>
      </c>
      <c r="G77" s="3">
        <f>IFERROR(__xludf.DUMMYFUNCTION("""COMPUTED_VALUE"""),891.104176)</f>
        <v>891.104176</v>
      </c>
      <c r="H77" s="3">
        <f>IFERROR(__xludf.DUMMYFUNCTION("""COMPUTED_VALUE"""),1.166991)</f>
        <v>1.166991</v>
      </c>
      <c r="I77" s="3">
        <f>IFERROR(__xludf.DUMMYFUNCTION("""COMPUTED_VALUE"""),0.915468)</f>
        <v>0.915468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IFERROR(__xludf.DUMMYFUNCTION("""COMPUTED_VALUE"""),21191.602982)</f>
        <v>21191.60298</v>
      </c>
      <c r="C78" s="3">
        <f>IFERROR(__xludf.DUMMYFUNCTION("""COMPUTED_VALUE"""),1231.010096)</f>
        <v>1231.010096</v>
      </c>
      <c r="D78" s="3">
        <f>IFERROR(__xludf.DUMMYFUNCTION("""COMPUTED_VALUE"""),37.356993)</f>
        <v>37.356993</v>
      </c>
      <c r="E78" s="3">
        <f>IFERROR(__xludf.DUMMYFUNCTION("""COMPUTED_VALUE"""),90.390505)</f>
        <v>90.390505</v>
      </c>
      <c r="F78" s="3">
        <f>IFERROR(__xludf.DUMMYFUNCTION("""COMPUTED_VALUE"""),6.778151)</f>
        <v>6.778151</v>
      </c>
      <c r="G78" s="3">
        <f>IFERROR(__xludf.DUMMYFUNCTION("""COMPUTED_VALUE"""),910.9816)</f>
        <v>910.9816</v>
      </c>
      <c r="H78" s="3">
        <f>IFERROR(__xludf.DUMMYFUNCTION("""COMPUTED_VALUE"""),1.107834)</f>
        <v>1.107834</v>
      </c>
      <c r="I78" s="3">
        <f>IFERROR(__xludf.DUMMYFUNCTION("""COMPUTED_VALUE"""),1.138277)</f>
        <v>1.138277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IFERROR(__xludf.DUMMYFUNCTION("""COMPUTED_VALUE"""),20792.178173)</f>
        <v>20792.17817</v>
      </c>
      <c r="C79" s="3">
        <f>IFERROR(__xludf.DUMMYFUNCTION("""COMPUTED_VALUE"""),1355.656882)</f>
        <v>1355.656882</v>
      </c>
      <c r="D79" s="3">
        <f>IFERROR(__xludf.DUMMYFUNCTION("""COMPUTED_VALUE"""),39.578377)</f>
        <v>39.578377</v>
      </c>
      <c r="E79" s="3">
        <f>IFERROR(__xludf.DUMMYFUNCTION("""COMPUTED_VALUE"""),92.851955)</f>
        <v>92.851955</v>
      </c>
      <c r="F79" s="3">
        <f>IFERROR(__xludf.DUMMYFUNCTION("""COMPUTED_VALUE"""),7.374646)</f>
        <v>7.374646</v>
      </c>
      <c r="G79" s="3">
        <f>IFERROR(__xludf.DUMMYFUNCTION("""COMPUTED_VALUE"""),964.342157)</f>
        <v>964.342157</v>
      </c>
      <c r="H79" s="3">
        <f>IFERROR(__xludf.DUMMYFUNCTION("""COMPUTED_VALUE"""),1.173112)</f>
        <v>1.173112</v>
      </c>
      <c r="I79" s="3">
        <f>IFERROR(__xludf.DUMMYFUNCTION("""COMPUTED_VALUE"""),1.383141)</f>
        <v>1.383141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IFERROR(__xludf.DUMMYFUNCTION("""COMPUTED_VALUE"""),22436.613216)</f>
        <v>22436.61322</v>
      </c>
      <c r="C80" s="3">
        <f>IFERROR(__xludf.DUMMYFUNCTION("""COMPUTED_VALUE"""),1338.098367)</f>
        <v>1338.098367</v>
      </c>
      <c r="D80" s="3">
        <f>IFERROR(__xludf.DUMMYFUNCTION("""COMPUTED_VALUE"""),38.600358)</f>
        <v>38.600358</v>
      </c>
      <c r="E80" s="3">
        <f>IFERROR(__xludf.DUMMYFUNCTION("""COMPUTED_VALUE"""),88.260836)</f>
        <v>88.260836</v>
      </c>
      <c r="F80" s="3">
        <f>IFERROR(__xludf.DUMMYFUNCTION("""COMPUTED_VALUE"""),6.942805)</f>
        <v>6.942805</v>
      </c>
      <c r="G80" s="3">
        <f>IFERROR(__xludf.DUMMYFUNCTION("""COMPUTED_VALUE"""),931.554739)</f>
        <v>931.554739</v>
      </c>
      <c r="H80" s="3">
        <f>IFERROR(__xludf.DUMMYFUNCTION("""COMPUTED_VALUE"""),1.078301)</f>
        <v>1.078301</v>
      </c>
      <c r="I80" s="3">
        <f>IFERROR(__xludf.DUMMYFUNCTION("""COMPUTED_VALUE"""),1.637439)</f>
        <v>1.637439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IFERROR(__xludf.DUMMYFUNCTION("""COMPUTED_VALUE"""),23397.463138)</f>
        <v>23397.46314</v>
      </c>
      <c r="C81" s="3">
        <f>IFERROR(__xludf.DUMMYFUNCTION("""COMPUTED_VALUE"""),1580.82875)</f>
        <v>1580.82875</v>
      </c>
      <c r="D81" s="3">
        <f>IFERROR(__xludf.DUMMYFUNCTION("""COMPUTED_VALUE"""),43.531277)</f>
        <v>43.531277</v>
      </c>
      <c r="E81" s="3">
        <f>IFERROR(__xludf.DUMMYFUNCTION("""COMPUTED_VALUE"""),96.180348)</f>
        <v>96.180348</v>
      </c>
      <c r="F81" s="3">
        <f>IFERROR(__xludf.DUMMYFUNCTION("""COMPUTED_VALUE"""),7.324554)</f>
        <v>7.324554</v>
      </c>
      <c r="G81" s="3">
        <f>IFERROR(__xludf.DUMMYFUNCTION("""COMPUTED_VALUE"""),1047.34245)</f>
        <v>1047.34245</v>
      </c>
      <c r="H81" s="3">
        <f>IFERROR(__xludf.DUMMYFUNCTION("""COMPUTED_VALUE"""),1.341656)</f>
        <v>1.341656</v>
      </c>
      <c r="I81" s="3">
        <f>IFERROR(__xludf.DUMMYFUNCTION("""COMPUTED_VALUE"""),1.531253)</f>
        <v>1.531253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IFERROR(__xludf.DUMMYFUNCTION("""COMPUTED_VALUE"""),23224.022774)</f>
        <v>23224.02277</v>
      </c>
      <c r="C82" s="3">
        <f>IFERROR(__xludf.DUMMYFUNCTION("""COMPUTED_VALUE"""),1542.496673)</f>
        <v>1542.496673</v>
      </c>
      <c r="D82" s="3">
        <f>IFERROR(__xludf.DUMMYFUNCTION("""COMPUTED_VALUE"""),44.863098)</f>
        <v>44.863098</v>
      </c>
      <c r="E82" s="3">
        <f>IFERROR(__xludf.DUMMYFUNCTION("""COMPUTED_VALUE"""),95.774096)</f>
        <v>95.774096</v>
      </c>
      <c r="F82" s="3">
        <f>IFERROR(__xludf.DUMMYFUNCTION("""COMPUTED_VALUE"""),7.349089)</f>
        <v>7.349089</v>
      </c>
      <c r="G82" s="3">
        <f>IFERROR(__xludf.DUMMYFUNCTION("""COMPUTED_VALUE"""),1030.166567)</f>
        <v>1030.166567</v>
      </c>
      <c r="H82" s="3">
        <f>IFERROR(__xludf.DUMMYFUNCTION("""COMPUTED_VALUE"""),1.24993)</f>
        <v>1.24993</v>
      </c>
      <c r="I82" s="3">
        <f>IFERROR(__xludf.DUMMYFUNCTION("""COMPUTED_VALUE"""),1.49256)</f>
        <v>1.49256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IFERROR(__xludf.DUMMYFUNCTION("""COMPUTED_VALUE"""),23151.70478)</f>
        <v>23151.70478</v>
      </c>
      <c r="C83" s="3">
        <f>IFERROR(__xludf.DUMMYFUNCTION("""COMPUTED_VALUE"""),1521.624521)</f>
        <v>1521.624521</v>
      </c>
      <c r="D83" s="3">
        <f>IFERROR(__xludf.DUMMYFUNCTION("""COMPUTED_VALUE"""),42.03319)</f>
        <v>42.03319</v>
      </c>
      <c r="E83" s="3">
        <f>IFERROR(__xludf.DUMMYFUNCTION("""COMPUTED_VALUE"""),90.820371)</f>
        <v>90.820371</v>
      </c>
      <c r="F83" s="3">
        <f>IFERROR(__xludf.DUMMYFUNCTION("""COMPUTED_VALUE"""),6.858587)</f>
        <v>6.858587</v>
      </c>
      <c r="G83" s="3">
        <f>IFERROR(__xludf.DUMMYFUNCTION("""COMPUTED_VALUE"""),972.935891)</f>
        <v>972.935891</v>
      </c>
      <c r="H83" s="3">
        <f>IFERROR(__xludf.DUMMYFUNCTION("""COMPUTED_VALUE"""),1.158184)</f>
        <v>1.158184</v>
      </c>
      <c r="I83" s="3">
        <f>IFERROR(__xludf.DUMMYFUNCTION("""COMPUTED_VALUE"""),1.57203)</f>
        <v>1.57203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IFERROR(__xludf.DUMMYFUNCTION("""COMPUTED_VALUE"""),22684.635948)</f>
        <v>22684.63595</v>
      </c>
      <c r="C84" s="3">
        <f>IFERROR(__xludf.DUMMYFUNCTION("""COMPUTED_VALUE"""),1575.265469)</f>
        <v>1575.265469</v>
      </c>
      <c r="D84" s="3">
        <f>IFERROR(__xludf.DUMMYFUNCTION("""COMPUTED_VALUE"""),43.106726)</f>
        <v>43.106726</v>
      </c>
      <c r="E84" s="3">
        <f>IFERROR(__xludf.DUMMYFUNCTION("""COMPUTED_VALUE"""),95.388771)</f>
        <v>95.388771</v>
      </c>
      <c r="F84" s="3">
        <f>IFERROR(__xludf.DUMMYFUNCTION("""COMPUTED_VALUE"""),7.229573)</f>
        <v>7.229573</v>
      </c>
      <c r="G84" s="3">
        <f>IFERROR(__xludf.DUMMYFUNCTION("""COMPUTED_VALUE"""),977.468153)</f>
        <v>977.468153</v>
      </c>
      <c r="H84" s="3">
        <f>IFERROR(__xludf.DUMMYFUNCTION("""COMPUTED_VALUE"""),1.404088)</f>
        <v>1.404088</v>
      </c>
      <c r="I84" s="3">
        <f>IFERROR(__xludf.DUMMYFUNCTION("""COMPUTED_VALUE"""),1.616264)</f>
        <v>1.616264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IFERROR(__xludf.DUMMYFUNCTION("""COMPUTED_VALUE"""),22450.664718)</f>
        <v>22450.66472</v>
      </c>
      <c r="C85" s="3">
        <f>IFERROR(__xludf.DUMMYFUNCTION("""COMPUTED_VALUE"""),1535.380278)</f>
        <v>1535.380278</v>
      </c>
      <c r="D85" s="3">
        <f>IFERROR(__xludf.DUMMYFUNCTION("""COMPUTED_VALUE"""),40.504191)</f>
        <v>40.504191</v>
      </c>
      <c r="E85" s="3">
        <f>IFERROR(__xludf.DUMMYFUNCTION("""COMPUTED_VALUE"""),89.511739)</f>
        <v>89.511739</v>
      </c>
      <c r="F85" s="3">
        <f>IFERROR(__xludf.DUMMYFUNCTION("""COMPUTED_VALUE"""),6.889708)</f>
        <v>6.889708</v>
      </c>
      <c r="G85" s="3">
        <f>IFERROR(__xludf.DUMMYFUNCTION("""COMPUTED_VALUE"""),947.535406)</f>
        <v>947.535406</v>
      </c>
      <c r="H85" s="3">
        <f>IFERROR(__xludf.DUMMYFUNCTION("""COMPUTED_VALUE"""),1.433418)</f>
        <v>1.433418</v>
      </c>
      <c r="I85" s="3">
        <f>IFERROR(__xludf.DUMMYFUNCTION("""COMPUTED_VALUE"""),1.525833)</f>
        <v>1.525833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IFERROR(__xludf.DUMMYFUNCTION("""COMPUTED_VALUE"""),22583.43794)</f>
        <v>22583.43794</v>
      </c>
      <c r="C86" s="3">
        <f>IFERROR(__xludf.DUMMYFUNCTION("""COMPUTED_VALUE"""),1546.930733)</f>
        <v>1546.930733</v>
      </c>
      <c r="D86" s="3">
        <f>IFERROR(__xludf.DUMMYFUNCTION("""COMPUTED_VALUE"""),39.922034)</f>
        <v>39.922034</v>
      </c>
      <c r="E86" s="3">
        <f>IFERROR(__xludf.DUMMYFUNCTION("""COMPUTED_VALUE"""),89.224045)</f>
        <v>89.224045</v>
      </c>
      <c r="F86" s="3">
        <f>IFERROR(__xludf.DUMMYFUNCTION("""COMPUTED_VALUE"""),6.957151)</f>
        <v>6.957151</v>
      </c>
      <c r="G86" s="3">
        <f>IFERROR(__xludf.DUMMYFUNCTION("""COMPUTED_VALUE"""),954.237935)</f>
        <v>954.237935</v>
      </c>
      <c r="H86" s="3">
        <f>IFERROR(__xludf.DUMMYFUNCTION("""COMPUTED_VALUE"""),1.394773)</f>
        <v>1.394773</v>
      </c>
      <c r="I86" s="3">
        <f>IFERROR(__xludf.DUMMYFUNCTION("""COMPUTED_VALUE"""),1.59058)</f>
        <v>1.59058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IFERROR(__xludf.DUMMYFUNCTION("""COMPUTED_VALUE"""),21307.303433)</f>
        <v>21307.30343</v>
      </c>
      <c r="C87" s="3">
        <f>IFERROR(__xludf.DUMMYFUNCTION("""COMPUTED_VALUE"""),1597.798685)</f>
        <v>1597.798685</v>
      </c>
      <c r="D87" s="3">
        <f>IFERROR(__xludf.DUMMYFUNCTION("""COMPUTED_VALUE"""),40.926554)</f>
        <v>40.926554</v>
      </c>
      <c r="E87" s="3">
        <f>IFERROR(__xludf.DUMMYFUNCTION("""COMPUTED_VALUE"""),90.574826)</f>
        <v>90.574826</v>
      </c>
      <c r="F87" s="3">
        <f>IFERROR(__xludf.DUMMYFUNCTION("""COMPUTED_VALUE"""),7.246643)</f>
        <v>7.246643</v>
      </c>
      <c r="G87" s="3">
        <f>IFERROR(__xludf.DUMMYFUNCTION("""COMPUTED_VALUE"""),985.486235)</f>
        <v>985.486235</v>
      </c>
      <c r="H87" s="3">
        <f>IFERROR(__xludf.DUMMYFUNCTION("""COMPUTED_VALUE"""),1.375335)</f>
        <v>1.375335</v>
      </c>
      <c r="I87" s="3">
        <f>IFERROR(__xludf.DUMMYFUNCTION("""COMPUTED_VALUE"""),1.631132)</f>
        <v>1.631132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IFERROR(__xludf.DUMMYFUNCTION("""COMPUTED_VALUE"""),21257.260059)</f>
        <v>21257.26006</v>
      </c>
      <c r="C88" s="3">
        <f>IFERROR(__xludf.DUMMYFUNCTION("""COMPUTED_VALUE"""),1440.472152)</f>
        <v>1440.472152</v>
      </c>
      <c r="D88" s="3">
        <f>IFERROR(__xludf.DUMMYFUNCTION("""COMPUTED_VALUE"""),36.655783)</f>
        <v>36.655783</v>
      </c>
      <c r="E88" s="3">
        <f>IFERROR(__xludf.DUMMYFUNCTION("""COMPUTED_VALUE"""),81.367184)</f>
        <v>81.367184</v>
      </c>
      <c r="F88" s="3">
        <f>IFERROR(__xludf.DUMMYFUNCTION("""COMPUTED_VALUE"""),7.045829)</f>
        <v>7.045829</v>
      </c>
      <c r="G88" s="3">
        <f>IFERROR(__xludf.DUMMYFUNCTION("""COMPUTED_VALUE"""),894.661512)</f>
        <v>894.661512</v>
      </c>
      <c r="H88" s="3">
        <f>IFERROR(__xludf.DUMMYFUNCTION("""COMPUTED_VALUE"""),1.177037)</f>
        <v>1.177037</v>
      </c>
      <c r="I88" s="3">
        <f>IFERROR(__xludf.DUMMYFUNCTION("""COMPUTED_VALUE"""),1.451041)</f>
        <v>1.451041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IFERROR(__xludf.DUMMYFUNCTION("""COMPUTED_VALUE"""),23006.555701)</f>
        <v>23006.5557</v>
      </c>
      <c r="C89" s="3">
        <f>IFERROR(__xludf.DUMMYFUNCTION("""COMPUTED_VALUE"""),1449.390574)</f>
        <v>1449.390574</v>
      </c>
      <c r="D89" s="3">
        <f>IFERROR(__xludf.DUMMYFUNCTION("""COMPUTED_VALUE"""),36.273582)</f>
        <v>36.273582</v>
      </c>
      <c r="E89" s="3">
        <f>IFERROR(__xludf.DUMMYFUNCTION("""COMPUTED_VALUE"""),81.202389)</f>
        <v>81.202389</v>
      </c>
      <c r="F89" s="3">
        <f>IFERROR(__xludf.DUMMYFUNCTION("""COMPUTED_VALUE"""),6.654496)</f>
        <v>6.654496</v>
      </c>
      <c r="G89" s="3">
        <f>IFERROR(__xludf.DUMMYFUNCTION("""COMPUTED_VALUE"""),919.064914)</f>
        <v>919.064914</v>
      </c>
      <c r="H89" s="3">
        <f>IFERROR(__xludf.DUMMYFUNCTION("""COMPUTED_VALUE"""),1.167799)</f>
        <v>1.167799</v>
      </c>
      <c r="I89" s="3">
        <f>IFERROR(__xludf.DUMMYFUNCTION("""COMPUTED_VALUE"""),1.448977)</f>
        <v>1.448977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IFERROR(__xludf.DUMMYFUNCTION("""COMPUTED_VALUE"""),23850.084964)</f>
        <v>23850.08496</v>
      </c>
      <c r="C90" s="3">
        <f>IFERROR(__xludf.DUMMYFUNCTION("""COMPUTED_VALUE"""),1639.197877)</f>
        <v>1639.197877</v>
      </c>
      <c r="D90" s="3">
        <f>IFERROR(__xludf.DUMMYFUNCTION("""COMPUTED_VALUE"""),40.297288)</f>
        <v>40.297288</v>
      </c>
      <c r="E90" s="3">
        <f>IFERROR(__xludf.DUMMYFUNCTION("""COMPUTED_VALUE"""),94.953621)</f>
        <v>94.953621</v>
      </c>
      <c r="F90" s="3">
        <f>IFERROR(__xludf.DUMMYFUNCTION("""COMPUTED_VALUE"""),8.056056)</f>
        <v>8.056056</v>
      </c>
      <c r="G90" s="3">
        <f>IFERROR(__xludf.DUMMYFUNCTION("""COMPUTED_VALUE"""),1012.708017)</f>
        <v>1012.708017</v>
      </c>
      <c r="H90" s="3">
        <f>IFERROR(__xludf.DUMMYFUNCTION("""COMPUTED_VALUE"""),1.328814)</f>
        <v>1.328814</v>
      </c>
      <c r="I90" s="3">
        <f>IFERROR(__xludf.DUMMYFUNCTION("""COMPUTED_VALUE"""),1.956413)</f>
        <v>1.956413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IFERROR(__xludf.DUMMYFUNCTION("""COMPUTED_VALUE"""),23777.310145)</f>
        <v>23777.31015</v>
      </c>
      <c r="C91" s="3">
        <f>IFERROR(__xludf.DUMMYFUNCTION("""COMPUTED_VALUE"""),1727.041713)</f>
        <v>1727.041713</v>
      </c>
      <c r="D91" s="3">
        <f>IFERROR(__xludf.DUMMYFUNCTION("""COMPUTED_VALUE"""),42.941617)</f>
        <v>42.941617</v>
      </c>
      <c r="E91" s="3">
        <f>IFERROR(__xludf.DUMMYFUNCTION("""COMPUTED_VALUE"""),100.588593)</f>
        <v>100.588593</v>
      </c>
      <c r="F91" s="3">
        <f>IFERROR(__xludf.DUMMYFUNCTION("""COMPUTED_VALUE"""),9.284156)</f>
        <v>9.284156</v>
      </c>
      <c r="G91" s="3">
        <f>IFERROR(__xludf.DUMMYFUNCTION("""COMPUTED_VALUE"""),1115.219051)</f>
        <v>1115.219051</v>
      </c>
      <c r="H91" s="3">
        <f>IFERROR(__xludf.DUMMYFUNCTION("""COMPUTED_VALUE"""),1.548049)</f>
        <v>1.548049</v>
      </c>
      <c r="I91" s="3">
        <f>IFERROR(__xludf.DUMMYFUNCTION("""COMPUTED_VALUE"""),2.219831)</f>
        <v>2.219831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IFERROR(__xludf.DUMMYFUNCTION("""COMPUTED_VALUE"""),23644.722864)</f>
        <v>23644.72286</v>
      </c>
      <c r="C92" s="3">
        <f>IFERROR(__xludf.DUMMYFUNCTION("""COMPUTED_VALUE"""),1722.518435)</f>
        <v>1722.518435</v>
      </c>
      <c r="D92" s="3">
        <f>IFERROR(__xludf.DUMMYFUNCTION("""COMPUTED_VALUE"""),41.940819)</f>
        <v>41.940819</v>
      </c>
      <c r="E92" s="3">
        <f>IFERROR(__xludf.DUMMYFUNCTION("""COMPUTED_VALUE"""),95.679284)</f>
        <v>95.679284</v>
      </c>
      <c r="F92" s="3">
        <f>IFERROR(__xludf.DUMMYFUNCTION("""COMPUTED_VALUE"""),9.091775)</f>
        <v>9.091775</v>
      </c>
      <c r="G92" s="3">
        <f>IFERROR(__xludf.DUMMYFUNCTION("""COMPUTED_VALUE"""),1154.20657)</f>
        <v>1154.20657</v>
      </c>
      <c r="H92" s="3">
        <f>IFERROR(__xludf.DUMMYFUNCTION("""COMPUTED_VALUE"""),1.426349)</f>
        <v>1.426349</v>
      </c>
      <c r="I92" s="3">
        <f>IFERROR(__xludf.DUMMYFUNCTION("""COMPUTED_VALUE"""),2.449432)</f>
        <v>2.449432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IFERROR(__xludf.DUMMYFUNCTION("""COMPUTED_VALUE"""),23312.841916)</f>
        <v>23312.84192</v>
      </c>
      <c r="C93" s="3">
        <f>IFERROR(__xludf.DUMMYFUNCTION("""COMPUTED_VALUE"""),1697.25136)</f>
        <v>1697.25136</v>
      </c>
      <c r="D93" s="3">
        <f>IFERROR(__xludf.DUMMYFUNCTION("""COMPUTED_VALUE"""),43.846939)</f>
        <v>43.846939</v>
      </c>
      <c r="E93" s="3">
        <f>IFERROR(__xludf.DUMMYFUNCTION("""COMPUTED_VALUE"""),95.34354)</f>
        <v>95.34354</v>
      </c>
      <c r="F93" s="3">
        <f>IFERROR(__xludf.DUMMYFUNCTION("""COMPUTED_VALUE"""),8.777603)</f>
        <v>8.777603</v>
      </c>
      <c r="G93" s="3">
        <f>IFERROR(__xludf.DUMMYFUNCTION("""COMPUTED_VALUE"""),1122.054929)</f>
        <v>1122.054929</v>
      </c>
      <c r="H93" s="3">
        <f>IFERROR(__xludf.DUMMYFUNCTION("""COMPUTED_VALUE"""),1.359135)</f>
        <v>1.359135</v>
      </c>
      <c r="I93" s="3">
        <f>IFERROR(__xludf.DUMMYFUNCTION("""COMPUTED_VALUE"""),2.324374)</f>
        <v>2.324374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IFERROR(__xludf.DUMMYFUNCTION("""COMPUTED_VALUE"""),23240.537234)</f>
        <v>23240.53723</v>
      </c>
      <c r="C94" s="3">
        <f>IFERROR(__xludf.DUMMYFUNCTION("""COMPUTED_VALUE"""),1679.23631)</f>
        <v>1679.23631</v>
      </c>
      <c r="D94" s="3">
        <f>IFERROR(__xludf.DUMMYFUNCTION("""COMPUTED_VALUE"""),42.357566)</f>
        <v>42.357566</v>
      </c>
      <c r="E94" s="3">
        <f>IFERROR(__xludf.DUMMYFUNCTION("""COMPUTED_VALUE"""),97.59643)</f>
        <v>97.59643</v>
      </c>
      <c r="F94" s="3">
        <f>IFERROR(__xludf.DUMMYFUNCTION("""COMPUTED_VALUE"""),8.332774)</f>
        <v>8.332774</v>
      </c>
      <c r="G94" s="3">
        <f>IFERROR(__xludf.DUMMYFUNCTION("""COMPUTED_VALUE"""),1100.67637)</f>
        <v>1100.67637</v>
      </c>
      <c r="H94" s="3">
        <f>IFERROR(__xludf.DUMMYFUNCTION("""COMPUTED_VALUE"""),1.318436)</f>
        <v>1.318436</v>
      </c>
      <c r="I94" s="3">
        <f>IFERROR(__xludf.DUMMYFUNCTION("""COMPUTED_VALUE"""),2.13709)</f>
        <v>2.13709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IFERROR(__xludf.DUMMYFUNCTION("""COMPUTED_VALUE"""),22990.541091)</f>
        <v>22990.54109</v>
      </c>
      <c r="C95" s="3">
        <f>IFERROR(__xludf.DUMMYFUNCTION("""COMPUTED_VALUE"""),1628.808581)</f>
        <v>1628.808581</v>
      </c>
      <c r="D95" s="3">
        <f>IFERROR(__xludf.DUMMYFUNCTION("""COMPUTED_VALUE"""),41.620507)</f>
        <v>41.620507</v>
      </c>
      <c r="E95" s="3">
        <f>IFERROR(__xludf.DUMMYFUNCTION("""COMPUTED_VALUE"""),96.595081)</f>
        <v>96.595081</v>
      </c>
      <c r="F95" s="3">
        <f>IFERROR(__xludf.DUMMYFUNCTION("""COMPUTED_VALUE"""),8.347577)</f>
        <v>8.347577</v>
      </c>
      <c r="G95" s="3">
        <f>IFERROR(__xludf.DUMMYFUNCTION("""COMPUTED_VALUE"""),1061.595287)</f>
        <v>1061.595287</v>
      </c>
      <c r="H95" s="3">
        <f>IFERROR(__xludf.DUMMYFUNCTION("""COMPUTED_VALUE"""),1.305211)</f>
        <v>1.305211</v>
      </c>
      <c r="I95" s="3">
        <f>IFERROR(__xludf.DUMMYFUNCTION("""COMPUTED_VALUE"""),2.090745)</f>
        <v>2.090745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IFERROR(__xludf.DUMMYFUNCTION("""COMPUTED_VALUE"""),22845.872932)</f>
        <v>22845.87293</v>
      </c>
      <c r="C96" s="3">
        <f>IFERROR(__xludf.DUMMYFUNCTION("""COMPUTED_VALUE"""),1631.25256)</f>
        <v>1631.25256</v>
      </c>
      <c r="D96" s="3">
        <f>IFERROR(__xludf.DUMMYFUNCTION("""COMPUTED_VALUE"""),39.799312)</f>
        <v>39.799312</v>
      </c>
      <c r="E96" s="3">
        <f>IFERROR(__xludf.DUMMYFUNCTION("""COMPUTED_VALUE"""),93.492857)</f>
        <v>93.492857</v>
      </c>
      <c r="F96" s="3">
        <f>IFERROR(__xludf.DUMMYFUNCTION("""COMPUTED_VALUE"""),8.258928)</f>
        <v>8.258928</v>
      </c>
      <c r="G96" s="3">
        <f>IFERROR(__xludf.DUMMYFUNCTION("""COMPUTED_VALUE"""),1044.146723)</f>
        <v>1044.146723</v>
      </c>
      <c r="H96" s="3">
        <f>IFERROR(__xludf.DUMMYFUNCTION("""COMPUTED_VALUE"""),1.336127)</f>
        <v>1.336127</v>
      </c>
      <c r="I96" s="3">
        <f>IFERROR(__xludf.DUMMYFUNCTION("""COMPUTED_VALUE"""),2.310744)</f>
        <v>2.310744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IFERROR(__xludf.DUMMYFUNCTION("""COMPUTED_VALUE"""),22643.400408)</f>
        <v>22643.40041</v>
      </c>
      <c r="C97" s="3">
        <f>IFERROR(__xludf.DUMMYFUNCTION("""COMPUTED_VALUE"""),1619.707089)</f>
        <v>1619.707089</v>
      </c>
      <c r="D97" s="3">
        <f>IFERROR(__xludf.DUMMYFUNCTION("""COMPUTED_VALUE"""),38.572518)</f>
        <v>38.572518</v>
      </c>
      <c r="E97" s="3">
        <f>IFERROR(__xludf.DUMMYFUNCTION("""COMPUTED_VALUE"""),94.92456)</f>
        <v>94.92456</v>
      </c>
      <c r="F97" s="3">
        <f>IFERROR(__xludf.DUMMYFUNCTION("""COMPUTED_VALUE"""),8.927123)</f>
        <v>8.927123</v>
      </c>
      <c r="G97" s="3">
        <f>IFERROR(__xludf.DUMMYFUNCTION("""COMPUTED_VALUE"""),1040.208444)</f>
        <v>1040.208444</v>
      </c>
      <c r="H97" s="3">
        <f>IFERROR(__xludf.DUMMYFUNCTION("""COMPUTED_VALUE"""),1.333735)</f>
        <v>1.333735</v>
      </c>
      <c r="I97" s="3">
        <f>IFERROR(__xludf.DUMMYFUNCTION("""COMPUTED_VALUE"""),2.574148)</f>
        <v>2.574148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IFERROR(__xludf.DUMMYFUNCTION("""COMPUTED_VALUE"""),23262.616745)</f>
        <v>23262.61675</v>
      </c>
      <c r="C98" s="3">
        <f>IFERROR(__xludf.DUMMYFUNCTION("""COMPUTED_VALUE"""),1607.061603)</f>
        <v>1607.061603</v>
      </c>
      <c r="D98" s="3">
        <f>IFERROR(__xludf.DUMMYFUNCTION("""COMPUTED_VALUE"""),38.81351)</f>
        <v>38.81351</v>
      </c>
      <c r="E98" s="3">
        <f>IFERROR(__xludf.DUMMYFUNCTION("""COMPUTED_VALUE"""),96.40166)</f>
        <v>96.40166</v>
      </c>
      <c r="F98" s="3">
        <f>IFERROR(__xludf.DUMMYFUNCTION("""COMPUTED_VALUE"""),8.818838)</f>
        <v>8.818838</v>
      </c>
      <c r="G98" s="3">
        <f>IFERROR(__xludf.DUMMYFUNCTION("""COMPUTED_VALUE"""),1050.249663)</f>
        <v>1050.249663</v>
      </c>
      <c r="H98" s="3">
        <f>IFERROR(__xludf.DUMMYFUNCTION("""COMPUTED_VALUE"""),1.330201)</f>
        <v>1.330201</v>
      </c>
      <c r="I98" s="3">
        <f>IFERROR(__xludf.DUMMYFUNCTION("""COMPUTED_VALUE"""),2.455623)</f>
        <v>2.455623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IFERROR(__xludf.DUMMYFUNCTION("""COMPUTED_VALUE"""),22973.781987)</f>
        <v>22973.78199</v>
      </c>
      <c r="C99" s="3">
        <f>IFERROR(__xludf.DUMMYFUNCTION("""COMPUTED_VALUE"""),1730.561515)</f>
        <v>1730.561515</v>
      </c>
      <c r="D99" s="3">
        <f>IFERROR(__xludf.DUMMYFUNCTION("""COMPUTED_VALUE"""),40.611819)</f>
        <v>40.611819</v>
      </c>
      <c r="E99" s="3">
        <f>IFERROR(__xludf.DUMMYFUNCTION("""COMPUTED_VALUE"""),102.823614)</f>
        <v>102.823614</v>
      </c>
      <c r="F99" s="3">
        <f>IFERROR(__xludf.DUMMYFUNCTION("""COMPUTED_VALUE"""),8.978772)</f>
        <v>8.978772</v>
      </c>
      <c r="G99" s="3">
        <f>IFERROR(__xludf.DUMMYFUNCTION("""COMPUTED_VALUE"""),1121.529914)</f>
        <v>1121.529914</v>
      </c>
      <c r="H99" s="3">
        <f>IFERROR(__xludf.DUMMYFUNCTION("""COMPUTED_VALUE"""),1.445096)</f>
        <v>1.445096</v>
      </c>
      <c r="I99" s="3">
        <f>IFERROR(__xludf.DUMMYFUNCTION("""COMPUTED_VALUE"""),2.650984)</f>
        <v>2.650984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IFERROR(__xludf.DUMMYFUNCTION("""COMPUTED_VALUE"""),23102.37199)</f>
        <v>23102.37199</v>
      </c>
      <c r="C100" s="3">
        <f>IFERROR(__xludf.DUMMYFUNCTION("""COMPUTED_VALUE"""),1691.447338)</f>
        <v>1691.447338</v>
      </c>
      <c r="D100" s="3">
        <f>IFERROR(__xludf.DUMMYFUNCTION("""COMPUTED_VALUE"""),40.058646)</f>
        <v>40.058646</v>
      </c>
      <c r="E100" s="3">
        <f>IFERROR(__xludf.DUMMYFUNCTION("""COMPUTED_VALUE"""),99.045797)</f>
        <v>99.045797</v>
      </c>
      <c r="F100" s="3">
        <f>IFERROR(__xludf.DUMMYFUNCTION("""COMPUTED_VALUE"""),8.776418)</f>
        <v>8.776418</v>
      </c>
      <c r="G100" s="3">
        <f>IFERROR(__xludf.DUMMYFUNCTION("""COMPUTED_VALUE"""),1085.546889)</f>
        <v>1085.546889</v>
      </c>
      <c r="H100" s="3">
        <f>IFERROR(__xludf.DUMMYFUNCTION("""COMPUTED_VALUE"""),1.373439)</f>
        <v>1.373439</v>
      </c>
      <c r="I100" s="3">
        <f>IFERROR(__xludf.DUMMYFUNCTION("""COMPUTED_VALUE"""),2.601278)</f>
        <v>2.601278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IFERROR(__xludf.DUMMYFUNCTION("""COMPUTED_VALUE"""),23842.148177)</f>
        <v>23842.14818</v>
      </c>
      <c r="C101" s="3">
        <f>IFERROR(__xludf.DUMMYFUNCTION("""COMPUTED_VALUE"""),1700.539855)</f>
        <v>1700.539855</v>
      </c>
      <c r="D101" s="3">
        <f>IFERROR(__xludf.DUMMYFUNCTION("""COMPUTED_VALUE"""),40.618018)</f>
        <v>40.618018</v>
      </c>
      <c r="E101" s="3">
        <f>IFERROR(__xludf.DUMMYFUNCTION("""COMPUTED_VALUE"""),101.314926)</f>
        <v>101.314926</v>
      </c>
      <c r="F101" s="3">
        <f>IFERROR(__xludf.DUMMYFUNCTION("""COMPUTED_VALUE"""),8.790583)</f>
        <v>8.790583</v>
      </c>
      <c r="G101" s="3">
        <f>IFERROR(__xludf.DUMMYFUNCTION("""COMPUTED_VALUE"""),1128.13811)</f>
        <v>1128.13811</v>
      </c>
      <c r="H101" s="3">
        <f>IFERROR(__xludf.DUMMYFUNCTION("""COMPUTED_VALUE"""),1.404065)</f>
        <v>1.404065</v>
      </c>
      <c r="I101" s="3">
        <f>IFERROR(__xludf.DUMMYFUNCTION("""COMPUTED_VALUE"""),2.474077)</f>
        <v>2.474077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IFERROR(__xludf.DUMMYFUNCTION("""COMPUTED_VALUE"""),23166.048734)</f>
        <v>23166.04873</v>
      </c>
      <c r="C102" s="3">
        <f>IFERROR(__xludf.DUMMYFUNCTION("""COMPUTED_VALUE"""),1777.071254)</f>
        <v>1777.071254</v>
      </c>
      <c r="D102" s="3">
        <f>IFERROR(__xludf.DUMMYFUNCTION("""COMPUTED_VALUE"""),42.179469)</f>
        <v>42.179469</v>
      </c>
      <c r="E102" s="3">
        <f>IFERROR(__xludf.DUMMYFUNCTION("""COMPUTED_VALUE"""),102.513976)</f>
        <v>102.513976</v>
      </c>
      <c r="F102" s="3">
        <f>IFERROR(__xludf.DUMMYFUNCTION("""COMPUTED_VALUE"""),8.788493)</f>
        <v>8.788493</v>
      </c>
      <c r="G102" s="3">
        <f>IFERROR(__xludf.DUMMYFUNCTION("""COMPUTED_VALUE"""),1143.966113)</f>
        <v>1143.966113</v>
      </c>
      <c r="H102" s="3">
        <f>IFERROR(__xludf.DUMMYFUNCTION("""COMPUTED_VALUE"""),1.428007)</f>
        <v>1.428007</v>
      </c>
      <c r="I102" s="3">
        <f>IFERROR(__xludf.DUMMYFUNCTION("""COMPUTED_VALUE"""),2.402832)</f>
        <v>2.402832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IFERROR(__xludf.DUMMYFUNCTION("""COMPUTED_VALUE"""),23980.242857)</f>
        <v>23980.24286</v>
      </c>
      <c r="C103" s="3">
        <f>IFERROR(__xludf.DUMMYFUNCTION("""COMPUTED_VALUE"""),1700.850174)</f>
        <v>1700.850174</v>
      </c>
      <c r="D103" s="3">
        <f>IFERROR(__xludf.DUMMYFUNCTION("""COMPUTED_VALUE"""),40.337737)</f>
        <v>40.337737</v>
      </c>
      <c r="E103" s="3">
        <f>IFERROR(__xludf.DUMMYFUNCTION("""COMPUTED_VALUE"""),97.861442)</f>
        <v>97.861442</v>
      </c>
      <c r="F103" s="3">
        <f>IFERROR(__xludf.DUMMYFUNCTION("""COMPUTED_VALUE"""),8.44037)</f>
        <v>8.44037</v>
      </c>
      <c r="G103" s="3">
        <f>IFERROR(__xludf.DUMMYFUNCTION("""COMPUTED_VALUE"""),1068.960442)</f>
        <v>1068.960442</v>
      </c>
      <c r="H103" s="3">
        <f>IFERROR(__xludf.DUMMYFUNCTION("""COMPUTED_VALUE"""),1.292069)</f>
        <v>1.292069</v>
      </c>
      <c r="I103" s="3">
        <f>IFERROR(__xludf.DUMMYFUNCTION("""COMPUTED_VALUE"""),2.24999)</f>
        <v>2.24999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IFERROR(__xludf.DUMMYFUNCTION("""COMPUTED_VALUE"""),23942.829898)</f>
        <v>23942.8299</v>
      </c>
      <c r="C104" s="3">
        <f>IFERROR(__xludf.DUMMYFUNCTION("""COMPUTED_VALUE"""),1855.691904)</f>
        <v>1855.691904</v>
      </c>
      <c r="D104" s="3">
        <f>IFERROR(__xludf.DUMMYFUNCTION("""COMPUTED_VALUE"""),42.470703)</f>
        <v>42.470703</v>
      </c>
      <c r="E104" s="3">
        <f>IFERROR(__xludf.DUMMYFUNCTION("""COMPUTED_VALUE"""),111.121577)</f>
        <v>111.121577</v>
      </c>
      <c r="F104" s="3">
        <f>IFERROR(__xludf.DUMMYFUNCTION("""COMPUTED_VALUE"""),9.22111)</f>
        <v>9.22111</v>
      </c>
      <c r="G104" s="3">
        <f>IFERROR(__xludf.DUMMYFUNCTION("""COMPUTED_VALUE"""),1115.84925)</f>
        <v>1115.84925</v>
      </c>
      <c r="H104" s="3">
        <f>IFERROR(__xludf.DUMMYFUNCTION("""COMPUTED_VALUE"""),1.389866)</f>
        <v>1.389866</v>
      </c>
      <c r="I104" s="3">
        <f>IFERROR(__xludf.DUMMYFUNCTION("""COMPUTED_VALUE"""),2.71756)</f>
        <v>2.71756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IFERROR(__xludf.DUMMYFUNCTION("""COMPUTED_VALUE"""),24401.968129)</f>
        <v>24401.96813</v>
      </c>
      <c r="C105" s="3">
        <f>IFERROR(__xludf.DUMMYFUNCTION("""COMPUTED_VALUE"""),1881.820674)</f>
        <v>1881.820674</v>
      </c>
      <c r="D105" s="3">
        <f>IFERROR(__xludf.DUMMYFUNCTION("""COMPUTED_VALUE"""),42.795253)</f>
        <v>42.795253</v>
      </c>
      <c r="E105" s="3">
        <f>IFERROR(__xludf.DUMMYFUNCTION("""COMPUTED_VALUE"""),107.609485)</f>
        <v>107.609485</v>
      </c>
      <c r="F105" s="3">
        <f>IFERROR(__xludf.DUMMYFUNCTION("""COMPUTED_VALUE"""),8.964899)</f>
        <v>8.964899</v>
      </c>
      <c r="G105" s="3">
        <f>IFERROR(__xludf.DUMMYFUNCTION("""COMPUTED_VALUE"""),1081.58168)</f>
        <v>1081.58168</v>
      </c>
      <c r="H105" s="3">
        <f>IFERROR(__xludf.DUMMYFUNCTION("""COMPUTED_VALUE"""),1.360575)</f>
        <v>1.360575</v>
      </c>
      <c r="I105" s="3">
        <f>IFERROR(__xludf.DUMMYFUNCTION("""COMPUTED_VALUE"""),2.613981)</f>
        <v>2.613981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IFERROR(__xludf.DUMMYFUNCTION("""COMPUTED_VALUE"""),24426.699277)</f>
        <v>24426.69928</v>
      </c>
      <c r="C106" s="3">
        <f>IFERROR(__xludf.DUMMYFUNCTION("""COMPUTED_VALUE"""),1955.87313)</f>
        <v>1955.87313</v>
      </c>
      <c r="D106" s="3">
        <f>IFERROR(__xludf.DUMMYFUNCTION("""COMPUTED_VALUE"""),45.518287)</f>
        <v>45.518287</v>
      </c>
      <c r="E106" s="3">
        <f>IFERROR(__xludf.DUMMYFUNCTION("""COMPUTED_VALUE"""),114.777628)</f>
        <v>114.777628</v>
      </c>
      <c r="F106" s="3">
        <f>IFERROR(__xludf.DUMMYFUNCTION("""COMPUTED_VALUE"""),9.209798)</f>
        <v>9.209798</v>
      </c>
      <c r="G106" s="3">
        <f>IFERROR(__xludf.DUMMYFUNCTION("""COMPUTED_VALUE"""),1082.872172)</f>
        <v>1082.872172</v>
      </c>
      <c r="H106" s="3">
        <f>IFERROR(__xludf.DUMMYFUNCTION("""COMPUTED_VALUE"""),1.42097)</f>
        <v>1.42097</v>
      </c>
      <c r="I106" s="3">
        <f>IFERROR(__xludf.DUMMYFUNCTION("""COMPUTED_VALUE"""),2.818077)</f>
        <v>2.818077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IFERROR(__xludf.DUMMYFUNCTION("""COMPUTED_VALUE"""),24325.99791)</f>
        <v>24325.99791</v>
      </c>
      <c r="C107" s="3">
        <f>IFERROR(__xludf.DUMMYFUNCTION("""COMPUTED_VALUE"""),1983.94942)</f>
        <v>1983.94942</v>
      </c>
      <c r="D107" s="3">
        <f>IFERROR(__xludf.DUMMYFUNCTION("""COMPUTED_VALUE"""),46.619111)</f>
        <v>46.619111</v>
      </c>
      <c r="E107" s="3">
        <f>IFERROR(__xludf.DUMMYFUNCTION("""COMPUTED_VALUE"""),110.571893)</f>
        <v>110.571893</v>
      </c>
      <c r="F107" s="3">
        <f>IFERROR(__xludf.DUMMYFUNCTION("""COMPUTED_VALUE"""),8.987442)</f>
        <v>8.987442</v>
      </c>
      <c r="G107" s="3">
        <f>IFERROR(__xludf.DUMMYFUNCTION("""COMPUTED_VALUE"""),1069.037766)</f>
        <v>1069.037766</v>
      </c>
      <c r="H107" s="3">
        <f>IFERROR(__xludf.DUMMYFUNCTION("""COMPUTED_VALUE"""),1.434211)</f>
        <v>1.434211</v>
      </c>
      <c r="I107" s="3">
        <f>IFERROR(__xludf.DUMMYFUNCTION("""COMPUTED_VALUE"""),2.930064)</f>
        <v>2.930064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IFERROR(__xludf.DUMMYFUNCTION("""COMPUTED_VALUE"""),24108.539752)</f>
        <v>24108.53975</v>
      </c>
      <c r="C108" s="3">
        <f>IFERROR(__xludf.DUMMYFUNCTION("""COMPUTED_VALUE"""),1935.668782)</f>
        <v>1935.668782</v>
      </c>
      <c r="D108" s="3">
        <f>IFERROR(__xludf.DUMMYFUNCTION("""COMPUTED_VALUE"""),44.862893)</f>
        <v>44.862893</v>
      </c>
      <c r="E108" s="3">
        <f>IFERROR(__xludf.DUMMYFUNCTION("""COMPUTED_VALUE"""),107.470623)</f>
        <v>107.470623</v>
      </c>
      <c r="F108" s="3">
        <f>IFERROR(__xludf.DUMMYFUNCTION("""COMPUTED_VALUE"""),8.881124)</f>
        <v>8.881124</v>
      </c>
      <c r="G108" s="3">
        <f>IFERROR(__xludf.DUMMYFUNCTION("""COMPUTED_VALUE"""),1024.346936)</f>
        <v>1024.346936</v>
      </c>
      <c r="H108" s="3">
        <f>IFERROR(__xludf.DUMMYFUNCTION("""COMPUTED_VALUE"""),1.388947)</f>
        <v>1.388947</v>
      </c>
      <c r="I108" s="3">
        <f>IFERROR(__xludf.DUMMYFUNCTION("""COMPUTED_VALUE"""),2.655666)</f>
        <v>2.655666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IFERROR(__xludf.DUMMYFUNCTION("""COMPUTED_VALUE"""),23817.467814)</f>
        <v>23817.46781</v>
      </c>
      <c r="C109" s="3">
        <f>IFERROR(__xludf.DUMMYFUNCTION("""COMPUTED_VALUE"""),1899.501111)</f>
        <v>1899.501111</v>
      </c>
      <c r="D109" s="3">
        <f>IFERROR(__xludf.DUMMYFUNCTION("""COMPUTED_VALUE"""),43.725798)</f>
        <v>43.725798</v>
      </c>
      <c r="E109" s="3">
        <f>IFERROR(__xludf.DUMMYFUNCTION("""COMPUTED_VALUE"""),107.070623)</f>
        <v>107.070623</v>
      </c>
      <c r="F109" s="3">
        <f>IFERROR(__xludf.DUMMYFUNCTION("""COMPUTED_VALUE"""),8.468508)</f>
        <v>8.468508</v>
      </c>
      <c r="G109" s="3">
        <f>IFERROR(__xludf.DUMMYFUNCTION("""COMPUTED_VALUE"""),998.242853)</f>
        <v>998.242853</v>
      </c>
      <c r="H109" s="3">
        <f>IFERROR(__xludf.DUMMYFUNCTION("""COMPUTED_VALUE"""),1.333871)</f>
        <v>1.333871</v>
      </c>
      <c r="I109" s="3">
        <f>IFERROR(__xludf.DUMMYFUNCTION("""COMPUTED_VALUE"""),2.749838)</f>
        <v>2.749838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IFERROR(__xludf.DUMMYFUNCTION("""COMPUTED_VALUE"""),23340.597372)</f>
        <v>23340.59737</v>
      </c>
      <c r="C110" s="3">
        <f>IFERROR(__xludf.DUMMYFUNCTION("""COMPUTED_VALUE"""),1877.001195)</f>
        <v>1877.001195</v>
      </c>
      <c r="D110" s="3">
        <f>IFERROR(__xludf.DUMMYFUNCTION("""COMPUTED_VALUE"""),43.087128)</f>
        <v>43.087128</v>
      </c>
      <c r="E110" s="3">
        <f>IFERROR(__xludf.DUMMYFUNCTION("""COMPUTED_VALUE"""),109.81409)</f>
        <v>109.81409</v>
      </c>
      <c r="F110" s="3">
        <f>IFERROR(__xludf.DUMMYFUNCTION("""COMPUTED_VALUE"""),8.339581)</f>
        <v>8.339581</v>
      </c>
      <c r="G110" s="3">
        <f>IFERROR(__xludf.DUMMYFUNCTION("""COMPUTED_VALUE"""),979.603079)</f>
        <v>979.603079</v>
      </c>
      <c r="H110" s="3">
        <f>IFERROR(__xludf.DUMMYFUNCTION("""COMPUTED_VALUE"""),1.28584)</f>
        <v>1.28584</v>
      </c>
      <c r="I110" s="3">
        <f>IFERROR(__xludf.DUMMYFUNCTION("""COMPUTED_VALUE"""),2.578945)</f>
        <v>2.578945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IFERROR(__xludf.DUMMYFUNCTION("""COMPUTED_VALUE"""),23196.928125)</f>
        <v>23196.92813</v>
      </c>
      <c r="C111" s="3">
        <f>IFERROR(__xludf.DUMMYFUNCTION("""COMPUTED_VALUE"""),1834.275353)</f>
        <v>1834.275353</v>
      </c>
      <c r="D111" s="3">
        <f>IFERROR(__xludf.DUMMYFUNCTION("""COMPUTED_VALUE"""),40.535039)</f>
        <v>40.535039</v>
      </c>
      <c r="E111" s="3">
        <f>IFERROR(__xludf.DUMMYFUNCTION("""COMPUTED_VALUE"""),100.236673)</f>
        <v>100.236673</v>
      </c>
      <c r="F111" s="3">
        <f>IFERROR(__xludf.DUMMYFUNCTION("""COMPUTED_VALUE"""),7.958688)</f>
        <v>7.958688</v>
      </c>
      <c r="G111" s="3">
        <f>IFERROR(__xludf.DUMMYFUNCTION("""COMPUTED_VALUE"""),929.86419)</f>
        <v>929.86419</v>
      </c>
      <c r="H111" s="3">
        <f>IFERROR(__xludf.DUMMYFUNCTION("""COMPUTED_VALUE"""),1.182571)</f>
        <v>1.182571</v>
      </c>
      <c r="I111" s="3">
        <f>IFERROR(__xludf.DUMMYFUNCTION("""COMPUTED_VALUE"""),2.478898)</f>
        <v>2.478898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IFERROR(__xludf.DUMMYFUNCTION("""COMPUTED_VALUE"""),20835.422976)</f>
        <v>20835.42298</v>
      </c>
      <c r="C112" s="3">
        <f>IFERROR(__xludf.DUMMYFUNCTION("""COMPUTED_VALUE"""),1846.508019)</f>
        <v>1846.508019</v>
      </c>
      <c r="D112" s="3">
        <f>IFERROR(__xludf.DUMMYFUNCTION("""COMPUTED_VALUE"""),39.513141)</f>
        <v>39.513141</v>
      </c>
      <c r="E112" s="3">
        <f>IFERROR(__xludf.DUMMYFUNCTION("""COMPUTED_VALUE"""),94.896121)</f>
        <v>94.896121</v>
      </c>
      <c r="F112" s="3">
        <f>IFERROR(__xludf.DUMMYFUNCTION("""COMPUTED_VALUE"""),7.574364)</f>
        <v>7.574364</v>
      </c>
      <c r="G112" s="3">
        <f>IFERROR(__xludf.DUMMYFUNCTION("""COMPUTED_VALUE"""),895.269864)</f>
        <v>895.269864</v>
      </c>
      <c r="H112" s="3">
        <f>IFERROR(__xludf.DUMMYFUNCTION("""COMPUTED_VALUE"""),1.113743)</f>
        <v>1.113743</v>
      </c>
      <c r="I112" s="3">
        <f>IFERROR(__xludf.DUMMYFUNCTION("""COMPUTED_VALUE"""),2.226746)</f>
        <v>2.226746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IFERROR(__xludf.DUMMYFUNCTION("""COMPUTED_VALUE"""),21144.533557)</f>
        <v>21144.53356</v>
      </c>
      <c r="C113" s="3">
        <f>IFERROR(__xludf.DUMMYFUNCTION("""COMPUTED_VALUE"""),1608.939858)</f>
        <v>1608.939858</v>
      </c>
      <c r="D113" s="3">
        <f>IFERROR(__xludf.DUMMYFUNCTION("""COMPUTED_VALUE"""),35.812248)</f>
        <v>35.812248</v>
      </c>
      <c r="E113" s="3">
        <f>IFERROR(__xludf.DUMMYFUNCTION("""COMPUTED_VALUE"""),83.428304)</f>
        <v>83.428304</v>
      </c>
      <c r="F113" s="3">
        <f>IFERROR(__xludf.DUMMYFUNCTION("""COMPUTED_VALUE"""),6.896528)</f>
        <v>6.896528</v>
      </c>
      <c r="G113" s="3">
        <f>IFERROR(__xludf.DUMMYFUNCTION("""COMPUTED_VALUE"""),837.632031)</f>
        <v>837.632031</v>
      </c>
      <c r="H113" s="3">
        <f>IFERROR(__xludf.DUMMYFUNCTION("""COMPUTED_VALUE"""),1.051074)</f>
        <v>1.051074</v>
      </c>
      <c r="I113" s="3">
        <f>IFERROR(__xludf.DUMMYFUNCTION("""COMPUTED_VALUE"""),1.86048)</f>
        <v>1.86048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IFERROR(__xludf.DUMMYFUNCTION("""COMPUTED_VALUE"""),21515.581984)</f>
        <v>21515.58198</v>
      </c>
      <c r="C114" s="3">
        <f>IFERROR(__xludf.DUMMYFUNCTION("""COMPUTED_VALUE"""),1576.148689)</f>
        <v>1576.148689</v>
      </c>
      <c r="D114" s="3">
        <f>IFERROR(__xludf.DUMMYFUNCTION("""COMPUTED_VALUE"""),35.285242)</f>
        <v>35.285242</v>
      </c>
      <c r="E114" s="3">
        <f>IFERROR(__xludf.DUMMYFUNCTION("""COMPUTED_VALUE"""),82.875698)</f>
        <v>82.875698</v>
      </c>
      <c r="F114" s="3">
        <f>IFERROR(__xludf.DUMMYFUNCTION("""COMPUTED_VALUE"""),7.006636)</f>
        <v>7.006636</v>
      </c>
      <c r="G114" s="3">
        <f>IFERROR(__xludf.DUMMYFUNCTION("""COMPUTED_VALUE"""),823.1706)</f>
        <v>823.1706</v>
      </c>
      <c r="H114" s="3">
        <f>IFERROR(__xludf.DUMMYFUNCTION("""COMPUTED_VALUE"""),1.000278)</f>
        <v>1.000278</v>
      </c>
      <c r="I114" s="3">
        <f>IFERROR(__xludf.DUMMYFUNCTION("""COMPUTED_VALUE"""),1.8427)</f>
        <v>1.8427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IFERROR(__xludf.DUMMYFUNCTION("""COMPUTED_VALUE"""),21396.504099)</f>
        <v>21396.5041</v>
      </c>
      <c r="C115" s="3">
        <f>IFERROR(__xludf.DUMMYFUNCTION("""COMPUTED_VALUE"""),1618.028499)</f>
        <v>1618.028499</v>
      </c>
      <c r="D115" s="3">
        <f>IFERROR(__xludf.DUMMYFUNCTION("""COMPUTED_VALUE"""),36.483106)</f>
        <v>36.483106</v>
      </c>
      <c r="E115" s="3">
        <f>IFERROR(__xludf.DUMMYFUNCTION("""COMPUTED_VALUE"""),85.930625)</f>
        <v>85.930625</v>
      </c>
      <c r="F115" s="3">
        <f>IFERROR(__xludf.DUMMYFUNCTION("""COMPUTED_VALUE"""),7.210728)</f>
        <v>7.210728</v>
      </c>
      <c r="G115" s="3">
        <f>IFERROR(__xludf.DUMMYFUNCTION("""COMPUTED_VALUE"""),838.367019)</f>
        <v>838.367019</v>
      </c>
      <c r="H115" s="3">
        <f>IFERROR(__xludf.DUMMYFUNCTION("""COMPUTED_VALUE"""),1.025868)</f>
        <v>1.025868</v>
      </c>
      <c r="I115" s="3">
        <f>IFERROR(__xludf.DUMMYFUNCTION("""COMPUTED_VALUE"""),2.162116)</f>
        <v>2.162116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IFERROR(__xludf.DUMMYFUNCTION("""COMPUTED_VALUE"""),21527.111864)</f>
        <v>21527.11186</v>
      </c>
      <c r="C116" s="3">
        <f>IFERROR(__xludf.DUMMYFUNCTION("""COMPUTED_VALUE"""),1624.689747)</f>
        <v>1624.689747</v>
      </c>
      <c r="D116" s="3">
        <f>IFERROR(__xludf.DUMMYFUNCTION("""COMPUTED_VALUE"""),35.419967)</f>
        <v>35.419967</v>
      </c>
      <c r="E116" s="3">
        <f>IFERROR(__xludf.DUMMYFUNCTION("""COMPUTED_VALUE"""),88.496144)</f>
        <v>88.496144</v>
      </c>
      <c r="F116" s="3">
        <f>IFERROR(__xludf.DUMMYFUNCTION("""COMPUTED_VALUE"""),6.985236)</f>
        <v>6.985236</v>
      </c>
      <c r="G116" s="3">
        <f>IFERROR(__xludf.DUMMYFUNCTION("""COMPUTED_VALUE"""),839.547227)</f>
        <v>839.547227</v>
      </c>
      <c r="H116" s="3">
        <f>IFERROR(__xludf.DUMMYFUNCTION("""COMPUTED_VALUE"""),1.100016)</f>
        <v>1.100016</v>
      </c>
      <c r="I116" s="3">
        <f>IFERROR(__xludf.DUMMYFUNCTION("""COMPUTED_VALUE"""),2.175232)</f>
        <v>2.175232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IFERROR(__xludf.DUMMYFUNCTION("""COMPUTED_VALUE"""),21368.268756)</f>
        <v>21368.26876</v>
      </c>
      <c r="C117" s="3">
        <f>IFERROR(__xludf.DUMMYFUNCTION("""COMPUTED_VALUE"""),1665.545474)</f>
        <v>1665.545474</v>
      </c>
      <c r="D117" s="3">
        <f>IFERROR(__xludf.DUMMYFUNCTION("""COMPUTED_VALUE"""),35.68074)</f>
        <v>35.68074</v>
      </c>
      <c r="E117" s="3">
        <f>IFERROR(__xludf.DUMMYFUNCTION("""COMPUTED_VALUE"""),89.474443)</f>
        <v>89.474443</v>
      </c>
      <c r="F117" s="3">
        <f>IFERROR(__xludf.DUMMYFUNCTION("""COMPUTED_VALUE"""),7.11976)</f>
        <v>7.11976</v>
      </c>
      <c r="G117" s="3">
        <f>IFERROR(__xludf.DUMMYFUNCTION("""COMPUTED_VALUE"""),856.342904)</f>
        <v>856.342904</v>
      </c>
      <c r="H117" s="3">
        <f>IFERROR(__xludf.DUMMYFUNCTION("""COMPUTED_VALUE"""),1.184126)</f>
        <v>1.184126</v>
      </c>
      <c r="I117" s="3">
        <f>IFERROR(__xludf.DUMMYFUNCTION("""COMPUTED_VALUE"""),2.143544)</f>
        <v>2.143544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IFERROR(__xludf.DUMMYFUNCTION("""COMPUTED_VALUE"""),21559.892958)</f>
        <v>21559.89296</v>
      </c>
      <c r="C118" s="3">
        <f>IFERROR(__xludf.DUMMYFUNCTION("""COMPUTED_VALUE"""),1656.520432)</f>
        <v>1656.520432</v>
      </c>
      <c r="D118" s="3">
        <f>IFERROR(__xludf.DUMMYFUNCTION("""COMPUTED_VALUE"""),34.889693)</f>
        <v>34.889693</v>
      </c>
      <c r="E118" s="3">
        <f>IFERROR(__xludf.DUMMYFUNCTION("""COMPUTED_VALUE"""),88.450553)</f>
        <v>88.450553</v>
      </c>
      <c r="F118" s="3">
        <f>IFERROR(__xludf.DUMMYFUNCTION("""COMPUTED_VALUE"""),7.045186)</f>
        <v>7.045186</v>
      </c>
      <c r="G118" s="3">
        <f>IFERROR(__xludf.DUMMYFUNCTION("""COMPUTED_VALUE"""),854.350231)</f>
        <v>854.350231</v>
      </c>
      <c r="H118" s="3">
        <f>IFERROR(__xludf.DUMMYFUNCTION("""COMPUTED_VALUE"""),1.17799)</f>
        <v>1.17799</v>
      </c>
      <c r="I118" s="3">
        <f>IFERROR(__xludf.DUMMYFUNCTION("""COMPUTED_VALUE"""),2.159265)</f>
        <v>2.159265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IFERROR(__xludf.DUMMYFUNCTION("""COMPUTED_VALUE"""),20239.819987)</f>
        <v>20239.81999</v>
      </c>
      <c r="C119" s="3">
        <f>IFERROR(__xludf.DUMMYFUNCTION("""COMPUTED_VALUE"""),1694.993422)</f>
        <v>1694.993422</v>
      </c>
      <c r="D119" s="3">
        <f>IFERROR(__xludf.DUMMYFUNCTION("""COMPUTED_VALUE"""),35.254346)</f>
        <v>35.254346</v>
      </c>
      <c r="E119" s="3">
        <f>IFERROR(__xludf.DUMMYFUNCTION("""COMPUTED_VALUE"""),93.201105)</f>
        <v>93.201105</v>
      </c>
      <c r="F119" s="3">
        <f>IFERROR(__xludf.DUMMYFUNCTION("""COMPUTED_VALUE"""),7.023473)</f>
        <v>7.023473</v>
      </c>
      <c r="G119" s="3">
        <f>IFERROR(__xludf.DUMMYFUNCTION("""COMPUTED_VALUE"""),845.967673)</f>
        <v>845.967673</v>
      </c>
      <c r="H119" s="3">
        <f>IFERROR(__xludf.DUMMYFUNCTION("""COMPUTED_VALUE"""),1.178195)</f>
        <v>1.178195</v>
      </c>
      <c r="I119" s="3">
        <f>IFERROR(__xludf.DUMMYFUNCTION("""COMPUTED_VALUE"""),2.004526)</f>
        <v>2.004526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IFERROR(__xludf.DUMMYFUNCTION("""COMPUTED_VALUE"""),20037.687199)</f>
        <v>20037.6872</v>
      </c>
      <c r="C120" s="3">
        <f>IFERROR(__xludf.DUMMYFUNCTION("""COMPUTED_VALUE"""),1507.982561)</f>
        <v>1507.982561</v>
      </c>
      <c r="D120" s="3">
        <f>IFERROR(__xludf.DUMMYFUNCTION("""COMPUTED_VALUE"""),31.720964)</f>
        <v>31.720964</v>
      </c>
      <c r="E120" s="3">
        <f>IFERROR(__xludf.DUMMYFUNCTION("""COMPUTED_VALUE"""),82.65821)</f>
        <v>82.65821</v>
      </c>
      <c r="F120" s="3">
        <f>IFERROR(__xludf.DUMMYFUNCTION("""COMPUTED_VALUE"""),6.153411)</f>
        <v>6.153411</v>
      </c>
      <c r="G120" s="3">
        <f>IFERROR(__xludf.DUMMYFUNCTION("""COMPUTED_VALUE"""),761.524045)</f>
        <v>761.524045</v>
      </c>
      <c r="H120" s="3">
        <f>IFERROR(__xludf.DUMMYFUNCTION("""COMPUTED_VALUE"""),1.052734)</f>
        <v>1.052734</v>
      </c>
      <c r="I120" s="3">
        <f>IFERROR(__xludf.DUMMYFUNCTION("""COMPUTED_VALUE"""),1.72086)</f>
        <v>1.72086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IFERROR(__xludf.DUMMYFUNCTION("""COMPUTED_VALUE"""),19561.801928)</f>
        <v>19561.80193</v>
      </c>
      <c r="C121" s="3">
        <f>IFERROR(__xludf.DUMMYFUNCTION("""COMPUTED_VALUE"""),1492.311312)</f>
        <v>1492.311312</v>
      </c>
      <c r="D121" s="3">
        <f>IFERROR(__xludf.DUMMYFUNCTION("""COMPUTED_VALUE"""),31.525458)</f>
        <v>31.525458</v>
      </c>
      <c r="E121" s="3">
        <f>IFERROR(__xludf.DUMMYFUNCTION("""COMPUTED_VALUE"""),82.117996)</f>
        <v>82.117996</v>
      </c>
      <c r="F121" s="3">
        <f>IFERROR(__xludf.DUMMYFUNCTION("""COMPUTED_VALUE"""),6.057207)</f>
        <v>6.057207</v>
      </c>
      <c r="G121" s="3">
        <f>IFERROR(__xludf.DUMMYFUNCTION("""COMPUTED_VALUE"""),764.934625)</f>
        <v>764.934625</v>
      </c>
      <c r="H121" s="3">
        <f>IFERROR(__xludf.DUMMYFUNCTION("""COMPUTED_VALUE"""),1.04944)</f>
        <v>1.04944</v>
      </c>
      <c r="I121" s="3">
        <f>IFERROR(__xludf.DUMMYFUNCTION("""COMPUTED_VALUE"""),1.637243)</f>
        <v>1.637243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IFERROR(__xludf.DUMMYFUNCTION("""COMPUTED_VALUE"""),20287.538918)</f>
        <v>20287.53892</v>
      </c>
      <c r="C122" s="3">
        <f>IFERROR(__xludf.DUMMYFUNCTION("""COMPUTED_VALUE"""),1427.004358)</f>
        <v>1427.004358</v>
      </c>
      <c r="D122" s="3">
        <f>IFERROR(__xludf.DUMMYFUNCTION("""COMPUTED_VALUE"""),30.431159)</f>
        <v>30.431159</v>
      </c>
      <c r="E122" s="3">
        <f>IFERROR(__xludf.DUMMYFUNCTION("""COMPUTED_VALUE"""),78.637305)</f>
        <v>78.637305</v>
      </c>
      <c r="F122" s="3">
        <f>IFERROR(__xludf.DUMMYFUNCTION("""COMPUTED_VALUE"""),5.742847)</f>
        <v>5.742847</v>
      </c>
      <c r="G122" s="3">
        <f>IFERROR(__xludf.DUMMYFUNCTION("""COMPUTED_VALUE"""),737.42424)</f>
        <v>737.42424</v>
      </c>
      <c r="H122" s="3">
        <f>IFERROR(__xludf.DUMMYFUNCTION("""COMPUTED_VALUE"""),0.993683)</f>
        <v>0.993683</v>
      </c>
      <c r="I122" s="3">
        <f>IFERROR(__xludf.DUMMYFUNCTION("""COMPUTED_VALUE"""),1.591317)</f>
        <v>1.591317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IFERROR(__xludf.DUMMYFUNCTION("""COMPUTED_VALUE"""),19812.860731)</f>
        <v>19812.86073</v>
      </c>
      <c r="C123" s="3">
        <f>IFERROR(__xludf.DUMMYFUNCTION("""COMPUTED_VALUE"""),1551.822573)</f>
        <v>1551.822573</v>
      </c>
      <c r="D123" s="3">
        <f>IFERROR(__xludf.DUMMYFUNCTION("""COMPUTED_VALUE"""),32.422963)</f>
        <v>32.422963</v>
      </c>
      <c r="E123" s="3">
        <f>IFERROR(__xludf.DUMMYFUNCTION("""COMPUTED_VALUE"""),85.777637)</f>
        <v>85.777637</v>
      </c>
      <c r="F123" s="3">
        <f>IFERROR(__xludf.DUMMYFUNCTION("""COMPUTED_VALUE"""),6.334643)</f>
        <v>6.334643</v>
      </c>
      <c r="G123" s="3">
        <f>IFERROR(__xludf.DUMMYFUNCTION("""COMPUTED_VALUE"""),810.953868)</f>
        <v>810.953868</v>
      </c>
      <c r="H123" s="3">
        <f>IFERROR(__xludf.DUMMYFUNCTION("""COMPUTED_VALUE"""),1.079997)</f>
        <v>1.079997</v>
      </c>
      <c r="I123" s="3">
        <f>IFERROR(__xludf.DUMMYFUNCTION("""COMPUTED_VALUE"""),1.860888)</f>
        <v>1.860888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IFERROR(__xludf.DUMMYFUNCTION("""COMPUTED_VALUE"""),20048.706857)</f>
        <v>20048.70686</v>
      </c>
      <c r="C124" s="3">
        <f>IFERROR(__xludf.DUMMYFUNCTION("""COMPUTED_VALUE"""),1524.773815)</f>
        <v>1524.773815</v>
      </c>
      <c r="D124" s="3">
        <f>IFERROR(__xludf.DUMMYFUNCTION("""COMPUTED_VALUE"""),31.478698)</f>
        <v>31.478698</v>
      </c>
      <c r="E124" s="3">
        <f>IFERROR(__xludf.DUMMYFUNCTION("""COMPUTED_VALUE"""),84.36241)</f>
        <v>84.36241</v>
      </c>
      <c r="F124" s="3">
        <f>IFERROR(__xludf.DUMMYFUNCTION("""COMPUTED_VALUE"""),6.178623)</f>
        <v>6.178623</v>
      </c>
      <c r="G124" s="3">
        <f>IFERROR(__xludf.DUMMYFUNCTION("""COMPUTED_VALUE"""),784.242987)</f>
        <v>784.242987</v>
      </c>
      <c r="H124" s="3">
        <f>IFERROR(__xludf.DUMMYFUNCTION("""COMPUTED_VALUE"""),1.064846)</f>
        <v>1.064846</v>
      </c>
      <c r="I124" s="3">
        <f>IFERROR(__xludf.DUMMYFUNCTION("""COMPUTED_VALUE"""),1.78823)</f>
        <v>1.78823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IFERROR(__xludf.DUMMYFUNCTION("""COMPUTED_VALUE"""),20133.27263)</f>
        <v>20133.27263</v>
      </c>
      <c r="C125" s="3">
        <f>IFERROR(__xludf.DUMMYFUNCTION("""COMPUTED_VALUE"""),1553.983552)</f>
        <v>1553.983552</v>
      </c>
      <c r="D125" s="3">
        <f>IFERROR(__xludf.DUMMYFUNCTION("""COMPUTED_VALUE"""),31.491334)</f>
        <v>31.491334</v>
      </c>
      <c r="E125" s="3">
        <f>IFERROR(__xludf.DUMMYFUNCTION("""COMPUTED_VALUE"""),84.810393)</f>
        <v>84.810393</v>
      </c>
      <c r="F125" s="3">
        <f>IFERROR(__xludf.DUMMYFUNCTION("""COMPUTED_VALUE"""),6.141155)</f>
        <v>6.141155</v>
      </c>
      <c r="G125" s="3">
        <f>IFERROR(__xludf.DUMMYFUNCTION("""COMPUTED_VALUE"""),759.47365)</f>
        <v>759.47365</v>
      </c>
      <c r="H125" s="3">
        <f>IFERROR(__xludf.DUMMYFUNCTION("""COMPUTED_VALUE"""),1.146605)</f>
        <v>1.146605</v>
      </c>
      <c r="I125" s="3">
        <f>IFERROR(__xludf.DUMMYFUNCTION("""COMPUTED_VALUE"""),1.987238)</f>
        <v>1.987238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IFERROR(__xludf.DUMMYFUNCTION("""COMPUTED_VALUE"""),19963.009923)</f>
        <v>19963.00992</v>
      </c>
      <c r="C126" s="3">
        <f>IFERROR(__xludf.DUMMYFUNCTION("""COMPUTED_VALUE"""),1585.902543)</f>
        <v>1585.902543</v>
      </c>
      <c r="D126" s="3">
        <f>IFERROR(__xludf.DUMMYFUNCTION("""COMPUTED_VALUE"""),31.610667)</f>
        <v>31.610667</v>
      </c>
      <c r="E126" s="3">
        <f>IFERROR(__xludf.DUMMYFUNCTION("""COMPUTED_VALUE"""),86.508004)</f>
        <v>86.508004</v>
      </c>
      <c r="F126" s="3">
        <f>IFERROR(__xludf.DUMMYFUNCTION("""COMPUTED_VALUE"""),6.317773)</f>
        <v>6.317773</v>
      </c>
      <c r="G126" s="3">
        <f>IFERROR(__xludf.DUMMYFUNCTION("""COMPUTED_VALUE"""),757.019348)</f>
        <v>757.019348</v>
      </c>
      <c r="H126" s="3">
        <f>IFERROR(__xludf.DUMMYFUNCTION("""COMPUTED_VALUE"""),1.15513)</f>
        <v>1.15513</v>
      </c>
      <c r="I126" s="3">
        <f>IFERROR(__xludf.DUMMYFUNCTION("""COMPUTED_VALUE"""),2.070306)</f>
        <v>2.070306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IFERROR(__xludf.DUMMYFUNCTION("""COMPUTED_VALUE"""),19832.543867)</f>
        <v>19832.54387</v>
      </c>
      <c r="C127" s="3">
        <f>IFERROR(__xludf.DUMMYFUNCTION("""COMPUTED_VALUE"""),1575.335525)</f>
        <v>1575.335525</v>
      </c>
      <c r="D127" s="3">
        <f>IFERROR(__xludf.DUMMYFUNCTION("""COMPUTED_VALUE"""),31.236831)</f>
        <v>31.236831</v>
      </c>
      <c r="E127" s="3">
        <f>IFERROR(__xludf.DUMMYFUNCTION("""COMPUTED_VALUE"""),88.377727)</f>
        <v>88.377727</v>
      </c>
      <c r="F127" s="3">
        <f>IFERROR(__xludf.DUMMYFUNCTION("""COMPUTED_VALUE"""),6.406291)</f>
        <v>6.406291</v>
      </c>
      <c r="G127" s="3">
        <f>IFERROR(__xludf.DUMMYFUNCTION("""COMPUTED_VALUE"""),749.08958)</f>
        <v>749.08958</v>
      </c>
      <c r="H127" s="3">
        <f>IFERROR(__xludf.DUMMYFUNCTION("""COMPUTED_VALUE"""),1.093675)</f>
        <v>1.093675</v>
      </c>
      <c r="I127" s="3">
        <f>IFERROR(__xludf.DUMMYFUNCTION("""COMPUTED_VALUE"""),2.17361)</f>
        <v>2.17361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IFERROR(__xludf.DUMMYFUNCTION("""COMPUTED_VALUE"""),20002.35343)</f>
        <v>20002.35343</v>
      </c>
      <c r="C128" s="3">
        <f>IFERROR(__xludf.DUMMYFUNCTION("""COMPUTED_VALUE"""),1557.439166)</f>
        <v>1557.439166</v>
      </c>
      <c r="D128" s="3">
        <f>IFERROR(__xludf.DUMMYFUNCTION("""COMPUTED_VALUE"""),31.118638)</f>
        <v>31.118638</v>
      </c>
      <c r="E128" s="3">
        <f>IFERROR(__xludf.DUMMYFUNCTION("""COMPUTED_VALUE"""),87.20147)</f>
        <v>87.20147</v>
      </c>
      <c r="F128" s="3">
        <f>IFERROR(__xludf.DUMMYFUNCTION("""COMPUTED_VALUE"""),6.307268)</f>
        <v>6.307268</v>
      </c>
      <c r="G128" s="3">
        <f>IFERROR(__xludf.DUMMYFUNCTION("""COMPUTED_VALUE"""),742.563512)</f>
        <v>742.563512</v>
      </c>
      <c r="H128" s="3">
        <f>IFERROR(__xludf.DUMMYFUNCTION("""COMPUTED_VALUE"""),1.073543)</f>
        <v>1.073543</v>
      </c>
      <c r="I128" s="3">
        <f>IFERROR(__xludf.DUMMYFUNCTION("""COMPUTED_VALUE"""),2.064284)</f>
        <v>2.064284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IFERROR(__xludf.DUMMYFUNCTION("""COMPUTED_VALUE"""),19795.217371)</f>
        <v>19795.21737</v>
      </c>
      <c r="C129" s="3">
        <f>IFERROR(__xludf.DUMMYFUNCTION("""COMPUTED_VALUE"""),1579.110999)</f>
        <v>1579.110999</v>
      </c>
      <c r="D129" s="3">
        <f>IFERROR(__xludf.DUMMYFUNCTION("""COMPUTED_VALUE"""),32.170952)</f>
        <v>32.170952</v>
      </c>
      <c r="E129" s="3">
        <f>IFERROR(__xludf.DUMMYFUNCTION("""COMPUTED_VALUE"""),88.869482)</f>
        <v>88.869482</v>
      </c>
      <c r="F129" s="3">
        <f>IFERROR(__xludf.DUMMYFUNCTION("""COMPUTED_VALUE"""),6.486349)</f>
        <v>6.486349</v>
      </c>
      <c r="G129" s="3">
        <f>IFERROR(__xludf.DUMMYFUNCTION("""COMPUTED_VALUE"""),753.050783)</f>
        <v>753.050783</v>
      </c>
      <c r="H129" s="3">
        <f>IFERROR(__xludf.DUMMYFUNCTION("""COMPUTED_VALUE"""),1.092373)</f>
        <v>1.092373</v>
      </c>
      <c r="I129" s="3">
        <f>IFERROR(__xludf.DUMMYFUNCTION("""COMPUTED_VALUE"""),2.066312)</f>
        <v>2.066312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IFERROR(__xludf.DUMMYFUNCTION("""COMPUTED_VALUE"""),18789.980758)</f>
        <v>18789.98076</v>
      </c>
      <c r="C130" s="3">
        <f>IFERROR(__xludf.DUMMYFUNCTION("""COMPUTED_VALUE"""),1617.890692)</f>
        <v>1617.890692</v>
      </c>
      <c r="D130" s="3">
        <f>IFERROR(__xludf.DUMMYFUNCTION("""COMPUTED_VALUE"""),32.174956)</f>
        <v>32.174956</v>
      </c>
      <c r="E130" s="3">
        <f>IFERROR(__xludf.DUMMYFUNCTION("""COMPUTED_VALUE"""),91.21155)</f>
        <v>91.21155</v>
      </c>
      <c r="F130" s="3">
        <f>IFERROR(__xludf.DUMMYFUNCTION("""COMPUTED_VALUE"""),6.581667)</f>
        <v>6.581667</v>
      </c>
      <c r="G130" s="3">
        <f>IFERROR(__xludf.DUMMYFUNCTION("""COMPUTED_VALUE"""),740.916367)</f>
        <v>740.916367</v>
      </c>
      <c r="H130" s="3">
        <f>IFERROR(__xludf.DUMMYFUNCTION("""COMPUTED_VALUE"""),1.152302)</f>
        <v>1.152302</v>
      </c>
      <c r="I130" s="3">
        <f>IFERROR(__xludf.DUMMYFUNCTION("""COMPUTED_VALUE"""),2.035755)</f>
        <v>2.035755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IFERROR(__xludf.DUMMYFUNCTION("""COMPUTED_VALUE"""),19293.938783)</f>
        <v>19293.93878</v>
      </c>
      <c r="C131" s="3">
        <f>IFERROR(__xludf.DUMMYFUNCTION("""COMPUTED_VALUE"""),1558.804746)</f>
        <v>1558.804746</v>
      </c>
      <c r="D131" s="3">
        <f>IFERROR(__xludf.DUMMYFUNCTION("""COMPUTED_VALUE"""),30.877388)</f>
        <v>30.877388</v>
      </c>
      <c r="E131" s="3">
        <f>IFERROR(__xludf.DUMMYFUNCTION("""COMPUTED_VALUE"""),83.568943)</f>
        <v>83.568943</v>
      </c>
      <c r="F131" s="3">
        <f>IFERROR(__xludf.DUMMYFUNCTION("""COMPUTED_VALUE"""),5.832356)</f>
        <v>5.832356</v>
      </c>
      <c r="G131" s="3">
        <f>IFERROR(__xludf.DUMMYFUNCTION("""COMPUTED_VALUE"""),725.817363)</f>
        <v>725.817363</v>
      </c>
      <c r="H131" s="3">
        <f>IFERROR(__xludf.DUMMYFUNCTION("""COMPUTED_VALUE"""),1.036886)</f>
        <v>1.036886</v>
      </c>
      <c r="I131" s="3">
        <f>IFERROR(__xludf.DUMMYFUNCTION("""COMPUTED_VALUE"""),1.835482)</f>
        <v>1.835482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IFERROR(__xludf.DUMMYFUNCTION("""COMPUTED_VALUE"""),19324.607989)</f>
        <v>19324.60799</v>
      </c>
      <c r="C132" s="3">
        <f>IFERROR(__xludf.DUMMYFUNCTION("""COMPUTED_VALUE"""),1629.855355)</f>
        <v>1629.855355</v>
      </c>
      <c r="D132" s="3">
        <f>IFERROR(__xludf.DUMMYFUNCTION("""COMPUTED_VALUE"""),32.698668)</f>
        <v>32.698668</v>
      </c>
      <c r="E132" s="3">
        <f>IFERROR(__xludf.DUMMYFUNCTION("""COMPUTED_VALUE"""),87.532969)</f>
        <v>87.532969</v>
      </c>
      <c r="F132" s="3">
        <f>IFERROR(__xludf.DUMMYFUNCTION("""COMPUTED_VALUE"""),6.117602)</f>
        <v>6.117602</v>
      </c>
      <c r="G132" s="3">
        <f>IFERROR(__xludf.DUMMYFUNCTION("""COMPUTED_VALUE"""),738.950022)</f>
        <v>738.950022</v>
      </c>
      <c r="H132" s="3">
        <f>IFERROR(__xludf.DUMMYFUNCTION("""COMPUTED_VALUE"""),1.167068)</f>
        <v>1.167068</v>
      </c>
      <c r="I132" s="3">
        <f>IFERROR(__xludf.DUMMYFUNCTION("""COMPUTED_VALUE"""),1.962545)</f>
        <v>1.962545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IFERROR(__xludf.DUMMYFUNCTION("""COMPUTED_VALUE"""),21365.704256)</f>
        <v>21365.70426</v>
      </c>
      <c r="C133" s="3">
        <f>IFERROR(__xludf.DUMMYFUNCTION("""COMPUTED_VALUE"""),1635.527319)</f>
        <v>1635.527319</v>
      </c>
      <c r="D133" s="3">
        <f>IFERROR(__xludf.DUMMYFUNCTION("""COMPUTED_VALUE"""),33.612793)</f>
        <v>33.612793</v>
      </c>
      <c r="E133" s="3">
        <f>IFERROR(__xludf.DUMMYFUNCTION("""COMPUTED_VALUE"""),88.323727)</f>
        <v>88.323727</v>
      </c>
      <c r="F133" s="3">
        <f>IFERROR(__xludf.DUMMYFUNCTION("""COMPUTED_VALUE"""),6.172375)</f>
        <v>6.172375</v>
      </c>
      <c r="G133" s="3">
        <f>IFERROR(__xludf.DUMMYFUNCTION("""COMPUTED_VALUE"""),726.280545)</f>
        <v>726.280545</v>
      </c>
      <c r="H133" s="3">
        <f>IFERROR(__xludf.DUMMYFUNCTION("""COMPUTED_VALUE"""),1.128826)</f>
        <v>1.128826</v>
      </c>
      <c r="I133" s="3">
        <f>IFERROR(__xludf.DUMMYFUNCTION("""COMPUTED_VALUE"""),1.884401)</f>
        <v>1.884401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IFERROR(__xludf.DUMMYFUNCTION("""COMPUTED_VALUE"""),21653.760149)</f>
        <v>21653.76015</v>
      </c>
      <c r="C134" s="3">
        <f>IFERROR(__xludf.DUMMYFUNCTION("""COMPUTED_VALUE"""),1718.862165)</f>
        <v>1718.862165</v>
      </c>
      <c r="D134" s="3">
        <f>IFERROR(__xludf.DUMMYFUNCTION("""COMPUTED_VALUE"""),34.683081)</f>
        <v>34.683081</v>
      </c>
      <c r="E134" s="3">
        <f>IFERROR(__xludf.DUMMYFUNCTION("""COMPUTED_VALUE"""),91.183871)</f>
        <v>91.183871</v>
      </c>
      <c r="F134" s="3">
        <f>IFERROR(__xludf.DUMMYFUNCTION("""COMPUTED_VALUE"""),6.507156)</f>
        <v>6.507156</v>
      </c>
      <c r="G134" s="3">
        <f>IFERROR(__xludf.DUMMYFUNCTION("""COMPUTED_VALUE"""),779.9773)</f>
        <v>779.9773</v>
      </c>
      <c r="H134" s="3">
        <f>IFERROR(__xludf.DUMMYFUNCTION("""COMPUTED_VALUE"""),1.20462)</f>
        <v>1.20462</v>
      </c>
      <c r="I134" s="3">
        <f>IFERROR(__xludf.DUMMYFUNCTION("""COMPUTED_VALUE"""),2.044631)</f>
        <v>2.044631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IFERROR(__xludf.DUMMYFUNCTION("""COMPUTED_VALUE"""),21811.996291)</f>
        <v>21811.99629</v>
      </c>
      <c r="C135" s="3">
        <f>IFERROR(__xludf.DUMMYFUNCTION("""COMPUTED_VALUE"""),1774.8769)</f>
        <v>1774.8769</v>
      </c>
      <c r="D135" s="3">
        <f>IFERROR(__xludf.DUMMYFUNCTION("""COMPUTED_VALUE"""),35.05807)</f>
        <v>35.05807</v>
      </c>
      <c r="E135" s="3">
        <f>IFERROR(__xludf.DUMMYFUNCTION("""COMPUTED_VALUE"""),92.74011)</f>
        <v>92.74011</v>
      </c>
      <c r="F135" s="3">
        <f>IFERROR(__xludf.DUMMYFUNCTION("""COMPUTED_VALUE"""),6.679381)</f>
        <v>6.679381</v>
      </c>
      <c r="G135" s="3">
        <f>IFERROR(__xludf.DUMMYFUNCTION("""COMPUTED_VALUE"""),764.980997)</f>
        <v>764.980997</v>
      </c>
      <c r="H135" s="3">
        <f>IFERROR(__xludf.DUMMYFUNCTION("""COMPUTED_VALUE"""),1.244362)</f>
        <v>1.244362</v>
      </c>
      <c r="I135" s="3">
        <f>IFERROR(__xludf.DUMMYFUNCTION("""COMPUTED_VALUE"""),2.119407)</f>
        <v>2.119407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IFERROR(__xludf.DUMMYFUNCTION("""COMPUTED_VALUE"""),22408.398452)</f>
        <v>22408.39845</v>
      </c>
      <c r="C136" s="3">
        <f>IFERROR(__xludf.DUMMYFUNCTION("""COMPUTED_VALUE"""),1766.718859)</f>
        <v>1766.718859</v>
      </c>
      <c r="D136" s="3">
        <f>IFERROR(__xludf.DUMMYFUNCTION("""COMPUTED_VALUE"""),34.996368)</f>
        <v>34.996368</v>
      </c>
      <c r="E136" s="3">
        <f>IFERROR(__xludf.DUMMYFUNCTION("""COMPUTED_VALUE"""),91.542967)</f>
        <v>91.542967</v>
      </c>
      <c r="F136" s="3">
        <f>IFERROR(__xludf.DUMMYFUNCTION("""COMPUTED_VALUE"""),6.490423)</f>
        <v>6.490423</v>
      </c>
      <c r="G136" s="3">
        <f>IFERROR(__xludf.DUMMYFUNCTION("""COMPUTED_VALUE"""),753.805194)</f>
        <v>753.805194</v>
      </c>
      <c r="H136" s="3">
        <f>IFERROR(__xludf.DUMMYFUNCTION("""COMPUTED_VALUE"""),1.182846)</f>
        <v>1.182846</v>
      </c>
      <c r="I136" s="3">
        <f>IFERROR(__xludf.DUMMYFUNCTION("""COMPUTED_VALUE"""),2.088062)</f>
        <v>2.088062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IFERROR(__xludf.DUMMYFUNCTION("""COMPUTED_VALUE"""),20174.420634)</f>
        <v>20174.42063</v>
      </c>
      <c r="C137" s="3">
        <f>IFERROR(__xludf.DUMMYFUNCTION("""COMPUTED_VALUE"""),1716.670272)</f>
        <v>1716.670272</v>
      </c>
      <c r="D137" s="3">
        <f>IFERROR(__xludf.DUMMYFUNCTION("""COMPUTED_VALUE"""),37.446481)</f>
        <v>37.446481</v>
      </c>
      <c r="E137" s="3">
        <f>IFERROR(__xludf.DUMMYFUNCTION("""COMPUTED_VALUE"""),91.050483)</f>
        <v>91.050483</v>
      </c>
      <c r="F137" s="3">
        <f>IFERROR(__xludf.DUMMYFUNCTION("""COMPUTED_VALUE"""),6.659445)</f>
        <v>6.659445</v>
      </c>
      <c r="G137" s="3">
        <f>IFERROR(__xludf.DUMMYFUNCTION("""COMPUTED_VALUE"""),737.184599)</f>
        <v>737.184599</v>
      </c>
      <c r="H137" s="3">
        <f>IFERROR(__xludf.DUMMYFUNCTION("""COMPUTED_VALUE"""),1.143112)</f>
        <v>1.143112</v>
      </c>
      <c r="I137" s="3">
        <f>IFERROR(__xludf.DUMMYFUNCTION("""COMPUTED_VALUE"""),1.981231)</f>
        <v>1.981231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IFERROR(__xludf.DUMMYFUNCTION("""COMPUTED_VALUE"""),20229.930361)</f>
        <v>20229.93036</v>
      </c>
      <c r="C138" s="3">
        <f>IFERROR(__xludf.DUMMYFUNCTION("""COMPUTED_VALUE"""),1574.28213)</f>
        <v>1574.28213</v>
      </c>
      <c r="D138" s="3">
        <f>IFERROR(__xludf.DUMMYFUNCTION("""COMPUTED_VALUE"""),32.992148)</f>
        <v>32.992148</v>
      </c>
      <c r="E138" s="3">
        <f>IFERROR(__xludf.DUMMYFUNCTION("""COMPUTED_VALUE"""),82.947613)</f>
        <v>82.947613</v>
      </c>
      <c r="F138" s="3">
        <f>IFERROR(__xludf.DUMMYFUNCTION("""COMPUTED_VALUE"""),6.035812)</f>
        <v>6.035812</v>
      </c>
      <c r="G138" s="3">
        <f>IFERROR(__xludf.DUMMYFUNCTION("""COMPUTED_VALUE"""),695.321552)</f>
        <v>695.321552</v>
      </c>
      <c r="H138" s="3">
        <f>IFERROR(__xludf.DUMMYFUNCTION("""COMPUTED_VALUE"""),1.052023)</f>
        <v>1.052023</v>
      </c>
      <c r="I138" s="3">
        <f>IFERROR(__xludf.DUMMYFUNCTION("""COMPUTED_VALUE"""),1.790695)</f>
        <v>1.790695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IFERROR(__xludf.DUMMYFUNCTION("""COMPUTED_VALUE"""),19699.733299)</f>
        <v>19699.7333</v>
      </c>
      <c r="C139" s="3">
        <f>IFERROR(__xludf.DUMMYFUNCTION("""COMPUTED_VALUE"""),1638.419504)</f>
        <v>1638.419504</v>
      </c>
      <c r="D139" s="3">
        <f>IFERROR(__xludf.DUMMYFUNCTION("""COMPUTED_VALUE"""),34.123853)</f>
        <v>34.123853</v>
      </c>
      <c r="E139" s="3">
        <f>IFERROR(__xludf.DUMMYFUNCTION("""COMPUTED_VALUE"""),83.681054)</f>
        <v>83.681054</v>
      </c>
      <c r="F139" s="3">
        <f>IFERROR(__xludf.DUMMYFUNCTION("""COMPUTED_VALUE"""),6.178736)</f>
        <v>6.178736</v>
      </c>
      <c r="G139" s="3">
        <f>IFERROR(__xludf.DUMMYFUNCTION("""COMPUTED_VALUE"""),701.211482)</f>
        <v>701.211482</v>
      </c>
      <c r="H139" s="3">
        <f>IFERROR(__xludf.DUMMYFUNCTION("""COMPUTED_VALUE"""),1.070252)</f>
        <v>1.070252</v>
      </c>
      <c r="I139" s="3">
        <f>IFERROR(__xludf.DUMMYFUNCTION("""COMPUTED_VALUE"""),1.810638)</f>
        <v>1.810638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IFERROR(__xludf.DUMMYFUNCTION("""COMPUTED_VALUE"""),19802.653694)</f>
        <v>19802.65369</v>
      </c>
      <c r="C140" s="3">
        <f>IFERROR(__xludf.DUMMYFUNCTION("""COMPUTED_VALUE"""),1472.746217)</f>
        <v>1472.746217</v>
      </c>
      <c r="D140" s="3">
        <f>IFERROR(__xludf.DUMMYFUNCTION("""COMPUTED_VALUE"""),33.076746)</f>
        <v>33.076746</v>
      </c>
      <c r="E140" s="3">
        <f>IFERROR(__xludf.DUMMYFUNCTION("""COMPUTED_VALUE"""),78.543687)</f>
        <v>78.543687</v>
      </c>
      <c r="F140" s="3">
        <f>IFERROR(__xludf.DUMMYFUNCTION("""COMPUTED_VALUE"""),5.889071)</f>
        <v>5.889071</v>
      </c>
      <c r="G140" s="3">
        <f>IFERROR(__xludf.DUMMYFUNCTION("""COMPUTED_VALUE"""),659.799783)</f>
        <v>659.799783</v>
      </c>
      <c r="H140" s="3">
        <f>IFERROR(__xludf.DUMMYFUNCTION("""COMPUTED_VALUE"""),1.053306)</f>
        <v>1.053306</v>
      </c>
      <c r="I140" s="3">
        <f>IFERROR(__xludf.DUMMYFUNCTION("""COMPUTED_VALUE"""),1.700788)</f>
        <v>1.700788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IFERROR(__xludf.DUMMYFUNCTION("""COMPUTED_VALUE"""),20077.097755)</f>
        <v>20077.09776</v>
      </c>
      <c r="C141" s="3">
        <f>IFERROR(__xludf.DUMMYFUNCTION("""COMPUTED_VALUE"""),1433.809024)</f>
        <v>1433.809024</v>
      </c>
      <c r="D141" s="3">
        <f>IFERROR(__xludf.DUMMYFUNCTION("""COMPUTED_VALUE"""),32.246361)</f>
        <v>32.246361</v>
      </c>
      <c r="E141" s="3">
        <f>IFERROR(__xludf.DUMMYFUNCTION("""COMPUTED_VALUE"""),79.371301)</f>
        <v>79.371301</v>
      </c>
      <c r="F141" s="3">
        <f>IFERROR(__xludf.DUMMYFUNCTION("""COMPUTED_VALUE"""),5.82076)</f>
        <v>5.82076</v>
      </c>
      <c r="G141" s="3">
        <f>IFERROR(__xludf.DUMMYFUNCTION("""COMPUTED_VALUE"""),669.338617)</f>
        <v>669.338617</v>
      </c>
      <c r="H141" s="3">
        <f>IFERROR(__xludf.DUMMYFUNCTION("""COMPUTED_VALUE"""),1.058759)</f>
        <v>1.058759</v>
      </c>
      <c r="I141" s="3">
        <f>IFERROR(__xludf.DUMMYFUNCTION("""COMPUTED_VALUE"""),1.778309)</f>
        <v>1.778309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IFERROR(__xludf.DUMMYFUNCTION("""COMPUTED_VALUE"""),19417.642511)</f>
        <v>19417.64251</v>
      </c>
      <c r="C142" s="3">
        <f>IFERROR(__xludf.DUMMYFUNCTION("""COMPUTED_VALUE"""),1469.050335)</f>
        <v>1469.050335</v>
      </c>
      <c r="D142" s="3">
        <f>IFERROR(__xludf.DUMMYFUNCTION("""COMPUTED_VALUE"""),33.700365)</f>
        <v>33.700365</v>
      </c>
      <c r="E142" s="3">
        <f>IFERROR(__xludf.DUMMYFUNCTION("""COMPUTED_VALUE"""),81.403371)</f>
        <v>81.403371</v>
      </c>
      <c r="F142" s="3">
        <f>IFERROR(__xludf.DUMMYFUNCTION("""COMPUTED_VALUE"""),6.016193)</f>
        <v>6.016193</v>
      </c>
      <c r="G142" s="3">
        <f>IFERROR(__xludf.DUMMYFUNCTION("""COMPUTED_VALUE"""),686.441226)</f>
        <v>686.441226</v>
      </c>
      <c r="H142" s="3">
        <f>IFERROR(__xludf.DUMMYFUNCTION("""COMPUTED_VALUE"""),1.083228)</f>
        <v>1.083228</v>
      </c>
      <c r="I142" s="3">
        <f>IFERROR(__xludf.DUMMYFUNCTION("""COMPUTED_VALUE"""),1.900844)</f>
        <v>1.900844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IFERROR(__xludf.DUMMYFUNCTION("""COMPUTED_VALUE"""),19539.306484)</f>
        <v>19539.30648</v>
      </c>
      <c r="C143" s="3">
        <f>IFERROR(__xludf.DUMMYFUNCTION("""COMPUTED_VALUE"""),1334.689932)</f>
        <v>1334.689932</v>
      </c>
      <c r="D143" s="3">
        <f>IFERROR(__xludf.DUMMYFUNCTION("""COMPUTED_VALUE"""),31.099861)</f>
        <v>31.099861</v>
      </c>
      <c r="E143" s="3">
        <f>IFERROR(__xludf.DUMMYFUNCTION("""COMPUTED_VALUE"""),73.060545)</f>
        <v>73.060545</v>
      </c>
      <c r="F143" s="3">
        <f>IFERROR(__xludf.DUMMYFUNCTION("""COMPUTED_VALUE"""),5.466205)</f>
        <v>5.466205</v>
      </c>
      <c r="G143" s="3">
        <f>IFERROR(__xludf.DUMMYFUNCTION("""COMPUTED_VALUE"""),632.964893)</f>
        <v>632.964893</v>
      </c>
      <c r="H143" s="3">
        <f>IFERROR(__xludf.DUMMYFUNCTION("""COMPUTED_VALUE"""),0.934896)</f>
        <v>0.934896</v>
      </c>
      <c r="I143" s="3">
        <f>IFERROR(__xludf.DUMMYFUNCTION("""COMPUTED_VALUE"""),1.697008)</f>
        <v>1.697008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IFERROR(__xludf.DUMMYFUNCTION("""COMPUTED_VALUE"""),18875.418495)</f>
        <v>18875.4185</v>
      </c>
      <c r="C144" s="3">
        <f>IFERROR(__xludf.DUMMYFUNCTION("""COMPUTED_VALUE"""),1376.130253)</f>
        <v>1376.130253</v>
      </c>
      <c r="D144" s="3">
        <f>IFERROR(__xludf.DUMMYFUNCTION("""COMPUTED_VALUE"""),32.639838)</f>
        <v>32.639838</v>
      </c>
      <c r="E144" s="3">
        <f>IFERROR(__xludf.DUMMYFUNCTION("""COMPUTED_VALUE"""),76.389237)</f>
        <v>76.389237</v>
      </c>
      <c r="F144" s="3">
        <f>IFERROR(__xludf.DUMMYFUNCTION("""COMPUTED_VALUE"""),5.479943)</f>
        <v>5.479943</v>
      </c>
      <c r="G144" s="3">
        <f>IFERROR(__xludf.DUMMYFUNCTION("""COMPUTED_VALUE"""),628.304849)</f>
        <v>628.304849</v>
      </c>
      <c r="H144" s="3">
        <f>IFERROR(__xludf.DUMMYFUNCTION("""COMPUTED_VALUE"""),0.982449)</f>
        <v>0.982449</v>
      </c>
      <c r="I144" s="3">
        <f>IFERROR(__xludf.DUMMYFUNCTION("""COMPUTED_VALUE"""),1.810499)</f>
        <v>1.810499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IFERROR(__xludf.DUMMYFUNCTION("""COMPUTED_VALUE"""),18460.623307)</f>
        <v>18460.62331</v>
      </c>
      <c r="C145" s="3">
        <f>IFERROR(__xludf.DUMMYFUNCTION("""COMPUTED_VALUE"""),1323.002436)</f>
        <v>1323.002436</v>
      </c>
      <c r="D145" s="3">
        <f>IFERROR(__xludf.DUMMYFUNCTION("""COMPUTED_VALUE"""),31.431021)</f>
        <v>31.431021</v>
      </c>
      <c r="E145" s="3">
        <f>IFERROR(__xludf.DUMMYFUNCTION("""COMPUTED_VALUE"""),74.035436)</f>
        <v>74.035436</v>
      </c>
      <c r="F145" s="3">
        <f>IFERROR(__xludf.DUMMYFUNCTION("""COMPUTED_VALUE"""),5.296895)</f>
        <v>5.296895</v>
      </c>
      <c r="G145" s="3">
        <f>IFERROR(__xludf.DUMMYFUNCTION("""COMPUTED_VALUE"""),609.543116)</f>
        <v>609.543116</v>
      </c>
      <c r="H145" s="3">
        <f>IFERROR(__xludf.DUMMYFUNCTION("""COMPUTED_VALUE"""),0.944435)</f>
        <v>0.944435</v>
      </c>
      <c r="I145" s="3">
        <f>IFERROR(__xludf.DUMMYFUNCTION("""COMPUTED_VALUE"""),1.79194)</f>
        <v>1.79194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IFERROR(__xludf.DUMMYFUNCTION("""COMPUTED_VALUE"""),19395.519989)</f>
        <v>19395.51999</v>
      </c>
      <c r="C146" s="3">
        <f>IFERROR(__xludf.DUMMYFUNCTION("""COMPUTED_VALUE"""),1245.737138)</f>
        <v>1245.737138</v>
      </c>
      <c r="D146" s="3">
        <f>IFERROR(__xludf.DUMMYFUNCTION("""COMPUTED_VALUE"""),30.656684)</f>
        <v>30.656684</v>
      </c>
      <c r="E146" s="3">
        <f>IFERROR(__xludf.DUMMYFUNCTION("""COMPUTED_VALUE"""),71.602362)</f>
        <v>71.602362</v>
      </c>
      <c r="F146" s="3">
        <f>IFERROR(__xludf.DUMMYFUNCTION("""COMPUTED_VALUE"""),5.336488)</f>
        <v>5.336488</v>
      </c>
      <c r="G146" s="3">
        <f>IFERROR(__xludf.DUMMYFUNCTION("""COMPUTED_VALUE"""),591.040825)</f>
        <v>591.040825</v>
      </c>
      <c r="H146" s="3">
        <f>IFERROR(__xludf.DUMMYFUNCTION("""COMPUTED_VALUE"""),0.862011)</f>
        <v>0.862011</v>
      </c>
      <c r="I146" s="3">
        <f>IFERROR(__xludf.DUMMYFUNCTION("""COMPUTED_VALUE"""),1.819692)</f>
        <v>1.819692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IFERROR(__xludf.DUMMYFUNCTION("""COMPUTED_VALUE"""),19290.05845)</f>
        <v>19290.05845</v>
      </c>
      <c r="C147" s="3">
        <f>IFERROR(__xludf.DUMMYFUNCTION("""COMPUTED_VALUE"""),1326.442765)</f>
        <v>1326.442765</v>
      </c>
      <c r="D147" s="3">
        <f>IFERROR(__xludf.DUMMYFUNCTION("""COMPUTED_VALUE"""),32.42101)</f>
        <v>32.42101</v>
      </c>
      <c r="E147" s="3">
        <f>IFERROR(__xludf.DUMMYFUNCTION("""COMPUTED_VALUE"""),76.704591)</f>
        <v>76.704591</v>
      </c>
      <c r="F147" s="3">
        <f>IFERROR(__xludf.DUMMYFUNCTION("""COMPUTED_VALUE"""),5.732318)</f>
        <v>5.732318</v>
      </c>
      <c r="G147" s="3">
        <f>IFERROR(__xludf.DUMMYFUNCTION("""COMPUTED_VALUE"""),649.326139)</f>
        <v>649.326139</v>
      </c>
      <c r="H147" s="3">
        <f>IFERROR(__xludf.DUMMYFUNCTION("""COMPUTED_VALUE"""),0.916354)</f>
        <v>0.916354</v>
      </c>
      <c r="I147" s="3">
        <f>IFERROR(__xludf.DUMMYFUNCTION("""COMPUTED_VALUE"""),1.795037)</f>
        <v>1.795037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IFERROR(__xludf.DUMMYFUNCTION("""COMPUTED_VALUE"""),18924.18215)</f>
        <v>18924.18215</v>
      </c>
      <c r="C148" s="3">
        <f>IFERROR(__xludf.DUMMYFUNCTION("""COMPUTED_VALUE"""),1327.327508)</f>
        <v>1327.327508</v>
      </c>
      <c r="D148" s="3">
        <f>IFERROR(__xludf.DUMMYFUNCTION("""COMPUTED_VALUE"""),33.682108)</f>
        <v>33.682108</v>
      </c>
      <c r="E148" s="3">
        <f>IFERROR(__xludf.DUMMYFUNCTION("""COMPUTED_VALUE"""),77.062006)</f>
        <v>77.062006</v>
      </c>
      <c r="F148" s="3">
        <f>IFERROR(__xludf.DUMMYFUNCTION("""COMPUTED_VALUE"""),5.916344)</f>
        <v>5.916344</v>
      </c>
      <c r="G148" s="3">
        <f>IFERROR(__xludf.DUMMYFUNCTION("""COMPUTED_VALUE"""),671.596707)</f>
        <v>671.596707</v>
      </c>
      <c r="H148" s="3">
        <f>IFERROR(__xludf.DUMMYFUNCTION("""COMPUTED_VALUE"""),0.943261)</f>
        <v>0.943261</v>
      </c>
      <c r="I148" s="3">
        <f>IFERROR(__xludf.DUMMYFUNCTION("""COMPUTED_VALUE"""),1.753455)</f>
        <v>1.753455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IFERROR(__xludf.DUMMYFUNCTION("""COMPUTED_VALUE"""),18802.882431)</f>
        <v>18802.88243</v>
      </c>
      <c r="C149" s="3">
        <f>IFERROR(__xludf.DUMMYFUNCTION("""COMPUTED_VALUE"""),1317.342898)</f>
        <v>1317.342898</v>
      </c>
      <c r="D149" s="3">
        <f>IFERROR(__xludf.DUMMYFUNCTION("""COMPUTED_VALUE"""),33.390998)</f>
        <v>33.390998</v>
      </c>
      <c r="E149" s="3">
        <f>IFERROR(__xludf.DUMMYFUNCTION("""COMPUTED_VALUE"""),74.962434)</f>
        <v>74.962434</v>
      </c>
      <c r="F149" s="3">
        <f>IFERROR(__xludf.DUMMYFUNCTION("""COMPUTED_VALUE"""),5.797094)</f>
        <v>5.797094</v>
      </c>
      <c r="G149" s="3">
        <f>IFERROR(__xludf.DUMMYFUNCTION("""COMPUTED_VALUE"""),679.973916)</f>
        <v>679.973916</v>
      </c>
      <c r="H149" s="3">
        <f>IFERROR(__xludf.DUMMYFUNCTION("""COMPUTED_VALUE"""),0.92001)</f>
        <v>0.92001</v>
      </c>
      <c r="I149" s="3">
        <f>IFERROR(__xludf.DUMMYFUNCTION("""COMPUTED_VALUE"""),1.689893)</f>
        <v>1.689893</v>
      </c>
    </row>
    <row r="150">
      <c r="A150" s="3"/>
      <c r="B150" s="3"/>
      <c r="C150" s="3"/>
      <c r="D150" s="3"/>
      <c r="E150" s="3"/>
      <c r="F150" s="3"/>
      <c r="G150" s="3"/>
      <c r="H150" s="3"/>
      <c r="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>
      <c r="A2" s="2" t="str">
        <f>IFERROR(__xludf.DUMMYFUNCTION("QUERY({btc_supply!A2:B1000,ARRAYFORMULA(IFERROR(VLOOKUP(btc_supply!A2:A1000,eth_supply!$A:B,2,0),"""")),ARRAYFORMULA(IFERROR(VLOOKUP(btc_supply!A2:A1000,sol_supply!$A:B,2,0),"""")),ARRAYFORMULA(IFERROR(VLOOKUP(btc_supply!A2:A1000,aave_supply!$A:B,2,0),"""&amp;""")),ARRAYFORMULA(IFERROR(VLOOKUP(btc_supply!A2:A1000,uni_supply!$A:B,2,0),"""")),ARRAYFORMULA(IFERROR(VLOOKUP(btc_supply!A2:A1000,mkr_supply!$A:B,2,0),"""")),ARRAYFORMULA(IFERROR(VLOOKUP(btc_supply!A2:A1000,crv_supply!$A:B,2,0),"""")),ARRAYFORMULA(IFERRO"&amp;"R(VLOOKUP(btc_supply!A2:A1000,ldo_supply!$A:B,2,0),""""))}, ""SELECT *"",0)"),"2022-05-01T00:00:00Z")</f>
        <v>2022-05-01T00:00:00Z</v>
      </c>
      <c r="B2" s="3">
        <f>IFERROR(__xludf.DUMMYFUNCTION("""COMPUTED_VALUE"""),1.9026893E7)</f>
        <v>19026893</v>
      </c>
      <c r="C2" s="3">
        <f>IFERROR(__xludf.DUMMYFUNCTION("""COMPUTED_VALUE"""),1.205945631865E8)</f>
        <v>120594563.2</v>
      </c>
      <c r="D2" s="3">
        <f>IFERROR(__xludf.DUMMYFUNCTION("""COMPUTED_VALUE"""),3.34402950832301E8)</f>
        <v>334402950.8</v>
      </c>
      <c r="E2" s="3">
        <f>IFERROR(__xludf.DUMMYFUNCTION("""COMPUTED_VALUE"""),1.3699944191652E7)</f>
        <v>13699944.19</v>
      </c>
      <c r="F2" s="3">
        <f>IFERROR(__xludf.DUMMYFUNCTION("""COMPUTED_VALUE"""),4.56489583401055E8)</f>
        <v>456489583.4</v>
      </c>
      <c r="G2" s="3">
        <f>IFERROR(__xludf.DUMMYFUNCTION("""COMPUTED_VALUE"""),977631.036951)</f>
        <v>977631.037</v>
      </c>
      <c r="H2" s="3">
        <f>IFERROR(__xludf.DUMMYFUNCTION("""COMPUTED_VALUE"""),3.91958099393145E8)</f>
        <v>391958099.4</v>
      </c>
      <c r="I2" s="3">
        <f>IFERROR(__xludf.DUMMYFUNCTION("""COMPUTED_VALUE"""),3.23667143120765E8)</f>
        <v>323667143.1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IFERROR(__xludf.DUMMYFUNCTION("""COMPUTED_VALUE"""),1.9027918E7)</f>
        <v>19027918</v>
      </c>
      <c r="C3" s="3">
        <f>IFERROR(__xludf.DUMMYFUNCTION("""COMPUTED_VALUE"""),1.20607954874E8)</f>
        <v>120607954.9</v>
      </c>
      <c r="D3" s="3">
        <f>IFERROR(__xludf.DUMMYFUNCTION("""COMPUTED_VALUE"""),3.34217568911091E8)</f>
        <v>334217568.9</v>
      </c>
      <c r="E3" s="3">
        <f>IFERROR(__xludf.DUMMYFUNCTION("""COMPUTED_VALUE"""),1.3702598419827E7)</f>
        <v>13702598.42</v>
      </c>
      <c r="F3" s="3">
        <f>IFERROR(__xludf.DUMMYFUNCTION("""COMPUTED_VALUE"""),4.56489583401055E8)</f>
        <v>456489583.4</v>
      </c>
      <c r="G3" s="3">
        <f>IFERROR(__xludf.DUMMYFUNCTION("""COMPUTED_VALUE"""),977631.036951)</f>
        <v>977631.037</v>
      </c>
      <c r="H3" s="3">
        <f>IFERROR(__xludf.DUMMYFUNCTION("""COMPUTED_VALUE"""),3.91958099393145E8)</f>
        <v>391958099.4</v>
      </c>
      <c r="I3" s="3">
        <f>IFERROR(__xludf.DUMMYFUNCTION("""COMPUTED_VALUE"""),3.25398035982286E8)</f>
        <v>325398036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IFERROR(__xludf.DUMMYFUNCTION("""COMPUTED_VALUE"""),1.90289E7)</f>
        <v>19028900</v>
      </c>
      <c r="C4" s="3">
        <f>IFERROR(__xludf.DUMMYFUNCTION("""COMPUTED_VALUE"""),1.206211748115E8)</f>
        <v>120621174.8</v>
      </c>
      <c r="D4" s="3">
        <f>IFERROR(__xludf.DUMMYFUNCTION("""COMPUTED_VALUE"""),3.34216954880957E8)</f>
        <v>334216954.9</v>
      </c>
      <c r="E4" s="3">
        <f>IFERROR(__xludf.DUMMYFUNCTION("""COMPUTED_VALUE"""),1.3703063093253E7)</f>
        <v>13703063.09</v>
      </c>
      <c r="F4" s="3">
        <f>IFERROR(__xludf.DUMMYFUNCTION("""COMPUTED_VALUE"""),4.56489583401055E8)</f>
        <v>456489583.4</v>
      </c>
      <c r="G4" s="3">
        <f>IFERROR(__xludf.DUMMYFUNCTION("""COMPUTED_VALUE"""),977631.036951)</f>
        <v>977631.037</v>
      </c>
      <c r="H4" s="3">
        <f>IFERROR(__xludf.DUMMYFUNCTION("""COMPUTED_VALUE"""),3.91958099393145E8)</f>
        <v>391958099.4</v>
      </c>
      <c r="I4" s="3">
        <f>IFERROR(__xludf.DUMMYFUNCTION("""COMPUTED_VALUE"""),3.27140111453602E8)</f>
        <v>327140111.5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IFERROR(__xludf.DUMMYFUNCTION("""COMPUTED_VALUE"""),1.9029856E7)</f>
        <v>19029856</v>
      </c>
      <c r="C5" s="3">
        <f>IFERROR(__xludf.DUMMYFUNCTION("""COMPUTED_VALUE"""),1.20634544874E8)</f>
        <v>120634544.9</v>
      </c>
      <c r="D5" s="3">
        <f>IFERROR(__xludf.DUMMYFUNCTION("""COMPUTED_VALUE"""),3.34216322704552E8)</f>
        <v>334216322.7</v>
      </c>
      <c r="E5" s="3">
        <f>IFERROR(__xludf.DUMMYFUNCTION("""COMPUTED_VALUE"""),1.3703543949879E7)</f>
        <v>13703543.95</v>
      </c>
      <c r="F5" s="3">
        <f>IFERROR(__xludf.DUMMYFUNCTION("""COMPUTED_VALUE"""),4.56489583401055E8)</f>
        <v>456489583.4</v>
      </c>
      <c r="G5" s="3">
        <f>IFERROR(__xludf.DUMMYFUNCTION("""COMPUTED_VALUE"""),977631.036951)</f>
        <v>977631.037</v>
      </c>
      <c r="H5" s="3">
        <f>IFERROR(__xludf.DUMMYFUNCTION("""COMPUTED_VALUE"""),3.91958099393145E8)</f>
        <v>391958099.4</v>
      </c>
      <c r="I5" s="3">
        <f>IFERROR(__xludf.DUMMYFUNCTION("""COMPUTED_VALUE"""),3.28886561437474E8)</f>
        <v>328886561.4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IFERROR(__xludf.DUMMYFUNCTION("""COMPUTED_VALUE"""),1.9030793E7)</f>
        <v>19030793</v>
      </c>
      <c r="C6" s="3">
        <f>IFERROR(__xludf.DUMMYFUNCTION("""COMPUTED_VALUE"""),1.206476778115E8)</f>
        <v>120647677.8</v>
      </c>
      <c r="D6" s="3">
        <f>IFERROR(__xludf.DUMMYFUNCTION("""COMPUTED_VALUE"""),3.34349395044966E8)</f>
        <v>334349395</v>
      </c>
      <c r="E6" s="3">
        <f>IFERROR(__xludf.DUMMYFUNCTION("""COMPUTED_VALUE"""),1.3703786958541E7)</f>
        <v>13703786.96</v>
      </c>
      <c r="F6" s="3">
        <f>IFERROR(__xludf.DUMMYFUNCTION("""COMPUTED_VALUE"""),4.56489583401055E8)</f>
        <v>456489583.4</v>
      </c>
      <c r="G6" s="3">
        <f>IFERROR(__xludf.DUMMYFUNCTION("""COMPUTED_VALUE"""),977631.036951)</f>
        <v>977631.037</v>
      </c>
      <c r="H6" s="3">
        <f>IFERROR(__xludf.DUMMYFUNCTION("""COMPUTED_VALUE"""),3.91958099393145E8)</f>
        <v>391958099.4</v>
      </c>
      <c r="I6" s="3">
        <f>IFERROR(__xludf.DUMMYFUNCTION("""COMPUTED_VALUE"""),3.30810316501725E8)</f>
        <v>330810316.5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IFERROR(__xludf.DUMMYFUNCTION("""COMPUTED_VALUE"""),1.9031731E7)</f>
        <v>19031731</v>
      </c>
      <c r="C7" s="3">
        <f>IFERROR(__xludf.DUMMYFUNCTION("""COMPUTED_VALUE"""),1.20660870499E8)</f>
        <v>120660870.5</v>
      </c>
      <c r="D7" s="3">
        <f>IFERROR(__xludf.DUMMYFUNCTION("""COMPUTED_VALUE"""),3.34692901090017E8)</f>
        <v>334692901.1</v>
      </c>
      <c r="E7" s="3">
        <f>IFERROR(__xludf.DUMMYFUNCTION("""COMPUTED_VALUE"""),1.3703982686233E7)</f>
        <v>13703982.69</v>
      </c>
      <c r="F7" s="3">
        <f>IFERROR(__xludf.DUMMYFUNCTION("""COMPUTED_VALUE"""),4.56489583401055E8)</f>
        <v>456489583.4</v>
      </c>
      <c r="G7" s="3">
        <f>IFERROR(__xludf.DUMMYFUNCTION("""COMPUTED_VALUE"""),977631.036951)</f>
        <v>977631.037</v>
      </c>
      <c r="H7" s="3">
        <f>IFERROR(__xludf.DUMMYFUNCTION("""COMPUTED_VALUE"""),3.91958099393145E8)</f>
        <v>391958099.4</v>
      </c>
      <c r="I7" s="3">
        <f>IFERROR(__xludf.DUMMYFUNCTION("""COMPUTED_VALUE"""),3.33581977275003E8)</f>
        <v>333581977.3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IFERROR(__xludf.DUMMYFUNCTION("""COMPUTED_VALUE"""),1.9032637E7)</f>
        <v>19032637</v>
      </c>
      <c r="C8" s="3">
        <f>IFERROR(__xludf.DUMMYFUNCTION("""COMPUTED_VALUE"""),1.20674081999E8)</f>
        <v>120674082</v>
      </c>
      <c r="D8" s="3">
        <f>IFERROR(__xludf.DUMMYFUNCTION("""COMPUTED_VALUE"""),3.35187502413829E8)</f>
        <v>335187502.4</v>
      </c>
      <c r="E8" s="3">
        <f>IFERROR(__xludf.DUMMYFUNCTION("""COMPUTED_VALUE"""),1.3712569481324E7)</f>
        <v>13712569.48</v>
      </c>
      <c r="F8" s="3">
        <f>IFERROR(__xludf.DUMMYFUNCTION("""COMPUTED_VALUE"""),4.56489583401055E8)</f>
        <v>456489583.4</v>
      </c>
      <c r="G8" s="3">
        <f>IFERROR(__xludf.DUMMYFUNCTION("""COMPUTED_VALUE"""),977631.036951)</f>
        <v>977631.037</v>
      </c>
      <c r="H8" s="3">
        <f>IFERROR(__xludf.DUMMYFUNCTION("""COMPUTED_VALUE"""),3.91958099393145E8)</f>
        <v>391958099.4</v>
      </c>
      <c r="I8" s="3">
        <f>IFERROR(__xludf.DUMMYFUNCTION("""COMPUTED_VALUE"""),3.35566914514167E8)</f>
        <v>335566914.5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IFERROR(__xludf.DUMMYFUNCTION("""COMPUTED_VALUE"""),1.9033587E7)</f>
        <v>19033587</v>
      </c>
      <c r="C9" s="3">
        <f>IFERROR(__xludf.DUMMYFUNCTION("""COMPUTED_VALUE"""),1.206873133115E8)</f>
        <v>120687313.3</v>
      </c>
      <c r="D9" s="3">
        <f>IFERROR(__xludf.DUMMYFUNCTION("""COMPUTED_VALUE"""),3.3532070372447E8)</f>
        <v>335320703.7</v>
      </c>
      <c r="E9" s="3">
        <f>IFERROR(__xludf.DUMMYFUNCTION("""COMPUTED_VALUE"""),1.3713001881858E7)</f>
        <v>13713001.88</v>
      </c>
      <c r="F9" s="3">
        <f>IFERROR(__xludf.DUMMYFUNCTION("""COMPUTED_VALUE"""),4.56489583401055E8)</f>
        <v>456489583.4</v>
      </c>
      <c r="G9" s="3">
        <f>IFERROR(__xludf.DUMMYFUNCTION("""COMPUTED_VALUE"""),977631.036951)</f>
        <v>977631.037</v>
      </c>
      <c r="H9" s="3">
        <f>IFERROR(__xludf.DUMMYFUNCTION("""COMPUTED_VALUE"""),3.91958099393145E8)</f>
        <v>391958099.4</v>
      </c>
      <c r="I9" s="3">
        <f>IFERROR(__xludf.DUMMYFUNCTION("""COMPUTED_VALUE"""),3.37571704306176E8)</f>
        <v>337571704.3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IFERROR(__xludf.DUMMYFUNCTION("""COMPUTED_VALUE"""),1.9034531E7)</f>
        <v>19034531</v>
      </c>
      <c r="C10" s="3">
        <f>IFERROR(__xludf.DUMMYFUNCTION("""COMPUTED_VALUE"""),1.207006439365E8)</f>
        <v>120700643.9</v>
      </c>
      <c r="D10" s="3">
        <f>IFERROR(__xludf.DUMMYFUNCTION("""COMPUTED_VALUE"""),3.3662252721018E8)</f>
        <v>336622527.2</v>
      </c>
      <c r="E10" s="3">
        <f>IFERROR(__xludf.DUMMYFUNCTION("""COMPUTED_VALUE"""),1.3713208650376E7)</f>
        <v>13713208.65</v>
      </c>
      <c r="F10" s="3">
        <f>IFERROR(__xludf.DUMMYFUNCTION("""COMPUTED_VALUE"""),4.56489583401055E8)</f>
        <v>456489583.4</v>
      </c>
      <c r="G10" s="3">
        <f>IFERROR(__xludf.DUMMYFUNCTION("""COMPUTED_VALUE"""),977631.036951)</f>
        <v>977631.037</v>
      </c>
      <c r="H10" s="3">
        <f>IFERROR(__xludf.DUMMYFUNCTION("""COMPUTED_VALUE"""),3.91958099393145E8)</f>
        <v>391958099.4</v>
      </c>
      <c r="I10" s="3">
        <f>IFERROR(__xludf.DUMMYFUNCTION("""COMPUTED_VALUE"""),3.4139207134602E8)</f>
        <v>341392071.3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IFERROR(__xludf.DUMMYFUNCTION("""COMPUTED_VALUE"""),1.9035475E7)</f>
        <v>19035475</v>
      </c>
      <c r="C11" s="3">
        <f>IFERROR(__xludf.DUMMYFUNCTION("""COMPUTED_VALUE"""),1.207137464365E8)</f>
        <v>120713746.4</v>
      </c>
      <c r="D11" s="3">
        <f>IFERROR(__xludf.DUMMYFUNCTION("""COMPUTED_VALUE"""),3.36624435979203E8)</f>
        <v>336624436</v>
      </c>
      <c r="E11" s="3">
        <f>IFERROR(__xludf.DUMMYFUNCTION("""COMPUTED_VALUE"""),1.371334374639E7)</f>
        <v>13713343.75</v>
      </c>
      <c r="F11" s="3">
        <f>IFERROR(__xludf.DUMMYFUNCTION("""COMPUTED_VALUE"""),4.56489583401055E8)</f>
        <v>456489583.4</v>
      </c>
      <c r="G11" s="3">
        <f>IFERROR(__xludf.DUMMYFUNCTION("""COMPUTED_VALUE"""),977631.036951)</f>
        <v>977631.037</v>
      </c>
      <c r="H11" s="3">
        <f>IFERROR(__xludf.DUMMYFUNCTION("""COMPUTED_VALUE"""),3.91958099393145E8)</f>
        <v>391958099.4</v>
      </c>
      <c r="I11" s="3">
        <f>IFERROR(__xludf.DUMMYFUNCTION("""COMPUTED_VALUE"""),3.43402802113043E8)</f>
        <v>343402802.1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IFERROR(__xludf.DUMMYFUNCTION("""COMPUTED_VALUE"""),1.9036431E7)</f>
        <v>19036431</v>
      </c>
      <c r="C12" s="3">
        <f>IFERROR(__xludf.DUMMYFUNCTION("""COMPUTED_VALUE"""),1.207269569365E8)</f>
        <v>120726956.9</v>
      </c>
      <c r="D12" s="3">
        <f>IFERROR(__xludf.DUMMYFUNCTION("""COMPUTED_VALUE"""),3.36790329791671E8)</f>
        <v>336790329.8</v>
      </c>
      <c r="E12" s="3">
        <f>IFERROR(__xludf.DUMMYFUNCTION("""COMPUTED_VALUE"""),1.3714930715086E7)</f>
        <v>13714930.72</v>
      </c>
      <c r="F12" s="3">
        <f>IFERROR(__xludf.DUMMYFUNCTION("""COMPUTED_VALUE"""),4.56489583401055E8)</f>
        <v>456489583.4</v>
      </c>
      <c r="G12" s="3">
        <f>IFERROR(__xludf.DUMMYFUNCTION("""COMPUTED_VALUE"""),977631.036951)</f>
        <v>977631.037</v>
      </c>
      <c r="H12" s="3">
        <f>IFERROR(__xludf.DUMMYFUNCTION("""COMPUTED_VALUE"""),3.91958099393145E8)</f>
        <v>391958099.4</v>
      </c>
      <c r="I12" s="3">
        <f>IFERROR(__xludf.DUMMYFUNCTION("""COMPUTED_VALUE"""),3.45225666768197E8)</f>
        <v>345225666.8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IFERROR(__xludf.DUMMYFUNCTION("""COMPUTED_VALUE"""),1.90373E7)</f>
        <v>19037300</v>
      </c>
      <c r="C13" s="3">
        <f>IFERROR(__xludf.DUMMYFUNCTION("""COMPUTED_VALUE"""),1.207402584365E8)</f>
        <v>120740258.4</v>
      </c>
      <c r="D13" s="3">
        <f>IFERROR(__xludf.DUMMYFUNCTION("""COMPUTED_VALUE"""),3.36923515205963E8)</f>
        <v>336923515.2</v>
      </c>
      <c r="E13" s="3">
        <f>IFERROR(__xludf.DUMMYFUNCTION("""COMPUTED_VALUE"""),1.3715328309443E7)</f>
        <v>13715328.31</v>
      </c>
      <c r="F13" s="3">
        <f>IFERROR(__xludf.DUMMYFUNCTION("""COMPUTED_VALUE"""),4.56489583401055E8)</f>
        <v>456489583.4</v>
      </c>
      <c r="G13" s="3">
        <f>IFERROR(__xludf.DUMMYFUNCTION("""COMPUTED_VALUE"""),977631.036951)</f>
        <v>977631.037</v>
      </c>
      <c r="H13" s="3">
        <f>IFERROR(__xludf.DUMMYFUNCTION("""COMPUTED_VALUE"""),3.91958099393145E8)</f>
        <v>391958099.4</v>
      </c>
      <c r="I13" s="3">
        <f>IFERROR(__xludf.DUMMYFUNCTION("""COMPUTED_VALUE"""),3.48427636567224E8)</f>
        <v>348427636.6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IFERROR(__xludf.DUMMYFUNCTION("""COMPUTED_VALUE"""),1.9038212E7)</f>
        <v>19038212</v>
      </c>
      <c r="C14" s="3">
        <f>IFERROR(__xludf.DUMMYFUNCTION("""COMPUTED_VALUE"""),1.207533685615E8)</f>
        <v>120753368.6</v>
      </c>
      <c r="D14" s="3">
        <f>IFERROR(__xludf.DUMMYFUNCTION("""COMPUTED_VALUE"""),3.37322385199212E8)</f>
        <v>337322385.2</v>
      </c>
      <c r="E14" s="3">
        <f>IFERROR(__xludf.DUMMYFUNCTION("""COMPUTED_VALUE"""),1.3715598184228E7)</f>
        <v>13715598.18</v>
      </c>
      <c r="F14" s="3">
        <f>IFERROR(__xludf.DUMMYFUNCTION("""COMPUTED_VALUE"""),4.56489583401055E8)</f>
        <v>456489583.4</v>
      </c>
      <c r="G14" s="3">
        <f>IFERROR(__xludf.DUMMYFUNCTION("""COMPUTED_VALUE"""),977631.036951)</f>
        <v>977631.037</v>
      </c>
      <c r="H14" s="3">
        <f>IFERROR(__xludf.DUMMYFUNCTION("""COMPUTED_VALUE"""),3.91958099393145E8)</f>
        <v>391958099.4</v>
      </c>
      <c r="I14" s="3">
        <f>IFERROR(__xludf.DUMMYFUNCTION("""COMPUTED_VALUE"""),3.5044231741231E8)</f>
        <v>350442317.4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IFERROR(__xludf.DUMMYFUNCTION("""COMPUTED_VALUE"""),1.9039137E7)</f>
        <v>19039137</v>
      </c>
      <c r="C15" s="3">
        <f>IFERROR(__xludf.DUMMYFUNCTION("""COMPUTED_VALUE"""),1.207667391865E8)</f>
        <v>120766739.2</v>
      </c>
      <c r="D15" s="3">
        <f>IFERROR(__xludf.DUMMYFUNCTION("""COMPUTED_VALUE"""),3.37321867830181E8)</f>
        <v>337321867.8</v>
      </c>
      <c r="E15" s="3">
        <f>IFERROR(__xludf.DUMMYFUNCTION("""COMPUTED_VALUE"""),1.3715737491974E7)</f>
        <v>13715737.49</v>
      </c>
      <c r="F15" s="3">
        <f>IFERROR(__xludf.DUMMYFUNCTION("""COMPUTED_VALUE"""),4.56489583401055E8)</f>
        <v>456489583.4</v>
      </c>
      <c r="G15" s="3">
        <f>IFERROR(__xludf.DUMMYFUNCTION("""COMPUTED_VALUE"""),977631.036951)</f>
        <v>977631.037</v>
      </c>
      <c r="H15" s="3">
        <f>IFERROR(__xludf.DUMMYFUNCTION("""COMPUTED_VALUE"""),3.91958099393145E8)</f>
        <v>391958099.4</v>
      </c>
      <c r="I15" s="3">
        <f>IFERROR(__xludf.DUMMYFUNCTION("""COMPUTED_VALUE"""),3.52459564016687E8)</f>
        <v>352459564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IFERROR(__xludf.DUMMYFUNCTION("""COMPUTED_VALUE"""),1.904005E7)</f>
        <v>19040050</v>
      </c>
      <c r="C16" s="3">
        <f>IFERROR(__xludf.DUMMYFUNCTION("""COMPUTED_VALUE"""),1.20779757749E8)</f>
        <v>120779757.7</v>
      </c>
      <c r="D16" s="3">
        <f>IFERROR(__xludf.DUMMYFUNCTION("""COMPUTED_VALUE"""),3.37461534198941E8)</f>
        <v>337461534.2</v>
      </c>
      <c r="E16" s="3">
        <f>IFERROR(__xludf.DUMMYFUNCTION("""COMPUTED_VALUE"""),1.3715854964589E7)</f>
        <v>13715854.96</v>
      </c>
      <c r="F16" s="3">
        <f>IFERROR(__xludf.DUMMYFUNCTION("""COMPUTED_VALUE"""),4.56489583401055E8)</f>
        <v>456489583.4</v>
      </c>
      <c r="G16" s="3">
        <f>IFERROR(__xludf.DUMMYFUNCTION("""COMPUTED_VALUE"""),977631.036951)</f>
        <v>977631.037</v>
      </c>
      <c r="H16" s="3">
        <f>IFERROR(__xludf.DUMMYFUNCTION("""COMPUTED_VALUE"""),3.91958099393145E8)</f>
        <v>391958099.4</v>
      </c>
      <c r="I16" s="3">
        <f>IFERROR(__xludf.DUMMYFUNCTION("""COMPUTED_VALUE"""),3.54959106881959E8)</f>
        <v>354959106.9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IFERROR(__xludf.DUMMYFUNCTION("""COMPUTED_VALUE"""),1.9040806E7)</f>
        <v>19040806</v>
      </c>
      <c r="C17" s="3">
        <f>IFERROR(__xludf.DUMMYFUNCTION("""COMPUTED_VALUE"""),1.20793055374E8)</f>
        <v>120793055.4</v>
      </c>
      <c r="D17" s="3">
        <f>IFERROR(__xludf.DUMMYFUNCTION("""COMPUTED_VALUE"""),3.37138695885813E8)</f>
        <v>337138695.9</v>
      </c>
      <c r="E17" s="3">
        <f>IFERROR(__xludf.DUMMYFUNCTION("""COMPUTED_VALUE"""),1.3738607957077E7)</f>
        <v>13738607.96</v>
      </c>
      <c r="F17" s="3">
        <f>IFERROR(__xludf.DUMMYFUNCTION("""COMPUTED_VALUE"""),4.56489583401055E8)</f>
        <v>456489583.4</v>
      </c>
      <c r="G17" s="3">
        <f>IFERROR(__xludf.DUMMYFUNCTION("""COMPUTED_VALUE"""),977631.036951)</f>
        <v>977631.037</v>
      </c>
      <c r="H17" s="3">
        <f>IFERROR(__xludf.DUMMYFUNCTION("""COMPUTED_VALUE"""),3.91958099393145E8)</f>
        <v>391958099.4</v>
      </c>
      <c r="I17" s="3">
        <f>IFERROR(__xludf.DUMMYFUNCTION("""COMPUTED_VALUE"""),3.57658354316487E8)</f>
        <v>357658354.3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IFERROR(__xludf.DUMMYFUNCTION("""COMPUTED_VALUE"""),1.9041787E7)</f>
        <v>19041787</v>
      </c>
      <c r="C18" s="3">
        <f>IFERROR(__xludf.DUMMYFUNCTION("""COMPUTED_VALUE"""),1.20806222749E8)</f>
        <v>120806222.7</v>
      </c>
      <c r="D18" s="3">
        <f>IFERROR(__xludf.DUMMYFUNCTION("""COMPUTED_VALUE"""),3.373560188054E8)</f>
        <v>337356018.8</v>
      </c>
      <c r="E18" s="3">
        <f>IFERROR(__xludf.DUMMYFUNCTION("""COMPUTED_VALUE"""),1.3739134444061E7)</f>
        <v>13739134.44</v>
      </c>
      <c r="F18" s="3">
        <f>IFERROR(__xludf.DUMMYFUNCTION("""COMPUTED_VALUE"""),4.56489583401055E8)</f>
        <v>456489583.4</v>
      </c>
      <c r="G18" s="3">
        <f>IFERROR(__xludf.DUMMYFUNCTION("""COMPUTED_VALUE"""),977631.036951)</f>
        <v>977631.037</v>
      </c>
      <c r="H18" s="3">
        <f>IFERROR(__xludf.DUMMYFUNCTION("""COMPUTED_VALUE"""),3.91958099393145E8)</f>
        <v>391958099.4</v>
      </c>
      <c r="I18" s="3">
        <f>IFERROR(__xludf.DUMMYFUNCTION("""COMPUTED_VALUE"""),3.59687636664445E8)</f>
        <v>359687636.7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IFERROR(__xludf.DUMMYFUNCTION("""COMPUTED_VALUE"""),1.9042731E7)</f>
        <v>19042731</v>
      </c>
      <c r="C19" s="3">
        <f>IFERROR(__xludf.DUMMYFUNCTION("""COMPUTED_VALUE"""),1.20819479624E8)</f>
        <v>120819479.6</v>
      </c>
      <c r="D19" s="3">
        <f>IFERROR(__xludf.DUMMYFUNCTION("""COMPUTED_VALUE"""),3.37355559704819E8)</f>
        <v>337355559.7</v>
      </c>
      <c r="E19" s="3">
        <f>IFERROR(__xludf.DUMMYFUNCTION("""COMPUTED_VALUE"""),1.3739430663771E7)</f>
        <v>13739430.66</v>
      </c>
      <c r="F19" s="3">
        <f>IFERROR(__xludf.DUMMYFUNCTION("""COMPUTED_VALUE"""),4.56489583401055E8)</f>
        <v>456489583.4</v>
      </c>
      <c r="G19" s="3">
        <f>IFERROR(__xludf.DUMMYFUNCTION("""COMPUTED_VALUE"""),977631.036951)</f>
        <v>977631.037</v>
      </c>
      <c r="H19" s="3">
        <f>IFERROR(__xludf.DUMMYFUNCTION("""COMPUTED_VALUE"""),3.91958099393145E8)</f>
        <v>391958099.4</v>
      </c>
      <c r="I19" s="3">
        <f>IFERROR(__xludf.DUMMYFUNCTION("""COMPUTED_VALUE"""),3.61672823841227E8)</f>
        <v>361672823.8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IFERROR(__xludf.DUMMYFUNCTION("""COMPUTED_VALUE"""),1.9043568E7)</f>
        <v>19043568</v>
      </c>
      <c r="C20" s="3">
        <f>IFERROR(__xludf.DUMMYFUNCTION("""COMPUTED_VALUE"""),1.20832757624E8)</f>
        <v>120832757.6</v>
      </c>
      <c r="D20" s="3">
        <f>IFERROR(__xludf.DUMMYFUNCTION("""COMPUTED_VALUE"""),3.39137479377852E8)</f>
        <v>339137479.4</v>
      </c>
      <c r="E20" s="3">
        <f>IFERROR(__xludf.DUMMYFUNCTION("""COMPUTED_VALUE"""),1.3739777975918E7)</f>
        <v>13739777.98</v>
      </c>
      <c r="F20" s="3">
        <f>IFERROR(__xludf.DUMMYFUNCTION("""COMPUTED_VALUE"""),4.56489583401055E8)</f>
        <v>456489583.4</v>
      </c>
      <c r="G20" s="3">
        <f>IFERROR(__xludf.DUMMYFUNCTION("""COMPUTED_VALUE"""),977631.036951)</f>
        <v>977631.037</v>
      </c>
      <c r="H20" s="3">
        <f>IFERROR(__xludf.DUMMYFUNCTION("""COMPUTED_VALUE"""),3.91958099393145E8)</f>
        <v>391958099.4</v>
      </c>
      <c r="I20" s="3">
        <f>IFERROR(__xludf.DUMMYFUNCTION("""COMPUTED_VALUE"""),3.6422477697328E8)</f>
        <v>364224777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IFERROR(__xludf.DUMMYFUNCTION("""COMPUTED_VALUE"""),1.9044331E7)</f>
        <v>19044331</v>
      </c>
      <c r="C21" s="3">
        <f>IFERROR(__xludf.DUMMYFUNCTION("""COMPUTED_VALUE"""),1.208455558115E8)</f>
        <v>120845555.8</v>
      </c>
      <c r="D21" s="3">
        <f>IFERROR(__xludf.DUMMYFUNCTION("""COMPUTED_VALUE"""),3.39137093231842E8)</f>
        <v>339137093.2</v>
      </c>
      <c r="E21" s="3">
        <f>IFERROR(__xludf.DUMMYFUNCTION("""COMPUTED_VALUE"""),1.3740264570167E7)</f>
        <v>13740264.57</v>
      </c>
      <c r="F21" s="3">
        <f>IFERROR(__xludf.DUMMYFUNCTION("""COMPUTED_VALUE"""),4.56489583401055E8)</f>
        <v>456489583.4</v>
      </c>
      <c r="G21" s="3">
        <f>IFERROR(__xludf.DUMMYFUNCTION("""COMPUTED_VALUE"""),977631.036951)</f>
        <v>977631.037</v>
      </c>
      <c r="H21" s="3">
        <f>IFERROR(__xludf.DUMMYFUNCTION("""COMPUTED_VALUE"""),3.91958099393145E8)</f>
        <v>391958099.4</v>
      </c>
      <c r="I21" s="3">
        <f>IFERROR(__xludf.DUMMYFUNCTION("""COMPUTED_VALUE"""),3.68216096518682E8)</f>
        <v>368216096.5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IFERROR(__xludf.DUMMYFUNCTION("""COMPUTED_VALUE"""),1.9045131E7)</f>
        <v>19045131</v>
      </c>
      <c r="C22" s="3">
        <f>IFERROR(__xludf.DUMMYFUNCTION("""COMPUTED_VALUE"""),1.208584165615E8)</f>
        <v>120858416.6</v>
      </c>
      <c r="D22" s="3">
        <f>IFERROR(__xludf.DUMMYFUNCTION("""COMPUTED_VALUE"""),3.39136570131434E8)</f>
        <v>339136570.1</v>
      </c>
      <c r="E22" s="3">
        <f>IFERROR(__xludf.DUMMYFUNCTION("""COMPUTED_VALUE"""),1.3740382806348E7)</f>
        <v>13740382.81</v>
      </c>
      <c r="F22" s="3">
        <f>IFERROR(__xludf.DUMMYFUNCTION("""COMPUTED_VALUE"""),4.56489583401055E8)</f>
        <v>456489583.4</v>
      </c>
      <c r="G22" s="3">
        <f>IFERROR(__xludf.DUMMYFUNCTION("""COMPUTED_VALUE"""),977631.036951)</f>
        <v>977631.037</v>
      </c>
      <c r="H22" s="3">
        <f>IFERROR(__xludf.DUMMYFUNCTION("""COMPUTED_VALUE"""),3.91958099393145E8)</f>
        <v>391958099.4</v>
      </c>
      <c r="I22" s="3">
        <f>IFERROR(__xludf.DUMMYFUNCTION("""COMPUTED_VALUE"""),3.70220011593175E8)</f>
        <v>370220011.6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IFERROR(__xludf.DUMMYFUNCTION("""COMPUTED_VALUE"""),1.9045987E7)</f>
        <v>19045987</v>
      </c>
      <c r="C23" s="3">
        <f>IFERROR(__xludf.DUMMYFUNCTION("""COMPUTED_VALUE"""),1.208712695615E8)</f>
        <v>120871269.6</v>
      </c>
      <c r="D23" s="3">
        <f>IFERROR(__xludf.DUMMYFUNCTION("""COMPUTED_VALUE"""),3.39268583956003E8)</f>
        <v>339268584</v>
      </c>
      <c r="E23" s="3">
        <f>IFERROR(__xludf.DUMMYFUNCTION("""COMPUTED_VALUE"""),1.374057886971E7)</f>
        <v>13740578.87</v>
      </c>
      <c r="F23" s="3">
        <f>IFERROR(__xludf.DUMMYFUNCTION("""COMPUTED_VALUE"""),4.56489583401055E8)</f>
        <v>456489583.4</v>
      </c>
      <c r="G23" s="3">
        <f>IFERROR(__xludf.DUMMYFUNCTION("""COMPUTED_VALUE"""),977631.036951)</f>
        <v>977631.037</v>
      </c>
      <c r="H23" s="3">
        <f>IFERROR(__xludf.DUMMYFUNCTION("""COMPUTED_VALUE"""),3.91958099393145E8)</f>
        <v>391958099.4</v>
      </c>
      <c r="I23" s="3">
        <f>IFERROR(__xludf.DUMMYFUNCTION("""COMPUTED_VALUE"""),3.72285401488625E8)</f>
        <v>372285401.5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IFERROR(__xludf.DUMMYFUNCTION("""COMPUTED_VALUE"""),1.9046768E7)</f>
        <v>19046768</v>
      </c>
      <c r="C24" s="3">
        <f>IFERROR(__xludf.DUMMYFUNCTION("""COMPUTED_VALUE"""),1.208841323115E8)</f>
        <v>120884132.3</v>
      </c>
      <c r="D24" s="3">
        <f>IFERROR(__xludf.DUMMYFUNCTION("""COMPUTED_VALUE"""),3.3926810843665E8)</f>
        <v>339268108.4</v>
      </c>
      <c r="E24" s="3">
        <f>IFERROR(__xludf.DUMMYFUNCTION("""COMPUTED_VALUE"""),1.3741188314339E7)</f>
        <v>13741188.31</v>
      </c>
      <c r="F24" s="3">
        <f>IFERROR(__xludf.DUMMYFUNCTION("""COMPUTED_VALUE"""),4.56489583401055E8)</f>
        <v>456489583.4</v>
      </c>
      <c r="G24" s="3">
        <f>IFERROR(__xludf.DUMMYFUNCTION("""COMPUTED_VALUE"""),977631.036951)</f>
        <v>977631.037</v>
      </c>
      <c r="H24" s="3">
        <f>IFERROR(__xludf.DUMMYFUNCTION("""COMPUTED_VALUE"""),3.91958099393145E8)</f>
        <v>391958099.4</v>
      </c>
      <c r="I24" s="3">
        <f>IFERROR(__xludf.DUMMYFUNCTION("""COMPUTED_VALUE"""),3.74313692753636E8)</f>
        <v>374313692.8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IFERROR(__xludf.DUMMYFUNCTION("""COMPUTED_VALUE"""),1.904775E7)</f>
        <v>19047750</v>
      </c>
      <c r="C25" s="3">
        <f>IFERROR(__xludf.DUMMYFUNCTION("""COMPUTED_VALUE"""),1.208970743115E8)</f>
        <v>120897074.3</v>
      </c>
      <c r="D25" s="3">
        <f>IFERROR(__xludf.DUMMYFUNCTION("""COMPUTED_VALUE"""),3.39268323124079E8)</f>
        <v>339268323.1</v>
      </c>
      <c r="E25" s="3">
        <f>IFERROR(__xludf.DUMMYFUNCTION("""COMPUTED_VALUE"""),1.3741518392489E7)</f>
        <v>13741518.39</v>
      </c>
      <c r="F25" s="3">
        <f>IFERROR(__xludf.DUMMYFUNCTION("""COMPUTED_VALUE"""),4.56489583401055E8)</f>
        <v>456489583.4</v>
      </c>
      <c r="G25" s="3">
        <f>IFERROR(__xludf.DUMMYFUNCTION("""COMPUTED_VALUE"""),977631.036951)</f>
        <v>977631.037</v>
      </c>
      <c r="H25" s="3">
        <f>IFERROR(__xludf.DUMMYFUNCTION("""COMPUTED_VALUE"""),3.91958099393145E8)</f>
        <v>391958099.4</v>
      </c>
      <c r="I25" s="3">
        <f>IFERROR(__xludf.DUMMYFUNCTION("""COMPUTED_VALUE"""),3.76316694534736E8)</f>
        <v>376316694.5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IFERROR(__xludf.DUMMYFUNCTION("""COMPUTED_VALUE"""),1.9048525E7)</f>
        <v>19048525</v>
      </c>
      <c r="C26" s="3">
        <f>IFERROR(__xludf.DUMMYFUNCTION("""COMPUTED_VALUE"""),1.20909903999E8)</f>
        <v>120909904</v>
      </c>
      <c r="D26" s="3">
        <f>IFERROR(__xludf.DUMMYFUNCTION("""COMPUTED_VALUE"""),3.39267951926586E8)</f>
        <v>339267951.9</v>
      </c>
      <c r="E26" s="3">
        <f>IFERROR(__xludf.DUMMYFUNCTION("""COMPUTED_VALUE"""),1.38678387261E7)</f>
        <v>13867838.73</v>
      </c>
      <c r="F26" s="3">
        <f>IFERROR(__xludf.DUMMYFUNCTION("""COMPUTED_VALUE"""),4.56489583401055E8)</f>
        <v>456489583.4</v>
      </c>
      <c r="G26" s="3">
        <f>IFERROR(__xludf.DUMMYFUNCTION("""COMPUTED_VALUE"""),977631.036951)</f>
        <v>977631.037</v>
      </c>
      <c r="H26" s="3">
        <f>IFERROR(__xludf.DUMMYFUNCTION("""COMPUTED_VALUE"""),3.91958099393145E8)</f>
        <v>391958099.4</v>
      </c>
      <c r="I26" s="3">
        <f>IFERROR(__xludf.DUMMYFUNCTION("""COMPUTED_VALUE"""),3.78332294398226E8)</f>
        <v>378332294.4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IFERROR(__xludf.DUMMYFUNCTION("""COMPUTED_VALUE"""),1.90494E7)</f>
        <v>19049400</v>
      </c>
      <c r="C27" s="3">
        <f>IFERROR(__xludf.DUMMYFUNCTION("""COMPUTED_VALUE"""),1.20922857999E8)</f>
        <v>120922858</v>
      </c>
      <c r="D27" s="3">
        <f>IFERROR(__xludf.DUMMYFUNCTION("""COMPUTED_VALUE"""),3.39399154402711E8)</f>
        <v>339399154.4</v>
      </c>
      <c r="E27" s="3">
        <f>IFERROR(__xludf.DUMMYFUNCTION("""COMPUTED_VALUE"""),1.3868266051267E7)</f>
        <v>13868266.05</v>
      </c>
      <c r="F27" s="3">
        <f>IFERROR(__xludf.DUMMYFUNCTION("""COMPUTED_VALUE"""),4.56489583401055E8)</f>
        <v>456489583.4</v>
      </c>
      <c r="G27" s="3">
        <f>IFERROR(__xludf.DUMMYFUNCTION("""COMPUTED_VALUE"""),977631.036951)</f>
        <v>977631.037</v>
      </c>
      <c r="H27" s="3">
        <f>IFERROR(__xludf.DUMMYFUNCTION("""COMPUTED_VALUE"""),3.91958099393145E8)</f>
        <v>391958099.4</v>
      </c>
      <c r="I27" s="3">
        <f>IFERROR(__xludf.DUMMYFUNCTION("""COMPUTED_VALUE"""),3.80346611123695E8)</f>
        <v>380346611.1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IFERROR(__xludf.DUMMYFUNCTION("""COMPUTED_VALUE"""),1.905025E7)</f>
        <v>19050250</v>
      </c>
      <c r="C28" s="3">
        <f>IFERROR(__xludf.DUMMYFUNCTION("""COMPUTED_VALUE"""),1.20935665624E8)</f>
        <v>120935665.6</v>
      </c>
      <c r="D28" s="3">
        <f>IFERROR(__xludf.DUMMYFUNCTION("""COMPUTED_VALUE"""),3.39398777635019E8)</f>
        <v>339398777.6</v>
      </c>
      <c r="E28" s="3">
        <f>IFERROR(__xludf.DUMMYFUNCTION("""COMPUTED_VALUE"""),1.3868450653964E7)</f>
        <v>13868450.65</v>
      </c>
      <c r="F28" s="3">
        <f>IFERROR(__xludf.DUMMYFUNCTION("""COMPUTED_VALUE"""),4.56489583401055E8)</f>
        <v>456489583.4</v>
      </c>
      <c r="G28" s="3">
        <f>IFERROR(__xludf.DUMMYFUNCTION("""COMPUTED_VALUE"""),977631.036951)</f>
        <v>977631.037</v>
      </c>
      <c r="H28" s="3">
        <f>IFERROR(__xludf.DUMMYFUNCTION("""COMPUTED_VALUE"""),3.91958099393145E8)</f>
        <v>391958099.4</v>
      </c>
      <c r="I28" s="3">
        <f>IFERROR(__xludf.DUMMYFUNCTION("""COMPUTED_VALUE"""),3.82363377476296E8)</f>
        <v>382363377.5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IFERROR(__xludf.DUMMYFUNCTION("""COMPUTED_VALUE"""),1.905115E7)</f>
        <v>19051150</v>
      </c>
      <c r="C29" s="3">
        <f>IFERROR(__xludf.DUMMYFUNCTION("""COMPUTED_VALUE"""),1.209486384365E8)</f>
        <v>120948638.4</v>
      </c>
      <c r="D29" s="3">
        <f>IFERROR(__xludf.DUMMYFUNCTION("""COMPUTED_VALUE"""),3.39398371088557E8)</f>
        <v>339398371.1</v>
      </c>
      <c r="E29" s="3">
        <f>IFERROR(__xludf.DUMMYFUNCTION("""COMPUTED_VALUE"""),1.3868571145333E7)</f>
        <v>13868571.15</v>
      </c>
      <c r="F29" s="3">
        <f>IFERROR(__xludf.DUMMYFUNCTION("""COMPUTED_VALUE"""),4.56489583401055E8)</f>
        <v>456489583.4</v>
      </c>
      <c r="G29" s="3">
        <f>IFERROR(__xludf.DUMMYFUNCTION("""COMPUTED_VALUE"""),977631.036951)</f>
        <v>977631.037</v>
      </c>
      <c r="H29" s="3">
        <f>IFERROR(__xludf.DUMMYFUNCTION("""COMPUTED_VALUE"""),3.91958099393145E8)</f>
        <v>391958099.4</v>
      </c>
      <c r="I29" s="3">
        <f>IFERROR(__xludf.DUMMYFUNCTION("""COMPUTED_VALUE"""),3.84392391964556E8)</f>
        <v>384392392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IFERROR(__xludf.DUMMYFUNCTION("""COMPUTED_VALUE"""),1.9052093E7)</f>
        <v>19052093</v>
      </c>
      <c r="C30" s="3">
        <f>IFERROR(__xludf.DUMMYFUNCTION("""COMPUTED_VALUE"""),1.209615156865E8)</f>
        <v>120961515.7</v>
      </c>
      <c r="D30" s="3">
        <f>IFERROR(__xludf.DUMMYFUNCTION("""COMPUTED_VALUE"""),3.39530156782251E8)</f>
        <v>339530156.8</v>
      </c>
      <c r="E30" s="3">
        <f>IFERROR(__xludf.DUMMYFUNCTION("""COMPUTED_VALUE"""),1.3868703616022E7)</f>
        <v>13868703.62</v>
      </c>
      <c r="F30" s="3">
        <f>IFERROR(__xludf.DUMMYFUNCTION("""COMPUTED_VALUE"""),4.56489583401055E8)</f>
        <v>456489583.4</v>
      </c>
      <c r="G30" s="3">
        <f>IFERROR(__xludf.DUMMYFUNCTION("""COMPUTED_VALUE"""),977631.036951)</f>
        <v>977631.037</v>
      </c>
      <c r="H30" s="3">
        <f>IFERROR(__xludf.DUMMYFUNCTION("""COMPUTED_VALUE"""),3.91958099393145E8)</f>
        <v>391958099.4</v>
      </c>
      <c r="I30" s="3">
        <f>IFERROR(__xludf.DUMMYFUNCTION("""COMPUTED_VALUE"""),3.86395277096744E8)</f>
        <v>386395277.1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IFERROR(__xludf.DUMMYFUNCTION("""COMPUTED_VALUE"""),1.9053031E7)</f>
        <v>19053031</v>
      </c>
      <c r="C31" s="3">
        <f>IFERROR(__xludf.DUMMYFUNCTION("""COMPUTED_VALUE"""),1.209744000615E8)</f>
        <v>120974400.1</v>
      </c>
      <c r="D31" s="3">
        <f>IFERROR(__xludf.DUMMYFUNCTION("""COMPUTED_VALUE"""),3.39529760749404E8)</f>
        <v>339529760.7</v>
      </c>
      <c r="E31" s="3">
        <f>IFERROR(__xludf.DUMMYFUNCTION("""COMPUTED_VALUE"""),1.3869745501634E7)</f>
        <v>13869745.5</v>
      </c>
      <c r="F31" s="3">
        <f>IFERROR(__xludf.DUMMYFUNCTION("""COMPUTED_VALUE"""),4.56489583401055E8)</f>
        <v>456489583.4</v>
      </c>
      <c r="G31" s="3">
        <f>IFERROR(__xludf.DUMMYFUNCTION("""COMPUTED_VALUE"""),977631.036951)</f>
        <v>977631.037</v>
      </c>
      <c r="H31" s="3">
        <f>IFERROR(__xludf.DUMMYFUNCTION("""COMPUTED_VALUE"""),3.91958099393145E8)</f>
        <v>391958099.4</v>
      </c>
      <c r="I31" s="3">
        <f>IFERROR(__xludf.DUMMYFUNCTION("""COMPUTED_VALUE"""),3.89242670896532E8)</f>
        <v>389242670.9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IFERROR(__xludf.DUMMYFUNCTION("""COMPUTED_VALUE"""),1.9053962E7)</f>
        <v>19053962</v>
      </c>
      <c r="C32" s="3">
        <f>IFERROR(__xludf.DUMMYFUNCTION("""COMPUTED_VALUE"""),1.209872555615E8)</f>
        <v>120987255.6</v>
      </c>
      <c r="D32" s="3">
        <f>IFERROR(__xludf.DUMMYFUNCTION("""COMPUTED_VALUE"""),3.39529350680469E8)</f>
        <v>339529350.7</v>
      </c>
      <c r="E32" s="3">
        <f>IFERROR(__xludf.DUMMYFUNCTION("""COMPUTED_VALUE"""),1.388106468028E7)</f>
        <v>13881064.68</v>
      </c>
      <c r="F32" s="3">
        <f>IFERROR(__xludf.DUMMYFUNCTION("""COMPUTED_VALUE"""),4.56489583401055E8)</f>
        <v>456489583.4</v>
      </c>
      <c r="G32" s="3">
        <f>IFERROR(__xludf.DUMMYFUNCTION("""COMPUTED_VALUE"""),977631.036951)</f>
        <v>977631.037</v>
      </c>
      <c r="H32" s="3">
        <f>IFERROR(__xludf.DUMMYFUNCTION("""COMPUTED_VALUE"""),3.91958099393145E8)</f>
        <v>391958099.4</v>
      </c>
      <c r="I32" s="3">
        <f>IFERROR(__xludf.DUMMYFUNCTION("""COMPUTED_VALUE"""),3.91270798853067E8)</f>
        <v>391270798.9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IFERROR(__xludf.DUMMYFUNCTION("""COMPUTED_VALUE"""),1.9054856E7)</f>
        <v>19054856</v>
      </c>
      <c r="C33" s="3">
        <f>IFERROR(__xludf.DUMMYFUNCTION("""COMPUTED_VALUE"""),1.210000684365E8)</f>
        <v>121000068.4</v>
      </c>
      <c r="D33" s="3">
        <f>IFERROR(__xludf.DUMMYFUNCTION("""COMPUTED_VALUE"""),3.39963394207574E8)</f>
        <v>339963394.2</v>
      </c>
      <c r="E33" s="3">
        <f>IFERROR(__xludf.DUMMYFUNCTION("""COMPUTED_VALUE"""),1.388131789986E7)</f>
        <v>13881317.9</v>
      </c>
      <c r="F33" s="3">
        <f>IFERROR(__xludf.DUMMYFUNCTION("""COMPUTED_VALUE"""),4.56489583401055E8)</f>
        <v>456489583.4</v>
      </c>
      <c r="G33" s="3">
        <f>IFERROR(__xludf.DUMMYFUNCTION("""COMPUTED_VALUE"""),977631.036951)</f>
        <v>977631.037</v>
      </c>
      <c r="H33" s="3">
        <f>IFERROR(__xludf.DUMMYFUNCTION("""COMPUTED_VALUE"""),3.91958099393145E8)</f>
        <v>391958099.4</v>
      </c>
      <c r="I33" s="3">
        <f>IFERROR(__xludf.DUMMYFUNCTION("""COMPUTED_VALUE"""),3.93275427506998E8)</f>
        <v>393275427.5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IFERROR(__xludf.DUMMYFUNCTION("""COMPUTED_VALUE"""),1.9055712E7)</f>
        <v>19055712</v>
      </c>
      <c r="C34" s="3">
        <f>IFERROR(__xludf.DUMMYFUNCTION("""COMPUTED_VALUE"""),1.21012928499E8)</f>
        <v>121012928.5</v>
      </c>
      <c r="D34" s="3">
        <f>IFERROR(__xludf.DUMMYFUNCTION("""COMPUTED_VALUE"""),3.3980775788494E8)</f>
        <v>339807757.9</v>
      </c>
      <c r="E34" s="3">
        <f>IFERROR(__xludf.DUMMYFUNCTION("""COMPUTED_VALUE"""),1.3882130317065E7)</f>
        <v>13882130.32</v>
      </c>
      <c r="F34" s="3">
        <f>IFERROR(__xludf.DUMMYFUNCTION("""COMPUTED_VALUE"""),4.56489583401055E8)</f>
        <v>456489583.4</v>
      </c>
      <c r="G34" s="3">
        <f>IFERROR(__xludf.DUMMYFUNCTION("""COMPUTED_VALUE"""),977631.036951)</f>
        <v>977631.037</v>
      </c>
      <c r="H34" s="3">
        <f>IFERROR(__xludf.DUMMYFUNCTION("""COMPUTED_VALUE"""),3.91958099393145E8)</f>
        <v>391958099.4</v>
      </c>
      <c r="I34" s="3">
        <f>IFERROR(__xludf.DUMMYFUNCTION("""COMPUTED_VALUE"""),3.95440770742884E8)</f>
        <v>395440770.7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IFERROR(__xludf.DUMMYFUNCTION("""COMPUTED_VALUE"""),1.9056493E7)</f>
        <v>19056493</v>
      </c>
      <c r="C35" s="3">
        <f>IFERROR(__xludf.DUMMYFUNCTION("""COMPUTED_VALUE"""),1.210257980615E8)</f>
        <v>121025798.1</v>
      </c>
      <c r="D35" s="3">
        <f>IFERROR(__xludf.DUMMYFUNCTION("""COMPUTED_VALUE"""),3.39807258701408E8)</f>
        <v>339807258.7</v>
      </c>
      <c r="E35" s="3">
        <f>IFERROR(__xludf.DUMMYFUNCTION("""COMPUTED_VALUE"""),1.3882270073301E7)</f>
        <v>13882270.07</v>
      </c>
      <c r="F35" s="3">
        <f>IFERROR(__xludf.DUMMYFUNCTION("""COMPUTED_VALUE"""),4.56489583401055E8)</f>
        <v>456489583.4</v>
      </c>
      <c r="G35" s="3">
        <f>IFERROR(__xludf.DUMMYFUNCTION("""COMPUTED_VALUE"""),977631.036951)</f>
        <v>977631.037</v>
      </c>
      <c r="H35" s="3">
        <f>IFERROR(__xludf.DUMMYFUNCTION("""COMPUTED_VALUE"""),3.91958099393145E8)</f>
        <v>391958099.4</v>
      </c>
      <c r="I35" s="3">
        <f>IFERROR(__xludf.DUMMYFUNCTION("""COMPUTED_VALUE"""),3.97485742802173E8)</f>
        <v>397485742.8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IFERROR(__xludf.DUMMYFUNCTION("""COMPUTED_VALUE"""),1.9057387E7)</f>
        <v>19057387</v>
      </c>
      <c r="C36" s="3">
        <f>IFERROR(__xludf.DUMMYFUNCTION("""COMPUTED_VALUE"""),1.21038693999E8)</f>
        <v>121038694</v>
      </c>
      <c r="D36" s="3">
        <f>IFERROR(__xludf.DUMMYFUNCTION("""COMPUTED_VALUE"""),3.3980670700542E8)</f>
        <v>339806707</v>
      </c>
      <c r="E36" s="3">
        <f>IFERROR(__xludf.DUMMYFUNCTION("""COMPUTED_VALUE"""),1.3882311792519E7)</f>
        <v>13882311.79</v>
      </c>
      <c r="F36" s="3">
        <f>IFERROR(__xludf.DUMMYFUNCTION("""COMPUTED_VALUE"""),4.56489583401055E8)</f>
        <v>456489583.4</v>
      </c>
      <c r="G36" s="3">
        <f>IFERROR(__xludf.DUMMYFUNCTION("""COMPUTED_VALUE"""),977631.036951)</f>
        <v>977631.037</v>
      </c>
      <c r="H36" s="3">
        <f>IFERROR(__xludf.DUMMYFUNCTION("""COMPUTED_VALUE"""),3.91958099393145E8)</f>
        <v>391958099.4</v>
      </c>
      <c r="I36" s="3">
        <f>IFERROR(__xludf.DUMMYFUNCTION("""COMPUTED_VALUE"""),3.99474093480047E8)</f>
        <v>399474093.5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IFERROR(__xludf.DUMMYFUNCTION("""COMPUTED_VALUE"""),1.9058293E7)</f>
        <v>19058293</v>
      </c>
      <c r="C37" s="3">
        <f>IFERROR(__xludf.DUMMYFUNCTION("""COMPUTED_VALUE"""),1.21051040624E8)</f>
        <v>121051040.6</v>
      </c>
      <c r="D37" s="3">
        <f>IFERROR(__xludf.DUMMYFUNCTION("""COMPUTED_VALUE"""),3.39806201253943E8)</f>
        <v>339806201.3</v>
      </c>
      <c r="E37" s="3">
        <f>IFERROR(__xludf.DUMMYFUNCTION("""COMPUTED_VALUE"""),1.3882529140867E7)</f>
        <v>13882529.14</v>
      </c>
      <c r="F37" s="3">
        <f>IFERROR(__xludf.DUMMYFUNCTION("""COMPUTED_VALUE"""),4.56489583401055E8)</f>
        <v>456489583.4</v>
      </c>
      <c r="G37" s="3">
        <f>IFERROR(__xludf.DUMMYFUNCTION("""COMPUTED_VALUE"""),977631.036951)</f>
        <v>977631.037</v>
      </c>
      <c r="H37" s="3">
        <f>IFERROR(__xludf.DUMMYFUNCTION("""COMPUTED_VALUE"""),3.91958099393145E8)</f>
        <v>391958099.4</v>
      </c>
      <c r="I37" s="3">
        <f>IFERROR(__xludf.DUMMYFUNCTION("""COMPUTED_VALUE"""),4.01488200237476E8)</f>
        <v>401488200.2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IFERROR(__xludf.DUMMYFUNCTION("""COMPUTED_VALUE"""),1.9059193E7)</f>
        <v>19059193</v>
      </c>
      <c r="C38" s="3">
        <f>IFERROR(__xludf.DUMMYFUNCTION("""COMPUTED_VALUE"""),1.210633856865E8)</f>
        <v>121063385.7</v>
      </c>
      <c r="D38" s="3">
        <f>IFERROR(__xludf.DUMMYFUNCTION("""COMPUTED_VALUE"""),3.39938054491184E8)</f>
        <v>339938054.5</v>
      </c>
      <c r="E38" s="3">
        <f>IFERROR(__xludf.DUMMYFUNCTION("""COMPUTED_VALUE"""),1.3882811051638E7)</f>
        <v>13882811.05</v>
      </c>
      <c r="F38" s="3">
        <f>IFERROR(__xludf.DUMMYFUNCTION("""COMPUTED_VALUE"""),4.56489583401055E8)</f>
        <v>456489583.4</v>
      </c>
      <c r="G38" s="3">
        <f>IFERROR(__xludf.DUMMYFUNCTION("""COMPUTED_VALUE"""),977631.036951)</f>
        <v>977631.037</v>
      </c>
      <c r="H38" s="3">
        <f>IFERROR(__xludf.DUMMYFUNCTION("""COMPUTED_VALUE"""),3.91958099393145E8)</f>
        <v>391958099.4</v>
      </c>
      <c r="I38" s="3">
        <f>IFERROR(__xludf.DUMMYFUNCTION("""COMPUTED_VALUE"""),4.03579076868571E8)</f>
        <v>403579076.9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IFERROR(__xludf.DUMMYFUNCTION("""COMPUTED_VALUE"""),1.9060081E7)</f>
        <v>19060081</v>
      </c>
      <c r="C39" s="3">
        <f>IFERROR(__xludf.DUMMYFUNCTION("""COMPUTED_VALUE"""),1.21075610124E8)</f>
        <v>121075610.1</v>
      </c>
      <c r="D39" s="3">
        <f>IFERROR(__xludf.DUMMYFUNCTION("""COMPUTED_VALUE"""),3.40434725482878E8)</f>
        <v>340434725.5</v>
      </c>
      <c r="E39" s="3">
        <f>IFERROR(__xludf.DUMMYFUNCTION("""COMPUTED_VALUE"""),1.388291972502E7)</f>
        <v>13882919.73</v>
      </c>
      <c r="F39" s="3">
        <f>IFERROR(__xludf.DUMMYFUNCTION("""COMPUTED_VALUE"""),4.56489583401055E8)</f>
        <v>456489583.4</v>
      </c>
      <c r="G39" s="3">
        <f>IFERROR(__xludf.DUMMYFUNCTION("""COMPUTED_VALUE"""),977631.036951)</f>
        <v>977631.037</v>
      </c>
      <c r="H39" s="3">
        <f>IFERROR(__xludf.DUMMYFUNCTION("""COMPUTED_VALUE"""),3.91958099393145E8)</f>
        <v>391958099.4</v>
      </c>
      <c r="I39" s="3">
        <f>IFERROR(__xludf.DUMMYFUNCTION("""COMPUTED_VALUE"""),4.08095469944657E8)</f>
        <v>408095469.9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IFERROR(__xludf.DUMMYFUNCTION("""COMPUTED_VALUE"""),1.9061106E7)</f>
        <v>19061106</v>
      </c>
      <c r="C40" s="3">
        <f>IFERROR(__xludf.DUMMYFUNCTION("""COMPUTED_VALUE"""),1.210879654365E8)</f>
        <v>121087965.4</v>
      </c>
      <c r="D40" s="3">
        <f>IFERROR(__xludf.DUMMYFUNCTION("""COMPUTED_VALUE"""),3.41750968969976E8)</f>
        <v>341750969</v>
      </c>
      <c r="E40" s="3">
        <f>IFERROR(__xludf.DUMMYFUNCTION("""COMPUTED_VALUE"""),1.3882989913355E7)</f>
        <v>13882989.91</v>
      </c>
      <c r="F40" s="3">
        <f>IFERROR(__xludf.DUMMYFUNCTION("""COMPUTED_VALUE"""),4.56489583401055E8)</f>
        <v>456489583.4</v>
      </c>
      <c r="G40" s="3">
        <f>IFERROR(__xludf.DUMMYFUNCTION("""COMPUTED_VALUE"""),977631.036951)</f>
        <v>977631.037</v>
      </c>
      <c r="H40" s="3">
        <f>IFERROR(__xludf.DUMMYFUNCTION("""COMPUTED_VALUE"""),3.91958099393145E8)</f>
        <v>391958099.4</v>
      </c>
      <c r="I40" s="3">
        <f>IFERROR(__xludf.DUMMYFUNCTION("""COMPUTED_VALUE"""),4.11058488371831E8)</f>
        <v>411058488.4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IFERROR(__xludf.DUMMYFUNCTION("""COMPUTED_VALUE"""),1.9062237E7)</f>
        <v>19062237</v>
      </c>
      <c r="C41" s="3">
        <f>IFERROR(__xludf.DUMMYFUNCTION("""COMPUTED_VALUE"""),1.211002800615E8)</f>
        <v>121100280.1</v>
      </c>
      <c r="D41" s="3">
        <f>IFERROR(__xludf.DUMMYFUNCTION("""COMPUTED_VALUE"""),3.41882953460418E8)</f>
        <v>341882953.5</v>
      </c>
      <c r="E41" s="3">
        <f>IFERROR(__xludf.DUMMYFUNCTION("""COMPUTED_VALUE"""),1.3883056283663E7)</f>
        <v>13883056.28</v>
      </c>
      <c r="F41" s="3">
        <f>IFERROR(__xludf.DUMMYFUNCTION("""COMPUTED_VALUE"""),4.56489583401055E8)</f>
        <v>456489583.4</v>
      </c>
      <c r="G41" s="3">
        <f>IFERROR(__xludf.DUMMYFUNCTION("""COMPUTED_VALUE"""),977631.036951)</f>
        <v>977631.037</v>
      </c>
      <c r="H41" s="3">
        <f>IFERROR(__xludf.DUMMYFUNCTION("""COMPUTED_VALUE"""),3.91958099393145E8)</f>
        <v>391958099.4</v>
      </c>
      <c r="I41" s="3">
        <f>IFERROR(__xludf.DUMMYFUNCTION("""COMPUTED_VALUE"""),4.13072758437736E8)</f>
        <v>413072758.4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IFERROR(__xludf.DUMMYFUNCTION("""COMPUTED_VALUE"""),1.9063137E7)</f>
        <v>19063137</v>
      </c>
      <c r="C42" s="3">
        <f>IFERROR(__xludf.DUMMYFUNCTION("""COMPUTED_VALUE"""),1.21112430749E8)</f>
        <v>121112430.7</v>
      </c>
      <c r="D42" s="3">
        <f>IFERROR(__xludf.DUMMYFUNCTION("""COMPUTED_VALUE"""),3.4191128192215E8)</f>
        <v>341911281.9</v>
      </c>
      <c r="E42" s="3">
        <f>IFERROR(__xludf.DUMMYFUNCTION("""COMPUTED_VALUE"""),1.3883915936695E7)</f>
        <v>13883915.94</v>
      </c>
      <c r="F42" s="3">
        <f>IFERROR(__xludf.DUMMYFUNCTION("""COMPUTED_VALUE"""),4.56489583401055E8)</f>
        <v>456489583.4</v>
      </c>
      <c r="G42" s="3">
        <f>IFERROR(__xludf.DUMMYFUNCTION("""COMPUTED_VALUE"""),977631.036951)</f>
        <v>977631.037</v>
      </c>
      <c r="H42" s="3">
        <f>IFERROR(__xludf.DUMMYFUNCTION("""COMPUTED_VALUE"""),3.91958099393145E8)</f>
        <v>391958099.4</v>
      </c>
      <c r="I42" s="3">
        <f>IFERROR(__xludf.DUMMYFUNCTION("""COMPUTED_VALUE"""),4.15212471769503E8)</f>
        <v>415212471.8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IFERROR(__xludf.DUMMYFUNCTION("""COMPUTED_VALUE"""),1.9064075E7)</f>
        <v>19064075</v>
      </c>
      <c r="C43" s="3">
        <f>IFERROR(__xludf.DUMMYFUNCTION("""COMPUTED_VALUE"""),1.211246626865E8)</f>
        <v>121124662.7</v>
      </c>
      <c r="D43" s="3">
        <f>IFERROR(__xludf.DUMMYFUNCTION("""COMPUTED_VALUE"""),3.4207723722138E8)</f>
        <v>342077237.2</v>
      </c>
      <c r="E43" s="3">
        <f>IFERROR(__xludf.DUMMYFUNCTION("""COMPUTED_VALUE"""),1.3884614839317E7)</f>
        <v>13884614.84</v>
      </c>
      <c r="F43" s="3">
        <f>IFERROR(__xludf.DUMMYFUNCTION("""COMPUTED_VALUE"""),4.56489583401055E8)</f>
        <v>456489583.4</v>
      </c>
      <c r="G43" s="3">
        <f>IFERROR(__xludf.DUMMYFUNCTION("""COMPUTED_VALUE"""),977631.036951)</f>
        <v>977631.037</v>
      </c>
      <c r="H43" s="3">
        <f>IFERROR(__xludf.DUMMYFUNCTION("""COMPUTED_VALUE"""),3.91958099393145E8)</f>
        <v>391958099.4</v>
      </c>
      <c r="I43" s="3">
        <f>IFERROR(__xludf.DUMMYFUNCTION("""COMPUTED_VALUE"""),4.17337010974277E8)</f>
        <v>417337011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IFERROR(__xludf.DUMMYFUNCTION("""COMPUTED_VALUE"""),1.9064987E7)</f>
        <v>19064987</v>
      </c>
      <c r="C44" s="3">
        <f>IFERROR(__xludf.DUMMYFUNCTION("""COMPUTED_VALUE"""),1.21137036499E8)</f>
        <v>121137036.5</v>
      </c>
      <c r="D44" s="3">
        <f>IFERROR(__xludf.DUMMYFUNCTION("""COMPUTED_VALUE"""),3.42076767718553E8)</f>
        <v>342076767.7</v>
      </c>
      <c r="E44" s="3">
        <f>IFERROR(__xludf.DUMMYFUNCTION("""COMPUTED_VALUE"""),1.3885058104627E7)</f>
        <v>13885058.1</v>
      </c>
      <c r="F44" s="3">
        <f>IFERROR(__xludf.DUMMYFUNCTION("""COMPUTED_VALUE"""),4.56489583401055E8)</f>
        <v>456489583.4</v>
      </c>
      <c r="G44" s="3">
        <f>IFERROR(__xludf.DUMMYFUNCTION("""COMPUTED_VALUE"""),977631.036951)</f>
        <v>977631.037</v>
      </c>
      <c r="H44" s="3">
        <f>IFERROR(__xludf.DUMMYFUNCTION("""COMPUTED_VALUE"""),3.91958099393145E8)</f>
        <v>391958099.4</v>
      </c>
      <c r="I44" s="3">
        <f>IFERROR(__xludf.DUMMYFUNCTION("""COMPUTED_VALUE"""),4.19338682957791E8)</f>
        <v>419338683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IFERROR(__xludf.DUMMYFUNCTION("""COMPUTED_VALUE"""),1.9065843E7)</f>
        <v>19065843</v>
      </c>
      <c r="C45" s="3">
        <f>IFERROR(__xludf.DUMMYFUNCTION("""COMPUTED_VALUE"""),1.211492723115E8)</f>
        <v>121149272.3</v>
      </c>
      <c r="D45" s="3">
        <f>IFERROR(__xludf.DUMMYFUNCTION("""COMPUTED_VALUE"""),3.42208721782371E8)</f>
        <v>342208721.8</v>
      </c>
      <c r="E45" s="3">
        <f>IFERROR(__xludf.DUMMYFUNCTION("""COMPUTED_VALUE"""),1.3885466334848E7)</f>
        <v>13885466.33</v>
      </c>
      <c r="F45" s="3">
        <f>IFERROR(__xludf.DUMMYFUNCTION("""COMPUTED_VALUE"""),4.56489583401055E8)</f>
        <v>456489583.4</v>
      </c>
      <c r="G45" s="3">
        <f>IFERROR(__xludf.DUMMYFUNCTION("""COMPUTED_VALUE"""),977631.036951)</f>
        <v>977631.037</v>
      </c>
      <c r="H45" s="3">
        <f>IFERROR(__xludf.DUMMYFUNCTION("""COMPUTED_VALUE"""),3.91958099393145E8)</f>
        <v>391958099.4</v>
      </c>
      <c r="I45" s="3">
        <f>IFERROR(__xludf.DUMMYFUNCTION("""COMPUTED_VALUE"""),4.21356009225165E8)</f>
        <v>421356009.2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IFERROR(__xludf.DUMMYFUNCTION("""COMPUTED_VALUE"""),1.9066681E7)</f>
        <v>19066681</v>
      </c>
      <c r="C46" s="3">
        <f>IFERROR(__xludf.DUMMYFUNCTION("""COMPUTED_VALUE"""),1.21161456499E8)</f>
        <v>121161456.5</v>
      </c>
      <c r="D46" s="3">
        <f>IFERROR(__xludf.DUMMYFUNCTION("""COMPUTED_VALUE"""),3.42208348504297E8)</f>
        <v>342208348.5</v>
      </c>
      <c r="E46" s="3">
        <f>IFERROR(__xludf.DUMMYFUNCTION("""COMPUTED_VALUE"""),1.388580839075E7)</f>
        <v>13885808.39</v>
      </c>
      <c r="F46" s="3">
        <f>IFERROR(__xludf.DUMMYFUNCTION("""COMPUTED_VALUE"""),4.56489583401055E8)</f>
        <v>456489583.4</v>
      </c>
      <c r="G46" s="3">
        <f>IFERROR(__xludf.DUMMYFUNCTION("""COMPUTED_VALUE"""),977631.036951)</f>
        <v>977631.037</v>
      </c>
      <c r="H46" s="3">
        <f>IFERROR(__xludf.DUMMYFUNCTION("""COMPUTED_VALUE"""),3.91958099393145E8)</f>
        <v>391958099.4</v>
      </c>
      <c r="I46" s="3">
        <f>IFERROR(__xludf.DUMMYFUNCTION("""COMPUTED_VALUE"""),4.23371469109962E8)</f>
        <v>423371469.1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IFERROR(__xludf.DUMMYFUNCTION("""COMPUTED_VALUE"""),1.906755E7)</f>
        <v>19067550</v>
      </c>
      <c r="C47" s="3">
        <f>IFERROR(__xludf.DUMMYFUNCTION("""COMPUTED_VALUE"""),1.211736408115E8)</f>
        <v>121173640.8</v>
      </c>
      <c r="D47" s="3">
        <f>IFERROR(__xludf.DUMMYFUNCTION("""COMPUTED_VALUE"""),3.42209600270983E8)</f>
        <v>342209600.3</v>
      </c>
      <c r="E47" s="3">
        <f>IFERROR(__xludf.DUMMYFUNCTION("""COMPUTED_VALUE"""),1.3886053937994E7)</f>
        <v>13886053.94</v>
      </c>
      <c r="F47" s="3">
        <f>IFERROR(__xludf.DUMMYFUNCTION("""COMPUTED_VALUE"""),4.56489583401055E8)</f>
        <v>456489583.4</v>
      </c>
      <c r="G47" s="3">
        <f>IFERROR(__xludf.DUMMYFUNCTION("""COMPUTED_VALUE"""),977631.036951)</f>
        <v>977631.037</v>
      </c>
      <c r="H47" s="3">
        <f>IFERROR(__xludf.DUMMYFUNCTION("""COMPUTED_VALUE"""),3.91958099393145E8)</f>
        <v>391958099.4</v>
      </c>
      <c r="I47" s="3">
        <f>IFERROR(__xludf.DUMMYFUNCTION("""COMPUTED_VALUE"""),4.2538534256957E8)</f>
        <v>425385342.6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IFERROR(__xludf.DUMMYFUNCTION("""COMPUTED_VALUE"""),1.9068587E7)</f>
        <v>19068587</v>
      </c>
      <c r="C48" s="3">
        <f>IFERROR(__xludf.DUMMYFUNCTION("""COMPUTED_VALUE"""),1.211857030615E8)</f>
        <v>121185703.1</v>
      </c>
      <c r="D48" s="3">
        <f>IFERROR(__xludf.DUMMYFUNCTION("""COMPUTED_VALUE"""),3.42348148485023E8)</f>
        <v>342348148.5</v>
      </c>
      <c r="E48" s="3">
        <f>IFERROR(__xludf.DUMMYFUNCTION("""COMPUTED_VALUE"""),1.3889091434545E7)</f>
        <v>13889091.43</v>
      </c>
      <c r="F48" s="3">
        <f>IFERROR(__xludf.DUMMYFUNCTION("""COMPUTED_VALUE"""),4.56489583401055E8)</f>
        <v>456489583.4</v>
      </c>
      <c r="G48" s="3">
        <f>IFERROR(__xludf.DUMMYFUNCTION("""COMPUTED_VALUE"""),977631.036951)</f>
        <v>977631.037</v>
      </c>
      <c r="H48" s="3">
        <f>IFERROR(__xludf.DUMMYFUNCTION("""COMPUTED_VALUE"""),3.91958099393145E8)</f>
        <v>391958099.4</v>
      </c>
      <c r="I48" s="3">
        <f>IFERROR(__xludf.DUMMYFUNCTION("""COMPUTED_VALUE"""),4.28402832145419E8)</f>
        <v>428402832.1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IFERROR(__xludf.DUMMYFUNCTION("""COMPUTED_VALUE"""),1.906935E7)</f>
        <v>19069350</v>
      </c>
      <c r="C49" s="3">
        <f>IFERROR(__xludf.DUMMYFUNCTION("""COMPUTED_VALUE"""),1.211979254365E8)</f>
        <v>121197925.4</v>
      </c>
      <c r="D49" s="3">
        <f>IFERROR(__xludf.DUMMYFUNCTION("""COMPUTED_VALUE"""),3.42370449065709E8)</f>
        <v>342370449.1</v>
      </c>
      <c r="E49" s="3">
        <f>IFERROR(__xludf.DUMMYFUNCTION("""COMPUTED_VALUE"""),1.3889417595406E7)</f>
        <v>13889417.6</v>
      </c>
      <c r="F49" s="3">
        <f>IFERROR(__xludf.DUMMYFUNCTION("""COMPUTED_VALUE"""),4.56489583401055E8)</f>
        <v>456489583.4</v>
      </c>
      <c r="G49" s="3">
        <f>IFERROR(__xludf.DUMMYFUNCTION("""COMPUTED_VALUE"""),977631.036951)</f>
        <v>977631.037</v>
      </c>
      <c r="H49" s="3">
        <f>IFERROR(__xludf.DUMMYFUNCTION("""COMPUTED_VALUE"""),3.91958099393145E8)</f>
        <v>391958099.4</v>
      </c>
      <c r="I49" s="3">
        <f>IFERROR(__xludf.DUMMYFUNCTION("""COMPUTED_VALUE"""),4.30417428828275E8)</f>
        <v>430417428.8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IFERROR(__xludf.DUMMYFUNCTION("""COMPUTED_VALUE"""),1.9070018E7)</f>
        <v>19070018</v>
      </c>
      <c r="C50" s="3">
        <f>IFERROR(__xludf.DUMMYFUNCTION("""COMPUTED_VALUE"""),1.21210176499E8)</f>
        <v>121210176.5</v>
      </c>
      <c r="D50" s="3">
        <f>IFERROR(__xludf.DUMMYFUNCTION("""COMPUTED_VALUE"""),3.4237934747499E8)</f>
        <v>342379347.5</v>
      </c>
      <c r="E50" s="3">
        <f>IFERROR(__xludf.DUMMYFUNCTION("""COMPUTED_VALUE"""),1.3889592206744E7)</f>
        <v>13889592.21</v>
      </c>
      <c r="F50" s="3">
        <f>IFERROR(__xludf.DUMMYFUNCTION("""COMPUTED_VALUE"""),4.56489583401055E8)</f>
        <v>456489583.4</v>
      </c>
      <c r="G50" s="3">
        <f>IFERROR(__xludf.DUMMYFUNCTION("""COMPUTED_VALUE"""),977631.036951)</f>
        <v>977631.037</v>
      </c>
      <c r="H50" s="3">
        <f>IFERROR(__xludf.DUMMYFUNCTION("""COMPUTED_VALUE"""),3.91958099393145E8)</f>
        <v>391958099.4</v>
      </c>
      <c r="I50" s="3">
        <f>IFERROR(__xludf.DUMMYFUNCTION("""COMPUTED_VALUE"""),4.32448682975626E8)</f>
        <v>432448683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IFERROR(__xludf.DUMMYFUNCTION("""COMPUTED_VALUE"""),1.9070993E7)</f>
        <v>19070993</v>
      </c>
      <c r="C51" s="3">
        <f>IFERROR(__xludf.DUMMYFUNCTION("""COMPUTED_VALUE"""),1.212223986865E8)</f>
        <v>121222398.7</v>
      </c>
      <c r="D51" s="3">
        <f>IFERROR(__xludf.DUMMYFUNCTION("""COMPUTED_VALUE"""),3.42378720203899E8)</f>
        <v>342378720.2</v>
      </c>
      <c r="E51" s="3">
        <f>IFERROR(__xludf.DUMMYFUNCTION("""COMPUTED_VALUE"""),1.3890139150933E7)</f>
        <v>13890139.15</v>
      </c>
      <c r="F51" s="3">
        <f>IFERROR(__xludf.DUMMYFUNCTION("""COMPUTED_VALUE"""),4.56489583401055E8)</f>
        <v>456489583.4</v>
      </c>
      <c r="G51" s="3">
        <f>IFERROR(__xludf.DUMMYFUNCTION("""COMPUTED_VALUE"""),977631.036951)</f>
        <v>977631.037</v>
      </c>
      <c r="H51" s="3">
        <f>IFERROR(__xludf.DUMMYFUNCTION("""COMPUTED_VALUE"""),3.91958099393145E8)</f>
        <v>391958099.4</v>
      </c>
      <c r="I51" s="3">
        <f>IFERROR(__xludf.DUMMYFUNCTION("""COMPUTED_VALUE"""),4.34450284969793E8)</f>
        <v>434450285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IFERROR(__xludf.DUMMYFUNCTION("""COMPUTED_VALUE"""),1.907185E7)</f>
        <v>19071850</v>
      </c>
      <c r="C52" s="3">
        <f>IFERROR(__xludf.DUMMYFUNCTION("""COMPUTED_VALUE"""),1.21234453874E8)</f>
        <v>121234453.9</v>
      </c>
      <c r="D52" s="3">
        <f>IFERROR(__xludf.DUMMYFUNCTION("""COMPUTED_VALUE"""),3.42509409476232E8)</f>
        <v>342509409.5</v>
      </c>
      <c r="E52" s="3">
        <f>IFERROR(__xludf.DUMMYFUNCTION("""COMPUTED_VALUE"""),1.3896884734533E7)</f>
        <v>13896884.73</v>
      </c>
      <c r="F52" s="3">
        <f>IFERROR(__xludf.DUMMYFUNCTION("""COMPUTED_VALUE"""),4.56489583401055E8)</f>
        <v>456489583.4</v>
      </c>
      <c r="G52" s="3">
        <f>IFERROR(__xludf.DUMMYFUNCTION("""COMPUTED_VALUE"""),977631.036951)</f>
        <v>977631.037</v>
      </c>
      <c r="H52" s="3">
        <f>IFERROR(__xludf.DUMMYFUNCTION("""COMPUTED_VALUE"""),3.91958099393145E8)</f>
        <v>391958099.4</v>
      </c>
      <c r="I52" s="3">
        <f>IFERROR(__xludf.DUMMYFUNCTION("""COMPUTED_VALUE"""),4.36465488226986E8)</f>
        <v>436465488.2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IFERROR(__xludf.DUMMYFUNCTION("""COMPUTED_VALUE"""),1.9072662E7)</f>
        <v>19072662</v>
      </c>
      <c r="C53" s="3">
        <f>IFERROR(__xludf.DUMMYFUNCTION("""COMPUTED_VALUE"""),1.212466571865E8)</f>
        <v>121246657.2</v>
      </c>
      <c r="D53" s="3">
        <f>IFERROR(__xludf.DUMMYFUNCTION("""COMPUTED_VALUE"""),3.42508757490055E8)</f>
        <v>342508757.5</v>
      </c>
      <c r="E53" s="3">
        <f>IFERROR(__xludf.DUMMYFUNCTION("""COMPUTED_VALUE"""),1.3897329082054E7)</f>
        <v>13897329.08</v>
      </c>
      <c r="F53" s="3">
        <f>IFERROR(__xludf.DUMMYFUNCTION("""COMPUTED_VALUE"""),4.56489583401055E8)</f>
        <v>456489583.4</v>
      </c>
      <c r="G53" s="3">
        <f>IFERROR(__xludf.DUMMYFUNCTION("""COMPUTED_VALUE"""),977631.036951)</f>
        <v>977631.037</v>
      </c>
      <c r="H53" s="3">
        <f>IFERROR(__xludf.DUMMYFUNCTION("""COMPUTED_VALUE"""),3.91958099393145E8)</f>
        <v>391958099.4</v>
      </c>
      <c r="I53" s="3">
        <f>IFERROR(__xludf.DUMMYFUNCTION("""COMPUTED_VALUE"""),4.38493149587877E8)</f>
        <v>438493149.6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IFERROR(__xludf.DUMMYFUNCTION("""COMPUTED_VALUE"""),1.90736E7)</f>
        <v>19073600</v>
      </c>
      <c r="C54" s="3">
        <f>IFERROR(__xludf.DUMMYFUNCTION("""COMPUTED_VALUE"""),1.212581720615E8)</f>
        <v>121258172.1</v>
      </c>
      <c r="D54" s="3">
        <f>IFERROR(__xludf.DUMMYFUNCTION("""COMPUTED_VALUE"""),3.42508116685695E8)</f>
        <v>342508116.7</v>
      </c>
      <c r="E54" s="3">
        <f>IFERROR(__xludf.DUMMYFUNCTION("""COMPUTED_VALUE"""),1.3898117592803E7)</f>
        <v>13898117.59</v>
      </c>
      <c r="F54" s="3">
        <f>IFERROR(__xludf.DUMMYFUNCTION("""COMPUTED_VALUE"""),4.56489583401055E8)</f>
        <v>456489583.4</v>
      </c>
      <c r="G54" s="3">
        <f>IFERROR(__xludf.DUMMYFUNCTION("""COMPUTED_VALUE"""),977631.036951)</f>
        <v>977631.037</v>
      </c>
      <c r="H54" s="3">
        <f>IFERROR(__xludf.DUMMYFUNCTION("""COMPUTED_VALUE"""),3.91958099393145E8)</f>
        <v>391958099.4</v>
      </c>
      <c r="I54" s="3">
        <f>IFERROR(__xludf.DUMMYFUNCTION("""COMPUTED_VALUE"""),4.40572201209176E8)</f>
        <v>440572201.2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IFERROR(__xludf.DUMMYFUNCTION("""COMPUTED_VALUE"""),1.9074375E7)</f>
        <v>19074375</v>
      </c>
      <c r="C55" s="3">
        <f>IFERROR(__xludf.DUMMYFUNCTION("""COMPUTED_VALUE"""),1.212693108115E8)</f>
        <v>121269310.8</v>
      </c>
      <c r="D55" s="3">
        <f>IFERROR(__xludf.DUMMYFUNCTION("""COMPUTED_VALUE"""),3.4263891593035E8)</f>
        <v>342638915.9</v>
      </c>
      <c r="E55" s="3">
        <f>IFERROR(__xludf.DUMMYFUNCTION("""COMPUTED_VALUE"""),1.389826379441E7)</f>
        <v>13898263.79</v>
      </c>
      <c r="F55" s="3">
        <f>IFERROR(__xludf.DUMMYFUNCTION("""COMPUTED_VALUE"""),4.56489583401055E8)</f>
        <v>456489583.4</v>
      </c>
      <c r="G55" s="3">
        <f>IFERROR(__xludf.DUMMYFUNCTION("""COMPUTED_VALUE"""),977631.036951)</f>
        <v>977631.037</v>
      </c>
      <c r="H55" s="3">
        <f>IFERROR(__xludf.DUMMYFUNCTION("""COMPUTED_VALUE"""),3.91958099393145E8)</f>
        <v>391958099.4</v>
      </c>
      <c r="I55" s="3">
        <f>IFERROR(__xludf.DUMMYFUNCTION("""COMPUTED_VALUE"""),4.42601938920683E8)</f>
        <v>442601938.9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IFERROR(__xludf.DUMMYFUNCTION("""COMPUTED_VALUE"""),1.9075325E7)</f>
        <v>19075325</v>
      </c>
      <c r="C56" s="3">
        <f>IFERROR(__xludf.DUMMYFUNCTION("""COMPUTED_VALUE"""),1.21280384624E8)</f>
        <v>121280384.6</v>
      </c>
      <c r="D56" s="3">
        <f>IFERROR(__xludf.DUMMYFUNCTION("""COMPUTED_VALUE"""),3.42638355051789E8)</f>
        <v>342638355.1</v>
      </c>
      <c r="E56" s="3">
        <f>IFERROR(__xludf.DUMMYFUNCTION("""COMPUTED_VALUE"""),1.3898463061216E7)</f>
        <v>13898463.06</v>
      </c>
      <c r="F56" s="3">
        <f>IFERROR(__xludf.DUMMYFUNCTION("""COMPUTED_VALUE"""),4.56489583401055E8)</f>
        <v>456489583.4</v>
      </c>
      <c r="G56" s="3">
        <f>IFERROR(__xludf.DUMMYFUNCTION("""COMPUTED_VALUE"""),977631.036951)</f>
        <v>977631.037</v>
      </c>
      <c r="H56" s="3">
        <f>IFERROR(__xludf.DUMMYFUNCTION("""COMPUTED_VALUE"""),3.91958099393145E8)</f>
        <v>391958099.4</v>
      </c>
      <c r="I56" s="3">
        <f>IFERROR(__xludf.DUMMYFUNCTION("""COMPUTED_VALUE"""),4.44962981000077E8)</f>
        <v>444962981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IFERROR(__xludf.DUMMYFUNCTION("""COMPUTED_VALUE"""),1.9076162E7)</f>
        <v>19076162</v>
      </c>
      <c r="C57" s="3">
        <f>IFERROR(__xludf.DUMMYFUNCTION("""COMPUTED_VALUE"""),1.21291590624E8)</f>
        <v>121291590.6</v>
      </c>
      <c r="D57" s="3">
        <f>IFERROR(__xludf.DUMMYFUNCTION("""COMPUTED_VALUE"""),3.42637778724315E8)</f>
        <v>342637778.7</v>
      </c>
      <c r="E57" s="3">
        <f>IFERROR(__xludf.DUMMYFUNCTION("""COMPUTED_VALUE"""),1.3899035201451E7)</f>
        <v>13899035.2</v>
      </c>
      <c r="F57" s="3">
        <f>IFERROR(__xludf.DUMMYFUNCTION("""COMPUTED_VALUE"""),4.56489583401055E8)</f>
        <v>456489583.4</v>
      </c>
      <c r="G57" s="3">
        <f>IFERROR(__xludf.DUMMYFUNCTION("""COMPUTED_VALUE"""),977631.036951)</f>
        <v>977631.037</v>
      </c>
      <c r="H57" s="3">
        <f>IFERROR(__xludf.DUMMYFUNCTION("""COMPUTED_VALUE"""),3.91958099393145E8)</f>
        <v>391958099.4</v>
      </c>
      <c r="I57" s="3">
        <f>IFERROR(__xludf.DUMMYFUNCTION("""COMPUTED_VALUE"""),4.46983340139138E8)</f>
        <v>446983340.1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IFERROR(__xludf.DUMMYFUNCTION("""COMPUTED_VALUE"""),1.90771E7)</f>
        <v>19077100</v>
      </c>
      <c r="C58" s="3">
        <f>IFERROR(__xludf.DUMMYFUNCTION("""COMPUTED_VALUE"""),1.213027649365E8)</f>
        <v>121302764.9</v>
      </c>
      <c r="D58" s="3">
        <f>IFERROR(__xludf.DUMMYFUNCTION("""COMPUTED_VALUE"""),3.42768759370501E8)</f>
        <v>342768759.4</v>
      </c>
      <c r="E58" s="3">
        <f>IFERROR(__xludf.DUMMYFUNCTION("""COMPUTED_VALUE"""),1.3899456645666E7)</f>
        <v>13899456.65</v>
      </c>
      <c r="F58" s="3">
        <f>IFERROR(__xludf.DUMMYFUNCTION("""COMPUTED_VALUE"""),4.56489583401055E8)</f>
        <v>456489583.4</v>
      </c>
      <c r="G58" s="3">
        <f>IFERROR(__xludf.DUMMYFUNCTION("""COMPUTED_VALUE"""),977631.036951)</f>
        <v>977631.037</v>
      </c>
      <c r="H58" s="3">
        <f>IFERROR(__xludf.DUMMYFUNCTION("""COMPUTED_VALUE"""),3.91958099393145E8)</f>
        <v>391958099.4</v>
      </c>
      <c r="I58" s="3">
        <f>IFERROR(__xludf.DUMMYFUNCTION("""COMPUTED_VALUE"""),4.49013007861299E8)</f>
        <v>449013007.9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IFERROR(__xludf.DUMMYFUNCTION("""COMPUTED_VALUE"""),1.9077962E7)</f>
        <v>19077962</v>
      </c>
      <c r="C59" s="3">
        <f>IFERROR(__xludf.DUMMYFUNCTION("""COMPUTED_VALUE"""),1.21313866999E8)</f>
        <v>121313867</v>
      </c>
      <c r="D59" s="3">
        <f>IFERROR(__xludf.DUMMYFUNCTION("""COMPUTED_VALUE"""),3.42769519675171E8)</f>
        <v>342769519.7</v>
      </c>
      <c r="E59" s="3">
        <f>IFERROR(__xludf.DUMMYFUNCTION("""COMPUTED_VALUE"""),1.3899626193E7)</f>
        <v>13899626.19</v>
      </c>
      <c r="F59" s="3">
        <f>IFERROR(__xludf.DUMMYFUNCTION("""COMPUTED_VALUE"""),4.56489583401055E8)</f>
        <v>456489583.4</v>
      </c>
      <c r="G59" s="3">
        <f>IFERROR(__xludf.DUMMYFUNCTION("""COMPUTED_VALUE"""),977631.036951)</f>
        <v>977631.037</v>
      </c>
      <c r="H59" s="3">
        <f>IFERROR(__xludf.DUMMYFUNCTION("""COMPUTED_VALUE"""),3.91958099393145E8)</f>
        <v>391958099.4</v>
      </c>
      <c r="I59" s="3">
        <f>IFERROR(__xludf.DUMMYFUNCTION("""COMPUTED_VALUE"""),4.51046781281838E8)</f>
        <v>451046781.3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IFERROR(__xludf.DUMMYFUNCTION("""COMPUTED_VALUE"""),1.9078743E7)</f>
        <v>19078743</v>
      </c>
      <c r="C60" s="3">
        <f>IFERROR(__xludf.DUMMYFUNCTION("""COMPUTED_VALUE"""),1.21325065249E8)</f>
        <v>121325065.2</v>
      </c>
      <c r="D60" s="3">
        <f>IFERROR(__xludf.DUMMYFUNCTION("""COMPUTED_VALUE"""),3.4276880275189E8)</f>
        <v>342768802.8</v>
      </c>
      <c r="E60" s="3">
        <f>IFERROR(__xludf.DUMMYFUNCTION("""COMPUTED_VALUE"""),1.3900908443032E7)</f>
        <v>13900908.44</v>
      </c>
      <c r="F60" s="3">
        <f>IFERROR(__xludf.DUMMYFUNCTION("""COMPUTED_VALUE"""),4.56489583401055E8)</f>
        <v>456489583.4</v>
      </c>
      <c r="G60" s="3">
        <f>IFERROR(__xludf.DUMMYFUNCTION("""COMPUTED_VALUE"""),977631.036951)</f>
        <v>977631.037</v>
      </c>
      <c r="H60" s="3">
        <f>IFERROR(__xludf.DUMMYFUNCTION("""COMPUTED_VALUE"""),3.91958099393145E8)</f>
        <v>391958099.4</v>
      </c>
      <c r="I60" s="3">
        <f>IFERROR(__xludf.DUMMYFUNCTION("""COMPUTED_VALUE"""),4.53074465972511E8)</f>
        <v>453074466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IFERROR(__xludf.DUMMYFUNCTION("""COMPUTED_VALUE"""),1.9079737E7)</f>
        <v>19079737</v>
      </c>
      <c r="C61" s="3">
        <f>IFERROR(__xludf.DUMMYFUNCTION("""COMPUTED_VALUE"""),1.21336160124E8)</f>
        <v>121336160.1</v>
      </c>
      <c r="D61" s="3">
        <f>IFERROR(__xludf.DUMMYFUNCTION("""COMPUTED_VALUE"""),3.42899819433495E8)</f>
        <v>342899819.4</v>
      </c>
      <c r="E61" s="3">
        <f>IFERROR(__xludf.DUMMYFUNCTION("""COMPUTED_VALUE"""),1.3901055822138E7)</f>
        <v>13901055.82</v>
      </c>
      <c r="F61" s="3">
        <f>IFERROR(__xludf.DUMMYFUNCTION("""COMPUTED_VALUE"""),4.56489583401055E8)</f>
        <v>456489583.4</v>
      </c>
      <c r="G61" s="3">
        <f>IFERROR(__xludf.DUMMYFUNCTION("""COMPUTED_VALUE"""),977631.036951)</f>
        <v>977631.037</v>
      </c>
      <c r="H61" s="3">
        <f>IFERROR(__xludf.DUMMYFUNCTION("""COMPUTED_VALUE"""),3.91958099393145E8)</f>
        <v>391958099.4</v>
      </c>
      <c r="I61" s="3">
        <f>IFERROR(__xludf.DUMMYFUNCTION("""COMPUTED_VALUE"""),4.55090112495566E8)</f>
        <v>455090112.5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IFERROR(__xludf.DUMMYFUNCTION("""COMPUTED_VALUE"""),1.9080662E7)</f>
        <v>19080662</v>
      </c>
      <c r="C62" s="3">
        <f>IFERROR(__xludf.DUMMYFUNCTION("""COMPUTED_VALUE"""),1.21347228124E8)</f>
        <v>121347228.1</v>
      </c>
      <c r="D62" s="3">
        <f>IFERROR(__xludf.DUMMYFUNCTION("""COMPUTED_VALUE"""),3.42899201132956E8)</f>
        <v>342899201.1</v>
      </c>
      <c r="E62" s="3">
        <f>IFERROR(__xludf.DUMMYFUNCTION("""COMPUTED_VALUE"""),1.3916738547813E7)</f>
        <v>13916738.55</v>
      </c>
      <c r="F62" s="3">
        <f>IFERROR(__xludf.DUMMYFUNCTION("""COMPUTED_VALUE"""),4.56489583401055E8)</f>
        <v>456489583.4</v>
      </c>
      <c r="G62" s="3">
        <f>IFERROR(__xludf.DUMMYFUNCTION("""COMPUTED_VALUE"""),977631.036951)</f>
        <v>977631.037</v>
      </c>
      <c r="H62" s="3">
        <f>IFERROR(__xludf.DUMMYFUNCTION("""COMPUTED_VALUE"""),3.91958099393145E8)</f>
        <v>391958099.4</v>
      </c>
      <c r="I62" s="3">
        <f>IFERROR(__xludf.DUMMYFUNCTION("""COMPUTED_VALUE"""),4.57178539770128E8)</f>
        <v>457178539.8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IFERROR(__xludf.DUMMYFUNCTION("""COMPUTED_VALUE"""),1.90817E7)</f>
        <v>19081700</v>
      </c>
      <c r="C63" s="3">
        <f>IFERROR(__xludf.DUMMYFUNCTION("""COMPUTED_VALUE"""),1.213589996865E8)</f>
        <v>121358999.7</v>
      </c>
      <c r="D63" s="3">
        <f>IFERROR(__xludf.DUMMYFUNCTION("""COMPUTED_VALUE"""),3.43284542263902E8)</f>
        <v>343284542.3</v>
      </c>
      <c r="E63" s="3">
        <f>IFERROR(__xludf.DUMMYFUNCTION("""COMPUTED_VALUE"""),1.3916977627046E7)</f>
        <v>13916977.63</v>
      </c>
      <c r="F63" s="3">
        <f>IFERROR(__xludf.DUMMYFUNCTION("""COMPUTED_VALUE"""),4.56489583401055E8)</f>
        <v>456489583.4</v>
      </c>
      <c r="G63" s="3">
        <f>IFERROR(__xludf.DUMMYFUNCTION("""COMPUTED_VALUE"""),977631.036951)</f>
        <v>977631.037</v>
      </c>
      <c r="H63" s="3">
        <f>IFERROR(__xludf.DUMMYFUNCTION("""COMPUTED_VALUE"""),3.91958099393145E8)</f>
        <v>391958099.4</v>
      </c>
      <c r="I63" s="3">
        <f>IFERROR(__xludf.DUMMYFUNCTION("""COMPUTED_VALUE"""),4.59560627182297E8)</f>
        <v>459560627.2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IFERROR(__xludf.DUMMYFUNCTION("""COMPUTED_VALUE"""),1.9082587E7)</f>
        <v>19082587</v>
      </c>
      <c r="C64" s="3">
        <f>IFERROR(__xludf.DUMMYFUNCTION("""COMPUTED_VALUE"""),1.213723515615E8)</f>
        <v>121372351.6</v>
      </c>
      <c r="D64" s="3">
        <f>IFERROR(__xludf.DUMMYFUNCTION("""COMPUTED_VALUE"""),3.43416820191807E8)</f>
        <v>343416820.2</v>
      </c>
      <c r="E64" s="3">
        <f>IFERROR(__xludf.DUMMYFUNCTION("""COMPUTED_VALUE"""),1.3919520801604E7)</f>
        <v>13919520.8</v>
      </c>
      <c r="F64" s="3">
        <f>IFERROR(__xludf.DUMMYFUNCTION("""COMPUTED_VALUE"""),4.56489583401055E8)</f>
        <v>456489583.4</v>
      </c>
      <c r="G64" s="3">
        <f>IFERROR(__xludf.DUMMYFUNCTION("""COMPUTED_VALUE"""),977631.036951)</f>
        <v>977631.037</v>
      </c>
      <c r="H64" s="3">
        <f>IFERROR(__xludf.DUMMYFUNCTION("""COMPUTED_VALUE"""),3.91958099393145E8)</f>
        <v>391958099.4</v>
      </c>
      <c r="I64" s="3">
        <f>IFERROR(__xludf.DUMMYFUNCTION("""COMPUTED_VALUE"""),4.61587098724296E8)</f>
        <v>461587098.7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IFERROR(__xludf.DUMMYFUNCTION("""COMPUTED_VALUE"""),1.9083443E7)</f>
        <v>19083443</v>
      </c>
      <c r="C65" s="3">
        <f>IFERROR(__xludf.DUMMYFUNCTION("""COMPUTED_VALUE"""),1.213860401865E8)</f>
        <v>121386040.2</v>
      </c>
      <c r="D65" s="3">
        <f>IFERROR(__xludf.DUMMYFUNCTION("""COMPUTED_VALUE"""),3.43416607102484E8)</f>
        <v>343416607.1</v>
      </c>
      <c r="E65" s="3">
        <f>IFERROR(__xludf.DUMMYFUNCTION("""COMPUTED_VALUE"""),1.3920097321374E7)</f>
        <v>13920097.32</v>
      </c>
      <c r="F65" s="3">
        <f>IFERROR(__xludf.DUMMYFUNCTION("""COMPUTED_VALUE"""),4.56489583401055E8)</f>
        <v>456489583.4</v>
      </c>
      <c r="G65" s="3">
        <f>IFERROR(__xludf.DUMMYFUNCTION("""COMPUTED_VALUE"""),977631.036951)</f>
        <v>977631.037</v>
      </c>
      <c r="H65" s="3">
        <f>IFERROR(__xludf.DUMMYFUNCTION("""COMPUTED_VALUE"""),3.91958099393145E8)</f>
        <v>391958099.4</v>
      </c>
      <c r="I65" s="3">
        <f>IFERROR(__xludf.DUMMYFUNCTION("""COMPUTED_VALUE"""),4.63690987037119E8)</f>
        <v>463690987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IFERROR(__xludf.DUMMYFUNCTION("""COMPUTED_VALUE"""),1.9084375E7)</f>
        <v>19084375</v>
      </c>
      <c r="C66" s="3">
        <f>IFERROR(__xludf.DUMMYFUNCTION("""COMPUTED_VALUE"""),1.21399635249E8)</f>
        <v>121399635.2</v>
      </c>
      <c r="D66" s="3">
        <f>IFERROR(__xludf.DUMMYFUNCTION("""COMPUTED_VALUE"""),3.43433379506559E8)</f>
        <v>343433379.5</v>
      </c>
      <c r="E66" s="3">
        <f>IFERROR(__xludf.DUMMYFUNCTION("""COMPUTED_VALUE"""),1.3920237281877E7)</f>
        <v>13920237.28</v>
      </c>
      <c r="F66" s="3">
        <f>IFERROR(__xludf.DUMMYFUNCTION("""COMPUTED_VALUE"""),4.56489583401055E8)</f>
        <v>456489583.4</v>
      </c>
      <c r="G66" s="3">
        <f>IFERROR(__xludf.DUMMYFUNCTION("""COMPUTED_VALUE"""),977631.036951)</f>
        <v>977631.037</v>
      </c>
      <c r="H66" s="3">
        <f>IFERROR(__xludf.DUMMYFUNCTION("""COMPUTED_VALUE"""),3.91958099393145E8)</f>
        <v>391958099.4</v>
      </c>
      <c r="I66" s="3">
        <f>IFERROR(__xludf.DUMMYFUNCTION("""COMPUTED_VALUE"""),4.65706726879303E8)</f>
        <v>465706726.9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IFERROR(__xludf.DUMMYFUNCTION("""COMPUTED_VALUE"""),1.9085293E7)</f>
        <v>19085293</v>
      </c>
      <c r="C67" s="3">
        <f>IFERROR(__xludf.DUMMYFUNCTION("""COMPUTED_VALUE"""),1.21413221624E8)</f>
        <v>121413221.6</v>
      </c>
      <c r="D67" s="3">
        <f>IFERROR(__xludf.DUMMYFUNCTION("""COMPUTED_VALUE"""),3.43144895879142E8)</f>
        <v>343144895.9</v>
      </c>
      <c r="E67" s="3">
        <f>IFERROR(__xludf.DUMMYFUNCTION("""COMPUTED_VALUE"""),1.3935294532885E7)</f>
        <v>13935294.53</v>
      </c>
      <c r="F67" s="3">
        <f>IFERROR(__xludf.DUMMYFUNCTION("""COMPUTED_VALUE"""),4.56489583401055E8)</f>
        <v>456489583.4</v>
      </c>
      <c r="G67" s="3">
        <f>IFERROR(__xludf.DUMMYFUNCTION("""COMPUTED_VALUE"""),977631.036951)</f>
        <v>977631.037</v>
      </c>
      <c r="H67" s="3">
        <f>IFERROR(__xludf.DUMMYFUNCTION("""COMPUTED_VALUE"""),3.91958099393145E8)</f>
        <v>391958099.4</v>
      </c>
      <c r="I67" s="3">
        <f>IFERROR(__xludf.DUMMYFUNCTION("""COMPUTED_VALUE"""),4.66721455756363E8)</f>
        <v>466721455.8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IFERROR(__xludf.DUMMYFUNCTION("""COMPUTED_VALUE"""),1.9086062E7)</f>
        <v>19086062</v>
      </c>
      <c r="C68" s="3">
        <f>IFERROR(__xludf.DUMMYFUNCTION("""COMPUTED_VALUE"""),1.214267643115E8)</f>
        <v>121426764.3</v>
      </c>
      <c r="D68" s="3">
        <f>IFERROR(__xludf.DUMMYFUNCTION("""COMPUTED_VALUE"""),3.43277336806308E8)</f>
        <v>343277336.8</v>
      </c>
      <c r="E68" s="3">
        <f>IFERROR(__xludf.DUMMYFUNCTION("""COMPUTED_VALUE"""),1.3935543494584E7)</f>
        <v>13935543.49</v>
      </c>
      <c r="F68" s="3">
        <f>IFERROR(__xludf.DUMMYFUNCTION("""COMPUTED_VALUE"""),4.56489583401055E8)</f>
        <v>456489583.4</v>
      </c>
      <c r="G68" s="3">
        <f>IFERROR(__xludf.DUMMYFUNCTION("""COMPUTED_VALUE"""),977631.036951)</f>
        <v>977631.037</v>
      </c>
      <c r="H68" s="3">
        <f>IFERROR(__xludf.DUMMYFUNCTION("""COMPUTED_VALUE"""),3.91958099393145E8)</f>
        <v>391958099.4</v>
      </c>
      <c r="I68" s="3">
        <f>IFERROR(__xludf.DUMMYFUNCTION("""COMPUTED_VALUE"""),4.70543252994612E8)</f>
        <v>470543253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IFERROR(__xludf.DUMMYFUNCTION("""COMPUTED_VALUE"""),1.9086831E7)</f>
        <v>19086831</v>
      </c>
      <c r="C69" s="3">
        <f>IFERROR(__xludf.DUMMYFUNCTION("""COMPUTED_VALUE"""),1.214403329365E8)</f>
        <v>121440332.9</v>
      </c>
      <c r="D69" s="3">
        <f>IFERROR(__xludf.DUMMYFUNCTION("""COMPUTED_VALUE"""),3.43806356909818E8)</f>
        <v>343806356.9</v>
      </c>
      <c r="E69" s="3">
        <f>IFERROR(__xludf.DUMMYFUNCTION("""COMPUTED_VALUE"""),1.3936168559492E7)</f>
        <v>13936168.56</v>
      </c>
      <c r="F69" s="3">
        <f>IFERROR(__xludf.DUMMYFUNCTION("""COMPUTED_VALUE"""),4.56489583401055E8)</f>
        <v>456489583.4</v>
      </c>
      <c r="G69" s="3">
        <f>IFERROR(__xludf.DUMMYFUNCTION("""COMPUTED_VALUE"""),977631.036951)</f>
        <v>977631.037</v>
      </c>
      <c r="H69" s="3">
        <f>IFERROR(__xludf.DUMMYFUNCTION("""COMPUTED_VALUE"""),3.91958099393145E8)</f>
        <v>391958099.4</v>
      </c>
      <c r="I69" s="3">
        <f>IFERROR(__xludf.DUMMYFUNCTION("""COMPUTED_VALUE"""),4.75069794525958E8)</f>
        <v>475069794.5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IFERROR(__xludf.DUMMYFUNCTION("""COMPUTED_VALUE"""),1.90878E7)</f>
        <v>19087800</v>
      </c>
      <c r="C70" s="3">
        <f>IFERROR(__xludf.DUMMYFUNCTION("""COMPUTED_VALUE"""),1.214537220615E8)</f>
        <v>121453722.1</v>
      </c>
      <c r="D70" s="3">
        <f>IFERROR(__xludf.DUMMYFUNCTION("""COMPUTED_VALUE"""),3.45108092064429E8)</f>
        <v>345108092.1</v>
      </c>
      <c r="E70" s="3">
        <f>IFERROR(__xludf.DUMMYFUNCTION("""COMPUTED_VALUE"""),1.393737922517E7)</f>
        <v>13937379.23</v>
      </c>
      <c r="F70" s="3">
        <f>IFERROR(__xludf.DUMMYFUNCTION("""COMPUTED_VALUE"""),4.56489583401055E8)</f>
        <v>456489583.4</v>
      </c>
      <c r="G70" s="3">
        <f>IFERROR(__xludf.DUMMYFUNCTION("""COMPUTED_VALUE"""),977631.036951)</f>
        <v>977631.037</v>
      </c>
      <c r="H70" s="3">
        <f>IFERROR(__xludf.DUMMYFUNCTION("""COMPUTED_VALUE"""),3.91958099393145E8)</f>
        <v>391958099.4</v>
      </c>
      <c r="I70" s="3">
        <f>IFERROR(__xludf.DUMMYFUNCTION("""COMPUTED_VALUE"""),4.77074219423772E8)</f>
        <v>477074219.4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IFERROR(__xludf.DUMMYFUNCTION("""COMPUTED_VALUE"""),1.908875E7)</f>
        <v>19088750</v>
      </c>
      <c r="C71" s="3">
        <f>IFERROR(__xludf.DUMMYFUNCTION("""COMPUTED_VALUE"""),1.214674434365E8)</f>
        <v>121467443.4</v>
      </c>
      <c r="D71" s="3">
        <f>IFERROR(__xludf.DUMMYFUNCTION("""COMPUTED_VALUE"""),3.45241087126498E8)</f>
        <v>345241087.1</v>
      </c>
      <c r="E71" s="3">
        <f>IFERROR(__xludf.DUMMYFUNCTION("""COMPUTED_VALUE"""),1.3938807236841E7)</f>
        <v>13938807.24</v>
      </c>
      <c r="F71" s="3">
        <f>IFERROR(__xludf.DUMMYFUNCTION("""COMPUTED_VALUE"""),4.56489583401055E8)</f>
        <v>456489583.4</v>
      </c>
      <c r="G71" s="3">
        <f>IFERROR(__xludf.DUMMYFUNCTION("""COMPUTED_VALUE"""),977631.036951)</f>
        <v>977631.037</v>
      </c>
      <c r="H71" s="3">
        <f>IFERROR(__xludf.DUMMYFUNCTION("""COMPUTED_VALUE"""),3.91958099393145E8)</f>
        <v>391958099.4</v>
      </c>
      <c r="I71" s="3">
        <f>IFERROR(__xludf.DUMMYFUNCTION("""COMPUTED_VALUE"""),4.79088769447063E8)</f>
        <v>479088769.4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IFERROR(__xludf.DUMMYFUNCTION("""COMPUTED_VALUE"""),1.9089537E7)</f>
        <v>19089537</v>
      </c>
      <c r="C72" s="3">
        <f>IFERROR(__xludf.DUMMYFUNCTION("""COMPUTED_VALUE"""),1.214807908115E8)</f>
        <v>121480790.8</v>
      </c>
      <c r="D72" s="3">
        <f>IFERROR(__xludf.DUMMYFUNCTION("""COMPUTED_VALUE"""),3.45276356882607E8)</f>
        <v>345276356.9</v>
      </c>
      <c r="E72" s="3">
        <f>IFERROR(__xludf.DUMMYFUNCTION("""COMPUTED_VALUE"""),1.3939449655278E7)</f>
        <v>13939449.66</v>
      </c>
      <c r="F72" s="3">
        <f>IFERROR(__xludf.DUMMYFUNCTION("""COMPUTED_VALUE"""),4.56489583401055E8)</f>
        <v>456489583.4</v>
      </c>
      <c r="G72" s="3">
        <f>IFERROR(__xludf.DUMMYFUNCTION("""COMPUTED_VALUE"""),977631.036951)</f>
        <v>977631.037</v>
      </c>
      <c r="H72" s="3">
        <f>IFERROR(__xludf.DUMMYFUNCTION("""COMPUTED_VALUE"""),3.91958099393145E8)</f>
        <v>391958099.4</v>
      </c>
      <c r="I72" s="3">
        <f>IFERROR(__xludf.DUMMYFUNCTION("""COMPUTED_VALUE"""),4.81118413839442E8)</f>
        <v>481118413.8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IFERROR(__xludf.DUMMYFUNCTION("""COMPUTED_VALUE"""),1.9090556E7)</f>
        <v>19090556</v>
      </c>
      <c r="C73" s="3">
        <f>IFERROR(__xludf.DUMMYFUNCTION("""COMPUTED_VALUE"""),1.21494294249E8)</f>
        <v>121494294.2</v>
      </c>
      <c r="D73" s="3">
        <f>IFERROR(__xludf.DUMMYFUNCTION("""COMPUTED_VALUE"""),3.45442027724405E8)</f>
        <v>345442027.7</v>
      </c>
      <c r="E73" s="3">
        <f>IFERROR(__xludf.DUMMYFUNCTION("""COMPUTED_VALUE"""),1.3939960450084E7)</f>
        <v>13939960.45</v>
      </c>
      <c r="F73" s="3">
        <f>IFERROR(__xludf.DUMMYFUNCTION("""COMPUTED_VALUE"""),4.56489583401055E8)</f>
        <v>456489583.4</v>
      </c>
      <c r="G73" s="3">
        <f>IFERROR(__xludf.DUMMYFUNCTION("""COMPUTED_VALUE"""),977631.036951)</f>
        <v>977631.037</v>
      </c>
      <c r="H73" s="3">
        <f>IFERROR(__xludf.DUMMYFUNCTION("""COMPUTED_VALUE"""),3.91958099393145E8)</f>
        <v>391958099.4</v>
      </c>
      <c r="I73" s="3">
        <f>IFERROR(__xludf.DUMMYFUNCTION("""COMPUTED_VALUE"""),4.83154206166857E8)</f>
        <v>483154206.2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IFERROR(__xludf.DUMMYFUNCTION("""COMPUTED_VALUE"""),1.9091318E7)</f>
        <v>19091318</v>
      </c>
      <c r="C74" s="3">
        <f>IFERROR(__xludf.DUMMYFUNCTION("""COMPUTED_VALUE"""),1.21507817749E8)</f>
        <v>121507817.7</v>
      </c>
      <c r="D74" s="3">
        <f>IFERROR(__xludf.DUMMYFUNCTION("""COMPUTED_VALUE"""),3.45574842828218E8)</f>
        <v>345574842.8</v>
      </c>
      <c r="E74" s="3">
        <f>IFERROR(__xludf.DUMMYFUNCTION("""COMPUTED_VALUE"""),1.394059370686E7)</f>
        <v>13940593.71</v>
      </c>
      <c r="F74" s="3">
        <f>IFERROR(__xludf.DUMMYFUNCTION("""COMPUTED_VALUE"""),4.56489583401055E8)</f>
        <v>456489583.4</v>
      </c>
      <c r="G74" s="3">
        <f>IFERROR(__xludf.DUMMYFUNCTION("""COMPUTED_VALUE"""),977631.036951)</f>
        <v>977631.037</v>
      </c>
      <c r="H74" s="3">
        <f>IFERROR(__xludf.DUMMYFUNCTION("""COMPUTED_VALUE"""),3.91958099393145E8)</f>
        <v>391958099.4</v>
      </c>
      <c r="I74" s="3">
        <f>IFERROR(__xludf.DUMMYFUNCTION("""COMPUTED_VALUE"""),4.8517045926425E8)</f>
        <v>485170459.3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IFERROR(__xludf.DUMMYFUNCTION("""COMPUTED_VALUE"""),1.9092237E7)</f>
        <v>19092237</v>
      </c>
      <c r="C75" s="3">
        <f>IFERROR(__xludf.DUMMYFUNCTION("""COMPUTED_VALUE"""),1.21521472499E8)</f>
        <v>121521472.5</v>
      </c>
      <c r="D75" s="3">
        <f>IFERROR(__xludf.DUMMYFUNCTION("""COMPUTED_VALUE"""),3.45574943574904E8)</f>
        <v>345574943.6</v>
      </c>
      <c r="E75" s="3">
        <f>IFERROR(__xludf.DUMMYFUNCTION("""COMPUTED_VALUE"""),1.3940983739218E7)</f>
        <v>13940983.74</v>
      </c>
      <c r="F75" s="3">
        <f>IFERROR(__xludf.DUMMYFUNCTION("""COMPUTED_VALUE"""),4.56489583401055E8)</f>
        <v>456489583.4</v>
      </c>
      <c r="G75" s="3">
        <f>IFERROR(__xludf.DUMMYFUNCTION("""COMPUTED_VALUE"""),977631.036951)</f>
        <v>977631.037</v>
      </c>
      <c r="H75" s="3">
        <f>IFERROR(__xludf.DUMMYFUNCTION("""COMPUTED_VALUE"""),3.91958099393145E8)</f>
        <v>391958099.4</v>
      </c>
      <c r="I75" s="3">
        <f>IFERROR(__xludf.DUMMYFUNCTION("""COMPUTED_VALUE"""),4.87198517231438E8)</f>
        <v>487198517.2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IFERROR(__xludf.DUMMYFUNCTION("""COMPUTED_VALUE"""),1.9092956E7)</f>
        <v>19092956</v>
      </c>
      <c r="C76" s="3">
        <f>IFERROR(__xludf.DUMMYFUNCTION("""COMPUTED_VALUE"""),1.215336664365E8)</f>
        <v>121533666.4</v>
      </c>
      <c r="D76" s="3">
        <f>IFERROR(__xludf.DUMMYFUNCTION("""COMPUTED_VALUE"""),3.45575754381636E8)</f>
        <v>345575754.4</v>
      </c>
      <c r="E76" s="3">
        <f>IFERROR(__xludf.DUMMYFUNCTION("""COMPUTED_VALUE"""),1.3941382602635E7)</f>
        <v>13941382.6</v>
      </c>
      <c r="F76" s="3">
        <f>IFERROR(__xludf.DUMMYFUNCTION("""COMPUTED_VALUE"""),4.56489583401055E8)</f>
        <v>456489583.4</v>
      </c>
      <c r="G76" s="3">
        <f>IFERROR(__xludf.DUMMYFUNCTION("""COMPUTED_VALUE"""),977631.036951)</f>
        <v>977631.037</v>
      </c>
      <c r="H76" s="3">
        <f>IFERROR(__xludf.DUMMYFUNCTION("""COMPUTED_VALUE"""),3.91958099393145E8)</f>
        <v>391958099.4</v>
      </c>
      <c r="I76" s="3">
        <f>IFERROR(__xludf.DUMMYFUNCTION("""COMPUTED_VALUE"""),4.89199769278872E8)</f>
        <v>489199769.3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IFERROR(__xludf.DUMMYFUNCTION("""COMPUTED_VALUE"""),1.9093693E7)</f>
        <v>19093693</v>
      </c>
      <c r="C77" s="3">
        <f>IFERROR(__xludf.DUMMYFUNCTION("""COMPUTED_VALUE"""),1.21548426374E8)</f>
        <v>121548426.4</v>
      </c>
      <c r="D77" s="3">
        <f>IFERROR(__xludf.DUMMYFUNCTION("""COMPUTED_VALUE"""),3.45708129301327E8)</f>
        <v>345708129.3</v>
      </c>
      <c r="E77" s="3">
        <f>IFERROR(__xludf.DUMMYFUNCTION("""COMPUTED_VALUE"""),1.3947716238479E7)</f>
        <v>13947716.24</v>
      </c>
      <c r="F77" s="3">
        <f>IFERROR(__xludf.DUMMYFUNCTION("""COMPUTED_VALUE"""),4.56489583401055E8)</f>
        <v>456489583.4</v>
      </c>
      <c r="G77" s="3">
        <f>IFERROR(__xludf.DUMMYFUNCTION("""COMPUTED_VALUE"""),977631.036951)</f>
        <v>977631.037</v>
      </c>
      <c r="H77" s="3">
        <f>IFERROR(__xludf.DUMMYFUNCTION("""COMPUTED_VALUE"""),3.91958099393145E8)</f>
        <v>391958099.4</v>
      </c>
      <c r="I77" s="3">
        <f>IFERROR(__xludf.DUMMYFUNCTION("""COMPUTED_VALUE"""),4.91231606670778E8)</f>
        <v>491231606.7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IFERROR(__xludf.DUMMYFUNCTION("""COMPUTED_VALUE"""),1.9094593E7)</f>
        <v>19094593</v>
      </c>
      <c r="C78" s="3">
        <f>IFERROR(__xludf.DUMMYFUNCTION("""COMPUTED_VALUE"""),1.215619518115E8)</f>
        <v>121561951.8</v>
      </c>
      <c r="D78" s="3">
        <f>IFERROR(__xludf.DUMMYFUNCTION("""COMPUTED_VALUE"""),3.4547034353283E8)</f>
        <v>345470343.5</v>
      </c>
      <c r="E78" s="3">
        <f>IFERROR(__xludf.DUMMYFUNCTION("""COMPUTED_VALUE"""),1.3948032327888E7)</f>
        <v>13948032.33</v>
      </c>
      <c r="F78" s="3">
        <f>IFERROR(__xludf.DUMMYFUNCTION("""COMPUTED_VALUE"""),4.56489583401055E8)</f>
        <v>456489583.4</v>
      </c>
      <c r="G78" s="3">
        <f>IFERROR(__xludf.DUMMYFUNCTION("""COMPUTED_VALUE"""),977631.036951)</f>
        <v>977631.037</v>
      </c>
      <c r="H78" s="3">
        <f>IFERROR(__xludf.DUMMYFUNCTION("""COMPUTED_VALUE"""),3.91958099393145E8)</f>
        <v>391958099.4</v>
      </c>
      <c r="I78" s="3">
        <f>IFERROR(__xludf.DUMMYFUNCTION("""COMPUTED_VALUE"""),4.93245690098426E8)</f>
        <v>493245690.1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IFERROR(__xludf.DUMMYFUNCTION("""COMPUTED_VALUE"""),1.90955E7)</f>
        <v>19095500</v>
      </c>
      <c r="C79" s="3">
        <f>IFERROR(__xludf.DUMMYFUNCTION("""COMPUTED_VALUE"""),1.215754829365E8)</f>
        <v>121575482.9</v>
      </c>
      <c r="D79" s="3">
        <f>IFERROR(__xludf.DUMMYFUNCTION("""COMPUTED_VALUE"""),3.45476158521718E8)</f>
        <v>345476158.5</v>
      </c>
      <c r="E79" s="3">
        <f>IFERROR(__xludf.DUMMYFUNCTION("""COMPUTED_VALUE"""),1.3948351936471E7)</f>
        <v>13948351.94</v>
      </c>
      <c r="F79" s="3">
        <f>IFERROR(__xludf.DUMMYFUNCTION("""COMPUTED_VALUE"""),4.56489583401055E8)</f>
        <v>456489583.4</v>
      </c>
      <c r="G79" s="3">
        <f>IFERROR(__xludf.DUMMYFUNCTION("""COMPUTED_VALUE"""),977631.036951)</f>
        <v>977631.037</v>
      </c>
      <c r="H79" s="3">
        <f>IFERROR(__xludf.DUMMYFUNCTION("""COMPUTED_VALUE"""),3.91958099393145E8)</f>
        <v>391958099.4</v>
      </c>
      <c r="I79" s="3">
        <f>IFERROR(__xludf.DUMMYFUNCTION("""COMPUTED_VALUE"""),4.95362899716888E8)</f>
        <v>495362899.7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IFERROR(__xludf.DUMMYFUNCTION("""COMPUTED_VALUE"""),1.9096287E7)</f>
        <v>19096287</v>
      </c>
      <c r="C80" s="3">
        <f>IFERROR(__xludf.DUMMYFUNCTION("""COMPUTED_VALUE"""),1.21588820999E8)</f>
        <v>121588821</v>
      </c>
      <c r="D80" s="3">
        <f>IFERROR(__xludf.DUMMYFUNCTION("""COMPUTED_VALUE"""),3.45608799735194E8)</f>
        <v>345608799.7</v>
      </c>
      <c r="E80" s="3">
        <f>IFERROR(__xludf.DUMMYFUNCTION("""COMPUTED_VALUE"""),1.3948605151412E7)</f>
        <v>13948605.15</v>
      </c>
      <c r="F80" s="3">
        <f>IFERROR(__xludf.DUMMYFUNCTION("""COMPUTED_VALUE"""),4.56489583401055E8)</f>
        <v>456489583.4</v>
      </c>
      <c r="G80" s="3">
        <f>IFERROR(__xludf.DUMMYFUNCTION("""COMPUTED_VALUE"""),977631.036951)</f>
        <v>977631.037</v>
      </c>
      <c r="H80" s="3">
        <f>IFERROR(__xludf.DUMMYFUNCTION("""COMPUTED_VALUE"""),3.91958099393145E8)</f>
        <v>391958099.4</v>
      </c>
      <c r="I80" s="3">
        <f>IFERROR(__xludf.DUMMYFUNCTION("""COMPUTED_VALUE"""),4.97364268413233E8)</f>
        <v>497364268.4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IFERROR(__xludf.DUMMYFUNCTION("""COMPUTED_VALUE"""),1.9097131E7)</f>
        <v>19097131</v>
      </c>
      <c r="C81" s="3">
        <f>IFERROR(__xludf.DUMMYFUNCTION("""COMPUTED_VALUE"""),1.21602448874E8)</f>
        <v>121602448.9</v>
      </c>
      <c r="D81" s="3">
        <f>IFERROR(__xludf.DUMMYFUNCTION("""COMPUTED_VALUE"""),3.45608139292671E8)</f>
        <v>345608139.3</v>
      </c>
      <c r="E81" s="3">
        <f>IFERROR(__xludf.DUMMYFUNCTION("""COMPUTED_VALUE"""),1.39657753517E7)</f>
        <v>13965775.35</v>
      </c>
      <c r="F81" s="3">
        <f>IFERROR(__xludf.DUMMYFUNCTION("""COMPUTED_VALUE"""),4.56489583401055E8)</f>
        <v>456489583.4</v>
      </c>
      <c r="G81" s="3">
        <f>IFERROR(__xludf.DUMMYFUNCTION("""COMPUTED_VALUE"""),977631.036951)</f>
        <v>977631.037</v>
      </c>
      <c r="H81" s="3">
        <f>IFERROR(__xludf.DUMMYFUNCTION("""COMPUTED_VALUE"""),3.91958099393145E8)</f>
        <v>391958099.4</v>
      </c>
      <c r="I81" s="3">
        <f>IFERROR(__xludf.DUMMYFUNCTION("""COMPUTED_VALUE"""),4.99379984925635E8)</f>
        <v>499379984.9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IFERROR(__xludf.DUMMYFUNCTION("""COMPUTED_VALUE"""),1.9097975E7)</f>
        <v>19097975</v>
      </c>
      <c r="C82" s="3">
        <f>IFERROR(__xludf.DUMMYFUNCTION("""COMPUTED_VALUE"""),1.21616092874E8)</f>
        <v>121616092.9</v>
      </c>
      <c r="D82" s="3">
        <f>IFERROR(__xludf.DUMMYFUNCTION("""COMPUTED_VALUE"""),3.45607441746432E8)</f>
        <v>345607441.7</v>
      </c>
      <c r="E82" s="3">
        <f>IFERROR(__xludf.DUMMYFUNCTION("""COMPUTED_VALUE"""),1.396596177834E7)</f>
        <v>13965961.78</v>
      </c>
      <c r="F82" s="3">
        <f>IFERROR(__xludf.DUMMYFUNCTION("""COMPUTED_VALUE"""),4.56489583401055E8)</f>
        <v>456489583.4</v>
      </c>
      <c r="G82" s="3">
        <f>IFERROR(__xludf.DUMMYFUNCTION("""COMPUTED_VALUE"""),977631.036951)</f>
        <v>977631.037</v>
      </c>
      <c r="H82" s="3">
        <f>IFERROR(__xludf.DUMMYFUNCTION("""COMPUTED_VALUE"""),3.91958099393145E8)</f>
        <v>391958099.4</v>
      </c>
      <c r="I82" s="3">
        <f>IFERROR(__xludf.DUMMYFUNCTION("""COMPUTED_VALUE"""),5.0139626135281E8)</f>
        <v>501396261.4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IFERROR(__xludf.DUMMYFUNCTION("""COMPUTED_VALUE"""),1.9098737E7)</f>
        <v>19098737</v>
      </c>
      <c r="C83" s="3">
        <f>IFERROR(__xludf.DUMMYFUNCTION("""COMPUTED_VALUE"""),1.21629513249E8)</f>
        <v>121629513.2</v>
      </c>
      <c r="D83" s="3">
        <f>IFERROR(__xludf.DUMMYFUNCTION("""COMPUTED_VALUE"""),3.45745513080164E8)</f>
        <v>345745513.1</v>
      </c>
      <c r="E83" s="3">
        <f>IFERROR(__xludf.DUMMYFUNCTION("""COMPUTED_VALUE"""),1.396620323491E7)</f>
        <v>13966203.23</v>
      </c>
      <c r="F83" s="3">
        <f>IFERROR(__xludf.DUMMYFUNCTION("""COMPUTED_VALUE"""),4.56489583401055E8)</f>
        <v>456489583.4</v>
      </c>
      <c r="G83" s="3">
        <f>IFERROR(__xludf.DUMMYFUNCTION("""COMPUTED_VALUE"""),977631.036951)</f>
        <v>977631.037</v>
      </c>
      <c r="H83" s="3">
        <f>IFERROR(__xludf.DUMMYFUNCTION("""COMPUTED_VALUE"""),3.91958099393145E8)</f>
        <v>391958099.4</v>
      </c>
      <c r="I83" s="3">
        <f>IFERROR(__xludf.DUMMYFUNCTION("""COMPUTED_VALUE"""),5.03411091333487E8)</f>
        <v>503411091.3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IFERROR(__xludf.DUMMYFUNCTION("""COMPUTED_VALUE"""),1.9099612E7)</f>
        <v>19099612</v>
      </c>
      <c r="C84" s="3">
        <f>IFERROR(__xludf.DUMMYFUNCTION("""COMPUTED_VALUE"""),1.21643128374E8)</f>
        <v>121643128.4</v>
      </c>
      <c r="D84" s="3">
        <f>IFERROR(__xludf.DUMMYFUNCTION("""COMPUTED_VALUE"""),3.45762618967499E8)</f>
        <v>345762619</v>
      </c>
      <c r="E84" s="3">
        <f>IFERROR(__xludf.DUMMYFUNCTION("""COMPUTED_VALUE"""),1.3967238845596E7)</f>
        <v>13967238.85</v>
      </c>
      <c r="F84" s="3">
        <f>IFERROR(__xludf.DUMMYFUNCTION("""COMPUTED_VALUE"""),4.56489583401055E8)</f>
        <v>456489583.4</v>
      </c>
      <c r="G84" s="3">
        <f>IFERROR(__xludf.DUMMYFUNCTION("""COMPUTED_VALUE"""),977631.036951)</f>
        <v>977631.037</v>
      </c>
      <c r="H84" s="3">
        <f>IFERROR(__xludf.DUMMYFUNCTION("""COMPUTED_VALUE"""),3.91958099393145E8)</f>
        <v>391958099.4</v>
      </c>
      <c r="I84" s="3">
        <f>IFERROR(__xludf.DUMMYFUNCTION("""COMPUTED_VALUE"""),5.05427671047831E8)</f>
        <v>505427671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IFERROR(__xludf.DUMMYFUNCTION("""COMPUTED_VALUE"""),1.9100437E7)</f>
        <v>19100437</v>
      </c>
      <c r="C85" s="3">
        <f>IFERROR(__xludf.DUMMYFUNCTION("""COMPUTED_VALUE"""),1.21656657374E8)</f>
        <v>121656657.4</v>
      </c>
      <c r="D85" s="3">
        <f>IFERROR(__xludf.DUMMYFUNCTION("""COMPUTED_VALUE"""),3.45761905788783E8)</f>
        <v>345761905.8</v>
      </c>
      <c r="E85" s="3">
        <f>IFERROR(__xludf.DUMMYFUNCTION("""COMPUTED_VALUE"""),1.396748868251E7)</f>
        <v>13967488.68</v>
      </c>
      <c r="F85" s="3">
        <f>IFERROR(__xludf.DUMMYFUNCTION("""COMPUTED_VALUE"""),4.56489583401055E8)</f>
        <v>456489583.4</v>
      </c>
      <c r="G85" s="3">
        <f>IFERROR(__xludf.DUMMYFUNCTION("""COMPUTED_VALUE"""),977631.036951)</f>
        <v>977631.037</v>
      </c>
      <c r="H85" s="3">
        <f>IFERROR(__xludf.DUMMYFUNCTION("""COMPUTED_VALUE"""),3.91958099393145E8)</f>
        <v>391958099.4</v>
      </c>
      <c r="I85" s="3">
        <f>IFERROR(__xludf.DUMMYFUNCTION("""COMPUTED_VALUE"""),5.07443177592193E8)</f>
        <v>507443177.6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IFERROR(__xludf.DUMMYFUNCTION("""COMPUTED_VALUE"""),1.9101406E7)</f>
        <v>19101406</v>
      </c>
      <c r="C86" s="3">
        <f>IFERROR(__xludf.DUMMYFUNCTION("""COMPUTED_VALUE"""),1.21670300499E8)</f>
        <v>121670300.5</v>
      </c>
      <c r="D86" s="3">
        <f>IFERROR(__xludf.DUMMYFUNCTION("""COMPUTED_VALUE"""),3.45893428328752E8)</f>
        <v>345893428.3</v>
      </c>
      <c r="E86" s="3">
        <f>IFERROR(__xludf.DUMMYFUNCTION("""COMPUTED_VALUE"""),1.3967630476793E7)</f>
        <v>13967630.48</v>
      </c>
      <c r="F86" s="3">
        <f>IFERROR(__xludf.DUMMYFUNCTION("""COMPUTED_VALUE"""),4.56489583401055E8)</f>
        <v>456489583.4</v>
      </c>
      <c r="G86" s="3">
        <f>IFERROR(__xludf.DUMMYFUNCTION("""COMPUTED_VALUE"""),977631.036951)</f>
        <v>977631.037</v>
      </c>
      <c r="H86" s="3">
        <f>IFERROR(__xludf.DUMMYFUNCTION("""COMPUTED_VALUE"""),3.91958099393145E8)</f>
        <v>391958099.4</v>
      </c>
      <c r="I86" s="3">
        <f>IFERROR(__xludf.DUMMYFUNCTION("""COMPUTED_VALUE"""),5.09458964093941E8)</f>
        <v>509458964.1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IFERROR(__xludf.DUMMYFUNCTION("""COMPUTED_VALUE"""),1.9102381E7)</f>
        <v>19102381</v>
      </c>
      <c r="C87" s="3">
        <f>IFERROR(__xludf.DUMMYFUNCTION("""COMPUTED_VALUE"""),1.21683671999E8)</f>
        <v>121683672</v>
      </c>
      <c r="D87" s="3">
        <f>IFERROR(__xludf.DUMMYFUNCTION("""COMPUTED_VALUE"""),3.4589279526088E8)</f>
        <v>345892795.3</v>
      </c>
      <c r="E87" s="3">
        <f>IFERROR(__xludf.DUMMYFUNCTION("""COMPUTED_VALUE"""),1.3967845849607E7)</f>
        <v>13967845.85</v>
      </c>
      <c r="F87" s="3">
        <f>IFERROR(__xludf.DUMMYFUNCTION("""COMPUTED_VALUE"""),4.56489583401055E8)</f>
        <v>456489583.4</v>
      </c>
      <c r="G87" s="3">
        <f>IFERROR(__xludf.DUMMYFUNCTION("""COMPUTED_VALUE"""),977631.036951)</f>
        <v>977631.037</v>
      </c>
      <c r="H87" s="3">
        <f>IFERROR(__xludf.DUMMYFUNCTION("""COMPUTED_VALUE"""),3.91958099393145E8)</f>
        <v>391958099.4</v>
      </c>
      <c r="I87" s="3">
        <f>IFERROR(__xludf.DUMMYFUNCTION("""COMPUTED_VALUE"""),5.11492379134346E8)</f>
        <v>511492379.1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IFERROR(__xludf.DUMMYFUNCTION("""COMPUTED_VALUE"""),1.9103287E7)</f>
        <v>19103287</v>
      </c>
      <c r="C88" s="3">
        <f>IFERROR(__xludf.DUMMYFUNCTION("""COMPUTED_VALUE"""),1.21697017124E8)</f>
        <v>121697017.1</v>
      </c>
      <c r="D88" s="3">
        <f>IFERROR(__xludf.DUMMYFUNCTION("""COMPUTED_VALUE"""),3.45896650953038E8)</f>
        <v>345896651</v>
      </c>
      <c r="E88" s="3">
        <f>IFERROR(__xludf.DUMMYFUNCTION("""COMPUTED_VALUE"""),1.3968093794384E7)</f>
        <v>13968093.79</v>
      </c>
      <c r="F88" s="3">
        <f>IFERROR(__xludf.DUMMYFUNCTION("""COMPUTED_VALUE"""),4.56489583401055E8)</f>
        <v>456489583.4</v>
      </c>
      <c r="G88" s="3">
        <f>IFERROR(__xludf.DUMMYFUNCTION("""COMPUTED_VALUE"""),977631.036951)</f>
        <v>977631.037</v>
      </c>
      <c r="H88" s="3">
        <f>IFERROR(__xludf.DUMMYFUNCTION("""COMPUTED_VALUE"""),3.91958099393145E8)</f>
        <v>391958099.4</v>
      </c>
      <c r="I88" s="3">
        <f>IFERROR(__xludf.DUMMYFUNCTION("""COMPUTED_VALUE"""),5.13519777661085E8)</f>
        <v>513519777.7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IFERROR(__xludf.DUMMYFUNCTION("""COMPUTED_VALUE"""),1.9104275E7)</f>
        <v>19104275</v>
      </c>
      <c r="C89" s="3">
        <f>IFERROR(__xludf.DUMMYFUNCTION("""COMPUTED_VALUE"""),1.21710489124E8)</f>
        <v>121710489.1</v>
      </c>
      <c r="D89" s="3">
        <f>IFERROR(__xludf.DUMMYFUNCTION("""COMPUTED_VALUE"""),3.46028772251411E8)</f>
        <v>346028772.3</v>
      </c>
      <c r="E89" s="3">
        <f>IFERROR(__xludf.DUMMYFUNCTION("""COMPUTED_VALUE"""),1.3969492334459E7)</f>
        <v>13969492.33</v>
      </c>
      <c r="F89" s="3">
        <f>IFERROR(__xludf.DUMMYFUNCTION("""COMPUTED_VALUE"""),4.56489583401055E8)</f>
        <v>456489583.4</v>
      </c>
      <c r="G89" s="3">
        <f>IFERROR(__xludf.DUMMYFUNCTION("""COMPUTED_VALUE"""),977631.036951)</f>
        <v>977631.037</v>
      </c>
      <c r="H89" s="3">
        <f>IFERROR(__xludf.DUMMYFUNCTION("""COMPUTED_VALUE"""),3.91958099393145E8)</f>
        <v>391958099.4</v>
      </c>
      <c r="I89" s="3">
        <f>IFERROR(__xludf.DUMMYFUNCTION("""COMPUTED_VALUE"""),5.15535517503269E8)</f>
        <v>515535517.5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IFERROR(__xludf.DUMMYFUNCTION("""COMPUTED_VALUE"""),1.9105343E7)</f>
        <v>19105343</v>
      </c>
      <c r="C90" s="3">
        <f>IFERROR(__xludf.DUMMYFUNCTION("""COMPUTED_VALUE"""),1.21724019374E8)</f>
        <v>121724019.4</v>
      </c>
      <c r="D90" s="3">
        <f>IFERROR(__xludf.DUMMYFUNCTION("""COMPUTED_VALUE"""),3.46028126103174E8)</f>
        <v>346028126.1</v>
      </c>
      <c r="E90" s="3">
        <f>IFERROR(__xludf.DUMMYFUNCTION("""COMPUTED_VALUE"""),1.3969987657148E7)</f>
        <v>13969987.66</v>
      </c>
      <c r="F90" s="3">
        <f>IFERROR(__xludf.DUMMYFUNCTION("""COMPUTED_VALUE"""),4.56489583401055E8)</f>
        <v>456489583.4</v>
      </c>
      <c r="G90" s="3">
        <f>IFERROR(__xludf.DUMMYFUNCTION("""COMPUTED_VALUE"""),977631.036951)</f>
        <v>977631.037</v>
      </c>
      <c r="H90" s="3">
        <f>IFERROR(__xludf.DUMMYFUNCTION("""COMPUTED_VALUE"""),3.91958099393145E8)</f>
        <v>391958099.4</v>
      </c>
      <c r="I90" s="3">
        <f>IFERROR(__xludf.DUMMYFUNCTION("""COMPUTED_VALUE"""),5.17531613668836E8)</f>
        <v>517531613.7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IFERROR(__xludf.DUMMYFUNCTION("""COMPUTED_VALUE"""),1.9106187E7)</f>
        <v>19106187</v>
      </c>
      <c r="C91" s="3">
        <f>IFERROR(__xludf.DUMMYFUNCTION("""COMPUTED_VALUE"""),1.21735327999E8)</f>
        <v>121735328</v>
      </c>
      <c r="D91" s="3">
        <f>IFERROR(__xludf.DUMMYFUNCTION("""COMPUTED_VALUE"""),3.46027384154124E8)</f>
        <v>346027384.2</v>
      </c>
      <c r="E91" s="3">
        <f>IFERROR(__xludf.DUMMYFUNCTION("""COMPUTED_VALUE"""),1.3970457623399E7)</f>
        <v>13970457.62</v>
      </c>
      <c r="F91" s="3">
        <f>IFERROR(__xludf.DUMMYFUNCTION("""COMPUTED_VALUE"""),4.56489583401055E8)</f>
        <v>456489583.4</v>
      </c>
      <c r="G91" s="3">
        <f>IFERROR(__xludf.DUMMYFUNCTION("""COMPUTED_VALUE"""),977631.036951)</f>
        <v>977631.037</v>
      </c>
      <c r="H91" s="3">
        <f>IFERROR(__xludf.DUMMYFUNCTION("""COMPUTED_VALUE"""),3.91958099393145E8)</f>
        <v>391958099.4</v>
      </c>
      <c r="I91" s="3">
        <f>IFERROR(__xludf.DUMMYFUNCTION("""COMPUTED_VALUE"""),5.19548053404486E8)</f>
        <v>519548053.4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IFERROR(__xludf.DUMMYFUNCTION("""COMPUTED_VALUE"""),1.91071E7)</f>
        <v>19107100</v>
      </c>
      <c r="C92" s="3">
        <f>IFERROR(__xludf.DUMMYFUNCTION("""COMPUTED_VALUE"""),1.217509870615E8)</f>
        <v>121750987.1</v>
      </c>
      <c r="D92" s="3">
        <f>IFERROR(__xludf.DUMMYFUNCTION("""COMPUTED_VALUE"""),3.46159898165344E8)</f>
        <v>346159898.2</v>
      </c>
      <c r="E92" s="3">
        <f>IFERROR(__xludf.DUMMYFUNCTION("""COMPUTED_VALUE"""),1.3970634233726E7)</f>
        <v>13970634.23</v>
      </c>
      <c r="F92" s="3">
        <f>IFERROR(__xludf.DUMMYFUNCTION("""COMPUTED_VALUE"""),4.56489583401055E8)</f>
        <v>456489583.4</v>
      </c>
      <c r="G92" s="3">
        <f>IFERROR(__xludf.DUMMYFUNCTION("""COMPUTED_VALUE"""),977631.036951)</f>
        <v>977631.037</v>
      </c>
      <c r="H92" s="3">
        <f>IFERROR(__xludf.DUMMYFUNCTION("""COMPUTED_VALUE"""),3.91958099393145E8)</f>
        <v>391958099.4</v>
      </c>
      <c r="I92" s="3">
        <f>IFERROR(__xludf.DUMMYFUNCTION("""COMPUTED_VALUE"""),5.21576507977972E8)</f>
        <v>521576508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IFERROR(__xludf.DUMMYFUNCTION("""COMPUTED_VALUE"""),1.9107912E7)</f>
        <v>19107912</v>
      </c>
      <c r="C93" s="3">
        <f>IFERROR(__xludf.DUMMYFUNCTION("""COMPUTED_VALUE"""),1.217644379365E8)</f>
        <v>121764437.9</v>
      </c>
      <c r="D93" s="3">
        <f>IFERROR(__xludf.DUMMYFUNCTION("""COMPUTED_VALUE"""),3.4615919429646E8)</f>
        <v>346159194.3</v>
      </c>
      <c r="E93" s="3">
        <f>IFERROR(__xludf.DUMMYFUNCTION("""COMPUTED_VALUE"""),1.3971684612636E7)</f>
        <v>13971684.61</v>
      </c>
      <c r="F93" s="3">
        <f>IFERROR(__xludf.DUMMYFUNCTION("""COMPUTED_VALUE"""),4.56489583401055E8)</f>
        <v>456489583.4</v>
      </c>
      <c r="G93" s="3">
        <f>IFERROR(__xludf.DUMMYFUNCTION("""COMPUTED_VALUE"""),977631.036951)</f>
        <v>977631.037</v>
      </c>
      <c r="H93" s="3">
        <f>IFERROR(__xludf.DUMMYFUNCTION("""COMPUTED_VALUE"""),3.91958099393145E8)</f>
        <v>391958099.4</v>
      </c>
      <c r="I93" s="3">
        <f>IFERROR(__xludf.DUMMYFUNCTION("""COMPUTED_VALUE"""),5.23679136482556E8)</f>
        <v>523679136.5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IFERROR(__xludf.DUMMYFUNCTION("""COMPUTED_VALUE"""),1.9108843E7)</f>
        <v>19108843</v>
      </c>
      <c r="C94" s="3">
        <f>IFERROR(__xludf.DUMMYFUNCTION("""COMPUTED_VALUE"""),1.217779445615E8)</f>
        <v>121777944.6</v>
      </c>
      <c r="D94" s="3">
        <f>IFERROR(__xludf.DUMMYFUNCTION("""COMPUTED_VALUE"""),3.46520527292569E8)</f>
        <v>346520527.3</v>
      </c>
      <c r="E94" s="3">
        <f>IFERROR(__xludf.DUMMYFUNCTION("""COMPUTED_VALUE"""),1.3979116401164E7)</f>
        <v>13979116.4</v>
      </c>
      <c r="F94" s="3">
        <f>IFERROR(__xludf.DUMMYFUNCTION("""COMPUTED_VALUE"""),4.56489583401055E8)</f>
        <v>456489583.4</v>
      </c>
      <c r="G94" s="3">
        <f>IFERROR(__xludf.DUMMYFUNCTION("""COMPUTED_VALUE"""),977631.036951)</f>
        <v>977631.037</v>
      </c>
      <c r="H94" s="3">
        <f>IFERROR(__xludf.DUMMYFUNCTION("""COMPUTED_VALUE"""),3.91958099393145E8)</f>
        <v>391958099.4</v>
      </c>
      <c r="I94" s="3">
        <f>IFERROR(__xludf.DUMMYFUNCTION("""COMPUTED_VALUE"""),5.25693989793016E8)</f>
        <v>525693989.8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IFERROR(__xludf.DUMMYFUNCTION("""COMPUTED_VALUE"""),1.91097E7)</f>
        <v>19109700</v>
      </c>
      <c r="C95" s="3">
        <f>IFERROR(__xludf.DUMMYFUNCTION("""COMPUTED_VALUE"""),1.217913971865E8)</f>
        <v>121791397.2</v>
      </c>
      <c r="D95" s="3">
        <f>IFERROR(__xludf.DUMMYFUNCTION("""COMPUTED_VALUE"""),3.46519845755235E8)</f>
        <v>346519845.8</v>
      </c>
      <c r="E95" s="3">
        <f>IFERROR(__xludf.DUMMYFUNCTION("""COMPUTED_VALUE"""),1.3979201451471E7)</f>
        <v>13979201.45</v>
      </c>
      <c r="F95" s="3">
        <f>IFERROR(__xludf.DUMMYFUNCTION("""COMPUTED_VALUE"""),4.56489583401055E8)</f>
        <v>456489583.4</v>
      </c>
      <c r="G95" s="3">
        <f>IFERROR(__xludf.DUMMYFUNCTION("""COMPUTED_VALUE"""),977631.036951)</f>
        <v>977631.037</v>
      </c>
      <c r="H95" s="3">
        <f>IFERROR(__xludf.DUMMYFUNCTION("""COMPUTED_VALUE"""),3.91958099393145E8)</f>
        <v>391958099.4</v>
      </c>
      <c r="I95" s="3">
        <f>IFERROR(__xludf.DUMMYFUNCTION("""COMPUTED_VALUE"""),5.27723680844959E8)</f>
        <v>527723680.8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IFERROR(__xludf.DUMMYFUNCTION("""COMPUTED_VALUE"""),1.9110706E7)</f>
        <v>19110706</v>
      </c>
      <c r="C96" s="3">
        <f>IFERROR(__xludf.DUMMYFUNCTION("""COMPUTED_VALUE"""),1.21804929374E8)</f>
        <v>121804929.4</v>
      </c>
      <c r="D96" s="3">
        <f>IFERROR(__xludf.DUMMYFUNCTION("""COMPUTED_VALUE"""),3.46652443511433E8)</f>
        <v>346652443.5</v>
      </c>
      <c r="E96" s="3">
        <f>IFERROR(__xludf.DUMMYFUNCTION("""COMPUTED_VALUE"""),1.397965521628E7)</f>
        <v>13979655.22</v>
      </c>
      <c r="F96" s="3">
        <f>IFERROR(__xludf.DUMMYFUNCTION("""COMPUTED_VALUE"""),4.56489583401055E8)</f>
        <v>456489583.4</v>
      </c>
      <c r="G96" s="3">
        <f>IFERROR(__xludf.DUMMYFUNCTION("""COMPUTED_VALUE"""),977631.036951)</f>
        <v>977631.037</v>
      </c>
      <c r="H96" s="3">
        <f>IFERROR(__xludf.DUMMYFUNCTION("""COMPUTED_VALUE"""),3.91958099393145E8)</f>
        <v>391958099.4</v>
      </c>
      <c r="I96" s="3">
        <f>IFERROR(__xludf.DUMMYFUNCTION("""COMPUTED_VALUE"""),5.2973865080433E8)</f>
        <v>529738650.8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IFERROR(__xludf.DUMMYFUNCTION("""COMPUTED_VALUE"""),1.91116E7)</f>
        <v>19111600</v>
      </c>
      <c r="C97" s="3">
        <f>IFERROR(__xludf.DUMMYFUNCTION("""COMPUTED_VALUE"""),1.218182974365E8)</f>
        <v>121818297.4</v>
      </c>
      <c r="D97" s="3">
        <f>IFERROR(__xludf.DUMMYFUNCTION("""COMPUTED_VALUE"""),3.46339196906434E8)</f>
        <v>346339196.9</v>
      </c>
      <c r="E97" s="3">
        <f>IFERROR(__xludf.DUMMYFUNCTION("""COMPUTED_VALUE"""),1.3981273942187E7)</f>
        <v>13981273.94</v>
      </c>
      <c r="F97" s="3">
        <f>IFERROR(__xludf.DUMMYFUNCTION("""COMPUTED_VALUE"""),4.56489583401055E8)</f>
        <v>456489583.4</v>
      </c>
      <c r="G97" s="3">
        <f>IFERROR(__xludf.DUMMYFUNCTION("""COMPUTED_VALUE"""),977631.036951)</f>
        <v>977631.037</v>
      </c>
      <c r="H97" s="3">
        <f>IFERROR(__xludf.DUMMYFUNCTION("""COMPUTED_VALUE"""),3.91958099393145E8)</f>
        <v>391958099.4</v>
      </c>
      <c r="I97" s="3">
        <f>IFERROR(__xludf.DUMMYFUNCTION("""COMPUTED_VALUE"""),5.31772074621426E8)</f>
        <v>531772074.6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IFERROR(__xludf.DUMMYFUNCTION("""COMPUTED_VALUE"""),1.9112431E7)</f>
        <v>19112431</v>
      </c>
      <c r="C98" s="3">
        <f>IFERROR(__xludf.DUMMYFUNCTION("""COMPUTED_VALUE"""),1.21831680249E8)</f>
        <v>121831680.2</v>
      </c>
      <c r="D98" s="3">
        <f>IFERROR(__xludf.DUMMYFUNCTION("""COMPUTED_VALUE"""),3.46472319309739E8)</f>
        <v>346472319.3</v>
      </c>
      <c r="E98" s="3">
        <f>IFERROR(__xludf.DUMMYFUNCTION("""COMPUTED_VALUE"""),1.3981879010132E7)</f>
        <v>13981879.01</v>
      </c>
      <c r="F98" s="3">
        <f>IFERROR(__xludf.DUMMYFUNCTION("""COMPUTED_VALUE"""),4.56489583401055E8)</f>
        <v>456489583.4</v>
      </c>
      <c r="G98" s="3">
        <f>IFERROR(__xludf.DUMMYFUNCTION("""COMPUTED_VALUE"""),977631.036951)</f>
        <v>977631.037</v>
      </c>
      <c r="H98" s="3">
        <f>IFERROR(__xludf.DUMMYFUNCTION("""COMPUTED_VALUE"""),3.91958099393145E8)</f>
        <v>391958099.4</v>
      </c>
      <c r="I98" s="3">
        <f>IFERROR(__xludf.DUMMYFUNCTION("""COMPUTED_VALUE"""),5.36257999001951E8)</f>
        <v>536257999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IFERROR(__xludf.DUMMYFUNCTION("""COMPUTED_VALUE"""),1.9113368E7)</f>
        <v>19113368</v>
      </c>
      <c r="C99" s="3">
        <f>IFERROR(__xludf.DUMMYFUNCTION("""COMPUTED_VALUE"""),1.21845295374E8)</f>
        <v>121845295.4</v>
      </c>
      <c r="D99" s="3">
        <f>IFERROR(__xludf.DUMMYFUNCTION("""COMPUTED_VALUE"""),3.46471544157969E8)</f>
        <v>346471544.2</v>
      </c>
      <c r="E99" s="3">
        <f>IFERROR(__xludf.DUMMYFUNCTION("""COMPUTED_VALUE"""),1.3982062159139E7)</f>
        <v>13982062.16</v>
      </c>
      <c r="F99" s="3">
        <f>IFERROR(__xludf.DUMMYFUNCTION("""COMPUTED_VALUE"""),4.56489583401055E8)</f>
        <v>456489583.4</v>
      </c>
      <c r="G99" s="3">
        <f>IFERROR(__xludf.DUMMYFUNCTION("""COMPUTED_VALUE"""),977631.036951)</f>
        <v>977631.037</v>
      </c>
      <c r="H99" s="3">
        <f>IFERROR(__xludf.DUMMYFUNCTION("""COMPUTED_VALUE"""),3.91958099393145E8)</f>
        <v>391958099.4</v>
      </c>
      <c r="I99" s="3">
        <f>IFERROR(__xludf.DUMMYFUNCTION("""COMPUTED_VALUE"""),5.38302597784724E8)</f>
        <v>538302597.8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IFERROR(__xludf.DUMMYFUNCTION("""COMPUTED_VALUE"""),1.9114362E7)</f>
        <v>19114362</v>
      </c>
      <c r="C100" s="3">
        <f>IFERROR(__xludf.DUMMYFUNCTION("""COMPUTED_VALUE"""),1.21858727624E8)</f>
        <v>121858727.6</v>
      </c>
      <c r="D100" s="3">
        <f>IFERROR(__xludf.DUMMYFUNCTION("""COMPUTED_VALUE"""),3.4697191196546E8)</f>
        <v>346971912</v>
      </c>
      <c r="E100" s="3">
        <f>IFERROR(__xludf.DUMMYFUNCTION("""COMPUTED_VALUE"""),1.3982526729287E7)</f>
        <v>13982526.73</v>
      </c>
      <c r="F100" s="3">
        <f>IFERROR(__xludf.DUMMYFUNCTION("""COMPUTED_VALUE"""),4.56489583401055E8)</f>
        <v>456489583.4</v>
      </c>
      <c r="G100" s="3">
        <f>IFERROR(__xludf.DUMMYFUNCTION("""COMPUTED_VALUE"""),977631.036951)</f>
        <v>977631.037</v>
      </c>
      <c r="H100" s="3">
        <f>IFERROR(__xludf.DUMMYFUNCTION("""COMPUTED_VALUE"""),3.91958099393145E8)</f>
        <v>391958099.4</v>
      </c>
      <c r="I100" s="3">
        <f>IFERROR(__xludf.DUMMYFUNCTION("""COMPUTED_VALUE"""),5.40289152069368E8)</f>
        <v>540289152.1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IFERROR(__xludf.DUMMYFUNCTION("""COMPUTED_VALUE"""),1.9115337E7)</f>
        <v>19115337</v>
      </c>
      <c r="C101" s="3">
        <f>IFERROR(__xludf.DUMMYFUNCTION("""COMPUTED_VALUE"""),1.21872196749E8)</f>
        <v>121872196.7</v>
      </c>
      <c r="D101" s="3">
        <f>IFERROR(__xludf.DUMMYFUNCTION("""COMPUTED_VALUE"""),3.48407365720977E8)</f>
        <v>348407365.7</v>
      </c>
      <c r="E101" s="3">
        <f>IFERROR(__xludf.DUMMYFUNCTION("""COMPUTED_VALUE"""),1.3983251850727E7)</f>
        <v>13983251.85</v>
      </c>
      <c r="F101" s="3">
        <f>IFERROR(__xludf.DUMMYFUNCTION("""COMPUTED_VALUE"""),4.56489583401055E8)</f>
        <v>456489583.4</v>
      </c>
      <c r="G101" s="3">
        <f>IFERROR(__xludf.DUMMYFUNCTION("""COMPUTED_VALUE"""),977631.036951)</f>
        <v>977631.037</v>
      </c>
      <c r="H101" s="3">
        <f>IFERROR(__xludf.DUMMYFUNCTION("""COMPUTED_VALUE"""),3.91958099393145E8)</f>
        <v>391958099.4</v>
      </c>
      <c r="I101" s="3">
        <f>IFERROR(__xludf.DUMMYFUNCTION("""COMPUTED_VALUE"""),5.42305451826324E8)</f>
        <v>542305451.8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IFERROR(__xludf.DUMMYFUNCTION("""COMPUTED_VALUE"""),1.9116268E7)</f>
        <v>19116268</v>
      </c>
      <c r="C102" s="3">
        <f>IFERROR(__xludf.DUMMYFUNCTION("""COMPUTED_VALUE"""),1.21885552374E8)</f>
        <v>121885552.4</v>
      </c>
      <c r="D102" s="3">
        <f>IFERROR(__xludf.DUMMYFUNCTION("""COMPUTED_VALUE"""),3.4840664269399E8)</f>
        <v>348406642.7</v>
      </c>
      <c r="E102" s="3">
        <f>IFERROR(__xludf.DUMMYFUNCTION("""COMPUTED_VALUE"""),1.3984389853509E7)</f>
        <v>13984389.85</v>
      </c>
      <c r="F102" s="3">
        <f>IFERROR(__xludf.DUMMYFUNCTION("""COMPUTED_VALUE"""),4.56489583401055E8)</f>
        <v>456489583.4</v>
      </c>
      <c r="G102" s="3">
        <f>IFERROR(__xludf.DUMMYFUNCTION("""COMPUTED_VALUE"""),977631.036951)</f>
        <v>977631.037</v>
      </c>
      <c r="H102" s="3">
        <f>IFERROR(__xludf.DUMMYFUNCTION("""COMPUTED_VALUE"""),3.91958099393145E8)</f>
        <v>391958099.4</v>
      </c>
      <c r="I102" s="3">
        <f>IFERROR(__xludf.DUMMYFUNCTION("""COMPUTED_VALUE"""),5.44339178930589E8)</f>
        <v>544339178.9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IFERROR(__xludf.DUMMYFUNCTION("""COMPUTED_VALUE"""),1.9117125E7)</f>
        <v>19117125</v>
      </c>
      <c r="C103" s="3">
        <f>IFERROR(__xludf.DUMMYFUNCTION("""COMPUTED_VALUE"""),1.21898991874E8)</f>
        <v>121898991.9</v>
      </c>
      <c r="D103" s="3">
        <f>IFERROR(__xludf.DUMMYFUNCTION("""COMPUTED_VALUE"""),3.48408342456003E8)</f>
        <v>348408342.5</v>
      </c>
      <c r="E103" s="3">
        <f>IFERROR(__xludf.DUMMYFUNCTION("""COMPUTED_VALUE"""),1.3985115713716E7)</f>
        <v>13985115.71</v>
      </c>
      <c r="F103" s="3">
        <f>IFERROR(__xludf.DUMMYFUNCTION("""COMPUTED_VALUE"""),4.56489583401055E8)</f>
        <v>456489583.4</v>
      </c>
      <c r="G103" s="3">
        <f>IFERROR(__xludf.DUMMYFUNCTION("""COMPUTED_VALUE"""),977631.036951)</f>
        <v>977631.037</v>
      </c>
      <c r="H103" s="3">
        <f>IFERROR(__xludf.DUMMYFUNCTION("""COMPUTED_VALUE"""),3.91958099393145E8)</f>
        <v>391958099.4</v>
      </c>
      <c r="I103" s="3">
        <f>IFERROR(__xludf.DUMMYFUNCTION("""COMPUTED_VALUE"""),5.46335415074849E8)</f>
        <v>546335415.1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IFERROR(__xludf.DUMMYFUNCTION("""COMPUTED_VALUE"""),1.9118112E7)</f>
        <v>19118112</v>
      </c>
      <c r="C104" s="3">
        <f>IFERROR(__xludf.DUMMYFUNCTION("""COMPUTED_VALUE"""),1.21912215249E8)</f>
        <v>121912215.2</v>
      </c>
      <c r="D104" s="3">
        <f>IFERROR(__xludf.DUMMYFUNCTION("""COMPUTED_VALUE"""),3.4857399262384E8)</f>
        <v>348573992.6</v>
      </c>
      <c r="E104" s="3">
        <f>IFERROR(__xludf.DUMMYFUNCTION("""COMPUTED_VALUE"""),1.3985739718079E7)</f>
        <v>13985739.72</v>
      </c>
      <c r="F104" s="3">
        <f>IFERROR(__xludf.DUMMYFUNCTION("""COMPUTED_VALUE"""),4.56489583401055E8)</f>
        <v>456489583.4</v>
      </c>
      <c r="G104" s="3">
        <f>IFERROR(__xludf.DUMMYFUNCTION("""COMPUTED_VALUE"""),977631.036951)</f>
        <v>977631.037</v>
      </c>
      <c r="H104" s="3">
        <f>IFERROR(__xludf.DUMMYFUNCTION("""COMPUTED_VALUE"""),3.91958099393145E8)</f>
        <v>391958099.4</v>
      </c>
      <c r="I104" s="3">
        <f>IFERROR(__xludf.DUMMYFUNCTION("""COMPUTED_VALUE"""),5.49385658796361E8)</f>
        <v>549385658.8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IFERROR(__xludf.DUMMYFUNCTION("""COMPUTED_VALUE"""),1.9118962E7)</f>
        <v>19118962</v>
      </c>
      <c r="C105" s="3">
        <f>IFERROR(__xludf.DUMMYFUNCTION("""COMPUTED_VALUE"""),1.21925475624E8)</f>
        <v>121925475.6</v>
      </c>
      <c r="D105" s="3">
        <f>IFERROR(__xludf.DUMMYFUNCTION("""COMPUTED_VALUE"""),3.4870691519817E8)</f>
        <v>348706915.2</v>
      </c>
      <c r="E105" s="3">
        <f>IFERROR(__xludf.DUMMYFUNCTION("""COMPUTED_VALUE"""),1.3986421258289E7)</f>
        <v>13986421.26</v>
      </c>
      <c r="F105" s="3">
        <f>IFERROR(__xludf.DUMMYFUNCTION("""COMPUTED_VALUE"""),4.56489583401055E8)</f>
        <v>456489583.4</v>
      </c>
      <c r="G105" s="3">
        <f>IFERROR(__xludf.DUMMYFUNCTION("""COMPUTED_VALUE"""),977631.036951)</f>
        <v>977631.037</v>
      </c>
      <c r="H105" s="3">
        <f>IFERROR(__xludf.DUMMYFUNCTION("""COMPUTED_VALUE"""),3.91958099393145E8)</f>
        <v>391958099.4</v>
      </c>
      <c r="I105" s="3">
        <f>IFERROR(__xludf.DUMMYFUNCTION("""COMPUTED_VALUE"""),5.51413530125292E8)</f>
        <v>551413530.1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IFERROR(__xludf.DUMMYFUNCTION("""COMPUTED_VALUE"""),1.9119875E7)</f>
        <v>19119875</v>
      </c>
      <c r="C106" s="3">
        <f>IFERROR(__xludf.DUMMYFUNCTION("""COMPUTED_VALUE"""),1.219387579365E8)</f>
        <v>121938757.9</v>
      </c>
      <c r="D106" s="3">
        <f>IFERROR(__xludf.DUMMYFUNCTION("""COMPUTED_VALUE"""),3.48706210496568E8)</f>
        <v>348706210.5</v>
      </c>
      <c r="E106" s="3">
        <f>IFERROR(__xludf.DUMMYFUNCTION("""COMPUTED_VALUE"""),1.398712499968E7)</f>
        <v>13987125</v>
      </c>
      <c r="F106" s="3">
        <f>IFERROR(__xludf.DUMMYFUNCTION("""COMPUTED_VALUE"""),4.56489583401055E8)</f>
        <v>456489583.4</v>
      </c>
      <c r="G106" s="3">
        <f>IFERROR(__xludf.DUMMYFUNCTION("""COMPUTED_VALUE"""),977631.036951)</f>
        <v>977631.037</v>
      </c>
      <c r="H106" s="3">
        <f>IFERROR(__xludf.DUMMYFUNCTION("""COMPUTED_VALUE"""),3.91958099393145E8)</f>
        <v>391958099.4</v>
      </c>
      <c r="I106" s="3">
        <f>IFERROR(__xludf.DUMMYFUNCTION("""COMPUTED_VALUE"""),5.53415808683143E8)</f>
        <v>553415808.7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IFERROR(__xludf.DUMMYFUNCTION("""COMPUTED_VALUE"""),1.9120781E7)</f>
        <v>19120781</v>
      </c>
      <c r="C107" s="3">
        <f>IFERROR(__xludf.DUMMYFUNCTION("""COMPUTED_VALUE"""),1.219520475615E8)</f>
        <v>121952047.6</v>
      </c>
      <c r="D107" s="3">
        <f>IFERROR(__xludf.DUMMYFUNCTION("""COMPUTED_VALUE"""),3.48705545319633E8)</f>
        <v>348705545.3</v>
      </c>
      <c r="E107" s="3">
        <f>IFERROR(__xludf.DUMMYFUNCTION("""COMPUTED_VALUE"""),1.3987700923547E7)</f>
        <v>13987700.92</v>
      </c>
      <c r="F107" s="3">
        <f>IFERROR(__xludf.DUMMYFUNCTION("""COMPUTED_VALUE"""),4.56489583401055E8)</f>
        <v>456489583.4</v>
      </c>
      <c r="G107" s="3">
        <f>IFERROR(__xludf.DUMMYFUNCTION("""COMPUTED_VALUE"""),977631.036951)</f>
        <v>977631.037</v>
      </c>
      <c r="H107" s="3">
        <f>IFERROR(__xludf.DUMMYFUNCTION("""COMPUTED_VALUE"""),3.91958099393145E8)</f>
        <v>391958099.4</v>
      </c>
      <c r="I107" s="3">
        <f>IFERROR(__xludf.DUMMYFUNCTION("""COMPUTED_VALUE"""),5.55433204939863E8)</f>
        <v>555433204.9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IFERROR(__xludf.DUMMYFUNCTION("""COMPUTED_VALUE"""),1.9121593E7)</f>
        <v>19121593</v>
      </c>
      <c r="C108" s="3">
        <f>IFERROR(__xludf.DUMMYFUNCTION("""COMPUTED_VALUE"""),1.219654183115E8)</f>
        <v>121965418.3</v>
      </c>
      <c r="D108" s="3">
        <f>IFERROR(__xludf.DUMMYFUNCTION("""COMPUTED_VALUE"""),3.48838182705272E8)</f>
        <v>348838182.7</v>
      </c>
      <c r="E108" s="3">
        <f>IFERROR(__xludf.DUMMYFUNCTION("""COMPUTED_VALUE"""),1.3987862289871E7)</f>
        <v>13987862.29</v>
      </c>
      <c r="F108" s="3">
        <f>IFERROR(__xludf.DUMMYFUNCTION("""COMPUTED_VALUE"""),4.56489583401055E8)</f>
        <v>456489583.4</v>
      </c>
      <c r="G108" s="3">
        <f>IFERROR(__xludf.DUMMYFUNCTION("""COMPUTED_VALUE"""),977631.036951)</f>
        <v>977631.037</v>
      </c>
      <c r="H108" s="3">
        <f>IFERROR(__xludf.DUMMYFUNCTION("""COMPUTED_VALUE"""),3.91958099393145E8)</f>
        <v>391958099.4</v>
      </c>
      <c r="I108" s="3">
        <f>IFERROR(__xludf.DUMMYFUNCTION("""COMPUTED_VALUE"""),5.5746123957727E8)</f>
        <v>557461239.6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IFERROR(__xludf.DUMMYFUNCTION("""COMPUTED_VALUE"""),1.9122531E7)</f>
        <v>19122531</v>
      </c>
      <c r="C109" s="3">
        <f>IFERROR(__xludf.DUMMYFUNCTION("""COMPUTED_VALUE"""),1.219785254365E8)</f>
        <v>121978525.4</v>
      </c>
      <c r="D109" s="3">
        <f>IFERROR(__xludf.DUMMYFUNCTION("""COMPUTED_VALUE"""),3.48837486001298E8)</f>
        <v>348837486</v>
      </c>
      <c r="E109" s="3">
        <f>IFERROR(__xludf.DUMMYFUNCTION("""COMPUTED_VALUE"""),1.3988088977518E7)</f>
        <v>13988088.98</v>
      </c>
      <c r="F109" s="3">
        <f>IFERROR(__xludf.DUMMYFUNCTION("""COMPUTED_VALUE"""),4.56489583401055E8)</f>
        <v>456489583.4</v>
      </c>
      <c r="G109" s="3">
        <f>IFERROR(__xludf.DUMMYFUNCTION("""COMPUTED_VALUE"""),977631.036951)</f>
        <v>977631.037</v>
      </c>
      <c r="H109" s="3">
        <f>IFERROR(__xludf.DUMMYFUNCTION("""COMPUTED_VALUE"""),3.91958099393145E8)</f>
        <v>391958099.4</v>
      </c>
      <c r="I109" s="3">
        <f>IFERROR(__xludf.DUMMYFUNCTION("""COMPUTED_VALUE"""),5.59463984730765E8)</f>
        <v>559463984.7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IFERROR(__xludf.DUMMYFUNCTION("""COMPUTED_VALUE"""),1.9123443E7)</f>
        <v>19123443</v>
      </c>
      <c r="C110" s="3">
        <f>IFERROR(__xludf.DUMMYFUNCTION("""COMPUTED_VALUE"""),1.21991912124E8)</f>
        <v>121991912.1</v>
      </c>
      <c r="D110" s="3">
        <f>IFERROR(__xludf.DUMMYFUNCTION("""COMPUTED_VALUE"""),3.48836770275971E8)</f>
        <v>348836770.3</v>
      </c>
      <c r="E110" s="3">
        <f>IFERROR(__xludf.DUMMYFUNCTION("""COMPUTED_VALUE"""),1.3988486504207E7)</f>
        <v>13988486.5</v>
      </c>
      <c r="F110" s="3">
        <f>IFERROR(__xludf.DUMMYFUNCTION("""COMPUTED_VALUE"""),4.56489583401055E8)</f>
        <v>456489583.4</v>
      </c>
      <c r="G110" s="3">
        <f>IFERROR(__xludf.DUMMYFUNCTION("""COMPUTED_VALUE"""),977631.036951)</f>
        <v>977631.037</v>
      </c>
      <c r="H110" s="3">
        <f>IFERROR(__xludf.DUMMYFUNCTION("""COMPUTED_VALUE"""),3.91958099393145E8)</f>
        <v>391958099.4</v>
      </c>
      <c r="I110" s="3">
        <f>IFERROR(__xludf.DUMMYFUNCTION("""COMPUTED_VALUE"""),5.61491949378825E8)</f>
        <v>561491949.4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IFERROR(__xludf.DUMMYFUNCTION("""COMPUTED_VALUE"""),1.9124256E7)</f>
        <v>19124256</v>
      </c>
      <c r="C111" s="3">
        <f>IFERROR(__xludf.DUMMYFUNCTION("""COMPUTED_VALUE"""),1.22005065124E8)</f>
        <v>122005065.1</v>
      </c>
      <c r="D111" s="3">
        <f>IFERROR(__xludf.DUMMYFUNCTION("""COMPUTED_VALUE"""),3.48812757049775E8)</f>
        <v>348812757</v>
      </c>
      <c r="E111" s="3">
        <f>IFERROR(__xludf.DUMMYFUNCTION("""COMPUTED_VALUE"""),1.3989189081466E7)</f>
        <v>13989189.08</v>
      </c>
      <c r="F111" s="3">
        <f>IFERROR(__xludf.DUMMYFUNCTION("""COMPUTED_VALUE"""),4.56489583401055E8)</f>
        <v>456489583.4</v>
      </c>
      <c r="G111" s="3">
        <f>IFERROR(__xludf.DUMMYFUNCTION("""COMPUTED_VALUE"""),977631.036951)</f>
        <v>977631.037</v>
      </c>
      <c r="H111" s="3">
        <f>IFERROR(__xludf.DUMMYFUNCTION("""COMPUTED_VALUE"""),3.91958099393145E8)</f>
        <v>391958099.4</v>
      </c>
      <c r="I111" s="3">
        <f>IFERROR(__xludf.DUMMYFUNCTION("""COMPUTED_VALUE"""),5.63593924649507E8)</f>
        <v>563593924.6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IFERROR(__xludf.DUMMYFUNCTION("""COMPUTED_VALUE"""),1.9125156E7)</f>
        <v>19125156</v>
      </c>
      <c r="C112" s="3">
        <f>IFERROR(__xludf.DUMMYFUNCTION("""COMPUTED_VALUE"""),1.22018279374E8)</f>
        <v>122018279.4</v>
      </c>
      <c r="D112" s="3">
        <f>IFERROR(__xludf.DUMMYFUNCTION("""COMPUTED_VALUE"""),3.48812654465631E8)</f>
        <v>348812654.5</v>
      </c>
      <c r="E112" s="3">
        <f>IFERROR(__xludf.DUMMYFUNCTION("""COMPUTED_VALUE"""),1.3990342556468E7)</f>
        <v>13990342.56</v>
      </c>
      <c r="F112" s="3">
        <f>IFERROR(__xludf.DUMMYFUNCTION("""COMPUTED_VALUE"""),4.56489583401055E8)</f>
        <v>456489583.4</v>
      </c>
      <c r="G112" s="3">
        <f>IFERROR(__xludf.DUMMYFUNCTION("""COMPUTED_VALUE"""),977631.036951)</f>
        <v>977631.037</v>
      </c>
      <c r="H112" s="3">
        <f>IFERROR(__xludf.DUMMYFUNCTION("""COMPUTED_VALUE"""),3.91958099393145E8)</f>
        <v>391958099.4</v>
      </c>
      <c r="I112" s="3">
        <f>IFERROR(__xludf.DUMMYFUNCTION("""COMPUTED_VALUE"""),5.75679248087734E8)</f>
        <v>575679248.1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IFERROR(__xludf.DUMMYFUNCTION("""COMPUTED_VALUE"""),1.912625E7)</f>
        <v>19126250</v>
      </c>
      <c r="C113" s="3">
        <f>IFERROR(__xludf.DUMMYFUNCTION("""COMPUTED_VALUE"""),1.22031473749E8)</f>
        <v>122031473.7</v>
      </c>
      <c r="D113" s="3">
        <f>IFERROR(__xludf.DUMMYFUNCTION("""COMPUTED_VALUE"""),3.49120758204177E8)</f>
        <v>349120758.2</v>
      </c>
      <c r="E113" s="3">
        <f>IFERROR(__xludf.DUMMYFUNCTION("""COMPUTED_VALUE"""),1.3990484496281E7)</f>
        <v>13990484.5</v>
      </c>
      <c r="F113" s="3">
        <f>IFERROR(__xludf.DUMMYFUNCTION("""COMPUTED_VALUE"""),4.56489583401055E8)</f>
        <v>456489583.4</v>
      </c>
      <c r="G113" s="3">
        <f>IFERROR(__xludf.DUMMYFUNCTION("""COMPUTED_VALUE"""),977631.036951)</f>
        <v>977631.037</v>
      </c>
      <c r="H113" s="3">
        <f>IFERROR(__xludf.DUMMYFUNCTION("""COMPUTED_VALUE"""),3.91958099393145E8)</f>
        <v>391958099.4</v>
      </c>
      <c r="I113" s="3">
        <f>IFERROR(__xludf.DUMMYFUNCTION("""COMPUTED_VALUE"""),5.7769321486647E8)</f>
        <v>577693214.9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IFERROR(__xludf.DUMMYFUNCTION("""COMPUTED_VALUE"""),1.9127231E7)</f>
        <v>19127231</v>
      </c>
      <c r="C114" s="3">
        <f>IFERROR(__xludf.DUMMYFUNCTION("""COMPUTED_VALUE"""),1.220447804365E8)</f>
        <v>122044780.4</v>
      </c>
      <c r="D114" s="3">
        <f>IFERROR(__xludf.DUMMYFUNCTION("""COMPUTED_VALUE"""),3.49119939752156E8)</f>
        <v>349119939.8</v>
      </c>
      <c r="E114" s="3">
        <f>IFERROR(__xludf.DUMMYFUNCTION("""COMPUTED_VALUE"""),1.3991017734324E7)</f>
        <v>13991017.73</v>
      </c>
      <c r="F114" s="3">
        <f>IFERROR(__xludf.DUMMYFUNCTION("""COMPUTED_VALUE"""),4.56489583401055E8)</f>
        <v>456489583.4</v>
      </c>
      <c r="G114" s="3">
        <f>IFERROR(__xludf.DUMMYFUNCTION("""COMPUTED_VALUE"""),977631.036951)</f>
        <v>977631.037</v>
      </c>
      <c r="H114" s="3">
        <f>IFERROR(__xludf.DUMMYFUNCTION("""COMPUTED_VALUE"""),3.91958099393145E8)</f>
        <v>391958099.4</v>
      </c>
      <c r="I114" s="3">
        <f>IFERROR(__xludf.DUMMYFUNCTION("""COMPUTED_VALUE"""),5.79722579301462E8)</f>
        <v>579722579.3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IFERROR(__xludf.DUMMYFUNCTION("""COMPUTED_VALUE"""),1.9128093E7)</f>
        <v>19128093</v>
      </c>
      <c r="C115" s="3">
        <f>IFERROR(__xludf.DUMMYFUNCTION("""COMPUTED_VALUE"""),1.22058088249E8)</f>
        <v>122058088.2</v>
      </c>
      <c r="D115" s="3">
        <f>IFERROR(__xludf.DUMMYFUNCTION("""COMPUTED_VALUE"""),3.49119204567048E8)</f>
        <v>349119204.6</v>
      </c>
      <c r="E115" s="3">
        <f>IFERROR(__xludf.DUMMYFUNCTION("""COMPUTED_VALUE"""),1.3991275888879E7)</f>
        <v>13991275.89</v>
      </c>
      <c r="F115" s="3">
        <f>IFERROR(__xludf.DUMMYFUNCTION("""COMPUTED_VALUE"""),4.56489583401055E8)</f>
        <v>456489583.4</v>
      </c>
      <c r="G115" s="3">
        <f>IFERROR(__xludf.DUMMYFUNCTION("""COMPUTED_VALUE"""),977631.036951)</f>
        <v>977631.037</v>
      </c>
      <c r="H115" s="3">
        <f>IFERROR(__xludf.DUMMYFUNCTION("""COMPUTED_VALUE"""),3.91958099393145E8)</f>
        <v>391958099.4</v>
      </c>
      <c r="I115" s="3">
        <f>IFERROR(__xludf.DUMMYFUNCTION("""COMPUTED_VALUE"""),5.81725371114522E8)</f>
        <v>581725371.1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IFERROR(__xludf.DUMMYFUNCTION("""COMPUTED_VALUE"""),1.9129018E7)</f>
        <v>19129018</v>
      </c>
      <c r="C116" s="3">
        <f>IFERROR(__xludf.DUMMYFUNCTION("""COMPUTED_VALUE"""),1.220712971865E8)</f>
        <v>122071297.2</v>
      </c>
      <c r="D116" s="3">
        <f>IFERROR(__xludf.DUMMYFUNCTION("""COMPUTED_VALUE"""),3.49251416704408E8)</f>
        <v>349251416.7</v>
      </c>
      <c r="E116" s="3">
        <f>IFERROR(__xludf.DUMMYFUNCTION("""COMPUTED_VALUE"""),1.3992043840385E7)</f>
        <v>13992043.84</v>
      </c>
      <c r="F116" s="3">
        <f>IFERROR(__xludf.DUMMYFUNCTION("""COMPUTED_VALUE"""),4.56489583401055E8)</f>
        <v>456489583.4</v>
      </c>
      <c r="G116" s="3">
        <f>IFERROR(__xludf.DUMMYFUNCTION("""COMPUTED_VALUE"""),977631.036951)</f>
        <v>977631.037</v>
      </c>
      <c r="H116" s="3">
        <f>IFERROR(__xludf.DUMMYFUNCTION("""COMPUTED_VALUE"""),3.91958099393145E8)</f>
        <v>391958099.4</v>
      </c>
      <c r="I116" s="3">
        <f>IFERROR(__xludf.DUMMYFUNCTION("""COMPUTED_VALUE"""),5.83765698315816E8)</f>
        <v>583765698.3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IFERROR(__xludf.DUMMYFUNCTION("""COMPUTED_VALUE"""),1.9130043E7)</f>
        <v>19130043</v>
      </c>
      <c r="C117" s="3">
        <f>IFERROR(__xludf.DUMMYFUNCTION("""COMPUTED_VALUE"""),1.22084696374E8)</f>
        <v>122084696.4</v>
      </c>
      <c r="D117" s="3">
        <f>IFERROR(__xludf.DUMMYFUNCTION("""COMPUTED_VALUE"""),3.49250698303968E8)</f>
        <v>349250698.3</v>
      </c>
      <c r="E117" s="3">
        <f>IFERROR(__xludf.DUMMYFUNCTION("""COMPUTED_VALUE"""),1.3993549108061E7)</f>
        <v>13993549.11</v>
      </c>
      <c r="F117" s="3">
        <f>IFERROR(__xludf.DUMMYFUNCTION("""COMPUTED_VALUE"""),4.56489583401055E8)</f>
        <v>456489583.4</v>
      </c>
      <c r="G117" s="3">
        <f>IFERROR(__xludf.DUMMYFUNCTION("""COMPUTED_VALUE"""),977631.036951)</f>
        <v>977631.037</v>
      </c>
      <c r="H117" s="3">
        <f>IFERROR(__xludf.DUMMYFUNCTION("""COMPUTED_VALUE"""),3.91958099393145E8)</f>
        <v>391958099.4</v>
      </c>
      <c r="I117" s="3">
        <f>IFERROR(__xludf.DUMMYFUNCTION("""COMPUTED_VALUE"""),5.85779968381721E8)</f>
        <v>585779968.4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IFERROR(__xludf.DUMMYFUNCTION("""COMPUTED_VALUE"""),1.9131018E7)</f>
        <v>19131018</v>
      </c>
      <c r="C118" s="3">
        <f>IFERROR(__xludf.DUMMYFUNCTION("""COMPUTED_VALUE"""),1.220978149365E8)</f>
        <v>122097814.9</v>
      </c>
      <c r="D118" s="3">
        <f>IFERROR(__xludf.DUMMYFUNCTION("""COMPUTED_VALUE"""),3.49249961187999E8)</f>
        <v>349249961.2</v>
      </c>
      <c r="E118" s="3">
        <f>IFERROR(__xludf.DUMMYFUNCTION("""COMPUTED_VALUE"""),1.3994097500391E7)</f>
        <v>13994097.5</v>
      </c>
      <c r="F118" s="3">
        <f>IFERROR(__xludf.DUMMYFUNCTION("""COMPUTED_VALUE"""),4.56489583401055E8)</f>
        <v>456489583.4</v>
      </c>
      <c r="G118" s="3">
        <f>IFERROR(__xludf.DUMMYFUNCTION("""COMPUTED_VALUE"""),977631.036951)</f>
        <v>977631.037</v>
      </c>
      <c r="H118" s="3">
        <f>IFERROR(__xludf.DUMMYFUNCTION("""COMPUTED_VALUE"""),3.91958099393145E8)</f>
        <v>391958099.4</v>
      </c>
      <c r="I118" s="3">
        <f>IFERROR(__xludf.DUMMYFUNCTION("""COMPUTED_VALUE"""),5.79311152539725E8)</f>
        <v>579311152.5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IFERROR(__xludf.DUMMYFUNCTION("""COMPUTED_VALUE"""),1.9131968E7)</f>
        <v>19131968</v>
      </c>
      <c r="C119" s="3">
        <f>IFERROR(__xludf.DUMMYFUNCTION("""COMPUTED_VALUE"""),1.221106884365E8)</f>
        <v>122110688.4</v>
      </c>
      <c r="D119" s="3">
        <f>IFERROR(__xludf.DUMMYFUNCTION("""COMPUTED_VALUE"""),3.49381924822937E8)</f>
        <v>349381924.8</v>
      </c>
      <c r="E119" s="3">
        <f>IFERROR(__xludf.DUMMYFUNCTION("""COMPUTED_VALUE"""),1.3994333080523E7)</f>
        <v>13994333.08</v>
      </c>
      <c r="F119" s="3">
        <f>IFERROR(__xludf.DUMMYFUNCTION("""COMPUTED_VALUE"""),4.56489583401055E8)</f>
        <v>456489583.4</v>
      </c>
      <c r="G119" s="3">
        <f>IFERROR(__xludf.DUMMYFUNCTION("""COMPUTED_VALUE"""),977631.036951)</f>
        <v>977631.037</v>
      </c>
      <c r="H119" s="3">
        <f>IFERROR(__xludf.DUMMYFUNCTION("""COMPUTED_VALUE"""),3.91958099393145E8)</f>
        <v>391958099.4</v>
      </c>
      <c r="I119" s="3">
        <f>IFERROR(__xludf.DUMMYFUNCTION("""COMPUTED_VALUE"""),5.81411284757613E8)</f>
        <v>581411284.8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IFERROR(__xludf.DUMMYFUNCTION("""COMPUTED_VALUE"""),1.9133062E7)</f>
        <v>19133062</v>
      </c>
      <c r="C120" s="3">
        <f>IFERROR(__xludf.DUMMYFUNCTION("""COMPUTED_VALUE"""),1.22123849499E8)</f>
        <v>122123849.5</v>
      </c>
      <c r="D120" s="3">
        <f>IFERROR(__xludf.DUMMYFUNCTION("""COMPUTED_VALUE"""),3.49381149296461E8)</f>
        <v>349381149.3</v>
      </c>
      <c r="E120" s="3">
        <f>IFERROR(__xludf.DUMMYFUNCTION("""COMPUTED_VALUE"""),1.399522381859E7)</f>
        <v>13995223.82</v>
      </c>
      <c r="F120" s="3">
        <f>IFERROR(__xludf.DUMMYFUNCTION("""COMPUTED_VALUE"""),4.56489583401055E8)</f>
        <v>456489583.4</v>
      </c>
      <c r="G120" s="3">
        <f>IFERROR(__xludf.DUMMYFUNCTION("""COMPUTED_VALUE"""),977631.036951)</f>
        <v>977631.037</v>
      </c>
      <c r="H120" s="3">
        <f>IFERROR(__xludf.DUMMYFUNCTION("""COMPUTED_VALUE"""),3.91958099393145E8)</f>
        <v>391958099.4</v>
      </c>
      <c r="I120" s="3">
        <f>IFERROR(__xludf.DUMMYFUNCTION("""COMPUTED_VALUE"""),5.83427444535877E8)</f>
        <v>583427444.5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IFERROR(__xludf.DUMMYFUNCTION("""COMPUTED_VALUE"""),1.9133993E7)</f>
        <v>19133993</v>
      </c>
      <c r="C121" s="3">
        <f>IFERROR(__xludf.DUMMYFUNCTION("""COMPUTED_VALUE"""),1.22136903999E8)</f>
        <v>122136904</v>
      </c>
      <c r="D121" s="3">
        <f>IFERROR(__xludf.DUMMYFUNCTION("""COMPUTED_VALUE"""),3.49380291519339E8)</f>
        <v>349380291.5</v>
      </c>
      <c r="E121" s="3">
        <f>IFERROR(__xludf.DUMMYFUNCTION("""COMPUTED_VALUE"""),1.3995554568004E7)</f>
        <v>13995554.57</v>
      </c>
      <c r="F121" s="3">
        <f>IFERROR(__xludf.DUMMYFUNCTION("""COMPUTED_VALUE"""),4.56489583401055E8)</f>
        <v>456489583.4</v>
      </c>
      <c r="G121" s="3">
        <f>IFERROR(__xludf.DUMMYFUNCTION("""COMPUTED_VALUE"""),977631.036951)</f>
        <v>977631.037</v>
      </c>
      <c r="H121" s="3">
        <f>IFERROR(__xludf.DUMMYFUNCTION("""COMPUTED_VALUE"""),3.91958099393145E8)</f>
        <v>391958099.4</v>
      </c>
      <c r="I121" s="3">
        <f>IFERROR(__xludf.DUMMYFUNCTION("""COMPUTED_VALUE"""),5.85441364655049E8)</f>
        <v>585441364.7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IFERROR(__xludf.DUMMYFUNCTION("""COMPUTED_VALUE"""),1.9134981E7)</f>
        <v>19134981</v>
      </c>
      <c r="C122" s="3">
        <f>IFERROR(__xludf.DUMMYFUNCTION("""COMPUTED_VALUE"""),1.22149970749E8)</f>
        <v>122149970.7</v>
      </c>
      <c r="D122" s="3">
        <f>IFERROR(__xludf.DUMMYFUNCTION("""COMPUTED_VALUE"""),3.49511496281362E8)</f>
        <v>349511496.3</v>
      </c>
      <c r="E122" s="3">
        <f>IFERROR(__xludf.DUMMYFUNCTION("""COMPUTED_VALUE"""),1.399661249055E7)</f>
        <v>13996612.49</v>
      </c>
      <c r="F122" s="3">
        <f>IFERROR(__xludf.DUMMYFUNCTION("""COMPUTED_VALUE"""),4.56489583401055E8)</f>
        <v>456489583.4</v>
      </c>
      <c r="G122" s="3">
        <f>IFERROR(__xludf.DUMMYFUNCTION("""COMPUTED_VALUE"""),977631.036951)</f>
        <v>977631.037</v>
      </c>
      <c r="H122" s="3">
        <f>IFERROR(__xludf.DUMMYFUNCTION("""COMPUTED_VALUE"""),3.91958099393145E8)</f>
        <v>391958099.4</v>
      </c>
      <c r="I122" s="3">
        <f>IFERROR(__xludf.DUMMYFUNCTION("""COMPUTED_VALUE"""),5.87472432164142E8)</f>
        <v>587472432.2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IFERROR(__xludf.DUMMYFUNCTION("""COMPUTED_VALUE"""),1.9135981E7)</f>
        <v>19135981</v>
      </c>
      <c r="C123" s="3">
        <f>IFERROR(__xludf.DUMMYFUNCTION("""COMPUTED_VALUE"""),1.221620325615E8)</f>
        <v>122162032.6</v>
      </c>
      <c r="D123" s="3">
        <f>IFERROR(__xludf.DUMMYFUNCTION("""COMPUTED_VALUE"""),3.49510726103285E8)</f>
        <v>349510726.1</v>
      </c>
      <c r="E123" s="3">
        <f>IFERROR(__xludf.DUMMYFUNCTION("""COMPUTED_VALUE"""),1.3997306065618E7)</f>
        <v>13997306.07</v>
      </c>
      <c r="F123" s="3">
        <f>IFERROR(__xludf.DUMMYFUNCTION("""COMPUTED_VALUE"""),4.56489583401055E8)</f>
        <v>456489583.4</v>
      </c>
      <c r="G123" s="3">
        <f>IFERROR(__xludf.DUMMYFUNCTION("""COMPUTED_VALUE"""),977631.036951)</f>
        <v>977631.037</v>
      </c>
      <c r="H123" s="3">
        <f>IFERROR(__xludf.DUMMYFUNCTION("""COMPUTED_VALUE"""),3.91958099393145E8)</f>
        <v>391958099.4</v>
      </c>
      <c r="I123" s="3">
        <f>IFERROR(__xludf.DUMMYFUNCTION("""COMPUTED_VALUE"""),5.89475480604806E8)</f>
        <v>589475480.6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IFERROR(__xludf.DUMMYFUNCTION("""COMPUTED_VALUE"""),1.9136956E7)</f>
        <v>19136956</v>
      </c>
      <c r="C124" s="3">
        <f>IFERROR(__xludf.DUMMYFUNCTION("""COMPUTED_VALUE"""),1.22176132374E8)</f>
        <v>122176132.4</v>
      </c>
      <c r="D124" s="3">
        <f>IFERROR(__xludf.DUMMYFUNCTION("""COMPUTED_VALUE"""),3.49509975437165E8)</f>
        <v>349509975.4</v>
      </c>
      <c r="E124" s="3">
        <f>IFERROR(__xludf.DUMMYFUNCTION("""COMPUTED_VALUE"""),1.4008350125591E7)</f>
        <v>14008350.13</v>
      </c>
      <c r="F124" s="3">
        <f>IFERROR(__xludf.DUMMYFUNCTION("""COMPUTED_VALUE"""),4.56489583401055E8)</f>
        <v>456489583.4</v>
      </c>
      <c r="G124" s="3">
        <f>IFERROR(__xludf.DUMMYFUNCTION("""COMPUTED_VALUE"""),977631.036951)</f>
        <v>977631.037</v>
      </c>
      <c r="H124" s="3">
        <f>IFERROR(__xludf.DUMMYFUNCTION("""COMPUTED_VALUE"""),3.91958099393145E8)</f>
        <v>391958099.4</v>
      </c>
      <c r="I124" s="3">
        <f>IFERROR(__xludf.DUMMYFUNCTION("""COMPUTED_VALUE"""),5.91503748540034E8)</f>
        <v>591503748.5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IFERROR(__xludf.DUMMYFUNCTION("""COMPUTED_VALUE"""),1.9137887E7)</f>
        <v>19137887</v>
      </c>
      <c r="C125" s="3">
        <f>IFERROR(__xludf.DUMMYFUNCTION("""COMPUTED_VALUE"""),1.22189245374E8)</f>
        <v>122189245.4</v>
      </c>
      <c r="D125" s="3">
        <f>IFERROR(__xludf.DUMMYFUNCTION("""COMPUTED_VALUE"""),3.49710186937185E8)</f>
        <v>349710186.9</v>
      </c>
      <c r="E125" s="3">
        <f>IFERROR(__xludf.DUMMYFUNCTION("""COMPUTED_VALUE"""),1.4009676410361E7)</f>
        <v>14009676.41</v>
      </c>
      <c r="F125" s="3">
        <f>IFERROR(__xludf.DUMMYFUNCTION("""COMPUTED_VALUE"""),4.56489583401055E8)</f>
        <v>456489583.4</v>
      </c>
      <c r="G125" s="3">
        <f>IFERROR(__xludf.DUMMYFUNCTION("""COMPUTED_VALUE"""),977631.036951)</f>
        <v>977631.037</v>
      </c>
      <c r="H125" s="3">
        <f>IFERROR(__xludf.DUMMYFUNCTION("""COMPUTED_VALUE"""),3.91958099393145E8)</f>
        <v>391958099.4</v>
      </c>
      <c r="I125" s="3">
        <f>IFERROR(__xludf.DUMMYFUNCTION("""COMPUTED_VALUE"""),5.93517971946375E8)</f>
        <v>593517971.9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IFERROR(__xludf.DUMMYFUNCTION("""COMPUTED_VALUE"""),1.913875E7)</f>
        <v>19138750</v>
      </c>
      <c r="C126" s="3">
        <f>IFERROR(__xludf.DUMMYFUNCTION("""COMPUTED_VALUE"""),1.222023008115E8)</f>
        <v>122202300.8</v>
      </c>
      <c r="D126" s="3">
        <f>IFERROR(__xludf.DUMMYFUNCTION("""COMPUTED_VALUE"""),3.49709496946003E8)</f>
        <v>349709496.9</v>
      </c>
      <c r="E126" s="3">
        <f>IFERROR(__xludf.DUMMYFUNCTION("""COMPUTED_VALUE"""),1.4010194682942E7)</f>
        <v>14010194.68</v>
      </c>
      <c r="F126" s="3">
        <f>IFERROR(__xludf.DUMMYFUNCTION("""COMPUTED_VALUE"""),4.56489583401055E8)</f>
        <v>456489583.4</v>
      </c>
      <c r="G126" s="3">
        <f>IFERROR(__xludf.DUMMYFUNCTION("""COMPUTED_VALUE"""),977631.036951)</f>
        <v>977631.037</v>
      </c>
      <c r="H126" s="3">
        <f>IFERROR(__xludf.DUMMYFUNCTION("""COMPUTED_VALUE"""),3.91958099393145E8)</f>
        <v>391958099.4</v>
      </c>
      <c r="I126" s="3">
        <f>IFERROR(__xludf.DUMMYFUNCTION("""COMPUTED_VALUE"""),5.9684890856531E8)</f>
        <v>596848908.6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IFERROR(__xludf.DUMMYFUNCTION("""COMPUTED_VALUE"""),1.9139575E7)</f>
        <v>19139575</v>
      </c>
      <c r="C127" s="3">
        <f>IFERROR(__xludf.DUMMYFUNCTION("""COMPUTED_VALUE"""),1.22215466999E8)</f>
        <v>122215467</v>
      </c>
      <c r="D127" s="3">
        <f>IFERROR(__xludf.DUMMYFUNCTION("""COMPUTED_VALUE"""),3.49708651728436E8)</f>
        <v>349708651.7</v>
      </c>
      <c r="E127" s="3">
        <f>IFERROR(__xludf.DUMMYFUNCTION("""COMPUTED_VALUE"""),1.4010465987198E7)</f>
        <v>14010465.99</v>
      </c>
      <c r="F127" s="3">
        <f>IFERROR(__xludf.DUMMYFUNCTION("""COMPUTED_VALUE"""),4.56489583401055E8)</f>
        <v>456489583.4</v>
      </c>
      <c r="G127" s="3">
        <f>IFERROR(__xludf.DUMMYFUNCTION("""COMPUTED_VALUE"""),977631.036951)</f>
        <v>977631.037</v>
      </c>
      <c r="H127" s="3">
        <f>IFERROR(__xludf.DUMMYFUNCTION("""COMPUTED_VALUE"""),3.91958099393145E8)</f>
        <v>391958099.4</v>
      </c>
      <c r="I127" s="3">
        <f>IFERROR(__xludf.DUMMYFUNCTION("""COMPUTED_VALUE"""),5.98851513740112E8)</f>
        <v>598851513.7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IFERROR(__xludf.DUMMYFUNCTION("""COMPUTED_VALUE"""),1.9140468E7)</f>
        <v>19140468</v>
      </c>
      <c r="C128" s="3">
        <f>IFERROR(__xludf.DUMMYFUNCTION("""COMPUTED_VALUE"""),1.222284448115E8)</f>
        <v>122228444.8</v>
      </c>
      <c r="D128" s="3">
        <f>IFERROR(__xludf.DUMMYFUNCTION("""COMPUTED_VALUE"""),3.4983970336158E8)</f>
        <v>349839703.4</v>
      </c>
      <c r="E128" s="3">
        <f>IFERROR(__xludf.DUMMYFUNCTION("""COMPUTED_VALUE"""),1.4010940851499E7)</f>
        <v>14010940.85</v>
      </c>
      <c r="F128" s="3">
        <f>IFERROR(__xludf.DUMMYFUNCTION("""COMPUTED_VALUE"""),4.56489583401055E8)</f>
        <v>456489583.4</v>
      </c>
      <c r="G128" s="3">
        <f>IFERROR(__xludf.DUMMYFUNCTION("""COMPUTED_VALUE"""),977631.036951)</f>
        <v>977631.037</v>
      </c>
      <c r="H128" s="3">
        <f>IFERROR(__xludf.DUMMYFUNCTION("""COMPUTED_VALUE"""),3.91958099393145E8)</f>
        <v>391958099.4</v>
      </c>
      <c r="I128" s="3">
        <f>IFERROR(__xludf.DUMMYFUNCTION("""COMPUTED_VALUE"""),6.03367883486416E8)</f>
        <v>603367883.5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IFERROR(__xludf.DUMMYFUNCTION("""COMPUTED_VALUE"""),1.9141543E7)</f>
        <v>19141543</v>
      </c>
      <c r="C129" s="3">
        <f>IFERROR(__xludf.DUMMYFUNCTION("""COMPUTED_VALUE"""),1.222415651865E8)</f>
        <v>122241565.2</v>
      </c>
      <c r="D129" s="3">
        <f>IFERROR(__xludf.DUMMYFUNCTION("""COMPUTED_VALUE"""),3.4983889347738E8)</f>
        <v>349838893.5</v>
      </c>
      <c r="E129" s="3">
        <f>IFERROR(__xludf.DUMMYFUNCTION("""COMPUTED_VALUE"""),1.4011236322944E7)</f>
        <v>14011236.32</v>
      </c>
      <c r="F129" s="3">
        <f>IFERROR(__xludf.DUMMYFUNCTION("""COMPUTED_VALUE"""),4.56489583401055E8)</f>
        <v>456489583.4</v>
      </c>
      <c r="G129" s="3">
        <f>IFERROR(__xludf.DUMMYFUNCTION("""COMPUTED_VALUE"""),977631.036951)</f>
        <v>977631.037</v>
      </c>
      <c r="H129" s="3">
        <f>IFERROR(__xludf.DUMMYFUNCTION("""COMPUTED_VALUE"""),3.91958099393145E8)</f>
        <v>391958099.4</v>
      </c>
      <c r="I129" s="3">
        <f>IFERROR(__xludf.DUMMYFUNCTION("""COMPUTED_VALUE"""),6.05405619626222E8)</f>
        <v>605405619.6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IFERROR(__xludf.DUMMYFUNCTION("""COMPUTED_VALUE"""),1.9142493E7)</f>
        <v>19142493</v>
      </c>
      <c r="C130" s="3">
        <f>IFERROR(__xludf.DUMMYFUNCTION("""COMPUTED_VALUE"""),1.22254497999E8)</f>
        <v>122254498</v>
      </c>
      <c r="D130" s="3">
        <f>IFERROR(__xludf.DUMMYFUNCTION("""COMPUTED_VALUE"""),3.49969999195759E8)</f>
        <v>349969999.2</v>
      </c>
      <c r="E130" s="3">
        <f>IFERROR(__xludf.DUMMYFUNCTION("""COMPUTED_VALUE"""),1.4011547569346E7)</f>
        <v>14011547.57</v>
      </c>
      <c r="F130" s="3">
        <f>IFERROR(__xludf.DUMMYFUNCTION("""COMPUTED_VALUE"""),7.53766667E8)</f>
        <v>753766667</v>
      </c>
      <c r="G130" s="3">
        <f>IFERROR(__xludf.DUMMYFUNCTION("""COMPUTED_VALUE"""),977631.036951)</f>
        <v>977631.037</v>
      </c>
      <c r="H130" s="3">
        <f>IFERROR(__xludf.DUMMYFUNCTION("""COMPUTED_VALUE"""),3.91958099393145E8)</f>
        <v>391958099.4</v>
      </c>
      <c r="I130" s="3">
        <f>IFERROR(__xludf.DUMMYFUNCTION("""COMPUTED_VALUE"""),6.07422969223378E8)</f>
        <v>607422969.2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IFERROR(__xludf.DUMMYFUNCTION("""COMPUTED_VALUE"""),1.9143381E7)</f>
        <v>19143381</v>
      </c>
      <c r="C131" s="3">
        <f>IFERROR(__xludf.DUMMYFUNCTION("""COMPUTED_VALUE"""),1.222665316865E8)</f>
        <v>122266531.7</v>
      </c>
      <c r="D131" s="3">
        <f>IFERROR(__xludf.DUMMYFUNCTION("""COMPUTED_VALUE"""),3.52987862660599E8)</f>
        <v>352987862.7</v>
      </c>
      <c r="E131" s="3">
        <f>IFERROR(__xludf.DUMMYFUNCTION("""COMPUTED_VALUE"""),1.4012257325205E7)</f>
        <v>14012257.33</v>
      </c>
      <c r="F131" s="3">
        <f>IFERROR(__xludf.DUMMYFUNCTION("""COMPUTED_VALUE"""),7.53766667E8)</f>
        <v>753766667</v>
      </c>
      <c r="G131" s="3">
        <f>IFERROR(__xludf.DUMMYFUNCTION("""COMPUTED_VALUE"""),977631.036951)</f>
        <v>977631.037</v>
      </c>
      <c r="H131" s="3">
        <f>IFERROR(__xludf.DUMMYFUNCTION("""COMPUTED_VALUE"""),3.91958099393145E8)</f>
        <v>391958099.4</v>
      </c>
      <c r="I131" s="3">
        <f>IFERROR(__xludf.DUMMYFUNCTION("""COMPUTED_VALUE"""),6.09437285948848E8)</f>
        <v>609437285.9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IFERROR(__xludf.DUMMYFUNCTION("""COMPUTED_VALUE"""),1.9144287E7)</f>
        <v>19144287</v>
      </c>
      <c r="C132" s="3">
        <f>IFERROR(__xludf.DUMMYFUNCTION("""COMPUTED_VALUE"""),1.22280570499E8)</f>
        <v>122280570.5</v>
      </c>
      <c r="D132" s="3">
        <f>IFERROR(__xludf.DUMMYFUNCTION("""COMPUTED_VALUE"""),3.52987089515407E8)</f>
        <v>352987089.5</v>
      </c>
      <c r="E132" s="3">
        <f>IFERROR(__xludf.DUMMYFUNCTION("""COMPUTED_VALUE"""),1.4012398309206E7)</f>
        <v>14012398.31</v>
      </c>
      <c r="F132" s="3">
        <f>IFERROR(__xludf.DUMMYFUNCTION("""COMPUTED_VALUE"""),7.53766667E8)</f>
        <v>753766667</v>
      </c>
      <c r="G132" s="3">
        <f>IFERROR(__xludf.DUMMYFUNCTION("""COMPUTED_VALUE"""),977631.036951)</f>
        <v>977631.037</v>
      </c>
      <c r="H132" s="3">
        <f>IFERROR(__xludf.DUMMYFUNCTION("""COMPUTED_VALUE"""),3.91958099393145E8)</f>
        <v>391958099.4</v>
      </c>
      <c r="I132" s="3">
        <f>IFERROR(__xludf.DUMMYFUNCTION("""COMPUTED_VALUE"""),6.11552465876259E8)</f>
        <v>611552465.9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IFERROR(__xludf.DUMMYFUNCTION("""COMPUTED_VALUE"""),1.9145106E7)</f>
        <v>19145106</v>
      </c>
      <c r="C133" s="3">
        <f>IFERROR(__xludf.DUMMYFUNCTION("""COMPUTED_VALUE"""),1.222936475615E8)</f>
        <v>122293647.6</v>
      </c>
      <c r="D133" s="3">
        <f>IFERROR(__xludf.DUMMYFUNCTION("""COMPUTED_VALUE"""),3.53118401501783E8)</f>
        <v>353118401.5</v>
      </c>
      <c r="E133" s="3">
        <f>IFERROR(__xludf.DUMMYFUNCTION("""COMPUTED_VALUE"""),1.4089119601841E7)</f>
        <v>14089119.6</v>
      </c>
      <c r="F133" s="3">
        <f>IFERROR(__xludf.DUMMYFUNCTION("""COMPUTED_VALUE"""),7.53766667E8)</f>
        <v>753766667</v>
      </c>
      <c r="G133" s="3">
        <f>IFERROR(__xludf.DUMMYFUNCTION("""COMPUTED_VALUE"""),977631.036951)</f>
        <v>977631.037</v>
      </c>
      <c r="H133" s="3">
        <f>IFERROR(__xludf.DUMMYFUNCTION("""COMPUTED_VALUE"""),3.91958099393145E8)</f>
        <v>391958099.4</v>
      </c>
      <c r="I133" s="3">
        <f>IFERROR(__xludf.DUMMYFUNCTION("""COMPUTED_VALUE"""),6.1356976881385E8)</f>
        <v>613569768.8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IFERROR(__xludf.DUMMYFUNCTION("""COMPUTED_VALUE"""),1.9146012E7)</f>
        <v>19146012</v>
      </c>
      <c r="C134" s="3">
        <f>IFERROR(__xludf.DUMMYFUNCTION("""COMPUTED_VALUE"""),1.223064031865E8)</f>
        <v>122306403.2</v>
      </c>
      <c r="D134" s="3">
        <f>IFERROR(__xludf.DUMMYFUNCTION("""COMPUTED_VALUE"""),3.53117630382696E8)</f>
        <v>353117630.4</v>
      </c>
      <c r="E134" s="3">
        <f>IFERROR(__xludf.DUMMYFUNCTION("""COMPUTED_VALUE"""),1.4089364905908E7)</f>
        <v>14089364.91</v>
      </c>
      <c r="F134" s="3">
        <f>IFERROR(__xludf.DUMMYFUNCTION("""COMPUTED_VALUE"""),7.53766667E8)</f>
        <v>753766667</v>
      </c>
      <c r="G134" s="3">
        <f>IFERROR(__xludf.DUMMYFUNCTION("""COMPUTED_VALUE"""),977631.036951)</f>
        <v>977631.037</v>
      </c>
      <c r="H134" s="3">
        <f>IFERROR(__xludf.DUMMYFUNCTION("""COMPUTED_VALUE"""),3.91958099393145E8)</f>
        <v>391958099.4</v>
      </c>
      <c r="I134" s="3">
        <f>IFERROR(__xludf.DUMMYFUNCTION("""COMPUTED_VALUE"""),6.15599436536011E8)</f>
        <v>615599436.5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IFERROR(__xludf.DUMMYFUNCTION("""COMPUTED_VALUE"""),1.9147012E7)</f>
        <v>19147012</v>
      </c>
      <c r="C135" s="3">
        <f>IFERROR(__xludf.DUMMYFUNCTION("""COMPUTED_VALUE"""),1.22319015999E8)</f>
        <v>122319016</v>
      </c>
      <c r="D135" s="3">
        <f>IFERROR(__xludf.DUMMYFUNCTION("""COMPUTED_VALUE"""),3.53283611495146E8)</f>
        <v>353283611.5</v>
      </c>
      <c r="E135" s="3">
        <f>IFERROR(__xludf.DUMMYFUNCTION("""COMPUTED_VALUE"""),1.4090787575286E7)</f>
        <v>14090787.58</v>
      </c>
      <c r="F135" s="3">
        <f>IFERROR(__xludf.DUMMYFUNCTION("""COMPUTED_VALUE"""),7.53766667E8)</f>
        <v>753766667</v>
      </c>
      <c r="G135" s="3">
        <f>IFERROR(__xludf.DUMMYFUNCTION("""COMPUTED_VALUE"""),977631.036951)</f>
        <v>977631.037</v>
      </c>
      <c r="H135" s="3">
        <f>IFERROR(__xludf.DUMMYFUNCTION("""COMPUTED_VALUE"""),3.91958099393145E8)</f>
        <v>391958099.4</v>
      </c>
      <c r="I135" s="3">
        <f>IFERROR(__xludf.DUMMYFUNCTION("""COMPUTED_VALUE"""),6.17601435136476E8)</f>
        <v>617601435.1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IFERROR(__xludf.DUMMYFUNCTION("""COMPUTED_VALUE"""),1.9148118E7)</f>
        <v>19148118</v>
      </c>
      <c r="C136" s="3">
        <f>IFERROR(__xludf.DUMMYFUNCTION("""COMPUTED_VALUE"""),1.223316593115E8)</f>
        <v>122331659.3</v>
      </c>
      <c r="D136" s="3">
        <f>IFERROR(__xludf.DUMMYFUNCTION("""COMPUTED_VALUE"""),3.53415323025589E8)</f>
        <v>353415323</v>
      </c>
      <c r="E136" s="3">
        <f>IFERROR(__xludf.DUMMYFUNCTION("""COMPUTED_VALUE"""),1.4092329949595E7)</f>
        <v>14092329.95</v>
      </c>
      <c r="F136" s="3">
        <f>IFERROR(__xludf.DUMMYFUNCTION("""COMPUTED_VALUE"""),7.53766667E8)</f>
        <v>753766667</v>
      </c>
      <c r="G136" s="3">
        <f>IFERROR(__xludf.DUMMYFUNCTION("""COMPUTED_VALUE"""),977631.036951)</f>
        <v>977631.037</v>
      </c>
      <c r="H136" s="3">
        <f>IFERROR(__xludf.DUMMYFUNCTION("""COMPUTED_VALUE"""),3.91958099393145E8)</f>
        <v>391958099.4</v>
      </c>
      <c r="I136" s="3">
        <f>IFERROR(__xludf.DUMMYFUNCTION("""COMPUTED_VALUE"""),6.19618294808205E8)</f>
        <v>619618294.8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IFERROR(__xludf.DUMMYFUNCTION("""COMPUTED_VALUE"""),1.91491E7)</f>
        <v>19149100</v>
      </c>
      <c r="C137" s="3">
        <f>IFERROR(__xludf.DUMMYFUNCTION("""COMPUTED_VALUE"""),1.223443974365E8)</f>
        <v>122344397.4</v>
      </c>
      <c r="D137" s="3">
        <f>IFERROR(__xludf.DUMMYFUNCTION("""COMPUTED_VALUE"""),3.53414572917467E8)</f>
        <v>353414572.9</v>
      </c>
      <c r="E137" s="3">
        <f>IFERROR(__xludf.DUMMYFUNCTION("""COMPUTED_VALUE"""),1.409286526279E7)</f>
        <v>14092865.26</v>
      </c>
      <c r="F137" s="3">
        <f>IFERROR(__xludf.DUMMYFUNCTION("""COMPUTED_VALUE"""),7.53766667E8)</f>
        <v>753766667</v>
      </c>
      <c r="G137" s="3">
        <f>IFERROR(__xludf.DUMMYFUNCTION("""COMPUTED_VALUE"""),977631.036951)</f>
        <v>977631.037</v>
      </c>
      <c r="H137" s="3">
        <f>IFERROR(__xludf.DUMMYFUNCTION("""COMPUTED_VALUE"""),3.91958099393145E8)</f>
        <v>391958099.4</v>
      </c>
      <c r="I137" s="3">
        <f>IFERROR(__xludf.DUMMYFUNCTION("""COMPUTED_VALUE"""),6.20130651831969E8)</f>
        <v>620130651.8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IFERROR(__xludf.DUMMYFUNCTION("""COMPUTED_VALUE"""),1.9149981E7)</f>
        <v>19149981</v>
      </c>
      <c r="C138" s="3">
        <f>IFERROR(__xludf.DUMMYFUNCTION("""COMPUTED_VALUE"""),1.223570946865E8)</f>
        <v>122357094.7</v>
      </c>
      <c r="D138" s="3">
        <f>IFERROR(__xludf.DUMMYFUNCTION("""COMPUTED_VALUE"""),3.53837253880994E8)</f>
        <v>353837253.9</v>
      </c>
      <c r="E138" s="3">
        <f>IFERROR(__xludf.DUMMYFUNCTION("""COMPUTED_VALUE"""),1.4093158599071E7)</f>
        <v>14093158.6</v>
      </c>
      <c r="F138" s="3">
        <f>IFERROR(__xludf.DUMMYFUNCTION("""COMPUTED_VALUE"""),7.53766667E8)</f>
        <v>753766667</v>
      </c>
      <c r="G138" s="3">
        <f>IFERROR(__xludf.DUMMYFUNCTION("""COMPUTED_VALUE"""),977631.036951)</f>
        <v>977631.037</v>
      </c>
      <c r="H138" s="3">
        <f>IFERROR(__xludf.DUMMYFUNCTION("""COMPUTED_VALUE"""),3.91958099393145E8)</f>
        <v>391958099.4</v>
      </c>
      <c r="I138" s="3">
        <f>IFERROR(__xludf.DUMMYFUNCTION("""COMPUTED_VALUE"""),6.22147791461086E8)</f>
        <v>622147791.5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IFERROR(__xludf.DUMMYFUNCTION("""COMPUTED_VALUE"""),1.9150743E7)</f>
        <v>19150743</v>
      </c>
      <c r="C139" s="3">
        <f>IFERROR(__xludf.DUMMYFUNCTION("""COMPUTED_VALUE"""),1.22369526374E8)</f>
        <v>122369526.4</v>
      </c>
      <c r="D139" s="3">
        <f>IFERROR(__xludf.DUMMYFUNCTION("""COMPUTED_VALUE"""),3.53979694592694E8)</f>
        <v>353979694.6</v>
      </c>
      <c r="E139" s="3">
        <f>IFERROR(__xludf.DUMMYFUNCTION("""COMPUTED_VALUE"""),1.4097001994444E7)</f>
        <v>14097001.99</v>
      </c>
      <c r="F139" s="3">
        <f>IFERROR(__xludf.DUMMYFUNCTION("""COMPUTED_VALUE"""),7.53766667E8)</f>
        <v>753766667</v>
      </c>
      <c r="G139" s="3">
        <f>IFERROR(__xludf.DUMMYFUNCTION("""COMPUTED_VALUE"""),977631.036951)</f>
        <v>977631.037</v>
      </c>
      <c r="H139" s="3">
        <f>IFERROR(__xludf.DUMMYFUNCTION("""COMPUTED_VALUE"""),3.91958099393145E8)</f>
        <v>391958099.4</v>
      </c>
      <c r="I139" s="3">
        <f>IFERROR(__xludf.DUMMYFUNCTION("""COMPUTED_VALUE"""),6.24164581143469E8)</f>
        <v>624164581.1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IFERROR(__xludf.DUMMYFUNCTION("""COMPUTED_VALUE"""),1.9151681E7)</f>
        <v>19151681</v>
      </c>
      <c r="C140" s="3">
        <f>IFERROR(__xludf.DUMMYFUNCTION("""COMPUTED_VALUE"""),1.22383023499E8)</f>
        <v>122383023.5</v>
      </c>
      <c r="D140" s="3">
        <f>IFERROR(__xludf.DUMMYFUNCTION("""COMPUTED_VALUE"""),3.53979028502667E8)</f>
        <v>353979028.5</v>
      </c>
      <c r="E140" s="3">
        <f>IFERROR(__xludf.DUMMYFUNCTION("""COMPUTED_VALUE"""),1.4097248130859E7)</f>
        <v>14097248.13</v>
      </c>
      <c r="F140" s="3">
        <f>IFERROR(__xludf.DUMMYFUNCTION("""COMPUTED_VALUE"""),7.53766667E8)</f>
        <v>753766667</v>
      </c>
      <c r="G140" s="3">
        <f>IFERROR(__xludf.DUMMYFUNCTION("""COMPUTED_VALUE"""),977631.036951)</f>
        <v>977631.037</v>
      </c>
      <c r="H140" s="3">
        <f>IFERROR(__xludf.DUMMYFUNCTION("""COMPUTED_VALUE"""),3.91958099393145E8)</f>
        <v>391958099.4</v>
      </c>
      <c r="I140" s="3">
        <f>IFERROR(__xludf.DUMMYFUNCTION("""COMPUTED_VALUE"""),6.2617859458177E8)</f>
        <v>626178594.6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IFERROR(__xludf.DUMMYFUNCTION("""COMPUTED_VALUE"""),1.9152437E7)</f>
        <v>19152437</v>
      </c>
      <c r="C141" s="3">
        <f>IFERROR(__xludf.DUMMYFUNCTION("""COMPUTED_VALUE"""),1.22396005499E8)</f>
        <v>122396005.5</v>
      </c>
      <c r="D141" s="3">
        <f>IFERROR(__xludf.DUMMYFUNCTION("""COMPUTED_VALUE"""),3.53984474375567E8)</f>
        <v>353984474.4</v>
      </c>
      <c r="E141" s="3">
        <f>IFERROR(__xludf.DUMMYFUNCTION("""COMPUTED_VALUE"""),1.4098083060079E7)</f>
        <v>14098083.06</v>
      </c>
      <c r="F141" s="3">
        <f>IFERROR(__xludf.DUMMYFUNCTION("""COMPUTED_VALUE"""),7.53766667E8)</f>
        <v>753766667</v>
      </c>
      <c r="G141" s="3">
        <f>IFERROR(__xludf.DUMMYFUNCTION("""COMPUTED_VALUE"""),977631.036951)</f>
        <v>977631.037</v>
      </c>
      <c r="H141" s="3">
        <f>IFERROR(__xludf.DUMMYFUNCTION("""COMPUTED_VALUE"""),3.91958099393145E8)</f>
        <v>391958099.4</v>
      </c>
      <c r="I141" s="3">
        <f>IFERROR(__xludf.DUMMYFUNCTION("""COMPUTED_VALUE"""),6.28225363034288E8)</f>
        <v>628225363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IFERROR(__xludf.DUMMYFUNCTION("""COMPUTED_VALUE"""),1.9153487E7)</f>
        <v>19153487</v>
      </c>
      <c r="C142" s="3">
        <f>IFERROR(__xludf.DUMMYFUNCTION("""COMPUTED_VALUE"""),1.22411443499E8)</f>
        <v>122411443.5</v>
      </c>
      <c r="D142" s="3">
        <f>IFERROR(__xludf.DUMMYFUNCTION("""COMPUTED_VALUE"""),3.54115733383688E8)</f>
        <v>354115733.4</v>
      </c>
      <c r="E142" s="3">
        <f>IFERROR(__xludf.DUMMYFUNCTION("""COMPUTED_VALUE"""),1.4098372136706E7)</f>
        <v>14098372.14</v>
      </c>
      <c r="F142" s="3">
        <f>IFERROR(__xludf.DUMMYFUNCTION("""COMPUTED_VALUE"""),7.53766667E8)</f>
        <v>753766667</v>
      </c>
      <c r="G142" s="3">
        <f>IFERROR(__xludf.DUMMYFUNCTION("""COMPUTED_VALUE"""),977631.036951)</f>
        <v>977631.037</v>
      </c>
      <c r="H142" s="3">
        <f>IFERROR(__xludf.DUMMYFUNCTION("""COMPUTED_VALUE"""),3.91958099393145E8)</f>
        <v>391958099.4</v>
      </c>
      <c r="I142" s="3">
        <f>IFERROR(__xludf.DUMMYFUNCTION("""COMPUTED_VALUE"""),6.30223978816332E8)</f>
        <v>630223978.8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IFERROR(__xludf.DUMMYFUNCTION("""COMPUTED_VALUE"""),1.9154475E7)</f>
        <v>19154475</v>
      </c>
      <c r="C143" s="3">
        <f>IFERROR(__xludf.DUMMYFUNCTION("""COMPUTED_VALUE"""),1.22425707499E8)</f>
        <v>122425707.5</v>
      </c>
      <c r="D143" s="3">
        <f>IFERROR(__xludf.DUMMYFUNCTION("""COMPUTED_VALUE"""),3.53928176343029E8)</f>
        <v>353928176.3</v>
      </c>
      <c r="E143" s="3">
        <f>IFERROR(__xludf.DUMMYFUNCTION("""COMPUTED_VALUE"""),1.4098891982367E7)</f>
        <v>14098891.98</v>
      </c>
      <c r="F143" s="3">
        <f>IFERROR(__xludf.DUMMYFUNCTION("""COMPUTED_VALUE"""),7.53766667E8)</f>
        <v>753766667</v>
      </c>
      <c r="G143" s="3">
        <f>IFERROR(__xludf.DUMMYFUNCTION("""COMPUTED_VALUE"""),977631.036951)</f>
        <v>977631.037</v>
      </c>
      <c r="H143" s="3">
        <f>IFERROR(__xludf.DUMMYFUNCTION("""COMPUTED_VALUE"""),3.91958099393145E8)</f>
        <v>391958099.4</v>
      </c>
      <c r="I143" s="3">
        <f>IFERROR(__xludf.DUMMYFUNCTION("""COMPUTED_VALUE"""),6.32263703818952E8)</f>
        <v>632263703.8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IFERROR(__xludf.DUMMYFUNCTION("""COMPUTED_VALUE"""),1.9155293E7)</f>
        <v>19155293</v>
      </c>
      <c r="C144" s="3">
        <f>IFERROR(__xludf.DUMMYFUNCTION("""COMPUTED_VALUE"""),1.22439953499E8)</f>
        <v>122439953.5</v>
      </c>
      <c r="D144" s="3">
        <f>IFERROR(__xludf.DUMMYFUNCTION("""COMPUTED_VALUE"""),3.5392737023719E8)</f>
        <v>353927370.2</v>
      </c>
      <c r="E144" s="3">
        <f>IFERROR(__xludf.DUMMYFUNCTION("""COMPUTED_VALUE"""),1.4099232584558E7)</f>
        <v>14099232.58</v>
      </c>
      <c r="F144" s="3">
        <f>IFERROR(__xludf.DUMMYFUNCTION("""COMPUTED_VALUE"""),7.53766667E8)</f>
        <v>753766667</v>
      </c>
      <c r="G144" s="3">
        <f>IFERROR(__xludf.DUMMYFUNCTION("""COMPUTED_VALUE"""),977631.036951)</f>
        <v>977631.037</v>
      </c>
      <c r="H144" s="3">
        <f>IFERROR(__xludf.DUMMYFUNCTION("""COMPUTED_VALUE"""),3.91958099393145E8)</f>
        <v>391958099.4</v>
      </c>
      <c r="I144" s="3">
        <f>IFERROR(__xludf.DUMMYFUNCTION("""COMPUTED_VALUE"""),6.34265679089634E8)</f>
        <v>634265679.1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IFERROR(__xludf.DUMMYFUNCTION("""COMPUTED_VALUE"""),1.9156237E7)</f>
        <v>19156237</v>
      </c>
      <c r="C145" s="3">
        <f>IFERROR(__xludf.DUMMYFUNCTION("""COMPUTED_VALUE"""),1.22454231499E8)</f>
        <v>122454231.5</v>
      </c>
      <c r="D145" s="3">
        <f>IFERROR(__xludf.DUMMYFUNCTION("""COMPUTED_VALUE"""),3.54060839007578E8)</f>
        <v>354060839</v>
      </c>
      <c r="E145" s="3">
        <f>IFERROR(__xludf.DUMMYFUNCTION("""COMPUTED_VALUE"""),1.4099539848541E7)</f>
        <v>14099539.85</v>
      </c>
      <c r="F145" s="3">
        <f>IFERROR(__xludf.DUMMYFUNCTION("""COMPUTED_VALUE"""),7.53766667E8)</f>
        <v>753766667</v>
      </c>
      <c r="G145" s="3">
        <f>IFERROR(__xludf.DUMMYFUNCTION("""COMPUTED_VALUE"""),977631.036951)</f>
        <v>977631.037</v>
      </c>
      <c r="H145" s="3">
        <f>IFERROR(__xludf.DUMMYFUNCTION("""COMPUTED_VALUE"""),3.91958099393145E8)</f>
        <v>391958099.4</v>
      </c>
      <c r="I145" s="3">
        <f>IFERROR(__xludf.DUMMYFUNCTION("""COMPUTED_VALUE"""),6.36282772059186E8)</f>
        <v>636282772.1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IFERROR(__xludf.DUMMYFUNCTION("""COMPUTED_VALUE"""),1.9157125E7)</f>
        <v>19157125</v>
      </c>
      <c r="C146" s="3">
        <f>IFERROR(__xludf.DUMMYFUNCTION("""COMPUTED_VALUE"""),1.22468337499E8)</f>
        <v>122468337.5</v>
      </c>
      <c r="D146" s="3">
        <f>IFERROR(__xludf.DUMMYFUNCTION("""COMPUTED_VALUE"""),3.54522097521732E8)</f>
        <v>354522097.5</v>
      </c>
      <c r="E146" s="3">
        <f>IFERROR(__xludf.DUMMYFUNCTION("""COMPUTED_VALUE"""),1.4100474400879E7)</f>
        <v>14100474.4</v>
      </c>
      <c r="F146" s="3">
        <f>IFERROR(__xludf.DUMMYFUNCTION("""COMPUTED_VALUE"""),7.53766667E8)</f>
        <v>753766667</v>
      </c>
      <c r="G146" s="3">
        <f>IFERROR(__xludf.DUMMYFUNCTION("""COMPUTED_VALUE"""),977631.036951)</f>
        <v>977631.037</v>
      </c>
      <c r="H146" s="3">
        <f>IFERROR(__xludf.DUMMYFUNCTION("""COMPUTED_VALUE"""),3.91958099393145E8)</f>
        <v>391958099.4</v>
      </c>
      <c r="I146" s="3">
        <f>IFERROR(__xludf.DUMMYFUNCTION("""COMPUTED_VALUE"""),6.38298185284419E8)</f>
        <v>638298185.3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IFERROR(__xludf.DUMMYFUNCTION("""COMPUTED_VALUE"""),1.9157956E7)</f>
        <v>19157956</v>
      </c>
      <c r="C147" s="3">
        <f>IFERROR(__xludf.DUMMYFUNCTION("""COMPUTED_VALUE"""),1.22482635499E8)</f>
        <v>122482635.5</v>
      </c>
      <c r="D147" s="3">
        <f>IFERROR(__xludf.DUMMYFUNCTION("""COMPUTED_VALUE"""),3.54521226531255E8)</f>
        <v>354521226.5</v>
      </c>
      <c r="E147" s="3">
        <f>IFERROR(__xludf.DUMMYFUNCTION("""COMPUTED_VALUE"""),1.4100880536948E7)</f>
        <v>14100880.54</v>
      </c>
      <c r="F147" s="3">
        <f>IFERROR(__xludf.DUMMYFUNCTION("""COMPUTED_VALUE"""),7.53766667E8)</f>
        <v>753766667</v>
      </c>
      <c r="G147" s="3">
        <f>IFERROR(__xludf.DUMMYFUNCTION("""COMPUTED_VALUE"""),977631.036951)</f>
        <v>977631.037</v>
      </c>
      <c r="H147" s="3">
        <f>IFERROR(__xludf.DUMMYFUNCTION("""COMPUTED_VALUE"""),3.91958099393145E8)</f>
        <v>391958099.4</v>
      </c>
      <c r="I147" s="3">
        <f>IFERROR(__xludf.DUMMYFUNCTION("""COMPUTED_VALUE"""),6.40343553950005E8)</f>
        <v>640343554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IFERROR(__xludf.DUMMYFUNCTION("""COMPUTED_VALUE"""),1.9158768E7)</f>
        <v>19158768</v>
      </c>
      <c r="C148" s="3">
        <f>IFERROR(__xludf.DUMMYFUNCTION("""COMPUTED_VALUE"""),1.22496965499E8)</f>
        <v>122496965.5</v>
      </c>
      <c r="D148" s="3">
        <f>IFERROR(__xludf.DUMMYFUNCTION("""COMPUTED_VALUE"""),3.54651897522932E8)</f>
        <v>354651897.5</v>
      </c>
      <c r="E148" s="3">
        <f>IFERROR(__xludf.DUMMYFUNCTION("""COMPUTED_VALUE"""),1.4101022454604E7)</f>
        <v>14101022.45</v>
      </c>
      <c r="F148" s="3">
        <f>IFERROR(__xludf.DUMMYFUNCTION("""COMPUTED_VALUE"""),7.53766667E8)</f>
        <v>753766667</v>
      </c>
      <c r="G148" s="3">
        <f>IFERROR(__xludf.DUMMYFUNCTION("""COMPUTED_VALUE"""),977631.036951)</f>
        <v>977631.037</v>
      </c>
      <c r="H148" s="3">
        <f>IFERROR(__xludf.DUMMYFUNCTION("""COMPUTED_VALUE"""),3.91958099393145E8)</f>
        <v>391958099.4</v>
      </c>
      <c r="I148" s="3">
        <f>IFERROR(__xludf.DUMMYFUNCTION("""COMPUTED_VALUE"""),6.4243097143659E8)</f>
        <v>642430971.4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IFERROR(__xludf.DUMMYFUNCTION("""COMPUTED_VALUE"""),1.915965E7)</f>
        <v>19159650</v>
      </c>
      <c r="C149" s="3">
        <f>IFERROR(__xludf.DUMMYFUNCTION("""COMPUTED_VALUE"""),1.22511307499E8)</f>
        <v>122511307.5</v>
      </c>
      <c r="D149" s="3">
        <f>IFERROR(__xludf.DUMMYFUNCTION("""COMPUTED_VALUE"""),3.54651005560326E8)</f>
        <v>354651005.6</v>
      </c>
      <c r="E149" s="3">
        <f>IFERROR(__xludf.DUMMYFUNCTION("""COMPUTED_VALUE"""),1.4101300353004E7)</f>
        <v>14101300.35</v>
      </c>
      <c r="F149" s="3">
        <f>IFERROR(__xludf.DUMMYFUNCTION("""COMPUTED_VALUE"""),7.53766667E8)</f>
        <v>753766667</v>
      </c>
      <c r="G149" s="3">
        <f>IFERROR(__xludf.DUMMYFUNCTION("""COMPUTED_VALUE"""),977631.036951)</f>
        <v>977631.037</v>
      </c>
      <c r="H149" s="3">
        <f>IFERROR(__xludf.DUMMYFUNCTION("""COMPUTED_VALUE"""),3.91958099393145E8)</f>
        <v>391958099.4</v>
      </c>
      <c r="I149" s="3">
        <f>IFERROR(__xludf.DUMMYFUNCTION("""COMPUTED_VALUE"""),6.44445264832277E8)</f>
        <v>644445264.8</v>
      </c>
    </row>
    <row r="150">
      <c r="A150" s="3" t="str">
        <f>IFERROR(__xludf.DUMMYFUNCTION("""COMPUTED_VALUE"""),"2022-09-26T00:00:00Z")</f>
        <v>2022-09-26T00:00:00Z</v>
      </c>
      <c r="B150" s="3">
        <f>IFERROR(__xludf.DUMMYFUNCTION("""COMPUTED_VALUE"""),1.9160593E7)</f>
        <v>19160593</v>
      </c>
      <c r="C150" s="3">
        <f>IFERROR(__xludf.DUMMYFUNCTION("""COMPUTED_VALUE"""),1.22525641499E8)</f>
        <v>122525641.5</v>
      </c>
      <c r="D150" s="3">
        <f>IFERROR(__xludf.DUMMYFUNCTION("""COMPUTED_VALUE"""),3.54650881249774E8)</f>
        <v>354650881.2</v>
      </c>
      <c r="E150" s="3">
        <f>IFERROR(__xludf.DUMMYFUNCTION("""COMPUTED_VALUE"""),1.4101310991226E7)</f>
        <v>14101310.99</v>
      </c>
      <c r="F150" s="3">
        <f>IFERROR(__xludf.DUMMYFUNCTION("""COMPUTED_VALUE"""),7.53766667E8)</f>
        <v>753766667</v>
      </c>
      <c r="G150" s="3">
        <f>IFERROR(__xludf.DUMMYFUNCTION("""COMPUTED_VALUE"""),977631.036951)</f>
        <v>977631.037</v>
      </c>
      <c r="H150" s="3">
        <f>IFERROR(__xludf.DUMMYFUNCTION("""COMPUTED_VALUE"""),3.91958099393145E8)</f>
        <v>391958099.4</v>
      </c>
      <c r="I150" s="3">
        <f>IFERROR(__xludf.DUMMYFUNCTION("""COMPUTED_VALUE"""),6.44781213696047E8)</f>
        <v>644781213.7</v>
      </c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</row>
    <row r="2">
      <c r="A2" s="1" t="s">
        <v>25</v>
      </c>
      <c r="B2" s="1">
        <v>2726.085184</v>
      </c>
      <c r="C2" s="1">
        <v>2825.169703</v>
      </c>
    </row>
    <row r="3">
      <c r="A3" s="1" t="s">
        <v>26</v>
      </c>
      <c r="B3" s="1">
        <v>2824.95294</v>
      </c>
      <c r="C3" s="1">
        <v>2856.090084</v>
      </c>
    </row>
    <row r="4">
      <c r="A4" s="1" t="s">
        <v>27</v>
      </c>
      <c r="B4" s="1">
        <v>2856.216929</v>
      </c>
      <c r="C4" s="1">
        <v>2781.113229</v>
      </c>
    </row>
    <row r="5">
      <c r="A5" s="1" t="s">
        <v>28</v>
      </c>
      <c r="B5" s="1">
        <v>2780.836879</v>
      </c>
      <c r="C5" s="1">
        <v>2940.074941</v>
      </c>
    </row>
    <row r="6">
      <c r="A6" s="1" t="s">
        <v>29</v>
      </c>
      <c r="B6" s="1">
        <v>2940.170177</v>
      </c>
      <c r="C6" s="1">
        <v>2747.555976</v>
      </c>
    </row>
    <row r="7">
      <c r="A7" s="1" t="s">
        <v>30</v>
      </c>
      <c r="B7" s="1">
        <v>2747.552793</v>
      </c>
      <c r="C7" s="1">
        <v>2691.618501</v>
      </c>
    </row>
    <row r="8">
      <c r="A8" s="1" t="s">
        <v>31</v>
      </c>
      <c r="B8" s="1">
        <v>2691.845625</v>
      </c>
      <c r="C8" s="1">
        <v>2633.912859</v>
      </c>
    </row>
    <row r="9">
      <c r="A9" s="1" t="s">
        <v>32</v>
      </c>
      <c r="B9" s="1">
        <v>2634.91257</v>
      </c>
      <c r="C9" s="1">
        <v>2518.750421</v>
      </c>
    </row>
    <row r="10">
      <c r="A10" s="1" t="s">
        <v>33</v>
      </c>
      <c r="B10" s="1">
        <v>2519.05337</v>
      </c>
      <c r="C10" s="1">
        <v>2229.538133</v>
      </c>
    </row>
    <row r="11">
      <c r="A11" s="1" t="s">
        <v>34</v>
      </c>
      <c r="B11" s="1">
        <v>2227.956716</v>
      </c>
      <c r="C11" s="1">
        <v>2341.749081</v>
      </c>
    </row>
    <row r="12">
      <c r="A12" s="1" t="s">
        <v>35</v>
      </c>
      <c r="B12" s="1">
        <v>2341.227498</v>
      </c>
      <c r="C12" s="1">
        <v>2075.98072</v>
      </c>
    </row>
    <row r="13">
      <c r="A13" s="1" t="s">
        <v>36</v>
      </c>
      <c r="B13" s="1">
        <v>2076.812833</v>
      </c>
      <c r="C13" s="1">
        <v>1954.208256</v>
      </c>
    </row>
    <row r="14">
      <c r="A14" s="1" t="s">
        <v>37</v>
      </c>
      <c r="B14" s="1">
        <v>1954.181681</v>
      </c>
      <c r="C14" s="1">
        <v>2006.278115</v>
      </c>
    </row>
    <row r="15">
      <c r="A15" s="1" t="s">
        <v>38</v>
      </c>
      <c r="B15" s="1">
        <v>2006.196794</v>
      </c>
      <c r="C15" s="1">
        <v>2053.639812</v>
      </c>
    </row>
    <row r="16">
      <c r="A16" s="1" t="s">
        <v>39</v>
      </c>
      <c r="B16" s="1">
        <v>2053.6366</v>
      </c>
      <c r="C16" s="1">
        <v>2143.065811</v>
      </c>
    </row>
    <row r="17">
      <c r="A17" s="1" t="s">
        <v>40</v>
      </c>
      <c r="B17" s="1">
        <v>2142.663402</v>
      </c>
      <c r="C17" s="1">
        <v>2020.226877</v>
      </c>
    </row>
    <row r="18">
      <c r="A18" s="1" t="s">
        <v>41</v>
      </c>
      <c r="B18" s="1">
        <v>2021.279565</v>
      </c>
      <c r="C18" s="1">
        <v>2088.555043</v>
      </c>
    </row>
    <row r="19">
      <c r="A19" s="1" t="s">
        <v>42</v>
      </c>
      <c r="B19" s="1">
        <v>2087.966866</v>
      </c>
      <c r="C19" s="1">
        <v>1911.986048</v>
      </c>
    </row>
    <row r="20">
      <c r="A20" s="1" t="s">
        <v>43</v>
      </c>
      <c r="B20" s="1">
        <v>1913.050302</v>
      </c>
      <c r="C20" s="1">
        <v>2017.240862</v>
      </c>
    </row>
    <row r="21">
      <c r="A21" s="1" t="s">
        <v>44</v>
      </c>
      <c r="B21" s="1">
        <v>2016.952653</v>
      </c>
      <c r="C21" s="1">
        <v>1956.747258</v>
      </c>
    </row>
    <row r="22">
      <c r="A22" s="1" t="s">
        <v>45</v>
      </c>
      <c r="B22" s="1">
        <v>1956.668407</v>
      </c>
      <c r="C22" s="1">
        <v>1974.555584</v>
      </c>
    </row>
    <row r="23">
      <c r="A23" s="1" t="s">
        <v>46</v>
      </c>
      <c r="B23" s="1">
        <v>1972.557944</v>
      </c>
      <c r="C23" s="1">
        <v>2040.734429</v>
      </c>
    </row>
    <row r="24">
      <c r="A24" s="1" t="s">
        <v>47</v>
      </c>
      <c r="B24" s="1">
        <v>2040.481354</v>
      </c>
      <c r="C24" s="1">
        <v>1971.250169</v>
      </c>
    </row>
    <row r="25">
      <c r="A25" s="1" t="s">
        <v>48</v>
      </c>
      <c r="B25" s="1">
        <v>1971.310984</v>
      </c>
      <c r="C25" s="1">
        <v>1977.240445</v>
      </c>
    </row>
    <row r="26">
      <c r="A26" s="1" t="s">
        <v>49</v>
      </c>
      <c r="B26" s="1">
        <v>1977.234532</v>
      </c>
      <c r="C26" s="1">
        <v>1940.65096</v>
      </c>
    </row>
    <row r="27">
      <c r="A27" s="1" t="s">
        <v>50</v>
      </c>
      <c r="B27" s="1">
        <v>1940.318059</v>
      </c>
      <c r="C27" s="1">
        <v>1790.172404</v>
      </c>
    </row>
    <row r="28">
      <c r="A28" s="1" t="s">
        <v>51</v>
      </c>
      <c r="B28" s="1">
        <v>1790.309723</v>
      </c>
      <c r="C28" s="1">
        <v>1725.092303</v>
      </c>
    </row>
    <row r="29">
      <c r="A29" s="1" t="s">
        <v>52</v>
      </c>
      <c r="B29" s="1">
        <v>1725.462226</v>
      </c>
      <c r="C29" s="1">
        <v>1790.978405</v>
      </c>
    </row>
    <row r="30">
      <c r="A30" s="1" t="s">
        <v>53</v>
      </c>
      <c r="B30" s="1">
        <v>1790.896078</v>
      </c>
      <c r="C30" s="1">
        <v>1812.525372</v>
      </c>
    </row>
    <row r="31">
      <c r="A31" s="1" t="s">
        <v>54</v>
      </c>
      <c r="B31" s="1">
        <v>1812.714869</v>
      </c>
      <c r="C31" s="1">
        <v>1996.593067</v>
      </c>
    </row>
    <row r="32">
      <c r="A32" s="1" t="s">
        <v>55</v>
      </c>
      <c r="B32" s="1">
        <v>1996.563513</v>
      </c>
      <c r="C32" s="1">
        <v>1939.978911</v>
      </c>
    </row>
    <row r="33">
      <c r="A33" s="1" t="s">
        <v>56</v>
      </c>
      <c r="B33" s="1">
        <v>1940.436137</v>
      </c>
      <c r="C33" s="1">
        <v>1816.746709</v>
      </c>
    </row>
    <row r="34">
      <c r="A34" s="1" t="s">
        <v>57</v>
      </c>
      <c r="B34" s="1">
        <v>1816.84699</v>
      </c>
      <c r="C34" s="1">
        <v>1832.783818</v>
      </c>
    </row>
    <row r="35">
      <c r="A35" s="1" t="s">
        <v>58</v>
      </c>
      <c r="B35" s="1">
        <v>1832.654399</v>
      </c>
      <c r="C35" s="1">
        <v>1773.528893</v>
      </c>
    </row>
    <row r="36">
      <c r="A36" s="1" t="s">
        <v>59</v>
      </c>
      <c r="B36" s="1">
        <v>1773.519807</v>
      </c>
      <c r="C36" s="1">
        <v>1803.377237</v>
      </c>
    </row>
    <row r="37">
      <c r="A37" s="1" t="s">
        <v>60</v>
      </c>
      <c r="B37" s="1">
        <v>1803.646978</v>
      </c>
      <c r="C37" s="1">
        <v>1804.815027</v>
      </c>
    </row>
    <row r="38">
      <c r="A38" s="1" t="s">
        <v>61</v>
      </c>
      <c r="B38" s="1">
        <v>1804.777612</v>
      </c>
      <c r="C38" s="1">
        <v>1858.460921</v>
      </c>
    </row>
    <row r="39">
      <c r="A39" s="1" t="s">
        <v>62</v>
      </c>
      <c r="B39" s="1">
        <v>1858.261725</v>
      </c>
      <c r="C39" s="1">
        <v>1812.281428</v>
      </c>
    </row>
    <row r="40">
      <c r="A40" s="1" t="s">
        <v>63</v>
      </c>
      <c r="B40" s="1">
        <v>1812.039766</v>
      </c>
      <c r="C40" s="1">
        <v>1790.909789</v>
      </c>
    </row>
    <row r="41">
      <c r="A41" s="1" t="s">
        <v>64</v>
      </c>
      <c r="B41" s="1">
        <v>1790.736107</v>
      </c>
      <c r="C41" s="1">
        <v>1787.019228</v>
      </c>
    </row>
    <row r="42">
      <c r="A42" s="1" t="s">
        <v>65</v>
      </c>
      <c r="B42" s="1">
        <v>1786.328856</v>
      </c>
      <c r="C42" s="1">
        <v>1661.462985</v>
      </c>
    </row>
    <row r="43">
      <c r="A43" s="1" t="s">
        <v>66</v>
      </c>
      <c r="B43" s="1">
        <v>1661.421355</v>
      </c>
      <c r="C43" s="1">
        <v>1531.083773</v>
      </c>
    </row>
    <row r="44">
      <c r="A44" s="1" t="s">
        <v>67</v>
      </c>
      <c r="B44" s="1">
        <v>1531.104694</v>
      </c>
      <c r="C44" s="1">
        <v>1433.485155</v>
      </c>
    </row>
    <row r="45">
      <c r="A45" s="1" t="s">
        <v>68</v>
      </c>
      <c r="B45" s="1">
        <v>1433.782545</v>
      </c>
      <c r="C45" s="1">
        <v>1208.179701</v>
      </c>
    </row>
    <row r="46">
      <c r="A46" s="1" t="s">
        <v>69</v>
      </c>
      <c r="B46" s="1">
        <v>1207.446724</v>
      </c>
      <c r="C46" s="1">
        <v>1207.352992</v>
      </c>
    </row>
    <row r="47">
      <c r="A47" s="1" t="s">
        <v>70</v>
      </c>
      <c r="B47" s="1">
        <v>1208.795428</v>
      </c>
      <c r="C47" s="1">
        <v>1236.431359</v>
      </c>
    </row>
    <row r="48">
      <c r="A48" s="1" t="s">
        <v>71</v>
      </c>
      <c r="B48" s="1">
        <v>1236.322434</v>
      </c>
      <c r="C48" s="1">
        <v>1067.024161</v>
      </c>
    </row>
    <row r="49">
      <c r="A49" s="1" t="s">
        <v>72</v>
      </c>
      <c r="B49" s="1">
        <v>1067.933684</v>
      </c>
      <c r="C49" s="1">
        <v>1084.004417</v>
      </c>
    </row>
    <row r="50">
      <c r="A50" s="1" t="s">
        <v>73</v>
      </c>
      <c r="B50" s="1">
        <v>1085.019601</v>
      </c>
      <c r="C50" s="1">
        <v>993.732728</v>
      </c>
    </row>
    <row r="51">
      <c r="A51" s="1" t="s">
        <v>74</v>
      </c>
      <c r="B51" s="1">
        <v>993.697714</v>
      </c>
      <c r="C51" s="1">
        <v>1126.851602</v>
      </c>
    </row>
    <row r="52">
      <c r="A52" s="1" t="s">
        <v>75</v>
      </c>
      <c r="B52" s="1">
        <v>1125.778885</v>
      </c>
      <c r="C52" s="1">
        <v>1127.029295</v>
      </c>
    </row>
    <row r="53">
      <c r="A53" s="1" t="s">
        <v>76</v>
      </c>
      <c r="B53" s="1">
        <v>1126.900833</v>
      </c>
      <c r="C53" s="1">
        <v>1124.471286</v>
      </c>
    </row>
    <row r="54">
      <c r="A54" s="1" t="s">
        <v>77</v>
      </c>
      <c r="B54" s="1">
        <v>1124.351454</v>
      </c>
      <c r="C54" s="1">
        <v>1048.661827</v>
      </c>
    </row>
    <row r="55">
      <c r="A55" s="1" t="s">
        <v>78</v>
      </c>
      <c r="B55" s="1">
        <v>1049.023815</v>
      </c>
      <c r="C55" s="1">
        <v>1143.5161</v>
      </c>
    </row>
    <row r="56">
      <c r="A56" s="1" t="s">
        <v>79</v>
      </c>
      <c r="B56" s="1">
        <v>1143.576413</v>
      </c>
      <c r="C56" s="1">
        <v>1217.01729</v>
      </c>
    </row>
    <row r="57">
      <c r="A57" s="1" t="s">
        <v>80</v>
      </c>
      <c r="B57" s="1">
        <v>1221.46879</v>
      </c>
      <c r="C57" s="1">
        <v>1241.426435</v>
      </c>
    </row>
    <row r="58">
      <c r="A58" s="1" t="s">
        <v>81</v>
      </c>
      <c r="B58" s="1">
        <v>1241.475753</v>
      </c>
      <c r="C58" s="1">
        <v>1197.334885</v>
      </c>
    </row>
    <row r="59">
      <c r="A59" s="1" t="s">
        <v>82</v>
      </c>
      <c r="B59" s="1">
        <v>1196.723957</v>
      </c>
      <c r="C59" s="1">
        <v>1191.133293</v>
      </c>
    </row>
    <row r="60">
      <c r="A60" s="1" t="s">
        <v>83</v>
      </c>
      <c r="B60" s="1">
        <v>1191.173331</v>
      </c>
      <c r="C60" s="1">
        <v>1142.738502</v>
      </c>
    </row>
    <row r="61">
      <c r="A61" s="1" t="s">
        <v>84</v>
      </c>
      <c r="B61" s="1">
        <v>1142.30519</v>
      </c>
      <c r="C61" s="1">
        <v>1098.799932</v>
      </c>
    </row>
    <row r="62">
      <c r="A62" s="1" t="s">
        <v>85</v>
      </c>
      <c r="B62" s="1">
        <v>1098.892355</v>
      </c>
      <c r="C62" s="1">
        <v>1070.145268</v>
      </c>
    </row>
    <row r="63">
      <c r="A63" s="1" t="s">
        <v>86</v>
      </c>
      <c r="B63" s="1">
        <v>1069.566257</v>
      </c>
      <c r="C63" s="1">
        <v>1058.176788</v>
      </c>
    </row>
    <row r="64">
      <c r="A64" s="1" t="s">
        <v>87</v>
      </c>
      <c r="B64" s="1">
        <v>1058.421834</v>
      </c>
      <c r="C64" s="1">
        <v>1065.42589</v>
      </c>
    </row>
    <row r="65">
      <c r="A65" s="1" t="s">
        <v>88</v>
      </c>
      <c r="B65" s="1">
        <v>1065.663291</v>
      </c>
      <c r="C65" s="1">
        <v>1072.897076</v>
      </c>
    </row>
    <row r="66">
      <c r="A66" s="1" t="s">
        <v>89</v>
      </c>
      <c r="B66" s="1">
        <v>1072.918241</v>
      </c>
      <c r="C66" s="1">
        <v>1149.605393</v>
      </c>
    </row>
    <row r="67">
      <c r="A67" s="1" t="s">
        <v>90</v>
      </c>
      <c r="B67" s="1">
        <v>1149.731816</v>
      </c>
      <c r="C67" s="1">
        <v>1131.506908</v>
      </c>
    </row>
    <row r="68">
      <c r="A68" s="1" t="s">
        <v>91</v>
      </c>
      <c r="B68" s="1">
        <v>1131.403557</v>
      </c>
      <c r="C68" s="1">
        <v>1185.465225</v>
      </c>
    </row>
    <row r="69">
      <c r="A69" s="1" t="s">
        <v>92</v>
      </c>
      <c r="B69" s="1">
        <v>1185.475647</v>
      </c>
      <c r="C69" s="1">
        <v>1236.632545</v>
      </c>
    </row>
    <row r="70">
      <c r="A70" s="1" t="s">
        <v>93</v>
      </c>
      <c r="B70" s="1">
        <v>1236.981738</v>
      </c>
      <c r="C70" s="1">
        <v>1213.577964</v>
      </c>
    </row>
    <row r="71">
      <c r="A71" s="1" t="s">
        <v>94</v>
      </c>
      <c r="B71" s="1">
        <v>1213.257471</v>
      </c>
      <c r="C71" s="1">
        <v>1216.447693</v>
      </c>
    </row>
    <row r="72">
      <c r="A72" s="1" t="s">
        <v>95</v>
      </c>
      <c r="B72" s="1">
        <v>1216.416525</v>
      </c>
      <c r="C72" s="1">
        <v>1167.576656</v>
      </c>
    </row>
    <row r="73">
      <c r="A73" s="1" t="s">
        <v>96</v>
      </c>
      <c r="B73" s="1">
        <v>1167.566741</v>
      </c>
      <c r="C73" s="1">
        <v>1095.508448</v>
      </c>
    </row>
    <row r="74">
      <c r="A74" s="1" t="s">
        <v>97</v>
      </c>
      <c r="B74" s="1">
        <v>1095.325757</v>
      </c>
      <c r="C74" s="1">
        <v>1037.448842</v>
      </c>
    </row>
    <row r="75">
      <c r="A75" s="1" t="s">
        <v>98</v>
      </c>
      <c r="B75" s="1">
        <v>1037.541899</v>
      </c>
      <c r="C75" s="1">
        <v>1114.496329</v>
      </c>
    </row>
    <row r="76">
      <c r="A76" s="1" t="s">
        <v>99</v>
      </c>
      <c r="B76" s="1">
        <v>1114.189456</v>
      </c>
      <c r="C76" s="1">
        <v>1192.536705</v>
      </c>
    </row>
    <row r="77">
      <c r="A77" s="1" t="s">
        <v>100</v>
      </c>
      <c r="B77" s="1">
        <v>1192.488217</v>
      </c>
      <c r="C77" s="1">
        <v>1225.794284</v>
      </c>
    </row>
    <row r="78">
      <c r="A78" s="1" t="s">
        <v>101</v>
      </c>
      <c r="B78" s="1">
        <v>1231.010096</v>
      </c>
      <c r="C78" s="1">
        <v>1355.798957</v>
      </c>
    </row>
    <row r="79">
      <c r="A79" s="1" t="s">
        <v>102</v>
      </c>
      <c r="B79" s="1">
        <v>1355.656882</v>
      </c>
      <c r="C79" s="1">
        <v>1338.117516</v>
      </c>
    </row>
    <row r="80">
      <c r="A80" s="1" t="s">
        <v>103</v>
      </c>
      <c r="B80" s="1">
        <v>1338.098367</v>
      </c>
      <c r="C80" s="1">
        <v>1581.304693</v>
      </c>
    </row>
    <row r="81">
      <c r="A81" s="1" t="s">
        <v>104</v>
      </c>
      <c r="B81" s="1">
        <v>1580.82875</v>
      </c>
      <c r="C81" s="1">
        <v>1542.504186</v>
      </c>
    </row>
    <row r="82">
      <c r="A82" s="1" t="s">
        <v>105</v>
      </c>
      <c r="B82" s="1">
        <v>1542.496673</v>
      </c>
      <c r="C82" s="1">
        <v>1521.797542</v>
      </c>
    </row>
    <row r="83">
      <c r="A83" s="1" t="s">
        <v>106</v>
      </c>
      <c r="B83" s="1">
        <v>1521.624521</v>
      </c>
      <c r="C83" s="1">
        <v>1575.392101</v>
      </c>
    </row>
    <row r="84">
      <c r="A84" s="1" t="s">
        <v>107</v>
      </c>
      <c r="B84" s="1">
        <v>1575.265469</v>
      </c>
      <c r="C84" s="1">
        <v>1535.460673</v>
      </c>
    </row>
    <row r="85">
      <c r="A85" s="1" t="s">
        <v>108</v>
      </c>
      <c r="B85" s="1">
        <v>1535.380278</v>
      </c>
      <c r="C85" s="1">
        <v>1548.83438</v>
      </c>
    </row>
    <row r="86">
      <c r="A86" s="1" t="s">
        <v>109</v>
      </c>
      <c r="B86" s="1">
        <v>1546.930733</v>
      </c>
      <c r="C86" s="1">
        <v>1597.785685</v>
      </c>
    </row>
    <row r="87">
      <c r="A87" s="1" t="s">
        <v>110</v>
      </c>
      <c r="B87" s="1">
        <v>1597.798685</v>
      </c>
      <c r="C87" s="1">
        <v>1440.298332</v>
      </c>
    </row>
    <row r="88">
      <c r="A88" s="1" t="s">
        <v>111</v>
      </c>
      <c r="B88" s="1">
        <v>1440.472152</v>
      </c>
      <c r="C88" s="1">
        <v>1449.312925</v>
      </c>
    </row>
    <row r="89">
      <c r="A89" s="1" t="s">
        <v>112</v>
      </c>
      <c r="B89" s="1">
        <v>1449.390574</v>
      </c>
      <c r="C89" s="1">
        <v>1639.056078</v>
      </c>
    </row>
    <row r="90">
      <c r="A90" s="1" t="s">
        <v>113</v>
      </c>
      <c r="B90" s="1">
        <v>1639.197877</v>
      </c>
      <c r="C90" s="1">
        <v>1724.870422</v>
      </c>
    </row>
    <row r="91">
      <c r="A91" s="1" t="s">
        <v>114</v>
      </c>
      <c r="B91" s="1">
        <v>1727.041713</v>
      </c>
      <c r="C91" s="1">
        <v>1721.688019</v>
      </c>
    </row>
    <row r="92">
      <c r="A92" s="1" t="s">
        <v>115</v>
      </c>
      <c r="B92" s="1">
        <v>1722.518435</v>
      </c>
      <c r="C92" s="1">
        <v>1697.156084</v>
      </c>
    </row>
    <row r="93">
      <c r="A93" s="1" t="s">
        <v>116</v>
      </c>
      <c r="B93" s="1">
        <v>1697.25136</v>
      </c>
      <c r="C93" s="1">
        <v>1679.286315</v>
      </c>
    </row>
    <row r="94">
      <c r="A94" s="1" t="s">
        <v>117</v>
      </c>
      <c r="B94" s="1">
        <v>1679.23631</v>
      </c>
      <c r="C94" s="1">
        <v>1628.878643</v>
      </c>
    </row>
    <row r="95">
      <c r="A95" s="1" t="s">
        <v>118</v>
      </c>
      <c r="B95" s="1">
        <v>1628.808581</v>
      </c>
      <c r="C95" s="1">
        <v>1631.115391</v>
      </c>
    </row>
    <row r="96">
      <c r="A96" s="1" t="s">
        <v>119</v>
      </c>
      <c r="B96" s="1">
        <v>1631.25256</v>
      </c>
      <c r="C96" s="1">
        <v>1619.794375</v>
      </c>
    </row>
    <row r="97">
      <c r="A97" s="1" t="s">
        <v>120</v>
      </c>
      <c r="B97" s="1">
        <v>1619.707089</v>
      </c>
      <c r="C97" s="1">
        <v>1608.958108</v>
      </c>
    </row>
    <row r="98">
      <c r="A98" s="1" t="s">
        <v>121</v>
      </c>
      <c r="B98" s="1">
        <v>1607.061603</v>
      </c>
      <c r="C98" s="1">
        <v>1730.466633</v>
      </c>
    </row>
    <row r="99">
      <c r="A99" s="1" t="s">
        <v>122</v>
      </c>
      <c r="B99" s="1">
        <v>1730.561515</v>
      </c>
      <c r="C99" s="1">
        <v>1692.922812</v>
      </c>
    </row>
    <row r="100">
      <c r="A100" s="1" t="s">
        <v>123</v>
      </c>
      <c r="B100" s="1">
        <v>1691.447338</v>
      </c>
      <c r="C100" s="1">
        <v>1699.16669</v>
      </c>
    </row>
    <row r="101">
      <c r="A101" s="1" t="s">
        <v>124</v>
      </c>
      <c r="B101" s="1">
        <v>1700.539855</v>
      </c>
      <c r="C101" s="1">
        <v>1778.682728</v>
      </c>
    </row>
    <row r="102">
      <c r="A102" s="1" t="s">
        <v>125</v>
      </c>
      <c r="B102" s="1">
        <v>1777.071254</v>
      </c>
      <c r="C102" s="1">
        <v>1702.925823</v>
      </c>
    </row>
    <row r="103">
      <c r="A103" s="1" t="s">
        <v>126</v>
      </c>
      <c r="B103" s="1">
        <v>1700.850174</v>
      </c>
      <c r="C103" s="1">
        <v>1856.907438</v>
      </c>
    </row>
    <row r="104">
      <c r="A104" s="1" t="s">
        <v>127</v>
      </c>
      <c r="B104" s="1">
        <v>1855.691904</v>
      </c>
      <c r="C104" s="1">
        <v>1880.453744</v>
      </c>
    </row>
    <row r="105">
      <c r="A105" s="1" t="s">
        <v>128</v>
      </c>
      <c r="B105" s="1">
        <v>1881.820674</v>
      </c>
      <c r="C105" s="1">
        <v>1956.342337</v>
      </c>
    </row>
    <row r="106">
      <c r="A106" s="1" t="s">
        <v>129</v>
      </c>
      <c r="B106" s="1">
        <v>1955.87313</v>
      </c>
      <c r="C106" s="1">
        <v>1982.778952</v>
      </c>
    </row>
    <row r="107">
      <c r="A107" s="1" t="s">
        <v>130</v>
      </c>
      <c r="B107" s="1">
        <v>1983.94942</v>
      </c>
      <c r="C107" s="1">
        <v>1935.545192</v>
      </c>
    </row>
    <row r="108">
      <c r="A108" s="1" t="s">
        <v>131</v>
      </c>
      <c r="B108" s="1">
        <v>1935.668782</v>
      </c>
      <c r="C108" s="1">
        <v>1899.875055</v>
      </c>
    </row>
    <row r="109">
      <c r="A109" s="1" t="s">
        <v>132</v>
      </c>
      <c r="B109" s="1">
        <v>1899.501111</v>
      </c>
      <c r="C109" s="1">
        <v>1876.838236</v>
      </c>
    </row>
    <row r="110">
      <c r="A110" s="1" t="s">
        <v>133</v>
      </c>
      <c r="B110" s="1">
        <v>1877.001195</v>
      </c>
      <c r="C110" s="1">
        <v>1834.295106</v>
      </c>
    </row>
    <row r="111">
      <c r="A111" s="1" t="s">
        <v>134</v>
      </c>
      <c r="B111" s="1">
        <v>1834.275353</v>
      </c>
      <c r="C111" s="1">
        <v>1846.648135</v>
      </c>
    </row>
    <row r="112">
      <c r="A112" s="1" t="s">
        <v>135</v>
      </c>
      <c r="B112" s="1">
        <v>1846.508019</v>
      </c>
      <c r="C112" s="1">
        <v>1609.114825</v>
      </c>
    </row>
    <row r="113">
      <c r="A113" s="1" t="s">
        <v>136</v>
      </c>
      <c r="B113" s="1">
        <v>1608.939858</v>
      </c>
      <c r="C113" s="1">
        <v>1576.06606</v>
      </c>
    </row>
    <row r="114">
      <c r="A114" s="1" t="s">
        <v>137</v>
      </c>
      <c r="B114" s="1">
        <v>1576.148689</v>
      </c>
      <c r="C114" s="1">
        <v>1617.965819</v>
      </c>
    </row>
    <row r="115">
      <c r="A115" s="1" t="s">
        <v>138</v>
      </c>
      <c r="B115" s="1">
        <v>1618.028499</v>
      </c>
      <c r="C115" s="1">
        <v>1624.55574</v>
      </c>
    </row>
    <row r="116">
      <c r="A116" s="1" t="s">
        <v>139</v>
      </c>
      <c r="B116" s="1">
        <v>1624.689747</v>
      </c>
      <c r="C116" s="1">
        <v>1665.387281</v>
      </c>
    </row>
    <row r="117">
      <c r="A117" s="1" t="s">
        <v>140</v>
      </c>
      <c r="B117" s="1">
        <v>1665.545474</v>
      </c>
      <c r="C117" s="1">
        <v>1656.613151</v>
      </c>
    </row>
    <row r="118">
      <c r="A118" s="1" t="s">
        <v>141</v>
      </c>
      <c r="B118" s="1">
        <v>1656.520432</v>
      </c>
      <c r="C118" s="1">
        <v>1695.217608</v>
      </c>
    </row>
    <row r="119">
      <c r="A119" s="1" t="s">
        <v>142</v>
      </c>
      <c r="B119" s="1">
        <v>1694.993422</v>
      </c>
      <c r="C119" s="1">
        <v>1508.090392</v>
      </c>
    </row>
    <row r="120">
      <c r="A120" s="1" t="s">
        <v>143</v>
      </c>
      <c r="B120" s="1">
        <v>1507.982561</v>
      </c>
      <c r="C120" s="1">
        <v>1491.114447</v>
      </c>
    </row>
    <row r="121">
      <c r="A121" s="1" t="s">
        <v>144</v>
      </c>
      <c r="B121" s="1">
        <v>1492.311312</v>
      </c>
      <c r="C121" s="1">
        <v>1426.960522</v>
      </c>
    </row>
    <row r="122">
      <c r="A122" s="1" t="s">
        <v>145</v>
      </c>
      <c r="B122" s="1">
        <v>1427.004358</v>
      </c>
      <c r="C122" s="1">
        <v>1551.815392</v>
      </c>
    </row>
    <row r="123">
      <c r="A123" s="1" t="s">
        <v>146</v>
      </c>
      <c r="B123" s="1">
        <v>1551.822573</v>
      </c>
      <c r="C123" s="1">
        <v>1524.52056</v>
      </c>
    </row>
    <row r="124">
      <c r="A124" s="1" t="s">
        <v>147</v>
      </c>
      <c r="B124" s="1">
        <v>1524.773815</v>
      </c>
      <c r="C124" s="1">
        <v>1554.089231</v>
      </c>
    </row>
    <row r="125">
      <c r="A125" s="1" t="s">
        <v>148</v>
      </c>
      <c r="B125" s="1">
        <v>1553.983552</v>
      </c>
      <c r="C125" s="1">
        <v>1586.073002</v>
      </c>
    </row>
    <row r="126">
      <c r="A126" s="1" t="s">
        <v>149</v>
      </c>
      <c r="B126" s="1">
        <v>1585.902543</v>
      </c>
      <c r="C126" s="1">
        <v>1575.796554</v>
      </c>
    </row>
    <row r="127">
      <c r="A127" s="1" t="s">
        <v>150</v>
      </c>
      <c r="B127" s="1">
        <v>1575.335525</v>
      </c>
      <c r="C127" s="1">
        <v>1557.493201</v>
      </c>
    </row>
    <row r="128">
      <c r="A128" s="1" t="s">
        <v>151</v>
      </c>
      <c r="B128" s="1">
        <v>1557.439166</v>
      </c>
      <c r="C128" s="1">
        <v>1579.216746</v>
      </c>
    </row>
    <row r="129">
      <c r="A129" s="1" t="s">
        <v>152</v>
      </c>
      <c r="B129" s="1">
        <v>1579.110999</v>
      </c>
      <c r="C129" s="1">
        <v>1617.746676</v>
      </c>
    </row>
    <row r="130">
      <c r="A130" s="1" t="s">
        <v>153</v>
      </c>
      <c r="B130" s="1">
        <v>1617.890692</v>
      </c>
      <c r="C130" s="1">
        <v>1558.839774</v>
      </c>
    </row>
    <row r="131">
      <c r="A131" s="1" t="s">
        <v>154</v>
      </c>
      <c r="B131" s="1">
        <v>1558.804746</v>
      </c>
      <c r="C131" s="1">
        <v>1629.882435</v>
      </c>
    </row>
    <row r="132">
      <c r="A132" s="1" t="s">
        <v>155</v>
      </c>
      <c r="B132" s="1">
        <v>1629.855355</v>
      </c>
      <c r="C132" s="1">
        <v>1635.726141</v>
      </c>
    </row>
    <row r="133">
      <c r="A133" s="1" t="s">
        <v>156</v>
      </c>
      <c r="B133" s="1">
        <v>1635.527319</v>
      </c>
      <c r="C133" s="1">
        <v>1718.908793</v>
      </c>
    </row>
    <row r="134">
      <c r="A134" s="1" t="s">
        <v>157</v>
      </c>
      <c r="B134" s="1">
        <v>1718.862165</v>
      </c>
      <c r="C134" s="1">
        <v>1774.737357</v>
      </c>
    </row>
    <row r="135">
      <c r="A135" s="1" t="s">
        <v>158</v>
      </c>
      <c r="B135" s="1">
        <v>1774.8769</v>
      </c>
      <c r="C135" s="1">
        <v>1765.988036</v>
      </c>
    </row>
    <row r="136">
      <c r="A136" s="1" t="s">
        <v>159</v>
      </c>
      <c r="B136" s="1">
        <v>1766.718859</v>
      </c>
      <c r="C136" s="1">
        <v>1716.960601</v>
      </c>
    </row>
    <row r="137">
      <c r="A137" s="1" t="s">
        <v>160</v>
      </c>
      <c r="B137" s="1">
        <v>1716.670272</v>
      </c>
      <c r="C137" s="1">
        <v>1574.574506</v>
      </c>
    </row>
    <row r="138">
      <c r="A138" s="1" t="s">
        <v>161</v>
      </c>
      <c r="B138" s="1">
        <v>1574.28213</v>
      </c>
      <c r="C138" s="1">
        <v>1638.558706</v>
      </c>
    </row>
    <row r="139">
      <c r="A139" s="1" t="s">
        <v>162</v>
      </c>
      <c r="B139" s="1">
        <v>1638.419504</v>
      </c>
      <c r="C139" s="1">
        <v>1472.569003</v>
      </c>
    </row>
    <row r="140">
      <c r="A140" s="1" t="s">
        <v>163</v>
      </c>
      <c r="B140" s="1">
        <v>1472.746217</v>
      </c>
      <c r="C140" s="1">
        <v>1434.136752</v>
      </c>
    </row>
    <row r="141">
      <c r="A141" s="1" t="s">
        <v>164</v>
      </c>
      <c r="B141" s="1">
        <v>1433.809024</v>
      </c>
      <c r="C141" s="1">
        <v>1467.745364</v>
      </c>
    </row>
    <row r="142">
      <c r="A142" s="1" t="s">
        <v>165</v>
      </c>
      <c r="B142" s="1">
        <v>1469.050335</v>
      </c>
      <c r="C142" s="1">
        <v>1334.489433</v>
      </c>
    </row>
    <row r="143">
      <c r="A143" s="1" t="s">
        <v>166</v>
      </c>
      <c r="B143" s="1">
        <v>1334.689932</v>
      </c>
      <c r="C143" s="1">
        <v>1376.130134</v>
      </c>
    </row>
    <row r="144">
      <c r="A144" s="1" t="s">
        <v>167</v>
      </c>
      <c r="B144" s="1">
        <v>1376.130253</v>
      </c>
      <c r="C144" s="1">
        <v>1322.990262</v>
      </c>
    </row>
    <row r="145">
      <c r="A145" s="1" t="s">
        <v>168</v>
      </c>
      <c r="B145" s="1">
        <v>1323.002436</v>
      </c>
      <c r="C145" s="1">
        <v>1245.913916</v>
      </c>
    </row>
    <row r="146">
      <c r="A146" s="1" t="s">
        <v>169</v>
      </c>
      <c r="B146" s="1">
        <v>1245.737138</v>
      </c>
      <c r="C146" s="1">
        <v>1326.138899</v>
      </c>
    </row>
    <row r="147">
      <c r="A147" s="1" t="s">
        <v>170</v>
      </c>
      <c r="B147" s="1">
        <v>1326.442765</v>
      </c>
      <c r="C147" s="1">
        <v>1327.149074</v>
      </c>
    </row>
    <row r="148">
      <c r="A148" s="1" t="s">
        <v>171</v>
      </c>
      <c r="B148" s="1">
        <v>1327.327508</v>
      </c>
      <c r="C148" s="1">
        <v>1317.282816</v>
      </c>
    </row>
    <row r="149">
      <c r="A149" s="1" t="s">
        <v>172</v>
      </c>
      <c r="B149" s="1">
        <v>1317.342898</v>
      </c>
      <c r="C149" s="1">
        <v>1294.561534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1.205945631865E8</v>
      </c>
    </row>
    <row r="3">
      <c r="A3" s="1" t="s">
        <v>26</v>
      </c>
      <c r="B3" s="1">
        <v>1.20607954874E8</v>
      </c>
    </row>
    <row r="4">
      <c r="A4" s="1" t="s">
        <v>27</v>
      </c>
      <c r="B4" s="1">
        <v>1.206211748115E8</v>
      </c>
    </row>
    <row r="5">
      <c r="A5" s="1" t="s">
        <v>28</v>
      </c>
      <c r="B5" s="1">
        <v>1.20634544874E8</v>
      </c>
    </row>
    <row r="6">
      <c r="A6" s="1" t="s">
        <v>29</v>
      </c>
      <c r="B6" s="1">
        <v>1.206476778115E8</v>
      </c>
    </row>
    <row r="7">
      <c r="A7" s="1" t="s">
        <v>30</v>
      </c>
      <c r="B7" s="1">
        <v>1.20660870499E8</v>
      </c>
    </row>
    <row r="8">
      <c r="A8" s="1" t="s">
        <v>31</v>
      </c>
      <c r="B8" s="1">
        <v>1.20674081999E8</v>
      </c>
    </row>
    <row r="9">
      <c r="A9" s="1" t="s">
        <v>32</v>
      </c>
      <c r="B9" s="1">
        <v>1.206873133115E8</v>
      </c>
    </row>
    <row r="10">
      <c r="A10" s="1" t="s">
        <v>33</v>
      </c>
      <c r="B10" s="1">
        <v>1.207006439365E8</v>
      </c>
    </row>
    <row r="11">
      <c r="A11" s="1" t="s">
        <v>34</v>
      </c>
      <c r="B11" s="1">
        <v>1.207137464365E8</v>
      </c>
    </row>
    <row r="12">
      <c r="A12" s="1" t="s">
        <v>35</v>
      </c>
      <c r="B12" s="1">
        <v>1.207269569365E8</v>
      </c>
    </row>
    <row r="13">
      <c r="A13" s="1" t="s">
        <v>36</v>
      </c>
      <c r="B13" s="1">
        <v>1.207402584365E8</v>
      </c>
    </row>
    <row r="14">
      <c r="A14" s="1" t="s">
        <v>37</v>
      </c>
      <c r="B14" s="1">
        <v>1.207533685615E8</v>
      </c>
    </row>
    <row r="15">
      <c r="A15" s="1" t="s">
        <v>38</v>
      </c>
      <c r="B15" s="1">
        <v>1.207667391865E8</v>
      </c>
    </row>
    <row r="16">
      <c r="A16" s="1" t="s">
        <v>39</v>
      </c>
      <c r="B16" s="1">
        <v>1.20779757749E8</v>
      </c>
    </row>
    <row r="17">
      <c r="A17" s="1" t="s">
        <v>40</v>
      </c>
      <c r="B17" s="1">
        <v>1.20793055374E8</v>
      </c>
    </row>
    <row r="18">
      <c r="A18" s="1" t="s">
        <v>41</v>
      </c>
      <c r="B18" s="1">
        <v>1.20806222749E8</v>
      </c>
    </row>
    <row r="19">
      <c r="A19" s="1" t="s">
        <v>42</v>
      </c>
      <c r="B19" s="1">
        <v>1.20819479624E8</v>
      </c>
    </row>
    <row r="20">
      <c r="A20" s="1" t="s">
        <v>43</v>
      </c>
      <c r="B20" s="1">
        <v>1.20832757624E8</v>
      </c>
    </row>
    <row r="21">
      <c r="A21" s="1" t="s">
        <v>44</v>
      </c>
      <c r="B21" s="1">
        <v>1.208455558115E8</v>
      </c>
    </row>
    <row r="22">
      <c r="A22" s="1" t="s">
        <v>45</v>
      </c>
      <c r="B22" s="1">
        <v>1.208584165615E8</v>
      </c>
    </row>
    <row r="23">
      <c r="A23" s="1" t="s">
        <v>46</v>
      </c>
      <c r="B23" s="1">
        <v>1.208712695615E8</v>
      </c>
    </row>
    <row r="24">
      <c r="A24" s="1" t="s">
        <v>47</v>
      </c>
      <c r="B24" s="1">
        <v>1.208841323115E8</v>
      </c>
    </row>
    <row r="25">
      <c r="A25" s="1" t="s">
        <v>48</v>
      </c>
      <c r="B25" s="1">
        <v>1.208970743115E8</v>
      </c>
    </row>
    <row r="26">
      <c r="A26" s="1" t="s">
        <v>49</v>
      </c>
      <c r="B26" s="1">
        <v>1.20909903999E8</v>
      </c>
    </row>
    <row r="27">
      <c r="A27" s="1" t="s">
        <v>50</v>
      </c>
      <c r="B27" s="1">
        <v>1.20922857999E8</v>
      </c>
    </row>
    <row r="28">
      <c r="A28" s="1" t="s">
        <v>51</v>
      </c>
      <c r="B28" s="1">
        <v>1.20935665624E8</v>
      </c>
    </row>
    <row r="29">
      <c r="A29" s="1" t="s">
        <v>52</v>
      </c>
      <c r="B29" s="1">
        <v>1.209486384365E8</v>
      </c>
    </row>
    <row r="30">
      <c r="A30" s="1" t="s">
        <v>53</v>
      </c>
      <c r="B30" s="1">
        <v>1.209615156865E8</v>
      </c>
    </row>
    <row r="31">
      <c r="A31" s="1" t="s">
        <v>54</v>
      </c>
      <c r="B31" s="1">
        <v>1.209744000615E8</v>
      </c>
    </row>
    <row r="32">
      <c r="A32" s="1" t="s">
        <v>55</v>
      </c>
      <c r="B32" s="1">
        <v>1.209872555615E8</v>
      </c>
    </row>
    <row r="33">
      <c r="A33" s="1" t="s">
        <v>56</v>
      </c>
      <c r="B33" s="1">
        <v>1.210000684365E8</v>
      </c>
    </row>
    <row r="34">
      <c r="A34" s="1" t="s">
        <v>57</v>
      </c>
      <c r="B34" s="1">
        <v>1.21012928499E8</v>
      </c>
    </row>
    <row r="35">
      <c r="A35" s="1" t="s">
        <v>58</v>
      </c>
      <c r="B35" s="1">
        <v>1.210257980615E8</v>
      </c>
    </row>
    <row r="36">
      <c r="A36" s="1" t="s">
        <v>59</v>
      </c>
      <c r="B36" s="1">
        <v>1.21038693999E8</v>
      </c>
    </row>
    <row r="37">
      <c r="A37" s="1" t="s">
        <v>60</v>
      </c>
      <c r="B37" s="1">
        <v>1.21051040624E8</v>
      </c>
    </row>
    <row r="38">
      <c r="A38" s="1" t="s">
        <v>61</v>
      </c>
      <c r="B38" s="1">
        <v>1.210633856865E8</v>
      </c>
    </row>
    <row r="39">
      <c r="A39" s="1" t="s">
        <v>62</v>
      </c>
      <c r="B39" s="1">
        <v>1.21075610124E8</v>
      </c>
    </row>
    <row r="40">
      <c r="A40" s="1" t="s">
        <v>63</v>
      </c>
      <c r="B40" s="1">
        <v>1.210879654365E8</v>
      </c>
    </row>
    <row r="41">
      <c r="A41" s="1" t="s">
        <v>64</v>
      </c>
      <c r="B41" s="1">
        <v>1.211002800615E8</v>
      </c>
    </row>
    <row r="42">
      <c r="A42" s="1" t="s">
        <v>65</v>
      </c>
      <c r="B42" s="1">
        <v>1.21112430749E8</v>
      </c>
    </row>
    <row r="43">
      <c r="A43" s="1" t="s">
        <v>66</v>
      </c>
      <c r="B43" s="1">
        <v>1.211246626865E8</v>
      </c>
    </row>
    <row r="44">
      <c r="A44" s="1" t="s">
        <v>67</v>
      </c>
      <c r="B44" s="1">
        <v>1.21137036499E8</v>
      </c>
    </row>
    <row r="45">
      <c r="A45" s="1" t="s">
        <v>68</v>
      </c>
      <c r="B45" s="1">
        <v>1.211492723115E8</v>
      </c>
    </row>
    <row r="46">
      <c r="A46" s="1" t="s">
        <v>69</v>
      </c>
      <c r="B46" s="1">
        <v>1.21161456499E8</v>
      </c>
    </row>
    <row r="47">
      <c r="A47" s="1" t="s">
        <v>70</v>
      </c>
      <c r="B47" s="1">
        <v>1.211736408115E8</v>
      </c>
    </row>
    <row r="48">
      <c r="A48" s="1" t="s">
        <v>71</v>
      </c>
      <c r="B48" s="1">
        <v>1.211857030615E8</v>
      </c>
    </row>
    <row r="49">
      <c r="A49" s="1" t="s">
        <v>72</v>
      </c>
      <c r="B49" s="1">
        <v>1.211979254365E8</v>
      </c>
    </row>
    <row r="50">
      <c r="A50" s="1" t="s">
        <v>73</v>
      </c>
      <c r="B50" s="1">
        <v>1.21210176499E8</v>
      </c>
    </row>
    <row r="51">
      <c r="A51" s="1" t="s">
        <v>74</v>
      </c>
      <c r="B51" s="1">
        <v>1.212223986865E8</v>
      </c>
    </row>
    <row r="52">
      <c r="A52" s="1" t="s">
        <v>75</v>
      </c>
      <c r="B52" s="1">
        <v>1.21234453874E8</v>
      </c>
    </row>
    <row r="53">
      <c r="A53" s="1" t="s">
        <v>76</v>
      </c>
      <c r="B53" s="1">
        <v>1.212466571865E8</v>
      </c>
    </row>
    <row r="54">
      <c r="A54" s="1" t="s">
        <v>77</v>
      </c>
      <c r="B54" s="1">
        <v>1.212581720615E8</v>
      </c>
    </row>
    <row r="55">
      <c r="A55" s="1" t="s">
        <v>78</v>
      </c>
      <c r="B55" s="1">
        <v>1.212693108115E8</v>
      </c>
    </row>
    <row r="56">
      <c r="A56" s="1" t="s">
        <v>79</v>
      </c>
      <c r="B56" s="1">
        <v>1.21280384624E8</v>
      </c>
    </row>
    <row r="57">
      <c r="A57" s="1" t="s">
        <v>80</v>
      </c>
      <c r="B57" s="1">
        <v>1.21291590624E8</v>
      </c>
    </row>
    <row r="58">
      <c r="A58" s="1" t="s">
        <v>81</v>
      </c>
      <c r="B58" s="1">
        <v>1.213027649365E8</v>
      </c>
    </row>
    <row r="59">
      <c r="A59" s="1" t="s">
        <v>82</v>
      </c>
      <c r="B59" s="1">
        <v>1.21313866999E8</v>
      </c>
    </row>
    <row r="60">
      <c r="A60" s="1" t="s">
        <v>83</v>
      </c>
      <c r="B60" s="1">
        <v>1.21325065249E8</v>
      </c>
    </row>
    <row r="61">
      <c r="A61" s="1" t="s">
        <v>84</v>
      </c>
      <c r="B61" s="1">
        <v>1.21336160124E8</v>
      </c>
    </row>
    <row r="62">
      <c r="A62" s="1" t="s">
        <v>85</v>
      </c>
      <c r="B62" s="1">
        <v>1.21347228124E8</v>
      </c>
    </row>
    <row r="63">
      <c r="A63" s="1" t="s">
        <v>86</v>
      </c>
      <c r="B63" s="1">
        <v>1.213589996865E8</v>
      </c>
    </row>
    <row r="64">
      <c r="A64" s="1" t="s">
        <v>87</v>
      </c>
      <c r="B64" s="1">
        <v>1.213723515615E8</v>
      </c>
    </row>
    <row r="65">
      <c r="A65" s="1" t="s">
        <v>88</v>
      </c>
      <c r="B65" s="1">
        <v>1.213860401865E8</v>
      </c>
    </row>
    <row r="66">
      <c r="A66" s="1" t="s">
        <v>89</v>
      </c>
      <c r="B66" s="1">
        <v>1.21399635249E8</v>
      </c>
    </row>
    <row r="67">
      <c r="A67" s="1" t="s">
        <v>90</v>
      </c>
      <c r="B67" s="1">
        <v>1.21413221624E8</v>
      </c>
    </row>
    <row r="68">
      <c r="A68" s="1" t="s">
        <v>91</v>
      </c>
      <c r="B68" s="1">
        <v>1.214267643115E8</v>
      </c>
    </row>
    <row r="69">
      <c r="A69" s="1" t="s">
        <v>92</v>
      </c>
      <c r="B69" s="1">
        <v>1.214403329365E8</v>
      </c>
    </row>
    <row r="70">
      <c r="A70" s="1" t="s">
        <v>93</v>
      </c>
      <c r="B70" s="1">
        <v>1.214537220615E8</v>
      </c>
    </row>
    <row r="71">
      <c r="A71" s="1" t="s">
        <v>94</v>
      </c>
      <c r="B71" s="1">
        <v>1.214674434365E8</v>
      </c>
    </row>
    <row r="72">
      <c r="A72" s="1" t="s">
        <v>95</v>
      </c>
      <c r="B72" s="1">
        <v>1.214807908115E8</v>
      </c>
    </row>
    <row r="73">
      <c r="A73" s="1" t="s">
        <v>96</v>
      </c>
      <c r="B73" s="1">
        <v>1.21494294249E8</v>
      </c>
    </row>
    <row r="74">
      <c r="A74" s="1" t="s">
        <v>97</v>
      </c>
      <c r="B74" s="1">
        <v>1.21507817749E8</v>
      </c>
    </row>
    <row r="75">
      <c r="A75" s="1" t="s">
        <v>98</v>
      </c>
      <c r="B75" s="1">
        <v>1.21521472499E8</v>
      </c>
    </row>
    <row r="76">
      <c r="A76" s="1" t="s">
        <v>99</v>
      </c>
      <c r="B76" s="1">
        <v>1.215336664365E8</v>
      </c>
    </row>
    <row r="77">
      <c r="A77" s="1" t="s">
        <v>100</v>
      </c>
      <c r="B77" s="1">
        <v>1.21548426374E8</v>
      </c>
    </row>
    <row r="78">
      <c r="A78" s="1" t="s">
        <v>101</v>
      </c>
      <c r="B78" s="1">
        <v>1.215619518115E8</v>
      </c>
    </row>
    <row r="79">
      <c r="A79" s="1" t="s">
        <v>102</v>
      </c>
      <c r="B79" s="1">
        <v>1.215754829365E8</v>
      </c>
    </row>
    <row r="80">
      <c r="A80" s="1" t="s">
        <v>103</v>
      </c>
      <c r="B80" s="1">
        <v>1.21588820999E8</v>
      </c>
    </row>
    <row r="81">
      <c r="A81" s="1" t="s">
        <v>104</v>
      </c>
      <c r="B81" s="1">
        <v>1.21602448874E8</v>
      </c>
    </row>
    <row r="82">
      <c r="A82" s="1" t="s">
        <v>105</v>
      </c>
      <c r="B82" s="1">
        <v>1.21616092874E8</v>
      </c>
    </row>
    <row r="83">
      <c r="A83" s="1" t="s">
        <v>106</v>
      </c>
      <c r="B83" s="1">
        <v>1.21629513249E8</v>
      </c>
    </row>
    <row r="84">
      <c r="A84" s="1" t="s">
        <v>107</v>
      </c>
      <c r="B84" s="1">
        <v>1.21643128374E8</v>
      </c>
    </row>
    <row r="85">
      <c r="A85" s="1" t="s">
        <v>108</v>
      </c>
      <c r="B85" s="1">
        <v>1.21656657374E8</v>
      </c>
    </row>
    <row r="86">
      <c r="A86" s="1" t="s">
        <v>109</v>
      </c>
      <c r="B86" s="1">
        <v>1.21670300499E8</v>
      </c>
    </row>
    <row r="87">
      <c r="A87" s="1" t="s">
        <v>110</v>
      </c>
      <c r="B87" s="1">
        <v>1.21683671999E8</v>
      </c>
    </row>
    <row r="88">
      <c r="A88" s="1" t="s">
        <v>111</v>
      </c>
      <c r="B88" s="1">
        <v>1.21697017124E8</v>
      </c>
    </row>
    <row r="89">
      <c r="A89" s="1" t="s">
        <v>112</v>
      </c>
      <c r="B89" s="1">
        <v>1.21710489124E8</v>
      </c>
    </row>
    <row r="90">
      <c r="A90" s="1" t="s">
        <v>113</v>
      </c>
      <c r="B90" s="1">
        <v>1.21724019374E8</v>
      </c>
    </row>
    <row r="91">
      <c r="A91" s="1" t="s">
        <v>114</v>
      </c>
      <c r="B91" s="1">
        <v>1.21735327999E8</v>
      </c>
    </row>
    <row r="92">
      <c r="A92" s="1" t="s">
        <v>115</v>
      </c>
      <c r="B92" s="1">
        <v>1.217509870615E8</v>
      </c>
    </row>
    <row r="93">
      <c r="A93" s="1" t="s">
        <v>116</v>
      </c>
      <c r="B93" s="1">
        <v>1.217644379365E8</v>
      </c>
    </row>
    <row r="94">
      <c r="A94" s="1" t="s">
        <v>117</v>
      </c>
      <c r="B94" s="1">
        <v>1.217779445615E8</v>
      </c>
    </row>
    <row r="95">
      <c r="A95" s="1" t="s">
        <v>118</v>
      </c>
      <c r="B95" s="1">
        <v>1.217913971865E8</v>
      </c>
    </row>
    <row r="96">
      <c r="A96" s="1" t="s">
        <v>119</v>
      </c>
      <c r="B96" s="1">
        <v>1.21804929374E8</v>
      </c>
    </row>
    <row r="97">
      <c r="A97" s="1" t="s">
        <v>120</v>
      </c>
      <c r="B97" s="1">
        <v>1.218182974365E8</v>
      </c>
    </row>
    <row r="98">
      <c r="A98" s="1" t="s">
        <v>121</v>
      </c>
      <c r="B98" s="1">
        <v>1.21831680249E8</v>
      </c>
    </row>
    <row r="99">
      <c r="A99" s="1" t="s">
        <v>122</v>
      </c>
      <c r="B99" s="1">
        <v>1.21845295374E8</v>
      </c>
    </row>
    <row r="100">
      <c r="A100" s="1" t="s">
        <v>123</v>
      </c>
      <c r="B100" s="1">
        <v>1.21858727624E8</v>
      </c>
    </row>
    <row r="101">
      <c r="A101" s="1" t="s">
        <v>124</v>
      </c>
      <c r="B101" s="1">
        <v>1.21872196749E8</v>
      </c>
    </row>
    <row r="102">
      <c r="A102" s="1" t="s">
        <v>125</v>
      </c>
      <c r="B102" s="1">
        <v>1.21885552374E8</v>
      </c>
    </row>
    <row r="103">
      <c r="A103" s="1" t="s">
        <v>126</v>
      </c>
      <c r="B103" s="1">
        <v>1.21898991874E8</v>
      </c>
    </row>
    <row r="104">
      <c r="A104" s="1" t="s">
        <v>127</v>
      </c>
      <c r="B104" s="1">
        <v>1.21912215249E8</v>
      </c>
    </row>
    <row r="105">
      <c r="A105" s="1" t="s">
        <v>128</v>
      </c>
      <c r="B105" s="1">
        <v>1.21925475624E8</v>
      </c>
    </row>
    <row r="106">
      <c r="A106" s="1" t="s">
        <v>129</v>
      </c>
      <c r="B106" s="1">
        <v>1.219387579365E8</v>
      </c>
    </row>
    <row r="107">
      <c r="A107" s="1" t="s">
        <v>130</v>
      </c>
      <c r="B107" s="1">
        <v>1.219520475615E8</v>
      </c>
    </row>
    <row r="108">
      <c r="A108" s="1" t="s">
        <v>131</v>
      </c>
      <c r="B108" s="1">
        <v>1.219654183115E8</v>
      </c>
    </row>
    <row r="109">
      <c r="A109" s="1" t="s">
        <v>132</v>
      </c>
      <c r="B109" s="1">
        <v>1.219785254365E8</v>
      </c>
    </row>
    <row r="110">
      <c r="A110" s="1" t="s">
        <v>133</v>
      </c>
      <c r="B110" s="1">
        <v>1.21991912124E8</v>
      </c>
    </row>
    <row r="111">
      <c r="A111" s="1" t="s">
        <v>134</v>
      </c>
      <c r="B111" s="1">
        <v>1.22005065124E8</v>
      </c>
    </row>
    <row r="112">
      <c r="A112" s="1" t="s">
        <v>135</v>
      </c>
      <c r="B112" s="1">
        <v>1.22018279374E8</v>
      </c>
    </row>
    <row r="113">
      <c r="A113" s="1" t="s">
        <v>136</v>
      </c>
      <c r="B113" s="1">
        <v>1.22031473749E8</v>
      </c>
    </row>
    <row r="114">
      <c r="A114" s="1" t="s">
        <v>137</v>
      </c>
      <c r="B114" s="1">
        <v>1.220447804365E8</v>
      </c>
    </row>
    <row r="115">
      <c r="A115" s="1" t="s">
        <v>138</v>
      </c>
      <c r="B115" s="1">
        <v>1.22058088249E8</v>
      </c>
    </row>
    <row r="116">
      <c r="A116" s="1" t="s">
        <v>139</v>
      </c>
      <c r="B116" s="1">
        <v>1.220712971865E8</v>
      </c>
    </row>
    <row r="117">
      <c r="A117" s="1" t="s">
        <v>140</v>
      </c>
      <c r="B117" s="1">
        <v>1.22084696374E8</v>
      </c>
    </row>
    <row r="118">
      <c r="A118" s="1" t="s">
        <v>141</v>
      </c>
      <c r="B118" s="1">
        <v>1.220978149365E8</v>
      </c>
    </row>
    <row r="119">
      <c r="A119" s="1" t="s">
        <v>142</v>
      </c>
      <c r="B119" s="1">
        <v>1.221106884365E8</v>
      </c>
    </row>
    <row r="120">
      <c r="A120" s="1" t="s">
        <v>143</v>
      </c>
      <c r="B120" s="1">
        <v>1.22123849499E8</v>
      </c>
    </row>
    <row r="121">
      <c r="A121" s="1" t="s">
        <v>144</v>
      </c>
      <c r="B121" s="1">
        <v>1.22136903999E8</v>
      </c>
    </row>
    <row r="122">
      <c r="A122" s="1" t="s">
        <v>145</v>
      </c>
      <c r="B122" s="1">
        <v>1.22149970749E8</v>
      </c>
    </row>
    <row r="123">
      <c r="A123" s="1" t="s">
        <v>146</v>
      </c>
      <c r="B123" s="1">
        <v>1.221620325615E8</v>
      </c>
    </row>
    <row r="124">
      <c r="A124" s="1" t="s">
        <v>147</v>
      </c>
      <c r="B124" s="1">
        <v>1.22176132374E8</v>
      </c>
    </row>
    <row r="125">
      <c r="A125" s="1" t="s">
        <v>148</v>
      </c>
      <c r="B125" s="1">
        <v>1.22189245374E8</v>
      </c>
    </row>
    <row r="126">
      <c r="A126" s="1" t="s">
        <v>149</v>
      </c>
      <c r="B126" s="1">
        <v>1.222023008115E8</v>
      </c>
    </row>
    <row r="127">
      <c r="A127" s="1" t="s">
        <v>150</v>
      </c>
      <c r="B127" s="1">
        <v>1.22215466999E8</v>
      </c>
    </row>
    <row r="128">
      <c r="A128" s="1" t="s">
        <v>151</v>
      </c>
      <c r="B128" s="1">
        <v>1.222284448115E8</v>
      </c>
    </row>
    <row r="129">
      <c r="A129" s="1" t="s">
        <v>152</v>
      </c>
      <c r="B129" s="1">
        <v>1.222415651865E8</v>
      </c>
    </row>
    <row r="130">
      <c r="A130" s="1" t="s">
        <v>153</v>
      </c>
      <c r="B130" s="1">
        <v>1.22254497999E8</v>
      </c>
    </row>
    <row r="131">
      <c r="A131" s="1" t="s">
        <v>154</v>
      </c>
      <c r="B131" s="1">
        <v>1.222665316865E8</v>
      </c>
    </row>
    <row r="132">
      <c r="A132" s="1" t="s">
        <v>155</v>
      </c>
      <c r="B132" s="1">
        <v>1.22280570499E8</v>
      </c>
    </row>
    <row r="133">
      <c r="A133" s="1" t="s">
        <v>156</v>
      </c>
      <c r="B133" s="1">
        <v>1.222936475615E8</v>
      </c>
    </row>
    <row r="134">
      <c r="A134" s="1" t="s">
        <v>157</v>
      </c>
      <c r="B134" s="1">
        <v>1.223064031865E8</v>
      </c>
    </row>
    <row r="135">
      <c r="A135" s="1" t="s">
        <v>158</v>
      </c>
      <c r="B135" s="1">
        <v>1.22319015999E8</v>
      </c>
    </row>
    <row r="136">
      <c r="A136" s="1" t="s">
        <v>159</v>
      </c>
      <c r="B136" s="1">
        <v>1.223316593115E8</v>
      </c>
    </row>
    <row r="137">
      <c r="A137" s="1" t="s">
        <v>160</v>
      </c>
      <c r="B137" s="1">
        <v>1.223443974365E8</v>
      </c>
    </row>
    <row r="138">
      <c r="A138" s="1" t="s">
        <v>161</v>
      </c>
      <c r="B138" s="1">
        <v>1.223570946865E8</v>
      </c>
    </row>
    <row r="139">
      <c r="A139" s="1" t="s">
        <v>162</v>
      </c>
      <c r="B139" s="1">
        <v>1.22369526374E8</v>
      </c>
    </row>
    <row r="140">
      <c r="A140" s="1" t="s">
        <v>163</v>
      </c>
      <c r="B140" s="1">
        <v>1.22383023499E8</v>
      </c>
    </row>
    <row r="141">
      <c r="A141" s="1" t="s">
        <v>164</v>
      </c>
      <c r="B141" s="1">
        <v>1.22396005499E8</v>
      </c>
    </row>
    <row r="142">
      <c r="A142" s="1" t="s">
        <v>165</v>
      </c>
      <c r="B142" s="1">
        <v>1.22411443499E8</v>
      </c>
    </row>
    <row r="143">
      <c r="A143" s="1" t="s">
        <v>166</v>
      </c>
      <c r="B143" s="1">
        <v>1.22425707499E8</v>
      </c>
    </row>
    <row r="144">
      <c r="A144" s="1" t="s">
        <v>167</v>
      </c>
      <c r="B144" s="1">
        <v>1.22439953499E8</v>
      </c>
    </row>
    <row r="145">
      <c r="A145" s="1" t="s">
        <v>168</v>
      </c>
      <c r="B145" s="1">
        <v>1.22454231499E8</v>
      </c>
    </row>
    <row r="146">
      <c r="A146" s="1" t="s">
        <v>169</v>
      </c>
      <c r="B146" s="1">
        <v>1.22468337499E8</v>
      </c>
    </row>
    <row r="147">
      <c r="A147" s="1" t="s">
        <v>170</v>
      </c>
      <c r="B147" s="1">
        <v>1.22482635499E8</v>
      </c>
    </row>
    <row r="148">
      <c r="A148" s="1" t="s">
        <v>171</v>
      </c>
      <c r="B148" s="1">
        <v>1.22496965499E8</v>
      </c>
    </row>
    <row r="149">
      <c r="A149" s="1" t="s">
        <v>172</v>
      </c>
      <c r="B149" s="1">
        <v>1.22511307499E8</v>
      </c>
    </row>
    <row r="150">
      <c r="A150" s="1" t="s">
        <v>174</v>
      </c>
      <c r="B150" s="1">
        <v>1.22525641499E8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24</v>
      </c>
      <c r="C1" s="6"/>
    </row>
    <row r="2">
      <c r="A2" s="1" t="s">
        <v>25</v>
      </c>
      <c r="B2" s="1">
        <v>38474.808133</v>
      </c>
      <c r="C2" s="6"/>
    </row>
    <row r="3">
      <c r="A3" s="1" t="s">
        <v>26</v>
      </c>
      <c r="B3" s="1">
        <v>38518.419234</v>
      </c>
      <c r="C3" s="6"/>
    </row>
    <row r="4">
      <c r="A4" s="1" t="s">
        <v>27</v>
      </c>
      <c r="B4" s="1">
        <v>37724.773932</v>
      </c>
      <c r="C4" s="6"/>
    </row>
    <row r="5">
      <c r="A5" s="1" t="s">
        <v>28</v>
      </c>
      <c r="B5" s="1">
        <v>39678.473342</v>
      </c>
      <c r="C5" s="6"/>
    </row>
    <row r="6">
      <c r="A6" s="1" t="s">
        <v>29</v>
      </c>
      <c r="B6" s="1">
        <v>36547.03884</v>
      </c>
      <c r="C6" s="6"/>
    </row>
    <row r="7">
      <c r="A7" s="1" t="s">
        <v>30</v>
      </c>
      <c r="B7" s="1">
        <v>35997.002496</v>
      </c>
      <c r="C7" s="6"/>
    </row>
    <row r="8">
      <c r="A8" s="1" t="s">
        <v>31</v>
      </c>
      <c r="B8" s="1">
        <v>35450.771743</v>
      </c>
      <c r="C8" s="6"/>
    </row>
    <row r="9">
      <c r="A9" s="1" t="s">
        <v>32</v>
      </c>
      <c r="B9" s="1">
        <v>34027.021333</v>
      </c>
      <c r="C9" s="6"/>
    </row>
    <row r="10">
      <c r="A10" s="1" t="s">
        <v>33</v>
      </c>
      <c r="B10" s="1">
        <v>30072.939281</v>
      </c>
      <c r="C10" s="6"/>
    </row>
    <row r="11">
      <c r="A11" s="1" t="s">
        <v>34</v>
      </c>
      <c r="B11" s="1">
        <v>31012.796392</v>
      </c>
      <c r="C11" s="6"/>
    </row>
    <row r="12">
      <c r="A12" s="1" t="s">
        <v>35</v>
      </c>
      <c r="B12" s="1">
        <v>28975.801361</v>
      </c>
      <c r="C12" s="6"/>
    </row>
    <row r="13">
      <c r="A13" s="1" t="s">
        <v>36</v>
      </c>
      <c r="B13" s="1">
        <v>28959.389929</v>
      </c>
      <c r="C13" s="6"/>
    </row>
    <row r="14">
      <c r="A14" s="1" t="s">
        <v>37</v>
      </c>
      <c r="B14" s="1">
        <v>29245.757314</v>
      </c>
      <c r="C14" s="6"/>
    </row>
    <row r="15">
      <c r="A15" s="1" t="s">
        <v>38</v>
      </c>
      <c r="B15" s="1">
        <v>30048.70072</v>
      </c>
      <c r="C15" s="6"/>
    </row>
    <row r="16">
      <c r="A16" s="1" t="s">
        <v>39</v>
      </c>
      <c r="B16" s="1">
        <v>31292.530861</v>
      </c>
      <c r="C16" s="6"/>
    </row>
    <row r="17">
      <c r="A17" s="1" t="s">
        <v>40</v>
      </c>
      <c r="B17" s="1">
        <v>29832.780715</v>
      </c>
      <c r="C17" s="6"/>
    </row>
    <row r="18">
      <c r="A18" s="1" t="s">
        <v>41</v>
      </c>
      <c r="B18" s="1">
        <v>30412.489302</v>
      </c>
      <c r="C18" s="6"/>
    </row>
    <row r="19">
      <c r="A19" s="1" t="s">
        <v>42</v>
      </c>
      <c r="B19" s="1">
        <v>28673.357006</v>
      </c>
      <c r="C19" s="6"/>
    </row>
    <row r="20">
      <c r="A20" s="1" t="s">
        <v>43</v>
      </c>
      <c r="B20" s="1">
        <v>30281.175993</v>
      </c>
      <c r="C20" s="6"/>
    </row>
    <row r="21">
      <c r="A21" s="1" t="s">
        <v>44</v>
      </c>
      <c r="B21" s="1">
        <v>29163.241708</v>
      </c>
      <c r="C21" s="6"/>
    </row>
    <row r="22">
      <c r="A22" s="1" t="s">
        <v>45</v>
      </c>
      <c r="B22" s="1">
        <v>29439.303354</v>
      </c>
      <c r="C22" s="6"/>
    </row>
    <row r="23">
      <c r="A23" s="1" t="s">
        <v>46</v>
      </c>
      <c r="B23" s="1">
        <v>30259.633249</v>
      </c>
      <c r="C23" s="6"/>
    </row>
    <row r="24">
      <c r="A24" s="1" t="s">
        <v>47</v>
      </c>
      <c r="B24" s="1">
        <v>29080.601914</v>
      </c>
      <c r="C24" s="6"/>
    </row>
    <row r="25">
      <c r="A25" s="1" t="s">
        <v>48</v>
      </c>
      <c r="B25" s="1">
        <v>29624.359243</v>
      </c>
      <c r="C25" s="6"/>
    </row>
    <row r="26">
      <c r="A26" s="1" t="s">
        <v>49</v>
      </c>
      <c r="B26" s="1">
        <v>29511.77479</v>
      </c>
      <c r="C26" s="6"/>
    </row>
    <row r="27">
      <c r="A27" s="1" t="s">
        <v>50</v>
      </c>
      <c r="B27" s="1">
        <v>29167.964539</v>
      </c>
      <c r="C27" s="6"/>
    </row>
    <row r="28">
      <c r="A28" s="1" t="s">
        <v>51</v>
      </c>
      <c r="B28" s="1">
        <v>28597.029821</v>
      </c>
      <c r="C28" s="6"/>
    </row>
    <row r="29">
      <c r="A29" s="1" t="s">
        <v>52</v>
      </c>
      <c r="B29" s="1">
        <v>29009.301507</v>
      </c>
      <c r="C29" s="6"/>
    </row>
    <row r="30">
      <c r="A30" s="1" t="s">
        <v>53</v>
      </c>
      <c r="B30" s="1">
        <v>29452.109529</v>
      </c>
      <c r="C30" s="6"/>
    </row>
    <row r="31">
      <c r="A31" s="1" t="s">
        <v>54</v>
      </c>
      <c r="B31" s="1">
        <v>31708.966946</v>
      </c>
      <c r="C31" s="6"/>
    </row>
    <row r="32">
      <c r="A32" s="1" t="s">
        <v>55</v>
      </c>
      <c r="B32" s="1">
        <v>31771.389376</v>
      </c>
      <c r="C32" s="6"/>
    </row>
    <row r="33">
      <c r="A33" s="1" t="s">
        <v>56</v>
      </c>
      <c r="B33" s="1">
        <v>29788.693905</v>
      </c>
      <c r="C33" s="6"/>
    </row>
    <row r="34">
      <c r="A34" s="1" t="s">
        <v>57</v>
      </c>
      <c r="B34" s="1">
        <v>30436.463428</v>
      </c>
      <c r="C34" s="6"/>
    </row>
    <row r="35">
      <c r="A35" s="1" t="s">
        <v>58</v>
      </c>
      <c r="B35" s="1">
        <v>29676.165409</v>
      </c>
      <c r="C35" s="6"/>
    </row>
    <row r="36">
      <c r="A36" s="1" t="s">
        <v>59</v>
      </c>
      <c r="B36" s="1">
        <v>29847.733072</v>
      </c>
      <c r="C36" s="6"/>
    </row>
    <row r="37">
      <c r="A37" s="1" t="s">
        <v>60</v>
      </c>
      <c r="B37" s="1">
        <v>29899.877693</v>
      </c>
      <c r="C37" s="6"/>
    </row>
    <row r="38">
      <c r="A38" s="1" t="s">
        <v>61</v>
      </c>
      <c r="B38" s="1">
        <v>31350.041508</v>
      </c>
      <c r="C38" s="6"/>
    </row>
    <row r="39">
      <c r="A39" s="1" t="s">
        <v>62</v>
      </c>
      <c r="B39" s="1">
        <v>31107.537985</v>
      </c>
      <c r="C39" s="6"/>
    </row>
    <row r="40">
      <c r="A40" s="1" t="s">
        <v>63</v>
      </c>
      <c r="B40" s="1">
        <v>30189.674427</v>
      </c>
      <c r="C40" s="6"/>
    </row>
    <row r="41">
      <c r="A41" s="1" t="s">
        <v>64</v>
      </c>
      <c r="B41" s="1">
        <v>30076.379892</v>
      </c>
      <c r="C41" s="6"/>
    </row>
    <row r="42">
      <c r="A42" s="1" t="s">
        <v>65</v>
      </c>
      <c r="B42" s="1">
        <v>29069.629058</v>
      </c>
      <c r="C42" s="6"/>
    </row>
    <row r="43">
      <c r="A43" s="1" t="s">
        <v>66</v>
      </c>
      <c r="B43" s="1">
        <v>28393.12275</v>
      </c>
      <c r="C43" s="6"/>
    </row>
    <row r="44">
      <c r="A44" s="1" t="s">
        <v>67</v>
      </c>
      <c r="B44" s="1">
        <v>26553.86776</v>
      </c>
      <c r="C44" s="6"/>
    </row>
    <row r="45">
      <c r="A45" s="1" t="s">
        <v>68</v>
      </c>
      <c r="B45" s="1">
        <v>22454.299298</v>
      </c>
      <c r="C45" s="6"/>
    </row>
    <row r="46">
      <c r="A46" s="1" t="s">
        <v>69</v>
      </c>
      <c r="B46" s="1">
        <v>22110.001141</v>
      </c>
      <c r="C46" s="6"/>
    </row>
    <row r="47">
      <c r="A47" s="1" t="s">
        <v>70</v>
      </c>
      <c r="B47" s="1">
        <v>22557.775395</v>
      </c>
    </row>
    <row r="48">
      <c r="A48" s="1" t="s">
        <v>71</v>
      </c>
      <c r="B48" s="1">
        <v>20370.981748</v>
      </c>
    </row>
    <row r="49">
      <c r="A49" s="1" t="s">
        <v>72</v>
      </c>
      <c r="B49" s="1">
        <v>20413.201586</v>
      </c>
    </row>
    <row r="50">
      <c r="A50" s="1" t="s">
        <v>73</v>
      </c>
      <c r="B50" s="1">
        <v>18947.075421</v>
      </c>
    </row>
    <row r="51">
      <c r="A51" s="1" t="s">
        <v>74</v>
      </c>
      <c r="B51" s="1">
        <v>20547.071879</v>
      </c>
    </row>
    <row r="52">
      <c r="A52" s="1" t="s">
        <v>75</v>
      </c>
      <c r="B52" s="1">
        <v>20551.426495</v>
      </c>
    </row>
    <row r="53">
      <c r="A53" s="1" t="s">
        <v>76</v>
      </c>
      <c r="B53" s="1">
        <v>20696.526127</v>
      </c>
    </row>
    <row r="54">
      <c r="A54" s="1" t="s">
        <v>77</v>
      </c>
      <c r="B54" s="1">
        <v>19963.620056</v>
      </c>
    </row>
    <row r="55">
      <c r="A55" s="1" t="s">
        <v>78</v>
      </c>
      <c r="B55" s="1">
        <v>21089.983764</v>
      </c>
    </row>
    <row r="56">
      <c r="A56" s="1" t="s">
        <v>79</v>
      </c>
      <c r="B56" s="1">
        <v>21112.96488</v>
      </c>
    </row>
    <row r="57">
      <c r="A57" s="1" t="s">
        <v>80</v>
      </c>
      <c r="B57" s="1">
        <v>21479.437446</v>
      </c>
    </row>
    <row r="58">
      <c r="A58" s="1" t="s">
        <v>81</v>
      </c>
      <c r="B58" s="1">
        <v>21028.08688</v>
      </c>
    </row>
    <row r="59">
      <c r="A59" s="1" t="s">
        <v>82</v>
      </c>
      <c r="B59" s="1">
        <v>20719.11019</v>
      </c>
    </row>
    <row r="60">
      <c r="A60" s="1" t="s">
        <v>83</v>
      </c>
      <c r="B60" s="1">
        <v>20256.414987</v>
      </c>
    </row>
    <row r="61">
      <c r="A61" s="1" t="s">
        <v>84</v>
      </c>
      <c r="B61" s="1">
        <v>20096.416033</v>
      </c>
    </row>
    <row r="62">
      <c r="A62" s="1" t="s">
        <v>85</v>
      </c>
      <c r="B62" s="1">
        <v>19944.730424</v>
      </c>
    </row>
    <row r="63">
      <c r="A63" s="1" t="s">
        <v>86</v>
      </c>
      <c r="B63" s="1">
        <v>19252.146475</v>
      </c>
    </row>
    <row r="64">
      <c r="A64" s="1" t="s">
        <v>87</v>
      </c>
      <c r="B64" s="1">
        <v>19224.058542</v>
      </c>
    </row>
    <row r="65">
      <c r="A65" s="1" t="s">
        <v>88</v>
      </c>
      <c r="B65" s="1">
        <v>19291.954943</v>
      </c>
    </row>
    <row r="66">
      <c r="A66" s="1" t="s">
        <v>89</v>
      </c>
      <c r="B66" s="1">
        <v>20211.885516</v>
      </c>
    </row>
    <row r="67">
      <c r="A67" s="1" t="s">
        <v>90</v>
      </c>
      <c r="B67" s="1">
        <v>20159.349158</v>
      </c>
    </row>
    <row r="68">
      <c r="A68" s="1" t="s">
        <v>91</v>
      </c>
      <c r="B68" s="1">
        <v>20544.630589</v>
      </c>
    </row>
    <row r="69">
      <c r="A69" s="1" t="s">
        <v>92</v>
      </c>
      <c r="B69" s="1">
        <v>21612.685158</v>
      </c>
    </row>
    <row r="70">
      <c r="A70" s="1" t="s">
        <v>93</v>
      </c>
      <c r="B70" s="1">
        <v>21588.881649</v>
      </c>
    </row>
    <row r="71">
      <c r="A71" s="1" t="s">
        <v>94</v>
      </c>
      <c r="B71" s="1">
        <v>21581.403251</v>
      </c>
    </row>
    <row r="72">
      <c r="A72" s="1" t="s">
        <v>95</v>
      </c>
      <c r="B72" s="1">
        <v>20849.061868</v>
      </c>
    </row>
    <row r="73">
      <c r="A73" s="1" t="s">
        <v>96</v>
      </c>
      <c r="B73" s="1">
        <v>19945.553951</v>
      </c>
    </row>
    <row r="74">
      <c r="A74" s="1" t="s">
        <v>97</v>
      </c>
      <c r="B74" s="1">
        <v>19311.500765</v>
      </c>
    </row>
    <row r="75">
      <c r="A75" s="1" t="s">
        <v>98</v>
      </c>
      <c r="B75" s="1">
        <v>20223.657383</v>
      </c>
    </row>
    <row r="76">
      <c r="A76" s="1" t="s">
        <v>99</v>
      </c>
      <c r="B76" s="1">
        <v>20574.456765</v>
      </c>
    </row>
    <row r="77">
      <c r="A77" s="1" t="s">
        <v>100</v>
      </c>
      <c r="B77" s="1">
        <v>20819.9152</v>
      </c>
    </row>
    <row r="78">
      <c r="A78" s="1" t="s">
        <v>101</v>
      </c>
      <c r="B78" s="1">
        <v>21191.602982</v>
      </c>
    </row>
    <row r="79">
      <c r="A79" s="1" t="s">
        <v>102</v>
      </c>
      <c r="B79" s="1">
        <v>20792.178173</v>
      </c>
    </row>
    <row r="80">
      <c r="A80" s="1" t="s">
        <v>103</v>
      </c>
      <c r="B80" s="1">
        <v>22436.613216</v>
      </c>
    </row>
    <row r="81">
      <c r="A81" s="1" t="s">
        <v>104</v>
      </c>
      <c r="B81" s="1">
        <v>23397.463138</v>
      </c>
    </row>
    <row r="82">
      <c r="A82" s="1" t="s">
        <v>105</v>
      </c>
      <c r="B82" s="1">
        <v>23224.022774</v>
      </c>
    </row>
    <row r="83">
      <c r="A83" s="1" t="s">
        <v>106</v>
      </c>
      <c r="B83" s="1">
        <v>23151.70478</v>
      </c>
    </row>
    <row r="84">
      <c r="A84" s="1" t="s">
        <v>107</v>
      </c>
      <c r="B84" s="1">
        <v>22684.635948</v>
      </c>
    </row>
    <row r="85">
      <c r="A85" s="1" t="s">
        <v>108</v>
      </c>
      <c r="B85" s="1">
        <v>22450.664718</v>
      </c>
    </row>
    <row r="86">
      <c r="A86" s="1" t="s">
        <v>109</v>
      </c>
      <c r="B86" s="1">
        <v>22583.43794</v>
      </c>
    </row>
    <row r="87">
      <c r="A87" s="1" t="s">
        <v>110</v>
      </c>
      <c r="B87" s="1">
        <v>21307.303433</v>
      </c>
    </row>
    <row r="88">
      <c r="A88" s="1" t="s">
        <v>111</v>
      </c>
      <c r="B88" s="1">
        <v>21257.260059</v>
      </c>
    </row>
    <row r="89">
      <c r="A89" s="1" t="s">
        <v>112</v>
      </c>
      <c r="B89" s="1">
        <v>23006.555701</v>
      </c>
    </row>
    <row r="90">
      <c r="A90" s="1" t="s">
        <v>113</v>
      </c>
      <c r="B90" s="1">
        <v>23850.084964</v>
      </c>
    </row>
    <row r="91">
      <c r="A91" s="1" t="s">
        <v>114</v>
      </c>
      <c r="B91" s="1">
        <v>23777.310145</v>
      </c>
    </row>
    <row r="92">
      <c r="A92" s="1" t="s">
        <v>115</v>
      </c>
      <c r="B92" s="1">
        <v>23644.722864</v>
      </c>
    </row>
    <row r="93">
      <c r="A93" s="1" t="s">
        <v>116</v>
      </c>
      <c r="B93" s="1">
        <v>23312.841916</v>
      </c>
    </row>
    <row r="94">
      <c r="A94" s="1" t="s">
        <v>117</v>
      </c>
      <c r="B94" s="1">
        <v>23240.537234</v>
      </c>
    </row>
    <row r="95">
      <c r="A95" s="1" t="s">
        <v>118</v>
      </c>
      <c r="B95" s="1">
        <v>22990.541091</v>
      </c>
    </row>
    <row r="96">
      <c r="A96" s="1" t="s">
        <v>119</v>
      </c>
      <c r="B96" s="1">
        <v>22845.872932</v>
      </c>
    </row>
    <row r="97">
      <c r="A97" s="1" t="s">
        <v>120</v>
      </c>
      <c r="B97" s="1">
        <v>22643.400408</v>
      </c>
    </row>
    <row r="98">
      <c r="A98" s="1" t="s">
        <v>121</v>
      </c>
      <c r="B98" s="1">
        <v>23262.616745</v>
      </c>
    </row>
    <row r="99">
      <c r="A99" s="1" t="s">
        <v>122</v>
      </c>
      <c r="B99" s="1">
        <v>22973.781987</v>
      </c>
    </row>
    <row r="100">
      <c r="A100" s="1" t="s">
        <v>123</v>
      </c>
      <c r="B100" s="1">
        <v>23102.37199</v>
      </c>
    </row>
    <row r="101">
      <c r="A101" s="1" t="s">
        <v>124</v>
      </c>
      <c r="B101" s="1">
        <v>23842.148177</v>
      </c>
    </row>
    <row r="102">
      <c r="A102" s="1" t="s">
        <v>125</v>
      </c>
      <c r="B102" s="1">
        <v>23166.048734</v>
      </c>
    </row>
    <row r="103">
      <c r="A103" s="1" t="s">
        <v>126</v>
      </c>
      <c r="B103" s="1">
        <v>23980.242857</v>
      </c>
    </row>
    <row r="104">
      <c r="A104" s="1" t="s">
        <v>127</v>
      </c>
      <c r="B104" s="1">
        <v>23942.829898</v>
      </c>
    </row>
    <row r="105">
      <c r="A105" s="1" t="s">
        <v>128</v>
      </c>
      <c r="B105" s="1">
        <v>24401.968129</v>
      </c>
    </row>
    <row r="106">
      <c r="A106" s="1" t="s">
        <v>129</v>
      </c>
      <c r="B106" s="1">
        <v>24426.699277</v>
      </c>
    </row>
    <row r="107">
      <c r="A107" s="1" t="s">
        <v>130</v>
      </c>
      <c r="B107" s="1">
        <v>24325.99791</v>
      </c>
    </row>
    <row r="108">
      <c r="A108" s="1" t="s">
        <v>131</v>
      </c>
      <c r="B108" s="1">
        <v>24108.539752</v>
      </c>
    </row>
    <row r="109">
      <c r="A109" s="1" t="s">
        <v>132</v>
      </c>
      <c r="B109" s="1">
        <v>23817.467814</v>
      </c>
    </row>
    <row r="110">
      <c r="A110" s="1" t="s">
        <v>133</v>
      </c>
      <c r="B110" s="1">
        <v>23340.597372</v>
      </c>
    </row>
    <row r="111">
      <c r="A111" s="1" t="s">
        <v>134</v>
      </c>
      <c r="B111" s="1">
        <v>23196.928125</v>
      </c>
    </row>
    <row r="112">
      <c r="A112" s="1" t="s">
        <v>135</v>
      </c>
      <c r="B112" s="1">
        <v>20835.422976</v>
      </c>
    </row>
    <row r="113">
      <c r="A113" s="1" t="s">
        <v>136</v>
      </c>
      <c r="B113" s="1">
        <v>21144.533557</v>
      </c>
    </row>
    <row r="114">
      <c r="A114" s="1" t="s">
        <v>137</v>
      </c>
      <c r="B114" s="1">
        <v>21515.581984</v>
      </c>
    </row>
    <row r="115">
      <c r="A115" s="1" t="s">
        <v>138</v>
      </c>
      <c r="B115" s="1">
        <v>21396.504099</v>
      </c>
    </row>
    <row r="116">
      <c r="A116" s="1" t="s">
        <v>139</v>
      </c>
      <c r="B116" s="1">
        <v>21527.111864</v>
      </c>
    </row>
    <row r="117">
      <c r="A117" s="1" t="s">
        <v>140</v>
      </c>
      <c r="B117" s="1">
        <v>21368.268756</v>
      </c>
    </row>
    <row r="118">
      <c r="A118" s="1" t="s">
        <v>141</v>
      </c>
      <c r="B118" s="1">
        <v>21559.892958</v>
      </c>
    </row>
    <row r="119">
      <c r="A119" s="1" t="s">
        <v>142</v>
      </c>
      <c r="B119" s="1">
        <v>20239.819987</v>
      </c>
    </row>
    <row r="120">
      <c r="A120" s="1" t="s">
        <v>143</v>
      </c>
      <c r="B120" s="1">
        <v>20037.687199</v>
      </c>
    </row>
    <row r="121">
      <c r="A121" s="1" t="s">
        <v>144</v>
      </c>
      <c r="B121" s="1">
        <v>19561.801928</v>
      </c>
    </row>
    <row r="122">
      <c r="A122" s="1" t="s">
        <v>145</v>
      </c>
      <c r="B122" s="1">
        <v>20287.538918</v>
      </c>
    </row>
    <row r="123">
      <c r="A123" s="1" t="s">
        <v>146</v>
      </c>
      <c r="B123" s="1">
        <v>19812.860731</v>
      </c>
    </row>
    <row r="124">
      <c r="A124" s="1" t="s">
        <v>147</v>
      </c>
      <c r="B124" s="1">
        <v>20048.706857</v>
      </c>
    </row>
    <row r="125">
      <c r="A125" s="1" t="s">
        <v>148</v>
      </c>
      <c r="B125" s="1">
        <v>20133.27263</v>
      </c>
    </row>
    <row r="126">
      <c r="A126" s="1" t="s">
        <v>149</v>
      </c>
      <c r="B126" s="1">
        <v>19963.009923</v>
      </c>
    </row>
    <row r="127">
      <c r="A127" s="1" t="s">
        <v>150</v>
      </c>
      <c r="B127" s="1">
        <v>19832.543867</v>
      </c>
    </row>
    <row r="128">
      <c r="A128" s="1" t="s">
        <v>151</v>
      </c>
      <c r="B128" s="1">
        <v>20002.35343</v>
      </c>
    </row>
    <row r="129">
      <c r="A129" s="1" t="s">
        <v>152</v>
      </c>
      <c r="B129" s="1">
        <v>19795.217371</v>
      </c>
    </row>
    <row r="130">
      <c r="A130" s="1" t="s">
        <v>153</v>
      </c>
      <c r="B130" s="1">
        <v>18789.980758</v>
      </c>
    </row>
    <row r="131">
      <c r="A131" s="1" t="s">
        <v>154</v>
      </c>
      <c r="B131" s="1">
        <v>19293.938783</v>
      </c>
    </row>
    <row r="132">
      <c r="A132" s="1" t="s">
        <v>155</v>
      </c>
      <c r="B132" s="1">
        <v>19324.607989</v>
      </c>
    </row>
    <row r="133">
      <c r="A133" s="1" t="s">
        <v>156</v>
      </c>
      <c r="B133" s="1">
        <v>21365.704256</v>
      </c>
    </row>
    <row r="134">
      <c r="A134" s="1" t="s">
        <v>157</v>
      </c>
      <c r="B134" s="1">
        <v>21653.760149</v>
      </c>
    </row>
    <row r="135">
      <c r="A135" s="1" t="s">
        <v>158</v>
      </c>
      <c r="B135" s="1">
        <v>21811.996291</v>
      </c>
    </row>
    <row r="136">
      <c r="A136" s="1" t="s">
        <v>159</v>
      </c>
      <c r="B136" s="1">
        <v>22408.398452</v>
      </c>
    </row>
    <row r="137">
      <c r="A137" s="1" t="s">
        <v>160</v>
      </c>
      <c r="B137" s="1">
        <v>20174.420634</v>
      </c>
    </row>
    <row r="138">
      <c r="A138" s="1" t="s">
        <v>161</v>
      </c>
      <c r="B138" s="1">
        <v>20229.930361</v>
      </c>
    </row>
    <row r="139">
      <c r="A139" s="1" t="s">
        <v>162</v>
      </c>
      <c r="B139" s="1">
        <v>19699.733299</v>
      </c>
    </row>
    <row r="140">
      <c r="A140" s="1" t="s">
        <v>163</v>
      </c>
      <c r="B140" s="1">
        <v>19802.653694</v>
      </c>
    </row>
    <row r="141">
      <c r="A141" s="1" t="s">
        <v>164</v>
      </c>
      <c r="B141" s="1">
        <v>20077.097755</v>
      </c>
    </row>
    <row r="142">
      <c r="A142" s="1" t="s">
        <v>165</v>
      </c>
      <c r="B142" s="1">
        <v>19417.642511</v>
      </c>
    </row>
    <row r="143">
      <c r="A143" s="1" t="s">
        <v>166</v>
      </c>
      <c r="B143" s="1">
        <v>19539.306484</v>
      </c>
    </row>
    <row r="144">
      <c r="A144" s="1" t="s">
        <v>167</v>
      </c>
      <c r="B144" s="1">
        <v>18875.418495</v>
      </c>
    </row>
    <row r="145">
      <c r="A145" s="1" t="s">
        <v>168</v>
      </c>
      <c r="B145" s="1">
        <v>18460.623307</v>
      </c>
    </row>
    <row r="146">
      <c r="A146" s="1" t="s">
        <v>169</v>
      </c>
      <c r="B146" s="1">
        <v>19395.519989</v>
      </c>
    </row>
    <row r="147">
      <c r="A147" s="1" t="s">
        <v>170</v>
      </c>
      <c r="B147" s="1">
        <v>19290.05845</v>
      </c>
    </row>
    <row r="148">
      <c r="A148" s="1" t="s">
        <v>171</v>
      </c>
      <c r="B148" s="1">
        <v>18924.18215</v>
      </c>
    </row>
    <row r="149">
      <c r="A149" s="1" t="s">
        <v>172</v>
      </c>
      <c r="B149" s="1">
        <v>18802.882431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1.9026893E7</v>
      </c>
    </row>
    <row r="3">
      <c r="A3" s="1" t="s">
        <v>26</v>
      </c>
      <c r="B3" s="1">
        <v>1.9027918E7</v>
      </c>
    </row>
    <row r="4">
      <c r="A4" s="1" t="s">
        <v>27</v>
      </c>
      <c r="B4" s="1">
        <v>1.90289E7</v>
      </c>
    </row>
    <row r="5">
      <c r="A5" s="1" t="s">
        <v>28</v>
      </c>
      <c r="B5" s="1">
        <v>1.9029856E7</v>
      </c>
    </row>
    <row r="6">
      <c r="A6" s="1" t="s">
        <v>29</v>
      </c>
      <c r="B6" s="1">
        <v>1.9030793E7</v>
      </c>
    </row>
    <row r="7">
      <c r="A7" s="1" t="s">
        <v>30</v>
      </c>
      <c r="B7" s="1">
        <v>1.9031731E7</v>
      </c>
    </row>
    <row r="8">
      <c r="A8" s="1" t="s">
        <v>31</v>
      </c>
      <c r="B8" s="1">
        <v>1.9032637E7</v>
      </c>
    </row>
    <row r="9">
      <c r="A9" s="1" t="s">
        <v>32</v>
      </c>
      <c r="B9" s="1">
        <v>1.9033587E7</v>
      </c>
    </row>
    <row r="10">
      <c r="A10" s="1" t="s">
        <v>33</v>
      </c>
      <c r="B10" s="1">
        <v>1.9034531E7</v>
      </c>
    </row>
    <row r="11">
      <c r="A11" s="1" t="s">
        <v>34</v>
      </c>
      <c r="B11" s="1">
        <v>1.9035475E7</v>
      </c>
    </row>
    <row r="12">
      <c r="A12" s="1" t="s">
        <v>35</v>
      </c>
      <c r="B12" s="1">
        <v>1.9036431E7</v>
      </c>
    </row>
    <row r="13">
      <c r="A13" s="1" t="s">
        <v>36</v>
      </c>
      <c r="B13" s="1">
        <v>1.90373E7</v>
      </c>
    </row>
    <row r="14">
      <c r="A14" s="1" t="s">
        <v>37</v>
      </c>
      <c r="B14" s="1">
        <v>1.9038212E7</v>
      </c>
    </row>
    <row r="15">
      <c r="A15" s="1" t="s">
        <v>38</v>
      </c>
      <c r="B15" s="1">
        <v>1.9039137E7</v>
      </c>
    </row>
    <row r="16">
      <c r="A16" s="1" t="s">
        <v>39</v>
      </c>
      <c r="B16" s="1">
        <v>1.904005E7</v>
      </c>
    </row>
    <row r="17">
      <c r="A17" s="1" t="s">
        <v>40</v>
      </c>
      <c r="B17" s="1">
        <v>1.9040806E7</v>
      </c>
    </row>
    <row r="18">
      <c r="A18" s="1" t="s">
        <v>41</v>
      </c>
      <c r="B18" s="1">
        <v>1.9041787E7</v>
      </c>
    </row>
    <row r="19">
      <c r="A19" s="1" t="s">
        <v>42</v>
      </c>
      <c r="B19" s="1">
        <v>1.9042731E7</v>
      </c>
    </row>
    <row r="20">
      <c r="A20" s="1" t="s">
        <v>43</v>
      </c>
      <c r="B20" s="1">
        <v>1.9043568E7</v>
      </c>
    </row>
    <row r="21">
      <c r="A21" s="1" t="s">
        <v>44</v>
      </c>
      <c r="B21" s="1">
        <v>1.9044331E7</v>
      </c>
    </row>
    <row r="22">
      <c r="A22" s="1" t="s">
        <v>45</v>
      </c>
      <c r="B22" s="1">
        <v>1.9045131E7</v>
      </c>
    </row>
    <row r="23">
      <c r="A23" s="1" t="s">
        <v>46</v>
      </c>
      <c r="B23" s="1">
        <v>1.9045987E7</v>
      </c>
    </row>
    <row r="24">
      <c r="A24" s="1" t="s">
        <v>47</v>
      </c>
      <c r="B24" s="1">
        <v>1.9046768E7</v>
      </c>
    </row>
    <row r="25">
      <c r="A25" s="1" t="s">
        <v>48</v>
      </c>
      <c r="B25" s="1">
        <v>1.904775E7</v>
      </c>
    </row>
    <row r="26">
      <c r="A26" s="1" t="s">
        <v>49</v>
      </c>
      <c r="B26" s="1">
        <v>1.9048525E7</v>
      </c>
    </row>
    <row r="27">
      <c r="A27" s="1" t="s">
        <v>50</v>
      </c>
      <c r="B27" s="1">
        <v>1.90494E7</v>
      </c>
    </row>
    <row r="28">
      <c r="A28" s="1" t="s">
        <v>51</v>
      </c>
      <c r="B28" s="1">
        <v>1.905025E7</v>
      </c>
    </row>
    <row r="29">
      <c r="A29" s="1" t="s">
        <v>52</v>
      </c>
      <c r="B29" s="1">
        <v>1.905115E7</v>
      </c>
    </row>
    <row r="30">
      <c r="A30" s="1" t="s">
        <v>53</v>
      </c>
      <c r="B30" s="1">
        <v>1.9052093E7</v>
      </c>
    </row>
    <row r="31">
      <c r="A31" s="1" t="s">
        <v>54</v>
      </c>
      <c r="B31" s="1">
        <v>1.9053031E7</v>
      </c>
    </row>
    <row r="32">
      <c r="A32" s="1" t="s">
        <v>55</v>
      </c>
      <c r="B32" s="1">
        <v>1.9053962E7</v>
      </c>
    </row>
    <row r="33">
      <c r="A33" s="1" t="s">
        <v>56</v>
      </c>
      <c r="B33" s="1">
        <v>1.9054856E7</v>
      </c>
    </row>
    <row r="34">
      <c r="A34" s="1" t="s">
        <v>57</v>
      </c>
      <c r="B34" s="1">
        <v>1.9055712E7</v>
      </c>
    </row>
    <row r="35">
      <c r="A35" s="1" t="s">
        <v>58</v>
      </c>
      <c r="B35" s="1">
        <v>1.9056493E7</v>
      </c>
    </row>
    <row r="36">
      <c r="A36" s="1" t="s">
        <v>59</v>
      </c>
      <c r="B36" s="1">
        <v>1.9057387E7</v>
      </c>
    </row>
    <row r="37">
      <c r="A37" s="1" t="s">
        <v>60</v>
      </c>
      <c r="B37" s="1">
        <v>1.9058293E7</v>
      </c>
    </row>
    <row r="38">
      <c r="A38" s="1" t="s">
        <v>61</v>
      </c>
      <c r="B38" s="1">
        <v>1.9059193E7</v>
      </c>
    </row>
    <row r="39">
      <c r="A39" s="1" t="s">
        <v>62</v>
      </c>
      <c r="B39" s="1">
        <v>1.9060081E7</v>
      </c>
    </row>
    <row r="40">
      <c r="A40" s="1" t="s">
        <v>63</v>
      </c>
      <c r="B40" s="1">
        <v>1.9061106E7</v>
      </c>
    </row>
    <row r="41">
      <c r="A41" s="1" t="s">
        <v>64</v>
      </c>
      <c r="B41" s="1">
        <v>1.9062237E7</v>
      </c>
    </row>
    <row r="42">
      <c r="A42" s="1" t="s">
        <v>65</v>
      </c>
      <c r="B42" s="1">
        <v>1.9063137E7</v>
      </c>
    </row>
    <row r="43">
      <c r="A43" s="1" t="s">
        <v>66</v>
      </c>
      <c r="B43" s="1">
        <v>1.9064075E7</v>
      </c>
    </row>
    <row r="44">
      <c r="A44" s="1" t="s">
        <v>67</v>
      </c>
      <c r="B44" s="1">
        <v>1.9064987E7</v>
      </c>
    </row>
    <row r="45">
      <c r="A45" s="1" t="s">
        <v>68</v>
      </c>
      <c r="B45" s="1">
        <v>1.9065843E7</v>
      </c>
    </row>
    <row r="46">
      <c r="A46" s="1" t="s">
        <v>69</v>
      </c>
      <c r="B46" s="1">
        <v>1.9066681E7</v>
      </c>
    </row>
    <row r="47">
      <c r="A47" s="1" t="s">
        <v>70</v>
      </c>
      <c r="B47" s="1">
        <v>1.906755E7</v>
      </c>
    </row>
    <row r="48">
      <c r="A48" s="1" t="s">
        <v>71</v>
      </c>
      <c r="B48" s="1">
        <v>1.9068587E7</v>
      </c>
    </row>
    <row r="49">
      <c r="A49" s="1" t="s">
        <v>72</v>
      </c>
      <c r="B49" s="1">
        <v>1.906935E7</v>
      </c>
    </row>
    <row r="50">
      <c r="A50" s="1" t="s">
        <v>73</v>
      </c>
      <c r="B50" s="1">
        <v>1.9070018E7</v>
      </c>
    </row>
    <row r="51">
      <c r="A51" s="1" t="s">
        <v>74</v>
      </c>
      <c r="B51" s="1">
        <v>1.9070993E7</v>
      </c>
    </row>
    <row r="52">
      <c r="A52" s="1" t="s">
        <v>75</v>
      </c>
      <c r="B52" s="1">
        <v>1.907185E7</v>
      </c>
    </row>
    <row r="53">
      <c r="A53" s="1" t="s">
        <v>76</v>
      </c>
      <c r="B53" s="1">
        <v>1.9072662E7</v>
      </c>
    </row>
    <row r="54">
      <c r="A54" s="1" t="s">
        <v>77</v>
      </c>
      <c r="B54" s="1">
        <v>1.90736E7</v>
      </c>
    </row>
    <row r="55">
      <c r="A55" s="1" t="s">
        <v>78</v>
      </c>
      <c r="B55" s="1">
        <v>1.9074375E7</v>
      </c>
    </row>
    <row r="56">
      <c r="A56" s="1" t="s">
        <v>79</v>
      </c>
      <c r="B56" s="1">
        <v>1.9075325E7</v>
      </c>
    </row>
    <row r="57">
      <c r="A57" s="1" t="s">
        <v>80</v>
      </c>
      <c r="B57" s="1">
        <v>1.9076162E7</v>
      </c>
    </row>
    <row r="58">
      <c r="A58" s="1" t="s">
        <v>81</v>
      </c>
      <c r="B58" s="1">
        <v>1.90771E7</v>
      </c>
    </row>
    <row r="59">
      <c r="A59" s="1" t="s">
        <v>82</v>
      </c>
      <c r="B59" s="1">
        <v>1.9077962E7</v>
      </c>
    </row>
    <row r="60">
      <c r="A60" s="1" t="s">
        <v>83</v>
      </c>
      <c r="B60" s="1">
        <v>1.9078743E7</v>
      </c>
    </row>
    <row r="61">
      <c r="A61" s="1" t="s">
        <v>84</v>
      </c>
      <c r="B61" s="1">
        <v>1.9079737E7</v>
      </c>
    </row>
    <row r="62">
      <c r="A62" s="1" t="s">
        <v>85</v>
      </c>
      <c r="B62" s="1">
        <v>1.9080662E7</v>
      </c>
    </row>
    <row r="63">
      <c r="A63" s="1" t="s">
        <v>86</v>
      </c>
      <c r="B63" s="1">
        <v>1.90817E7</v>
      </c>
    </row>
    <row r="64">
      <c r="A64" s="1" t="s">
        <v>87</v>
      </c>
      <c r="B64" s="1">
        <v>1.9082587E7</v>
      </c>
    </row>
    <row r="65">
      <c r="A65" s="1" t="s">
        <v>88</v>
      </c>
      <c r="B65" s="1">
        <v>1.9083443E7</v>
      </c>
    </row>
    <row r="66">
      <c r="A66" s="1" t="s">
        <v>89</v>
      </c>
      <c r="B66" s="1">
        <v>1.9084375E7</v>
      </c>
    </row>
    <row r="67">
      <c r="A67" s="1" t="s">
        <v>90</v>
      </c>
      <c r="B67" s="1">
        <v>1.9085293E7</v>
      </c>
    </row>
    <row r="68">
      <c r="A68" s="1" t="s">
        <v>91</v>
      </c>
      <c r="B68" s="1">
        <v>1.9086062E7</v>
      </c>
    </row>
    <row r="69">
      <c r="A69" s="1" t="s">
        <v>92</v>
      </c>
      <c r="B69" s="1">
        <v>1.9086831E7</v>
      </c>
    </row>
    <row r="70">
      <c r="A70" s="1" t="s">
        <v>93</v>
      </c>
      <c r="B70" s="1">
        <v>1.90878E7</v>
      </c>
    </row>
    <row r="71">
      <c r="A71" s="1" t="s">
        <v>94</v>
      </c>
      <c r="B71" s="1">
        <v>1.908875E7</v>
      </c>
    </row>
    <row r="72">
      <c r="A72" s="1" t="s">
        <v>95</v>
      </c>
      <c r="B72" s="1">
        <v>1.9089537E7</v>
      </c>
    </row>
    <row r="73">
      <c r="A73" s="1" t="s">
        <v>96</v>
      </c>
      <c r="B73" s="1">
        <v>1.9090556E7</v>
      </c>
    </row>
    <row r="74">
      <c r="A74" s="1" t="s">
        <v>97</v>
      </c>
      <c r="B74" s="1">
        <v>1.9091318E7</v>
      </c>
    </row>
    <row r="75">
      <c r="A75" s="1" t="s">
        <v>98</v>
      </c>
      <c r="B75" s="1">
        <v>1.9092237E7</v>
      </c>
    </row>
    <row r="76">
      <c r="A76" s="1" t="s">
        <v>99</v>
      </c>
      <c r="B76" s="1">
        <v>1.9092956E7</v>
      </c>
    </row>
    <row r="77">
      <c r="A77" s="1" t="s">
        <v>100</v>
      </c>
      <c r="B77" s="1">
        <v>1.9093693E7</v>
      </c>
    </row>
    <row r="78">
      <c r="A78" s="1" t="s">
        <v>101</v>
      </c>
      <c r="B78" s="1">
        <v>1.9094593E7</v>
      </c>
    </row>
    <row r="79">
      <c r="A79" s="1" t="s">
        <v>102</v>
      </c>
      <c r="B79" s="1">
        <v>1.90955E7</v>
      </c>
    </row>
    <row r="80">
      <c r="A80" s="1" t="s">
        <v>103</v>
      </c>
      <c r="B80" s="1">
        <v>1.9096287E7</v>
      </c>
    </row>
    <row r="81">
      <c r="A81" s="1" t="s">
        <v>104</v>
      </c>
      <c r="B81" s="1">
        <v>1.9097131E7</v>
      </c>
    </row>
    <row r="82">
      <c r="A82" s="1" t="s">
        <v>105</v>
      </c>
      <c r="B82" s="1">
        <v>1.9097975E7</v>
      </c>
    </row>
    <row r="83">
      <c r="A83" s="1" t="s">
        <v>106</v>
      </c>
      <c r="B83" s="1">
        <v>1.9098737E7</v>
      </c>
    </row>
    <row r="84">
      <c r="A84" s="1" t="s">
        <v>107</v>
      </c>
      <c r="B84" s="1">
        <v>1.9099612E7</v>
      </c>
    </row>
    <row r="85">
      <c r="A85" s="1" t="s">
        <v>108</v>
      </c>
      <c r="B85" s="1">
        <v>1.9100437E7</v>
      </c>
    </row>
    <row r="86">
      <c r="A86" s="1" t="s">
        <v>109</v>
      </c>
      <c r="B86" s="1">
        <v>1.9101406E7</v>
      </c>
    </row>
    <row r="87">
      <c r="A87" s="1" t="s">
        <v>110</v>
      </c>
      <c r="B87" s="1">
        <v>1.9102381E7</v>
      </c>
    </row>
    <row r="88">
      <c r="A88" s="1" t="s">
        <v>111</v>
      </c>
      <c r="B88" s="1">
        <v>1.9103287E7</v>
      </c>
    </row>
    <row r="89">
      <c r="A89" s="1" t="s">
        <v>112</v>
      </c>
      <c r="B89" s="1">
        <v>1.9104275E7</v>
      </c>
    </row>
    <row r="90">
      <c r="A90" s="1" t="s">
        <v>113</v>
      </c>
      <c r="B90" s="1">
        <v>1.9105343E7</v>
      </c>
    </row>
    <row r="91">
      <c r="A91" s="1" t="s">
        <v>114</v>
      </c>
      <c r="B91" s="1">
        <v>1.9106187E7</v>
      </c>
    </row>
    <row r="92">
      <c r="A92" s="1" t="s">
        <v>115</v>
      </c>
      <c r="B92" s="1">
        <v>1.91071E7</v>
      </c>
    </row>
    <row r="93">
      <c r="A93" s="1" t="s">
        <v>116</v>
      </c>
      <c r="B93" s="1">
        <v>1.9107912E7</v>
      </c>
    </row>
    <row r="94">
      <c r="A94" s="1" t="s">
        <v>117</v>
      </c>
      <c r="B94" s="1">
        <v>1.9108843E7</v>
      </c>
    </row>
    <row r="95">
      <c r="A95" s="1" t="s">
        <v>118</v>
      </c>
      <c r="B95" s="1">
        <v>1.91097E7</v>
      </c>
    </row>
    <row r="96">
      <c r="A96" s="1" t="s">
        <v>119</v>
      </c>
      <c r="B96" s="1">
        <v>1.9110706E7</v>
      </c>
    </row>
    <row r="97">
      <c r="A97" s="1" t="s">
        <v>120</v>
      </c>
      <c r="B97" s="1">
        <v>1.91116E7</v>
      </c>
    </row>
    <row r="98">
      <c r="A98" s="1" t="s">
        <v>121</v>
      </c>
      <c r="B98" s="1">
        <v>1.9112431E7</v>
      </c>
    </row>
    <row r="99">
      <c r="A99" s="1" t="s">
        <v>122</v>
      </c>
      <c r="B99" s="1">
        <v>1.9113368E7</v>
      </c>
    </row>
    <row r="100">
      <c r="A100" s="1" t="s">
        <v>123</v>
      </c>
      <c r="B100" s="1">
        <v>1.9114362E7</v>
      </c>
    </row>
    <row r="101">
      <c r="A101" s="1" t="s">
        <v>124</v>
      </c>
      <c r="B101" s="1">
        <v>1.9115337E7</v>
      </c>
    </row>
    <row r="102">
      <c r="A102" s="1" t="s">
        <v>125</v>
      </c>
      <c r="B102" s="1">
        <v>1.9116268E7</v>
      </c>
    </row>
    <row r="103">
      <c r="A103" s="1" t="s">
        <v>126</v>
      </c>
      <c r="B103" s="1">
        <v>1.9117125E7</v>
      </c>
    </row>
    <row r="104">
      <c r="A104" s="1" t="s">
        <v>127</v>
      </c>
      <c r="B104" s="1">
        <v>1.9118112E7</v>
      </c>
    </row>
    <row r="105">
      <c r="A105" s="1" t="s">
        <v>128</v>
      </c>
      <c r="B105" s="1">
        <v>1.9118962E7</v>
      </c>
    </row>
    <row r="106">
      <c r="A106" s="1" t="s">
        <v>129</v>
      </c>
      <c r="B106" s="1">
        <v>1.9119875E7</v>
      </c>
    </row>
    <row r="107">
      <c r="A107" s="1" t="s">
        <v>130</v>
      </c>
      <c r="B107" s="1">
        <v>1.9120781E7</v>
      </c>
    </row>
    <row r="108">
      <c r="A108" s="1" t="s">
        <v>131</v>
      </c>
      <c r="B108" s="1">
        <v>1.9121593E7</v>
      </c>
    </row>
    <row r="109">
      <c r="A109" s="1" t="s">
        <v>132</v>
      </c>
      <c r="B109" s="1">
        <v>1.9122531E7</v>
      </c>
    </row>
    <row r="110">
      <c r="A110" s="1" t="s">
        <v>133</v>
      </c>
      <c r="B110" s="1">
        <v>1.9123443E7</v>
      </c>
    </row>
    <row r="111">
      <c r="A111" s="1" t="s">
        <v>134</v>
      </c>
      <c r="B111" s="1">
        <v>1.9124256E7</v>
      </c>
    </row>
    <row r="112">
      <c r="A112" s="1" t="s">
        <v>135</v>
      </c>
      <c r="B112" s="1">
        <v>1.9125156E7</v>
      </c>
    </row>
    <row r="113">
      <c r="A113" s="1" t="s">
        <v>136</v>
      </c>
      <c r="B113" s="1">
        <v>1.912625E7</v>
      </c>
    </row>
    <row r="114">
      <c r="A114" s="1" t="s">
        <v>137</v>
      </c>
      <c r="B114" s="1">
        <v>1.9127231E7</v>
      </c>
    </row>
    <row r="115">
      <c r="A115" s="1" t="s">
        <v>138</v>
      </c>
      <c r="B115" s="1">
        <v>1.9128093E7</v>
      </c>
    </row>
    <row r="116">
      <c r="A116" s="1" t="s">
        <v>139</v>
      </c>
      <c r="B116" s="1">
        <v>1.9129018E7</v>
      </c>
    </row>
    <row r="117">
      <c r="A117" s="1" t="s">
        <v>140</v>
      </c>
      <c r="B117" s="1">
        <v>1.9130043E7</v>
      </c>
    </row>
    <row r="118">
      <c r="A118" s="1" t="s">
        <v>141</v>
      </c>
      <c r="B118" s="1">
        <v>1.9131018E7</v>
      </c>
    </row>
    <row r="119">
      <c r="A119" s="1" t="s">
        <v>142</v>
      </c>
      <c r="B119" s="1">
        <v>1.9131968E7</v>
      </c>
    </row>
    <row r="120">
      <c r="A120" s="1" t="s">
        <v>143</v>
      </c>
      <c r="B120" s="1">
        <v>1.9133062E7</v>
      </c>
    </row>
    <row r="121">
      <c r="A121" s="1" t="s">
        <v>144</v>
      </c>
      <c r="B121" s="1">
        <v>1.9133993E7</v>
      </c>
    </row>
    <row r="122">
      <c r="A122" s="1" t="s">
        <v>145</v>
      </c>
      <c r="B122" s="1">
        <v>1.9134981E7</v>
      </c>
    </row>
    <row r="123">
      <c r="A123" s="1" t="s">
        <v>146</v>
      </c>
      <c r="B123" s="1">
        <v>1.9135981E7</v>
      </c>
    </row>
    <row r="124">
      <c r="A124" s="1" t="s">
        <v>147</v>
      </c>
      <c r="B124" s="1">
        <v>1.9136956E7</v>
      </c>
    </row>
    <row r="125">
      <c r="A125" s="1" t="s">
        <v>148</v>
      </c>
      <c r="B125" s="1">
        <v>1.9137887E7</v>
      </c>
    </row>
    <row r="126">
      <c r="A126" s="1" t="s">
        <v>149</v>
      </c>
      <c r="B126" s="1">
        <v>1.913875E7</v>
      </c>
    </row>
    <row r="127">
      <c r="A127" s="1" t="s">
        <v>150</v>
      </c>
      <c r="B127" s="1">
        <v>1.9139575E7</v>
      </c>
    </row>
    <row r="128">
      <c r="A128" s="1" t="s">
        <v>151</v>
      </c>
      <c r="B128" s="1">
        <v>1.9140468E7</v>
      </c>
    </row>
    <row r="129">
      <c r="A129" s="1" t="s">
        <v>152</v>
      </c>
      <c r="B129" s="1">
        <v>1.9141543E7</v>
      </c>
    </row>
    <row r="130">
      <c r="A130" s="1" t="s">
        <v>153</v>
      </c>
      <c r="B130" s="1">
        <v>1.9142493E7</v>
      </c>
    </row>
    <row r="131">
      <c r="A131" s="1" t="s">
        <v>154</v>
      </c>
      <c r="B131" s="1">
        <v>1.9143381E7</v>
      </c>
    </row>
    <row r="132">
      <c r="A132" s="1" t="s">
        <v>155</v>
      </c>
      <c r="B132" s="1">
        <v>1.9144287E7</v>
      </c>
    </row>
    <row r="133">
      <c r="A133" s="1" t="s">
        <v>156</v>
      </c>
      <c r="B133" s="1">
        <v>1.9145106E7</v>
      </c>
    </row>
    <row r="134">
      <c r="A134" s="1" t="s">
        <v>157</v>
      </c>
      <c r="B134" s="1">
        <v>1.9146012E7</v>
      </c>
    </row>
    <row r="135">
      <c r="A135" s="1" t="s">
        <v>158</v>
      </c>
      <c r="B135" s="1">
        <v>1.9147012E7</v>
      </c>
    </row>
    <row r="136">
      <c r="A136" s="1" t="s">
        <v>159</v>
      </c>
      <c r="B136" s="1">
        <v>1.9148118E7</v>
      </c>
    </row>
    <row r="137">
      <c r="A137" s="1" t="s">
        <v>160</v>
      </c>
      <c r="B137" s="1">
        <v>1.91491E7</v>
      </c>
    </row>
    <row r="138">
      <c r="A138" s="1" t="s">
        <v>161</v>
      </c>
      <c r="B138" s="1">
        <v>1.9149981E7</v>
      </c>
    </row>
    <row r="139">
      <c r="A139" s="1" t="s">
        <v>162</v>
      </c>
      <c r="B139" s="1">
        <v>1.9150743E7</v>
      </c>
    </row>
    <row r="140">
      <c r="A140" s="1" t="s">
        <v>163</v>
      </c>
      <c r="B140" s="1">
        <v>1.9151681E7</v>
      </c>
    </row>
    <row r="141">
      <c r="A141" s="1" t="s">
        <v>164</v>
      </c>
      <c r="B141" s="1">
        <v>1.9152437E7</v>
      </c>
    </row>
    <row r="142">
      <c r="A142" s="1" t="s">
        <v>165</v>
      </c>
      <c r="B142" s="1">
        <v>1.9153487E7</v>
      </c>
    </row>
    <row r="143">
      <c r="A143" s="1" t="s">
        <v>166</v>
      </c>
      <c r="B143" s="1">
        <v>1.9154475E7</v>
      </c>
    </row>
    <row r="144">
      <c r="A144" s="1" t="s">
        <v>167</v>
      </c>
      <c r="B144" s="1">
        <v>1.9155293E7</v>
      </c>
    </row>
    <row r="145">
      <c r="A145" s="1" t="s">
        <v>168</v>
      </c>
      <c r="B145" s="1">
        <v>1.9156237E7</v>
      </c>
    </row>
    <row r="146">
      <c r="A146" s="1" t="s">
        <v>169</v>
      </c>
      <c r="B146" s="1">
        <v>1.9157125E7</v>
      </c>
    </row>
    <row r="147">
      <c r="A147" s="1" t="s">
        <v>170</v>
      </c>
      <c r="B147" s="1">
        <v>1.9157956E7</v>
      </c>
    </row>
    <row r="148">
      <c r="A148" s="1" t="s">
        <v>171</v>
      </c>
      <c r="B148" s="1">
        <v>1.9158768E7</v>
      </c>
    </row>
    <row r="149">
      <c r="A149" s="1" t="s">
        <v>172</v>
      </c>
      <c r="B149" s="1">
        <v>1.915965E7</v>
      </c>
    </row>
    <row r="150">
      <c r="A150" s="1" t="s">
        <v>174</v>
      </c>
      <c r="B150" s="1">
        <v>1.9160593E7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2.5" customHeight="1">
      <c r="A1" s="1" t="s">
        <v>22</v>
      </c>
      <c r="B1" s="1" t="s">
        <v>23</v>
      </c>
      <c r="C1" s="1" t="s">
        <v>24</v>
      </c>
      <c r="D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</row>
    <row r="2">
      <c r="A2" s="1" t="s">
        <v>25</v>
      </c>
      <c r="B2" s="1">
        <v>84.637333</v>
      </c>
      <c r="C2" s="1">
        <v>89.696733</v>
      </c>
    </row>
    <row r="3">
      <c r="A3" s="1" t="s">
        <v>26</v>
      </c>
      <c r="B3" s="1">
        <v>89.685037</v>
      </c>
      <c r="C3" s="1">
        <v>87.478592</v>
      </c>
    </row>
    <row r="4">
      <c r="A4" s="1" t="s">
        <v>27</v>
      </c>
      <c r="B4" s="1">
        <v>87.481517</v>
      </c>
      <c r="C4" s="1">
        <v>85.855652</v>
      </c>
    </row>
    <row r="5">
      <c r="A5" s="1" t="s">
        <v>28</v>
      </c>
      <c r="B5" s="1">
        <v>85.847885</v>
      </c>
      <c r="C5" s="1">
        <v>92.759946</v>
      </c>
    </row>
    <row r="6">
      <c r="A6" s="1" t="s">
        <v>29</v>
      </c>
      <c r="B6" s="1">
        <v>92.762378</v>
      </c>
      <c r="C6" s="1">
        <v>84.517565</v>
      </c>
    </row>
    <row r="7">
      <c r="A7" s="1" t="s">
        <v>30</v>
      </c>
      <c r="B7" s="1">
        <v>84.503459</v>
      </c>
      <c r="C7" s="1">
        <v>81.649458</v>
      </c>
    </row>
    <row r="8">
      <c r="A8" s="1" t="s">
        <v>31</v>
      </c>
      <c r="B8" s="1">
        <v>81.645169</v>
      </c>
      <c r="C8" s="1">
        <v>78.809069</v>
      </c>
    </row>
    <row r="9">
      <c r="A9" s="1" t="s">
        <v>32</v>
      </c>
      <c r="B9" s="1">
        <v>78.846263</v>
      </c>
      <c r="C9" s="1">
        <v>75.35128</v>
      </c>
    </row>
    <row r="10">
      <c r="A10" s="1" t="s">
        <v>33</v>
      </c>
      <c r="B10" s="1">
        <v>75.369953</v>
      </c>
      <c r="C10" s="1">
        <v>62.173894</v>
      </c>
    </row>
    <row r="11">
      <c r="A11" s="1" t="s">
        <v>34</v>
      </c>
      <c r="B11" s="1">
        <v>62.139162</v>
      </c>
      <c r="C11" s="1">
        <v>66.882922</v>
      </c>
    </row>
    <row r="12">
      <c r="A12" s="1" t="s">
        <v>35</v>
      </c>
      <c r="B12" s="1">
        <v>66.859951</v>
      </c>
      <c r="C12" s="1">
        <v>50.6675</v>
      </c>
    </row>
    <row r="13">
      <c r="A13" s="1" t="s">
        <v>36</v>
      </c>
      <c r="B13" s="1">
        <v>50.713735</v>
      </c>
      <c r="C13" s="1">
        <v>44.550925</v>
      </c>
    </row>
    <row r="14">
      <c r="A14" s="1" t="s">
        <v>37</v>
      </c>
      <c r="B14" s="1">
        <v>44.540271</v>
      </c>
      <c r="C14" s="1">
        <v>48.887498</v>
      </c>
    </row>
    <row r="15">
      <c r="A15" s="1" t="s">
        <v>38</v>
      </c>
      <c r="B15" s="1">
        <v>48.873913</v>
      </c>
      <c r="C15" s="1">
        <v>52.370441</v>
      </c>
    </row>
    <row r="16">
      <c r="A16" s="1" t="s">
        <v>39</v>
      </c>
      <c r="B16" s="1">
        <v>52.378337</v>
      </c>
      <c r="C16" s="1">
        <v>58.774857</v>
      </c>
    </row>
    <row r="17">
      <c r="A17" s="1" t="s">
        <v>40</v>
      </c>
      <c r="B17" s="1">
        <v>58.748797</v>
      </c>
      <c r="C17" s="1">
        <v>53.698788</v>
      </c>
    </row>
    <row r="18">
      <c r="A18" s="1" t="s">
        <v>41</v>
      </c>
      <c r="B18" s="1">
        <v>53.755147</v>
      </c>
      <c r="C18" s="1">
        <v>56.978524</v>
      </c>
    </row>
    <row r="19">
      <c r="A19" s="1" t="s">
        <v>42</v>
      </c>
      <c r="B19" s="1">
        <v>56.951284</v>
      </c>
      <c r="C19" s="1">
        <v>49.853526</v>
      </c>
    </row>
    <row r="20">
      <c r="A20" s="1" t="s">
        <v>43</v>
      </c>
      <c r="B20" s="1">
        <v>49.873637</v>
      </c>
      <c r="C20" s="1">
        <v>52.124874</v>
      </c>
    </row>
    <row r="21">
      <c r="A21" s="1" t="s">
        <v>44</v>
      </c>
      <c r="B21" s="1">
        <v>52.125185</v>
      </c>
      <c r="C21" s="1">
        <v>49.379752</v>
      </c>
    </row>
    <row r="22">
      <c r="A22" s="1" t="s">
        <v>45</v>
      </c>
      <c r="B22" s="1">
        <v>49.368749</v>
      </c>
      <c r="C22" s="1">
        <v>50.306539</v>
      </c>
    </row>
    <row r="23">
      <c r="A23" s="1" t="s">
        <v>46</v>
      </c>
      <c r="B23" s="1">
        <v>50.241556</v>
      </c>
      <c r="C23" s="1">
        <v>52.430925</v>
      </c>
    </row>
    <row r="24">
      <c r="A24" s="1" t="s">
        <v>47</v>
      </c>
      <c r="B24" s="1">
        <v>52.407203</v>
      </c>
      <c r="C24" s="1">
        <v>49.108236</v>
      </c>
    </row>
    <row r="25">
      <c r="A25" s="1" t="s">
        <v>48</v>
      </c>
      <c r="B25" s="1">
        <v>49.101744</v>
      </c>
      <c r="C25" s="1">
        <v>49.625038</v>
      </c>
    </row>
    <row r="26">
      <c r="A26" s="1" t="s">
        <v>49</v>
      </c>
      <c r="B26" s="1">
        <v>49.609853</v>
      </c>
      <c r="C26" s="1">
        <v>47.926126</v>
      </c>
    </row>
    <row r="27">
      <c r="A27" s="1" t="s">
        <v>50</v>
      </c>
      <c r="B27" s="1">
        <v>47.912399</v>
      </c>
      <c r="C27" s="1">
        <v>43.414431</v>
      </c>
    </row>
    <row r="28">
      <c r="A28" s="1" t="s">
        <v>51</v>
      </c>
      <c r="B28" s="1">
        <v>43.394001</v>
      </c>
      <c r="C28" s="1">
        <v>41.115158</v>
      </c>
    </row>
    <row r="29">
      <c r="A29" s="1" t="s">
        <v>52</v>
      </c>
      <c r="B29" s="1">
        <v>41.136324</v>
      </c>
      <c r="C29" s="1">
        <v>44.218806</v>
      </c>
    </row>
    <row r="30">
      <c r="A30" s="1" t="s">
        <v>53</v>
      </c>
      <c r="B30" s="1">
        <v>44.210894</v>
      </c>
      <c r="C30" s="1">
        <v>44.946499</v>
      </c>
    </row>
    <row r="31">
      <c r="A31" s="1" t="s">
        <v>54</v>
      </c>
      <c r="B31" s="1">
        <v>44.960477</v>
      </c>
      <c r="C31" s="1">
        <v>47.17882</v>
      </c>
    </row>
    <row r="32">
      <c r="A32" s="1" t="s">
        <v>55</v>
      </c>
      <c r="B32" s="1">
        <v>47.177405</v>
      </c>
      <c r="C32" s="1">
        <v>45.723203</v>
      </c>
    </row>
    <row r="33">
      <c r="A33" s="1" t="s">
        <v>56</v>
      </c>
      <c r="B33" s="1">
        <v>45.746213</v>
      </c>
      <c r="C33" s="1">
        <v>40.086317</v>
      </c>
    </row>
    <row r="34">
      <c r="A34" s="1" t="s">
        <v>57</v>
      </c>
      <c r="B34" s="1">
        <v>40.161184</v>
      </c>
      <c r="C34" s="1">
        <v>40.831058</v>
      </c>
    </row>
    <row r="35">
      <c r="A35" s="1" t="s">
        <v>58</v>
      </c>
      <c r="B35" s="1">
        <v>40.827216</v>
      </c>
      <c r="C35" s="1">
        <v>38.240986</v>
      </c>
    </row>
    <row r="36">
      <c r="A36" s="1" t="s">
        <v>59</v>
      </c>
      <c r="B36" s="1">
        <v>38.247967</v>
      </c>
      <c r="C36" s="1">
        <v>38.977031</v>
      </c>
    </row>
    <row r="37">
      <c r="A37" s="1" t="s">
        <v>60</v>
      </c>
      <c r="B37" s="1">
        <v>38.991597</v>
      </c>
      <c r="C37" s="1">
        <v>38.493089</v>
      </c>
    </row>
    <row r="38">
      <c r="A38" s="1" t="s">
        <v>61</v>
      </c>
      <c r="B38" s="1">
        <v>38.488084</v>
      </c>
      <c r="C38" s="1">
        <v>42.356618</v>
      </c>
    </row>
    <row r="39">
      <c r="A39" s="1" t="s">
        <v>62</v>
      </c>
      <c r="B39" s="1">
        <v>42.349219</v>
      </c>
      <c r="C39" s="1">
        <v>39.288092</v>
      </c>
    </row>
    <row r="40">
      <c r="A40" s="1" t="s">
        <v>63</v>
      </c>
      <c r="B40" s="1">
        <v>39.288669</v>
      </c>
      <c r="C40" s="1">
        <v>38.802034</v>
      </c>
    </row>
    <row r="41">
      <c r="A41" s="1" t="s">
        <v>64</v>
      </c>
      <c r="B41" s="1">
        <v>38.808699</v>
      </c>
      <c r="C41" s="1">
        <v>39.92541</v>
      </c>
    </row>
    <row r="42">
      <c r="A42" s="1" t="s">
        <v>65</v>
      </c>
      <c r="B42" s="1">
        <v>39.903383</v>
      </c>
      <c r="C42" s="1">
        <v>37.124607</v>
      </c>
    </row>
    <row r="43">
      <c r="A43" s="1" t="s">
        <v>66</v>
      </c>
      <c r="B43" s="1">
        <v>37.127259</v>
      </c>
      <c r="C43" s="1">
        <v>33.897792</v>
      </c>
    </row>
    <row r="44">
      <c r="A44" s="1" t="s">
        <v>67</v>
      </c>
      <c r="B44" s="1">
        <v>33.900268</v>
      </c>
      <c r="C44" s="1">
        <v>30.579666</v>
      </c>
    </row>
    <row r="45">
      <c r="A45" s="1" t="s">
        <v>68</v>
      </c>
      <c r="B45" s="1">
        <v>30.569833</v>
      </c>
      <c r="C45" s="1">
        <v>28.568456</v>
      </c>
    </row>
    <row r="46">
      <c r="A46" s="1" t="s">
        <v>69</v>
      </c>
      <c r="B46" s="1">
        <v>28.550636</v>
      </c>
      <c r="C46" s="1">
        <v>29.54713</v>
      </c>
    </row>
    <row r="47">
      <c r="A47" s="1" t="s">
        <v>70</v>
      </c>
      <c r="B47" s="1">
        <v>29.549751</v>
      </c>
      <c r="C47" s="1">
        <v>34.711045</v>
      </c>
    </row>
    <row r="48">
      <c r="A48" s="1" t="s">
        <v>71</v>
      </c>
      <c r="B48" s="1">
        <v>34.703612</v>
      </c>
      <c r="C48" s="1">
        <v>30.08347</v>
      </c>
    </row>
    <row r="49">
      <c r="A49" s="1" t="s">
        <v>72</v>
      </c>
      <c r="B49" s="1">
        <v>30.096099</v>
      </c>
      <c r="C49" s="1">
        <v>30.639261</v>
      </c>
    </row>
    <row r="50">
      <c r="A50" s="1" t="s">
        <v>73</v>
      </c>
      <c r="B50" s="1">
        <v>30.668175</v>
      </c>
      <c r="C50" s="1">
        <v>31.9638</v>
      </c>
    </row>
    <row r="51">
      <c r="A51" s="1" t="s">
        <v>74</v>
      </c>
      <c r="B51" s="1">
        <v>31.975383</v>
      </c>
      <c r="C51" s="1">
        <v>34.152685</v>
      </c>
    </row>
    <row r="52">
      <c r="A52" s="1" t="s">
        <v>75</v>
      </c>
      <c r="B52" s="1">
        <v>34.139004</v>
      </c>
      <c r="C52" s="1">
        <v>35.206444</v>
      </c>
    </row>
    <row r="53">
      <c r="A53" s="1" t="s">
        <v>76</v>
      </c>
      <c r="B53" s="1">
        <v>35.210349</v>
      </c>
      <c r="C53" s="1">
        <v>36.371747</v>
      </c>
    </row>
    <row r="54">
      <c r="A54" s="1" t="s">
        <v>77</v>
      </c>
      <c r="B54" s="1">
        <v>36.376838</v>
      </c>
      <c r="C54" s="1">
        <v>34.084527</v>
      </c>
    </row>
    <row r="55">
      <c r="A55" s="1" t="s">
        <v>78</v>
      </c>
      <c r="B55" s="1">
        <v>34.093257</v>
      </c>
      <c r="C55" s="1">
        <v>38.114333</v>
      </c>
    </row>
    <row r="56">
      <c r="A56" s="1" t="s">
        <v>79</v>
      </c>
      <c r="B56" s="1">
        <v>38.122496</v>
      </c>
      <c r="C56" s="1">
        <v>41.689947</v>
      </c>
    </row>
    <row r="57">
      <c r="A57" s="1" t="s">
        <v>80</v>
      </c>
      <c r="B57" s="1">
        <v>41.804762</v>
      </c>
      <c r="C57" s="1">
        <v>42.191415</v>
      </c>
    </row>
    <row r="58">
      <c r="A58" s="1" t="s">
        <v>81</v>
      </c>
      <c r="B58" s="1">
        <v>42.206675</v>
      </c>
      <c r="C58" s="1">
        <v>39.375489</v>
      </c>
    </row>
    <row r="59">
      <c r="A59" s="1" t="s">
        <v>82</v>
      </c>
      <c r="B59" s="1">
        <v>39.359371</v>
      </c>
      <c r="C59" s="1">
        <v>38.481253</v>
      </c>
    </row>
    <row r="60">
      <c r="A60" s="1" t="s">
        <v>83</v>
      </c>
      <c r="B60" s="1">
        <v>38.466239</v>
      </c>
      <c r="C60" s="1">
        <v>35.299239</v>
      </c>
    </row>
    <row r="61">
      <c r="A61" s="1" t="s">
        <v>84</v>
      </c>
      <c r="B61" s="1">
        <v>35.282115</v>
      </c>
      <c r="C61" s="1">
        <v>33.992653</v>
      </c>
    </row>
    <row r="62">
      <c r="A62" s="1" t="s">
        <v>85</v>
      </c>
      <c r="B62" s="1">
        <v>34.013169</v>
      </c>
      <c r="C62" s="1">
        <v>33.721693</v>
      </c>
    </row>
    <row r="63">
      <c r="A63" s="1" t="s">
        <v>86</v>
      </c>
      <c r="B63" s="1">
        <v>33.715618</v>
      </c>
      <c r="C63" s="1">
        <v>32.802126</v>
      </c>
    </row>
    <row r="64">
      <c r="A64" s="1" t="s">
        <v>87</v>
      </c>
      <c r="B64" s="1">
        <v>32.807389</v>
      </c>
      <c r="C64" s="1">
        <v>33.31155</v>
      </c>
    </row>
    <row r="65">
      <c r="A65" s="1" t="s">
        <v>88</v>
      </c>
      <c r="B65" s="1">
        <v>33.329921</v>
      </c>
      <c r="C65" s="1">
        <v>33.355296</v>
      </c>
    </row>
    <row r="66">
      <c r="A66" s="1" t="s">
        <v>89</v>
      </c>
      <c r="B66" s="1">
        <v>33.349764</v>
      </c>
      <c r="C66" s="1">
        <v>36.677278</v>
      </c>
    </row>
    <row r="67">
      <c r="A67" s="1" t="s">
        <v>90</v>
      </c>
      <c r="B67" s="1">
        <v>36.676903</v>
      </c>
      <c r="C67" s="1">
        <v>35.362708</v>
      </c>
    </row>
    <row r="68">
      <c r="A68" s="1" t="s">
        <v>91</v>
      </c>
      <c r="B68" s="1">
        <v>35.364436</v>
      </c>
      <c r="C68" s="1">
        <v>37.005737</v>
      </c>
    </row>
    <row r="69">
      <c r="A69" s="1" t="s">
        <v>92</v>
      </c>
      <c r="B69" s="1">
        <v>37.012435</v>
      </c>
      <c r="C69" s="1">
        <v>38.43261</v>
      </c>
    </row>
    <row r="70">
      <c r="A70" s="1" t="s">
        <v>93</v>
      </c>
      <c r="B70" s="1">
        <v>38.446775</v>
      </c>
      <c r="C70" s="1">
        <v>38.105821</v>
      </c>
    </row>
    <row r="71">
      <c r="A71" s="1" t="s">
        <v>94</v>
      </c>
      <c r="B71" s="1">
        <v>38.102132</v>
      </c>
      <c r="C71" s="1">
        <v>38.043521</v>
      </c>
    </row>
    <row r="72">
      <c r="A72" s="1" t="s">
        <v>95</v>
      </c>
      <c r="B72" s="1">
        <v>38.038791</v>
      </c>
      <c r="C72" s="1">
        <v>36.68637</v>
      </c>
    </row>
    <row r="73">
      <c r="A73" s="1" t="s">
        <v>96</v>
      </c>
      <c r="B73" s="1">
        <v>36.684292</v>
      </c>
      <c r="C73" s="1">
        <v>33.400451</v>
      </c>
    </row>
    <row r="74">
      <c r="A74" s="1" t="s">
        <v>97</v>
      </c>
      <c r="B74" s="1">
        <v>33.389058</v>
      </c>
      <c r="C74" s="1">
        <v>32.65503</v>
      </c>
    </row>
    <row r="75">
      <c r="A75" s="1" t="s">
        <v>98</v>
      </c>
      <c r="B75" s="1">
        <v>32.653743</v>
      </c>
      <c r="C75" s="1">
        <v>34.921141</v>
      </c>
    </row>
    <row r="76">
      <c r="A76" s="1" t="s">
        <v>99</v>
      </c>
      <c r="B76" s="1">
        <v>34.91369</v>
      </c>
      <c r="C76" s="1">
        <v>37.116369</v>
      </c>
    </row>
    <row r="77">
      <c r="A77" s="1" t="s">
        <v>100</v>
      </c>
      <c r="B77" s="1">
        <v>37.111432</v>
      </c>
      <c r="C77" s="1">
        <v>37.229181</v>
      </c>
    </row>
    <row r="78">
      <c r="A78" s="1" t="s">
        <v>101</v>
      </c>
      <c r="B78" s="1">
        <v>37.356993</v>
      </c>
      <c r="C78" s="1">
        <v>39.580638</v>
      </c>
    </row>
    <row r="79">
      <c r="A79" s="1" t="s">
        <v>102</v>
      </c>
      <c r="B79" s="1">
        <v>39.578377</v>
      </c>
      <c r="C79" s="1">
        <v>38.612235</v>
      </c>
    </row>
    <row r="80">
      <c r="A80" s="1" t="s">
        <v>103</v>
      </c>
      <c r="B80" s="1">
        <v>38.600358</v>
      </c>
      <c r="C80" s="1">
        <v>43.528057</v>
      </c>
    </row>
    <row r="81">
      <c r="A81" s="1" t="s">
        <v>104</v>
      </c>
      <c r="B81" s="1">
        <v>43.531277</v>
      </c>
      <c r="C81" s="1">
        <v>44.902451</v>
      </c>
    </row>
    <row r="82">
      <c r="A82" s="1" t="s">
        <v>105</v>
      </c>
      <c r="B82" s="1">
        <v>44.863098</v>
      </c>
      <c r="C82" s="1">
        <v>42.044508</v>
      </c>
    </row>
    <row r="83">
      <c r="A83" s="1" t="s">
        <v>106</v>
      </c>
      <c r="B83" s="1">
        <v>42.03319</v>
      </c>
      <c r="C83" s="1">
        <v>43.111519</v>
      </c>
    </row>
    <row r="84">
      <c r="A84" s="1" t="s">
        <v>107</v>
      </c>
      <c r="B84" s="1">
        <v>43.106726</v>
      </c>
      <c r="C84" s="1">
        <v>40.544987</v>
      </c>
    </row>
    <row r="85">
      <c r="A85" s="1" t="s">
        <v>108</v>
      </c>
      <c r="B85" s="1">
        <v>40.504191</v>
      </c>
      <c r="C85" s="1">
        <v>39.971524</v>
      </c>
    </row>
    <row r="86">
      <c r="A86" s="1" t="s">
        <v>109</v>
      </c>
      <c r="B86" s="1">
        <v>39.922034</v>
      </c>
      <c r="C86" s="1">
        <v>40.940278</v>
      </c>
    </row>
    <row r="87">
      <c r="A87" s="1" t="s">
        <v>110</v>
      </c>
      <c r="B87" s="1">
        <v>40.926554</v>
      </c>
      <c r="C87" s="1">
        <v>36.645673</v>
      </c>
    </row>
    <row r="88">
      <c r="A88" s="1" t="s">
        <v>111</v>
      </c>
      <c r="B88" s="1">
        <v>36.655783</v>
      </c>
      <c r="C88" s="1">
        <v>36.269703</v>
      </c>
    </row>
    <row r="89">
      <c r="A89" s="1" t="s">
        <v>112</v>
      </c>
      <c r="B89" s="1">
        <v>36.273582</v>
      </c>
      <c r="C89" s="1">
        <v>40.296664</v>
      </c>
    </row>
    <row r="90">
      <c r="A90" s="1" t="s">
        <v>113</v>
      </c>
      <c r="B90" s="1">
        <v>40.297288</v>
      </c>
      <c r="C90" s="1">
        <v>42.921866</v>
      </c>
    </row>
    <row r="91">
      <c r="A91" s="1" t="s">
        <v>114</v>
      </c>
      <c r="B91" s="1">
        <v>42.941617</v>
      </c>
      <c r="C91" s="1">
        <v>41.910672</v>
      </c>
    </row>
    <row r="92">
      <c r="A92" s="1" t="s">
        <v>115</v>
      </c>
      <c r="B92" s="1">
        <v>41.940819</v>
      </c>
      <c r="C92" s="1">
        <v>43.844429</v>
      </c>
    </row>
    <row r="93">
      <c r="A93" s="1" t="s">
        <v>116</v>
      </c>
      <c r="B93" s="1">
        <v>43.846939</v>
      </c>
      <c r="C93" s="1">
        <v>42.371727</v>
      </c>
    </row>
    <row r="94">
      <c r="A94" s="1" t="s">
        <v>117</v>
      </c>
      <c r="B94" s="1">
        <v>42.357566</v>
      </c>
      <c r="C94" s="1">
        <v>41.625742</v>
      </c>
    </row>
    <row r="95">
      <c r="A95" s="1" t="s">
        <v>118</v>
      </c>
      <c r="B95" s="1">
        <v>41.620507</v>
      </c>
      <c r="C95" s="1">
        <v>39.801911</v>
      </c>
    </row>
    <row r="96">
      <c r="A96" s="1" t="s">
        <v>119</v>
      </c>
      <c r="B96" s="1">
        <v>39.799312</v>
      </c>
      <c r="C96" s="1">
        <v>38.576624</v>
      </c>
    </row>
    <row r="97">
      <c r="A97" s="1" t="s">
        <v>120</v>
      </c>
      <c r="B97" s="1">
        <v>38.572518</v>
      </c>
      <c r="C97" s="1">
        <v>38.846127</v>
      </c>
    </row>
    <row r="98">
      <c r="A98" s="1" t="s">
        <v>121</v>
      </c>
      <c r="B98" s="1">
        <v>38.81351</v>
      </c>
      <c r="C98" s="1">
        <v>40.558751</v>
      </c>
    </row>
    <row r="99">
      <c r="A99" s="1" t="s">
        <v>122</v>
      </c>
      <c r="B99" s="1">
        <v>40.611819</v>
      </c>
      <c r="C99" s="1">
        <v>40.081525</v>
      </c>
    </row>
    <row r="100">
      <c r="A100" s="1" t="s">
        <v>123</v>
      </c>
      <c r="B100" s="1">
        <v>40.058646</v>
      </c>
      <c r="C100" s="1">
        <v>40.606334</v>
      </c>
    </row>
    <row r="101">
      <c r="A101" s="1" t="s">
        <v>124</v>
      </c>
      <c r="B101" s="1">
        <v>40.618018</v>
      </c>
      <c r="C101" s="1">
        <v>42.233264</v>
      </c>
    </row>
    <row r="102">
      <c r="A102" s="1" t="s">
        <v>125</v>
      </c>
      <c r="B102" s="1">
        <v>42.179469</v>
      </c>
      <c r="C102" s="1">
        <v>40.351134</v>
      </c>
    </row>
    <row r="103">
      <c r="A103" s="1" t="s">
        <v>126</v>
      </c>
      <c r="B103" s="1">
        <v>40.337737</v>
      </c>
      <c r="C103" s="1">
        <v>42.492452</v>
      </c>
    </row>
    <row r="104">
      <c r="A104" s="1" t="s">
        <v>127</v>
      </c>
      <c r="B104" s="1">
        <v>42.470703</v>
      </c>
      <c r="C104" s="1">
        <v>42.787137</v>
      </c>
    </row>
    <row r="105">
      <c r="A105" s="1" t="s">
        <v>128</v>
      </c>
      <c r="B105" s="1">
        <v>42.795253</v>
      </c>
      <c r="C105" s="1">
        <v>45.558431</v>
      </c>
    </row>
    <row r="106">
      <c r="A106" s="1" t="s">
        <v>129</v>
      </c>
      <c r="B106" s="1">
        <v>45.518287</v>
      </c>
      <c r="C106" s="1">
        <v>46.612158</v>
      </c>
    </row>
    <row r="107">
      <c r="A107" s="1" t="s">
        <v>130</v>
      </c>
      <c r="B107" s="1">
        <v>46.619111</v>
      </c>
      <c r="C107" s="1">
        <v>44.873762</v>
      </c>
    </row>
    <row r="108">
      <c r="A108" s="1" t="s">
        <v>131</v>
      </c>
      <c r="B108" s="1">
        <v>44.862893</v>
      </c>
      <c r="C108" s="1">
        <v>43.732812</v>
      </c>
    </row>
    <row r="109">
      <c r="A109" s="1" t="s">
        <v>132</v>
      </c>
      <c r="B109" s="1">
        <v>43.725798</v>
      </c>
      <c r="C109" s="1">
        <v>43.054652</v>
      </c>
    </row>
    <row r="110">
      <c r="A110" s="1" t="s">
        <v>133</v>
      </c>
      <c r="B110" s="1">
        <v>43.087128</v>
      </c>
      <c r="C110" s="1">
        <v>40.538077</v>
      </c>
    </row>
    <row r="111">
      <c r="A111" s="1" t="s">
        <v>134</v>
      </c>
      <c r="B111" s="1">
        <v>40.535039</v>
      </c>
      <c r="C111" s="1">
        <v>39.519876</v>
      </c>
    </row>
    <row r="112">
      <c r="A112" s="1" t="s">
        <v>135</v>
      </c>
      <c r="B112" s="1">
        <v>39.513141</v>
      </c>
      <c r="C112" s="1">
        <v>35.815164</v>
      </c>
    </row>
    <row r="113">
      <c r="A113" s="1" t="s">
        <v>136</v>
      </c>
      <c r="B113" s="1">
        <v>35.812248</v>
      </c>
      <c r="C113" s="1">
        <v>35.279132</v>
      </c>
    </row>
    <row r="114">
      <c r="A114" s="1" t="s">
        <v>137</v>
      </c>
      <c r="B114" s="1">
        <v>35.285242</v>
      </c>
      <c r="C114" s="1">
        <v>36.476358</v>
      </c>
    </row>
    <row r="115">
      <c r="A115" s="1" t="s">
        <v>138</v>
      </c>
      <c r="B115" s="1">
        <v>36.483106</v>
      </c>
      <c r="C115" s="1">
        <v>35.414513</v>
      </c>
    </row>
    <row r="116">
      <c r="A116" s="1" t="s">
        <v>139</v>
      </c>
      <c r="B116" s="1">
        <v>35.419967</v>
      </c>
      <c r="C116" s="1">
        <v>35.673477</v>
      </c>
    </row>
    <row r="117">
      <c r="A117" s="1" t="s">
        <v>140</v>
      </c>
      <c r="B117" s="1">
        <v>35.68074</v>
      </c>
      <c r="C117" s="1">
        <v>34.887534</v>
      </c>
    </row>
    <row r="118">
      <c r="A118" s="1" t="s">
        <v>141</v>
      </c>
      <c r="B118" s="1">
        <v>34.889693</v>
      </c>
      <c r="C118" s="1">
        <v>35.265542</v>
      </c>
    </row>
    <row r="119">
      <c r="A119" s="1" t="s">
        <v>142</v>
      </c>
      <c r="B119" s="1">
        <v>35.254346</v>
      </c>
      <c r="C119" s="1">
        <v>31.721455</v>
      </c>
    </row>
    <row r="120">
      <c r="A120" s="1" t="s">
        <v>143</v>
      </c>
      <c r="B120" s="1">
        <v>31.720964</v>
      </c>
      <c r="C120" s="1">
        <v>31.526433</v>
      </c>
    </row>
    <row r="121">
      <c r="A121" s="1" t="s">
        <v>144</v>
      </c>
      <c r="B121" s="1">
        <v>31.525458</v>
      </c>
      <c r="C121" s="1">
        <v>30.436881</v>
      </c>
    </row>
    <row r="122">
      <c r="A122" s="1" t="s">
        <v>145</v>
      </c>
      <c r="B122" s="1">
        <v>30.431159</v>
      </c>
      <c r="C122" s="1">
        <v>32.41991</v>
      </c>
    </row>
    <row r="123">
      <c r="A123" s="1" t="s">
        <v>146</v>
      </c>
      <c r="B123" s="1">
        <v>32.422963</v>
      </c>
      <c r="C123" s="1">
        <v>31.465604</v>
      </c>
    </row>
    <row r="124">
      <c r="A124" s="1" t="s">
        <v>147</v>
      </c>
      <c r="B124" s="1">
        <v>31.478698</v>
      </c>
      <c r="C124" s="1">
        <v>31.490058</v>
      </c>
    </row>
    <row r="125">
      <c r="A125" s="1" t="s">
        <v>148</v>
      </c>
      <c r="B125" s="1">
        <v>31.491334</v>
      </c>
      <c r="C125" s="1">
        <v>31.611344</v>
      </c>
    </row>
    <row r="126">
      <c r="A126" s="1" t="s">
        <v>149</v>
      </c>
      <c r="B126" s="1">
        <v>31.610667</v>
      </c>
      <c r="C126" s="1">
        <v>31.247318</v>
      </c>
    </row>
    <row r="127">
      <c r="A127" s="1" t="s">
        <v>150</v>
      </c>
      <c r="B127" s="1">
        <v>31.236831</v>
      </c>
      <c r="C127" s="1">
        <v>31.117246</v>
      </c>
    </row>
    <row r="128">
      <c r="A128" s="1" t="s">
        <v>151</v>
      </c>
      <c r="B128" s="1">
        <v>31.118638</v>
      </c>
      <c r="C128" s="1">
        <v>32.165262</v>
      </c>
    </row>
    <row r="129">
      <c r="A129" s="1" t="s">
        <v>152</v>
      </c>
      <c r="B129" s="1">
        <v>32.170952</v>
      </c>
      <c r="C129" s="1">
        <v>32.175114</v>
      </c>
    </row>
    <row r="130">
      <c r="A130" s="1" t="s">
        <v>153</v>
      </c>
      <c r="B130" s="1">
        <v>32.174956</v>
      </c>
      <c r="C130" s="1">
        <v>30.877619</v>
      </c>
    </row>
    <row r="131">
      <c r="A131" s="1" t="s">
        <v>154</v>
      </c>
      <c r="B131" s="1">
        <v>30.877388</v>
      </c>
      <c r="C131" s="1">
        <v>32.695015</v>
      </c>
    </row>
    <row r="132">
      <c r="A132" s="1" t="s">
        <v>155</v>
      </c>
      <c r="B132" s="1">
        <v>32.698668</v>
      </c>
      <c r="C132" s="1">
        <v>33.61888</v>
      </c>
    </row>
    <row r="133">
      <c r="A133" s="1" t="s">
        <v>156</v>
      </c>
      <c r="B133" s="1">
        <v>33.612793</v>
      </c>
      <c r="C133" s="1">
        <v>34.682715</v>
      </c>
    </row>
    <row r="134">
      <c r="A134" s="1" t="s">
        <v>157</v>
      </c>
      <c r="B134" s="1">
        <v>34.683081</v>
      </c>
      <c r="C134" s="1">
        <v>35.055154</v>
      </c>
    </row>
    <row r="135">
      <c r="A135" s="1" t="s">
        <v>158</v>
      </c>
      <c r="B135" s="1">
        <v>35.05807</v>
      </c>
      <c r="C135" s="1">
        <v>34.988497</v>
      </c>
    </row>
    <row r="136">
      <c r="A136" s="1" t="s">
        <v>159</v>
      </c>
      <c r="B136" s="1">
        <v>34.996368</v>
      </c>
      <c r="C136" s="1">
        <v>37.46216</v>
      </c>
    </row>
    <row r="137">
      <c r="A137" s="1" t="s">
        <v>160</v>
      </c>
      <c r="B137" s="1">
        <v>37.446481</v>
      </c>
      <c r="C137" s="1">
        <v>32.996981</v>
      </c>
    </row>
    <row r="138">
      <c r="A138" s="1" t="s">
        <v>161</v>
      </c>
      <c r="B138" s="1">
        <v>32.992148</v>
      </c>
      <c r="C138" s="1">
        <v>34.126482</v>
      </c>
    </row>
    <row r="139">
      <c r="A139" s="1" t="s">
        <v>162</v>
      </c>
      <c r="B139" s="1">
        <v>34.123853</v>
      </c>
      <c r="C139" s="1">
        <v>33.065143</v>
      </c>
    </row>
    <row r="140">
      <c r="A140" s="1" t="s">
        <v>163</v>
      </c>
      <c r="B140" s="1">
        <v>33.076746</v>
      </c>
      <c r="C140" s="1">
        <v>32.247481</v>
      </c>
    </row>
    <row r="141">
      <c r="A141" s="1" t="s">
        <v>164</v>
      </c>
      <c r="B141" s="1">
        <v>32.246361</v>
      </c>
      <c r="C141" s="1">
        <v>33.653548</v>
      </c>
    </row>
    <row r="142">
      <c r="A142" s="1" t="s">
        <v>165</v>
      </c>
      <c r="B142" s="1">
        <v>33.700365</v>
      </c>
      <c r="C142" s="1">
        <v>31.099567</v>
      </c>
    </row>
    <row r="143">
      <c r="A143" s="1" t="s">
        <v>166</v>
      </c>
      <c r="B143" s="1">
        <v>31.099861</v>
      </c>
      <c r="C143" s="1">
        <v>32.651579</v>
      </c>
    </row>
    <row r="144">
      <c r="A144" s="1" t="s">
        <v>167</v>
      </c>
      <c r="B144" s="1">
        <v>32.639838</v>
      </c>
      <c r="C144" s="1">
        <v>31.420522</v>
      </c>
    </row>
    <row r="145">
      <c r="A145" s="1" t="s">
        <v>168</v>
      </c>
      <c r="B145" s="1">
        <v>31.431021</v>
      </c>
      <c r="C145" s="1">
        <v>30.659301</v>
      </c>
    </row>
    <row r="146">
      <c r="A146" s="1" t="s">
        <v>169</v>
      </c>
      <c r="B146" s="1">
        <v>30.656684</v>
      </c>
      <c r="C146" s="1">
        <v>32.405607</v>
      </c>
    </row>
    <row r="147">
      <c r="A147" s="1" t="s">
        <v>170</v>
      </c>
      <c r="B147" s="1">
        <v>32.42101</v>
      </c>
      <c r="C147" s="1">
        <v>33.66973</v>
      </c>
    </row>
    <row r="148">
      <c r="A148" s="1" t="s">
        <v>171</v>
      </c>
      <c r="B148" s="1">
        <v>33.682108</v>
      </c>
      <c r="C148" s="1">
        <v>33.385066</v>
      </c>
    </row>
    <row r="149">
      <c r="A149" s="1" t="s">
        <v>172</v>
      </c>
      <c r="B149" s="1">
        <v>33.390998</v>
      </c>
      <c r="C149" s="1">
        <v>32.329406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3.34402950832301E8</v>
      </c>
    </row>
    <row r="3">
      <c r="A3" s="1" t="s">
        <v>26</v>
      </c>
      <c r="B3" s="1">
        <v>3.34217568911091E8</v>
      </c>
    </row>
    <row r="4">
      <c r="A4" s="1" t="s">
        <v>27</v>
      </c>
      <c r="B4" s="1">
        <v>3.34216954880957E8</v>
      </c>
    </row>
    <row r="5">
      <c r="A5" s="1" t="s">
        <v>28</v>
      </c>
      <c r="B5" s="1">
        <v>3.34216322704552E8</v>
      </c>
    </row>
    <row r="6">
      <c r="A6" s="1" t="s">
        <v>29</v>
      </c>
      <c r="B6" s="1">
        <v>3.34349395044966E8</v>
      </c>
    </row>
    <row r="7">
      <c r="A7" s="1" t="s">
        <v>30</v>
      </c>
      <c r="B7" s="1">
        <v>3.34692901090017E8</v>
      </c>
    </row>
    <row r="8">
      <c r="A8" s="1" t="s">
        <v>31</v>
      </c>
      <c r="B8" s="1">
        <v>3.35187502413829E8</v>
      </c>
    </row>
    <row r="9">
      <c r="A9" s="1" t="s">
        <v>32</v>
      </c>
      <c r="B9" s="1">
        <v>3.3532070372447E8</v>
      </c>
    </row>
    <row r="10">
      <c r="A10" s="1" t="s">
        <v>33</v>
      </c>
      <c r="B10" s="1">
        <v>3.3662252721018E8</v>
      </c>
    </row>
    <row r="11">
      <c r="A11" s="1" t="s">
        <v>34</v>
      </c>
      <c r="B11" s="1">
        <v>3.36624435979203E8</v>
      </c>
    </row>
    <row r="12">
      <c r="A12" s="1" t="s">
        <v>35</v>
      </c>
      <c r="B12" s="1">
        <v>3.36790329791671E8</v>
      </c>
    </row>
    <row r="13">
      <c r="A13" s="1" t="s">
        <v>36</v>
      </c>
      <c r="B13" s="1">
        <v>3.36923515205963E8</v>
      </c>
    </row>
    <row r="14">
      <c r="A14" s="1" t="s">
        <v>37</v>
      </c>
      <c r="B14" s="1">
        <v>3.37322385199212E8</v>
      </c>
    </row>
    <row r="15">
      <c r="A15" s="1" t="s">
        <v>38</v>
      </c>
      <c r="B15" s="1">
        <v>3.37321867830181E8</v>
      </c>
    </row>
    <row r="16">
      <c r="A16" s="1" t="s">
        <v>39</v>
      </c>
      <c r="B16" s="1">
        <v>3.37461534198941E8</v>
      </c>
    </row>
    <row r="17">
      <c r="A17" s="1" t="s">
        <v>40</v>
      </c>
      <c r="B17" s="1">
        <v>3.37138695885813E8</v>
      </c>
    </row>
    <row r="18">
      <c r="A18" s="1" t="s">
        <v>41</v>
      </c>
      <c r="B18" s="1">
        <v>3.373560188054E8</v>
      </c>
    </row>
    <row r="19">
      <c r="A19" s="1" t="s">
        <v>42</v>
      </c>
      <c r="B19" s="1">
        <v>3.37355559704819E8</v>
      </c>
    </row>
    <row r="20">
      <c r="A20" s="1" t="s">
        <v>43</v>
      </c>
      <c r="B20" s="1">
        <v>3.39137479377852E8</v>
      </c>
    </row>
    <row r="21">
      <c r="A21" s="1" t="s">
        <v>44</v>
      </c>
      <c r="B21" s="1">
        <v>3.39137093231842E8</v>
      </c>
    </row>
    <row r="22">
      <c r="A22" s="1" t="s">
        <v>45</v>
      </c>
      <c r="B22" s="1">
        <v>3.39136570131434E8</v>
      </c>
    </row>
    <row r="23">
      <c r="A23" s="1" t="s">
        <v>46</v>
      </c>
      <c r="B23" s="1">
        <v>3.39268583956003E8</v>
      </c>
    </row>
    <row r="24">
      <c r="A24" s="1" t="s">
        <v>47</v>
      </c>
      <c r="B24" s="1">
        <v>3.3926810843665E8</v>
      </c>
    </row>
    <row r="25">
      <c r="A25" s="1" t="s">
        <v>48</v>
      </c>
      <c r="B25" s="1">
        <v>3.39268323124079E8</v>
      </c>
    </row>
    <row r="26">
      <c r="A26" s="1" t="s">
        <v>49</v>
      </c>
      <c r="B26" s="1">
        <v>3.39267951926586E8</v>
      </c>
    </row>
    <row r="27">
      <c r="A27" s="1" t="s">
        <v>50</v>
      </c>
      <c r="B27" s="1">
        <v>3.39399154402711E8</v>
      </c>
    </row>
    <row r="28">
      <c r="A28" s="1" t="s">
        <v>51</v>
      </c>
      <c r="B28" s="1">
        <v>3.39398777635019E8</v>
      </c>
    </row>
    <row r="29">
      <c r="A29" s="1" t="s">
        <v>52</v>
      </c>
      <c r="B29" s="1">
        <v>3.39398371088557E8</v>
      </c>
    </row>
    <row r="30">
      <c r="A30" s="1" t="s">
        <v>53</v>
      </c>
      <c r="B30" s="1">
        <v>3.39530156782251E8</v>
      </c>
    </row>
    <row r="31">
      <c r="A31" s="1" t="s">
        <v>54</v>
      </c>
      <c r="B31" s="1">
        <v>3.39529760749404E8</v>
      </c>
    </row>
    <row r="32">
      <c r="A32" s="1" t="s">
        <v>55</v>
      </c>
      <c r="B32" s="1">
        <v>3.39529350680469E8</v>
      </c>
    </row>
    <row r="33">
      <c r="A33" s="1" t="s">
        <v>56</v>
      </c>
      <c r="B33" s="1">
        <v>3.39963394207574E8</v>
      </c>
    </row>
    <row r="34">
      <c r="A34" s="1" t="s">
        <v>57</v>
      </c>
      <c r="B34" s="1">
        <v>3.3980775788494E8</v>
      </c>
    </row>
    <row r="35">
      <c r="A35" s="1" t="s">
        <v>58</v>
      </c>
      <c r="B35" s="1">
        <v>3.39807258701408E8</v>
      </c>
    </row>
    <row r="36">
      <c r="A36" s="1" t="s">
        <v>59</v>
      </c>
      <c r="B36" s="1">
        <v>3.3980670700542E8</v>
      </c>
    </row>
    <row r="37">
      <c r="A37" s="1" t="s">
        <v>60</v>
      </c>
      <c r="B37" s="1">
        <v>3.39806201253943E8</v>
      </c>
    </row>
    <row r="38">
      <c r="A38" s="1" t="s">
        <v>61</v>
      </c>
      <c r="B38" s="1">
        <v>3.39938054491184E8</v>
      </c>
    </row>
    <row r="39">
      <c r="A39" s="1" t="s">
        <v>62</v>
      </c>
      <c r="B39" s="1">
        <v>3.40434725482878E8</v>
      </c>
    </row>
    <row r="40">
      <c r="A40" s="1" t="s">
        <v>63</v>
      </c>
      <c r="B40" s="1">
        <v>3.41750968969976E8</v>
      </c>
    </row>
    <row r="41">
      <c r="A41" s="1" t="s">
        <v>64</v>
      </c>
      <c r="B41" s="1">
        <v>3.41882953460418E8</v>
      </c>
    </row>
    <row r="42">
      <c r="A42" s="1" t="s">
        <v>65</v>
      </c>
      <c r="B42" s="1">
        <v>3.4191128192215E8</v>
      </c>
    </row>
    <row r="43">
      <c r="A43" s="1" t="s">
        <v>66</v>
      </c>
      <c r="B43" s="1">
        <v>3.4207723722138E8</v>
      </c>
    </row>
    <row r="44">
      <c r="A44" s="1" t="s">
        <v>67</v>
      </c>
      <c r="B44" s="1">
        <v>3.42076767718553E8</v>
      </c>
    </row>
    <row r="45">
      <c r="A45" s="1" t="s">
        <v>68</v>
      </c>
      <c r="B45" s="1">
        <v>3.42208721782371E8</v>
      </c>
    </row>
    <row r="46">
      <c r="A46" s="1" t="s">
        <v>69</v>
      </c>
      <c r="B46" s="1">
        <v>3.42208348504297E8</v>
      </c>
    </row>
    <row r="47">
      <c r="A47" s="1" t="s">
        <v>70</v>
      </c>
      <c r="B47" s="1">
        <v>3.42209600270983E8</v>
      </c>
    </row>
    <row r="48">
      <c r="A48" s="1" t="s">
        <v>71</v>
      </c>
      <c r="B48" s="1">
        <v>3.42348148485023E8</v>
      </c>
    </row>
    <row r="49">
      <c r="A49" s="1" t="s">
        <v>72</v>
      </c>
      <c r="B49" s="1">
        <v>3.42370449065709E8</v>
      </c>
    </row>
    <row r="50">
      <c r="A50" s="1" t="s">
        <v>73</v>
      </c>
      <c r="B50" s="1">
        <v>3.4237934747499E8</v>
      </c>
    </row>
    <row r="51">
      <c r="A51" s="1" t="s">
        <v>74</v>
      </c>
      <c r="B51" s="1">
        <v>3.42378720203899E8</v>
      </c>
    </row>
    <row r="52">
      <c r="A52" s="1" t="s">
        <v>75</v>
      </c>
      <c r="B52" s="1">
        <v>3.42509409476232E8</v>
      </c>
    </row>
    <row r="53">
      <c r="A53" s="1" t="s">
        <v>76</v>
      </c>
      <c r="B53" s="1">
        <v>3.42508757490055E8</v>
      </c>
    </row>
    <row r="54">
      <c r="A54" s="1" t="s">
        <v>77</v>
      </c>
      <c r="B54" s="1">
        <v>3.42508116685695E8</v>
      </c>
    </row>
    <row r="55">
      <c r="A55" s="1" t="s">
        <v>78</v>
      </c>
      <c r="B55" s="1">
        <v>3.4263891593035E8</v>
      </c>
    </row>
    <row r="56">
      <c r="A56" s="1" t="s">
        <v>79</v>
      </c>
      <c r="B56" s="1">
        <v>3.42638355051789E8</v>
      </c>
    </row>
    <row r="57">
      <c r="A57" s="1" t="s">
        <v>80</v>
      </c>
      <c r="B57" s="1">
        <v>3.42637778724315E8</v>
      </c>
    </row>
    <row r="58">
      <c r="A58" s="1" t="s">
        <v>81</v>
      </c>
      <c r="B58" s="1">
        <v>3.42768759370501E8</v>
      </c>
    </row>
    <row r="59">
      <c r="A59" s="1" t="s">
        <v>82</v>
      </c>
      <c r="B59" s="1">
        <v>3.42769519675171E8</v>
      </c>
    </row>
    <row r="60">
      <c r="A60" s="1" t="s">
        <v>83</v>
      </c>
      <c r="B60" s="1">
        <v>3.4276880275189E8</v>
      </c>
    </row>
    <row r="61">
      <c r="A61" s="1" t="s">
        <v>84</v>
      </c>
      <c r="B61" s="1">
        <v>3.42899819433495E8</v>
      </c>
    </row>
    <row r="62">
      <c r="A62" s="1" t="s">
        <v>85</v>
      </c>
      <c r="B62" s="1">
        <v>3.42899201132956E8</v>
      </c>
    </row>
    <row r="63">
      <c r="A63" s="1" t="s">
        <v>86</v>
      </c>
      <c r="B63" s="1">
        <v>3.43284542263902E8</v>
      </c>
    </row>
    <row r="64">
      <c r="A64" s="1" t="s">
        <v>87</v>
      </c>
      <c r="B64" s="1">
        <v>3.43416820191807E8</v>
      </c>
    </row>
    <row r="65">
      <c r="A65" s="1" t="s">
        <v>88</v>
      </c>
      <c r="B65" s="1">
        <v>3.43416607102484E8</v>
      </c>
    </row>
    <row r="66">
      <c r="A66" s="1" t="s">
        <v>89</v>
      </c>
      <c r="B66" s="1">
        <v>3.43433379506559E8</v>
      </c>
    </row>
    <row r="67">
      <c r="A67" s="1" t="s">
        <v>90</v>
      </c>
      <c r="B67" s="1">
        <v>3.43144895879142E8</v>
      </c>
    </row>
    <row r="68">
      <c r="A68" s="1" t="s">
        <v>91</v>
      </c>
      <c r="B68" s="1">
        <v>3.43277336806308E8</v>
      </c>
    </row>
    <row r="69">
      <c r="A69" s="1" t="s">
        <v>92</v>
      </c>
      <c r="B69" s="1">
        <v>3.43806356909818E8</v>
      </c>
    </row>
    <row r="70">
      <c r="A70" s="1" t="s">
        <v>93</v>
      </c>
      <c r="B70" s="1">
        <v>3.45108092064429E8</v>
      </c>
    </row>
    <row r="71">
      <c r="A71" s="1" t="s">
        <v>94</v>
      </c>
      <c r="B71" s="1">
        <v>3.45241087126498E8</v>
      </c>
    </row>
    <row r="72">
      <c r="A72" s="1" t="s">
        <v>95</v>
      </c>
      <c r="B72" s="1">
        <v>3.45276356882607E8</v>
      </c>
    </row>
    <row r="73">
      <c r="A73" s="1" t="s">
        <v>96</v>
      </c>
      <c r="B73" s="1">
        <v>3.45442027724405E8</v>
      </c>
    </row>
    <row r="74">
      <c r="A74" s="1" t="s">
        <v>97</v>
      </c>
      <c r="B74" s="1">
        <v>3.45574842828218E8</v>
      </c>
    </row>
    <row r="75">
      <c r="A75" s="1" t="s">
        <v>98</v>
      </c>
      <c r="B75" s="1">
        <v>3.45574943574904E8</v>
      </c>
    </row>
    <row r="76">
      <c r="A76" s="1" t="s">
        <v>99</v>
      </c>
      <c r="B76" s="1">
        <v>3.45575754381636E8</v>
      </c>
    </row>
    <row r="77">
      <c r="A77" s="1" t="s">
        <v>100</v>
      </c>
      <c r="B77" s="1">
        <v>3.45708129301327E8</v>
      </c>
    </row>
    <row r="78">
      <c r="A78" s="1" t="s">
        <v>101</v>
      </c>
      <c r="B78" s="1">
        <v>3.4547034353283E8</v>
      </c>
    </row>
    <row r="79">
      <c r="A79" s="1" t="s">
        <v>102</v>
      </c>
      <c r="B79" s="1">
        <v>3.45476158521718E8</v>
      </c>
    </row>
    <row r="80">
      <c r="A80" s="1" t="s">
        <v>103</v>
      </c>
      <c r="B80" s="1">
        <v>3.45608799735194E8</v>
      </c>
    </row>
    <row r="81">
      <c r="A81" s="1" t="s">
        <v>104</v>
      </c>
      <c r="B81" s="1">
        <v>3.45608139292671E8</v>
      </c>
    </row>
    <row r="82">
      <c r="A82" s="1" t="s">
        <v>105</v>
      </c>
      <c r="B82" s="1">
        <v>3.45607441746432E8</v>
      </c>
    </row>
    <row r="83">
      <c r="A83" s="1" t="s">
        <v>106</v>
      </c>
      <c r="B83" s="1">
        <v>3.45745513080164E8</v>
      </c>
    </row>
    <row r="84">
      <c r="A84" s="1" t="s">
        <v>107</v>
      </c>
      <c r="B84" s="1">
        <v>3.45762618967499E8</v>
      </c>
    </row>
    <row r="85">
      <c r="A85" s="1" t="s">
        <v>108</v>
      </c>
      <c r="B85" s="1">
        <v>3.45761905788783E8</v>
      </c>
    </row>
    <row r="86">
      <c r="A86" s="1" t="s">
        <v>109</v>
      </c>
      <c r="B86" s="1">
        <v>3.45893428328752E8</v>
      </c>
    </row>
    <row r="87">
      <c r="A87" s="1" t="s">
        <v>110</v>
      </c>
      <c r="B87" s="1">
        <v>3.4589279526088E8</v>
      </c>
    </row>
    <row r="88">
      <c r="A88" s="1" t="s">
        <v>111</v>
      </c>
      <c r="B88" s="1">
        <v>3.45896650953038E8</v>
      </c>
    </row>
    <row r="89">
      <c r="A89" s="1" t="s">
        <v>112</v>
      </c>
      <c r="B89" s="1">
        <v>3.46028772251411E8</v>
      </c>
    </row>
    <row r="90">
      <c r="A90" s="1" t="s">
        <v>113</v>
      </c>
      <c r="B90" s="1">
        <v>3.46028126103174E8</v>
      </c>
    </row>
    <row r="91">
      <c r="A91" s="1" t="s">
        <v>114</v>
      </c>
      <c r="B91" s="1">
        <v>3.46027384154124E8</v>
      </c>
    </row>
    <row r="92">
      <c r="A92" s="1" t="s">
        <v>115</v>
      </c>
      <c r="B92" s="1">
        <v>3.46159898165344E8</v>
      </c>
    </row>
    <row r="93">
      <c r="A93" s="1" t="s">
        <v>116</v>
      </c>
      <c r="B93" s="1">
        <v>3.4615919429646E8</v>
      </c>
    </row>
    <row r="94">
      <c r="A94" s="1" t="s">
        <v>117</v>
      </c>
      <c r="B94" s="1">
        <v>3.46520527292569E8</v>
      </c>
    </row>
    <row r="95">
      <c r="A95" s="1" t="s">
        <v>118</v>
      </c>
      <c r="B95" s="1">
        <v>3.46519845755235E8</v>
      </c>
    </row>
    <row r="96">
      <c r="A96" s="1" t="s">
        <v>119</v>
      </c>
      <c r="B96" s="1">
        <v>3.46652443511433E8</v>
      </c>
    </row>
    <row r="97">
      <c r="A97" s="1" t="s">
        <v>120</v>
      </c>
      <c r="B97" s="1">
        <v>3.46339196906434E8</v>
      </c>
    </row>
    <row r="98">
      <c r="A98" s="1" t="s">
        <v>121</v>
      </c>
      <c r="B98" s="1">
        <v>3.46472319309739E8</v>
      </c>
    </row>
    <row r="99">
      <c r="A99" s="1" t="s">
        <v>122</v>
      </c>
      <c r="B99" s="1">
        <v>3.46471544157969E8</v>
      </c>
    </row>
    <row r="100">
      <c r="A100" s="1" t="s">
        <v>123</v>
      </c>
      <c r="B100" s="1">
        <v>3.4697191196546E8</v>
      </c>
    </row>
    <row r="101">
      <c r="A101" s="1" t="s">
        <v>124</v>
      </c>
      <c r="B101" s="1">
        <v>3.48407365720977E8</v>
      </c>
    </row>
    <row r="102">
      <c r="A102" s="1" t="s">
        <v>125</v>
      </c>
      <c r="B102" s="1">
        <v>3.4840664269399E8</v>
      </c>
    </row>
    <row r="103">
      <c r="A103" s="1" t="s">
        <v>126</v>
      </c>
      <c r="B103" s="1">
        <v>3.48408342456003E8</v>
      </c>
    </row>
    <row r="104">
      <c r="A104" s="1" t="s">
        <v>127</v>
      </c>
      <c r="B104" s="1">
        <v>3.4857399262384E8</v>
      </c>
    </row>
    <row r="105">
      <c r="A105" s="1" t="s">
        <v>128</v>
      </c>
      <c r="B105" s="1">
        <v>3.4870691519817E8</v>
      </c>
    </row>
    <row r="106">
      <c r="A106" s="1" t="s">
        <v>129</v>
      </c>
      <c r="B106" s="1">
        <v>3.48706210496568E8</v>
      </c>
    </row>
    <row r="107">
      <c r="A107" s="1" t="s">
        <v>130</v>
      </c>
      <c r="B107" s="1">
        <v>3.48705545319633E8</v>
      </c>
    </row>
    <row r="108">
      <c r="A108" s="1" t="s">
        <v>131</v>
      </c>
      <c r="B108" s="1">
        <v>3.48838182705272E8</v>
      </c>
    </row>
    <row r="109">
      <c r="A109" s="1" t="s">
        <v>132</v>
      </c>
      <c r="B109" s="1">
        <v>3.48837486001298E8</v>
      </c>
    </row>
    <row r="110">
      <c r="A110" s="1" t="s">
        <v>133</v>
      </c>
      <c r="B110" s="1">
        <v>3.48836770275971E8</v>
      </c>
    </row>
    <row r="111">
      <c r="A111" s="1" t="s">
        <v>134</v>
      </c>
      <c r="B111" s="1">
        <v>3.48812757049775E8</v>
      </c>
    </row>
    <row r="112">
      <c r="A112" s="1" t="s">
        <v>135</v>
      </c>
      <c r="B112" s="1">
        <v>3.48812654465631E8</v>
      </c>
    </row>
    <row r="113">
      <c r="A113" s="1" t="s">
        <v>136</v>
      </c>
      <c r="B113" s="1">
        <v>3.49120758204177E8</v>
      </c>
    </row>
    <row r="114">
      <c r="A114" s="1" t="s">
        <v>137</v>
      </c>
      <c r="B114" s="1">
        <v>3.49119939752156E8</v>
      </c>
    </row>
    <row r="115">
      <c r="A115" s="1" t="s">
        <v>138</v>
      </c>
      <c r="B115" s="1">
        <v>3.49119204567048E8</v>
      </c>
    </row>
    <row r="116">
      <c r="A116" s="1" t="s">
        <v>139</v>
      </c>
      <c r="B116" s="1">
        <v>3.49251416704408E8</v>
      </c>
    </row>
    <row r="117">
      <c r="A117" s="1" t="s">
        <v>140</v>
      </c>
      <c r="B117" s="1">
        <v>3.49250698303968E8</v>
      </c>
    </row>
    <row r="118">
      <c r="A118" s="1" t="s">
        <v>141</v>
      </c>
      <c r="B118" s="1">
        <v>3.49249961187999E8</v>
      </c>
    </row>
    <row r="119">
      <c r="A119" s="1" t="s">
        <v>142</v>
      </c>
      <c r="B119" s="1">
        <v>3.49381924822937E8</v>
      </c>
    </row>
    <row r="120">
      <c r="A120" s="1" t="s">
        <v>143</v>
      </c>
      <c r="B120" s="1">
        <v>3.49381149296461E8</v>
      </c>
    </row>
    <row r="121">
      <c r="A121" s="1" t="s">
        <v>144</v>
      </c>
      <c r="B121" s="1">
        <v>3.49380291519339E8</v>
      </c>
    </row>
    <row r="122">
      <c r="A122" s="1" t="s">
        <v>145</v>
      </c>
      <c r="B122" s="1">
        <v>3.49511496281362E8</v>
      </c>
    </row>
    <row r="123">
      <c r="A123" s="1" t="s">
        <v>146</v>
      </c>
      <c r="B123" s="1">
        <v>3.49510726103285E8</v>
      </c>
    </row>
    <row r="124">
      <c r="A124" s="1" t="s">
        <v>147</v>
      </c>
      <c r="B124" s="1">
        <v>3.49509975437165E8</v>
      </c>
    </row>
    <row r="125">
      <c r="A125" s="1" t="s">
        <v>148</v>
      </c>
      <c r="B125" s="1">
        <v>3.49710186937185E8</v>
      </c>
    </row>
    <row r="126">
      <c r="A126" s="1" t="s">
        <v>149</v>
      </c>
      <c r="B126" s="1">
        <v>3.49709496946003E8</v>
      </c>
    </row>
    <row r="127">
      <c r="A127" s="1" t="s">
        <v>150</v>
      </c>
      <c r="B127" s="1">
        <v>3.49708651728436E8</v>
      </c>
    </row>
    <row r="128">
      <c r="A128" s="1" t="s">
        <v>151</v>
      </c>
      <c r="B128" s="1">
        <v>3.4983970336158E8</v>
      </c>
    </row>
    <row r="129">
      <c r="A129" s="1" t="s">
        <v>152</v>
      </c>
      <c r="B129" s="1">
        <v>3.4983889347738E8</v>
      </c>
    </row>
    <row r="130">
      <c r="A130" s="1" t="s">
        <v>153</v>
      </c>
      <c r="B130" s="1">
        <v>3.49969999195759E8</v>
      </c>
    </row>
    <row r="131">
      <c r="A131" s="1" t="s">
        <v>154</v>
      </c>
      <c r="B131" s="1">
        <v>3.52987862660599E8</v>
      </c>
    </row>
    <row r="132">
      <c r="A132" s="1" t="s">
        <v>155</v>
      </c>
      <c r="B132" s="1">
        <v>3.52987089515407E8</v>
      </c>
    </row>
    <row r="133">
      <c r="A133" s="1" t="s">
        <v>156</v>
      </c>
      <c r="B133" s="1">
        <v>3.53118401501783E8</v>
      </c>
    </row>
    <row r="134">
      <c r="A134" s="1" t="s">
        <v>157</v>
      </c>
      <c r="B134" s="1">
        <v>3.53117630382696E8</v>
      </c>
    </row>
    <row r="135">
      <c r="A135" s="1" t="s">
        <v>158</v>
      </c>
      <c r="B135" s="1">
        <v>3.53283611495146E8</v>
      </c>
    </row>
    <row r="136">
      <c r="A136" s="1" t="s">
        <v>159</v>
      </c>
      <c r="B136" s="1">
        <v>3.53415323025589E8</v>
      </c>
    </row>
    <row r="137">
      <c r="A137" s="1" t="s">
        <v>160</v>
      </c>
      <c r="B137" s="1">
        <v>3.53414572917467E8</v>
      </c>
    </row>
    <row r="138">
      <c r="A138" s="1" t="s">
        <v>161</v>
      </c>
      <c r="B138" s="1">
        <v>3.53837253880994E8</v>
      </c>
    </row>
    <row r="139">
      <c r="A139" s="1" t="s">
        <v>162</v>
      </c>
      <c r="B139" s="1">
        <v>3.53979694592694E8</v>
      </c>
    </row>
    <row r="140">
      <c r="A140" s="1" t="s">
        <v>163</v>
      </c>
      <c r="B140" s="1">
        <v>3.53979028502667E8</v>
      </c>
    </row>
    <row r="141">
      <c r="A141" s="1" t="s">
        <v>164</v>
      </c>
      <c r="B141" s="1">
        <v>3.53984474375567E8</v>
      </c>
    </row>
    <row r="142">
      <c r="A142" s="1" t="s">
        <v>165</v>
      </c>
      <c r="B142" s="1">
        <v>3.54115733383688E8</v>
      </c>
    </row>
    <row r="143">
      <c r="A143" s="1" t="s">
        <v>166</v>
      </c>
      <c r="B143" s="1">
        <v>3.53928176343029E8</v>
      </c>
    </row>
    <row r="144">
      <c r="A144" s="1" t="s">
        <v>167</v>
      </c>
      <c r="B144" s="1">
        <v>3.5392737023719E8</v>
      </c>
    </row>
    <row r="145">
      <c r="A145" s="1" t="s">
        <v>168</v>
      </c>
      <c r="B145" s="1">
        <v>3.54060839007578E8</v>
      </c>
    </row>
    <row r="146">
      <c r="A146" s="1" t="s">
        <v>169</v>
      </c>
      <c r="B146" s="1">
        <v>3.54522097521732E8</v>
      </c>
    </row>
    <row r="147">
      <c r="A147" s="1" t="s">
        <v>170</v>
      </c>
      <c r="B147" s="1">
        <v>3.54521226531255E8</v>
      </c>
    </row>
    <row r="148">
      <c r="A148" s="1" t="s">
        <v>171</v>
      </c>
      <c r="B148" s="1">
        <v>3.54651897522932E8</v>
      </c>
    </row>
    <row r="149">
      <c r="A149" s="1" t="s">
        <v>172</v>
      </c>
      <c r="B149" s="1">
        <v>3.54651005560326E8</v>
      </c>
    </row>
    <row r="150">
      <c r="A150" s="1" t="s">
        <v>174</v>
      </c>
      <c r="B150" s="1">
        <v>3.54650881249774E8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</row>
    <row r="2">
      <c r="A2" s="2" t="str">
        <f>IFERROR(__xludf.DUMMYFUNCTION("QUERY(price_all!A2:I1000,""Select *"",0)"),"2022-05-01T00:00:00Z")</f>
        <v>2022-05-01T00:00:00Z</v>
      </c>
      <c r="B2" s="3">
        <f>IFERROR(__xludf.DUMMYFUNCTION("""COMPUTED_VALUE"""),38474.808133)</f>
        <v>38474.80813</v>
      </c>
      <c r="C2" s="3">
        <f>IFERROR(__xludf.DUMMYFUNCTION("""COMPUTED_VALUE"""),2726.085184)</f>
        <v>2726.085184</v>
      </c>
      <c r="D2" s="3">
        <f>IFERROR(__xludf.DUMMYFUNCTION("""COMPUTED_VALUE"""),84.637333)</f>
        <v>84.637333</v>
      </c>
      <c r="E2" s="3">
        <f>IFERROR(__xludf.DUMMYFUNCTION("""COMPUTED_VALUE"""),142.232089)</f>
        <v>142.232089</v>
      </c>
      <c r="F2" s="3">
        <f>IFERROR(__xludf.DUMMYFUNCTION("""COMPUTED_VALUE"""),6.752732)</f>
        <v>6.752732</v>
      </c>
      <c r="G2" s="3">
        <f>IFERROR(__xludf.DUMMYFUNCTION("""COMPUTED_VALUE"""),1457.752182)</f>
        <v>1457.752182</v>
      </c>
      <c r="H2" s="3">
        <f>IFERROR(__xludf.DUMMYFUNCTION("""COMPUTED_VALUE"""),1.994207)</f>
        <v>1.994207</v>
      </c>
      <c r="I2" s="3">
        <f>IFERROR(__xludf.DUMMYFUNCTION("""COMPUTED_VALUE"""),2.860904)</f>
        <v>2.860904</v>
      </c>
      <c r="J2" s="2">
        <f>IFERROR(__xludf.DUMMYFUNCTION("QUERY(supply_all!B2:I1000,""Select *"",0)"),1.9026893E7)</f>
        <v>19026893</v>
      </c>
      <c r="K2" s="3">
        <f>IFERROR(__xludf.DUMMYFUNCTION("""COMPUTED_VALUE"""),1.205945631865E8)</f>
        <v>120594563.2</v>
      </c>
      <c r="L2" s="3">
        <f>IFERROR(__xludf.DUMMYFUNCTION("""COMPUTED_VALUE"""),3.34402950832301E8)</f>
        <v>334402950.8</v>
      </c>
      <c r="M2" s="3">
        <f>IFERROR(__xludf.DUMMYFUNCTION("""COMPUTED_VALUE"""),1.3699944191652E7)</f>
        <v>13699944.19</v>
      </c>
      <c r="N2" s="3">
        <f>IFERROR(__xludf.DUMMYFUNCTION("""COMPUTED_VALUE"""),4.56489583401055E8)</f>
        <v>456489583.4</v>
      </c>
      <c r="O2" s="3">
        <f>IFERROR(__xludf.DUMMYFUNCTION("""COMPUTED_VALUE"""),977631.036951)</f>
        <v>977631.037</v>
      </c>
      <c r="P2" s="3">
        <f>IFERROR(__xludf.DUMMYFUNCTION("""COMPUTED_VALUE"""),3.91958099393145E8)</f>
        <v>391958099.4</v>
      </c>
      <c r="Q2" s="3">
        <f>IFERROR(__xludf.DUMMYFUNCTION("""COMPUTED_VALUE"""),3.23667143120765E8)</f>
        <v>323667143.1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IFERROR(__xludf.DUMMYFUNCTION("""COMPUTED_VALUE"""),38518.419234)</f>
        <v>38518.41923</v>
      </c>
      <c r="C3" s="3">
        <f>IFERROR(__xludf.DUMMYFUNCTION("""COMPUTED_VALUE"""),2824.95294)</f>
        <v>2824.95294</v>
      </c>
      <c r="D3" s="3">
        <f>IFERROR(__xludf.DUMMYFUNCTION("""COMPUTED_VALUE"""),89.685037)</f>
        <v>89.685037</v>
      </c>
      <c r="E3" s="3">
        <f>IFERROR(__xludf.DUMMYFUNCTION("""COMPUTED_VALUE"""),146.5505)</f>
        <v>146.5505</v>
      </c>
      <c r="F3" s="3">
        <f>IFERROR(__xludf.DUMMYFUNCTION("""COMPUTED_VALUE"""),7.114579)</f>
        <v>7.114579</v>
      </c>
      <c r="G3" s="3">
        <f>IFERROR(__xludf.DUMMYFUNCTION("""COMPUTED_VALUE"""),1450.077344)</f>
        <v>1450.077344</v>
      </c>
      <c r="H3" s="3">
        <f>IFERROR(__xludf.DUMMYFUNCTION("""COMPUTED_VALUE"""),2.066509)</f>
        <v>2.066509</v>
      </c>
      <c r="I3" s="3">
        <f>IFERROR(__xludf.DUMMYFUNCTION("""COMPUTED_VALUE"""),2.842609)</f>
        <v>2.842609</v>
      </c>
      <c r="J3" s="3">
        <f>IFERROR(__xludf.DUMMYFUNCTION("""COMPUTED_VALUE"""),1.9027918E7)</f>
        <v>19027918</v>
      </c>
      <c r="K3" s="3">
        <f>IFERROR(__xludf.DUMMYFUNCTION("""COMPUTED_VALUE"""),1.20607954874E8)</f>
        <v>120607954.9</v>
      </c>
      <c r="L3" s="3">
        <f>IFERROR(__xludf.DUMMYFUNCTION("""COMPUTED_VALUE"""),3.34217568911091E8)</f>
        <v>334217568.9</v>
      </c>
      <c r="M3" s="3">
        <f>IFERROR(__xludf.DUMMYFUNCTION("""COMPUTED_VALUE"""),1.3702598419827E7)</f>
        <v>13702598.42</v>
      </c>
      <c r="N3" s="3">
        <f>IFERROR(__xludf.DUMMYFUNCTION("""COMPUTED_VALUE"""),4.56489583401055E8)</f>
        <v>456489583.4</v>
      </c>
      <c r="O3" s="3">
        <f>IFERROR(__xludf.DUMMYFUNCTION("""COMPUTED_VALUE"""),977631.036951)</f>
        <v>977631.037</v>
      </c>
      <c r="P3" s="3">
        <f>IFERROR(__xludf.DUMMYFUNCTION("""COMPUTED_VALUE"""),3.91958099393145E8)</f>
        <v>391958099.4</v>
      </c>
      <c r="Q3" s="3">
        <f>IFERROR(__xludf.DUMMYFUNCTION("""COMPUTED_VALUE"""),3.25398035982286E8)</f>
        <v>325398036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IFERROR(__xludf.DUMMYFUNCTION("""COMPUTED_VALUE"""),37724.773932)</f>
        <v>37724.77393</v>
      </c>
      <c r="C4" s="3">
        <f>IFERROR(__xludf.DUMMYFUNCTION("""COMPUTED_VALUE"""),2856.216929)</f>
        <v>2856.216929</v>
      </c>
      <c r="D4" s="3">
        <f>IFERROR(__xludf.DUMMYFUNCTION("""COMPUTED_VALUE"""),87.481517)</f>
        <v>87.481517</v>
      </c>
      <c r="E4" s="3">
        <f>IFERROR(__xludf.DUMMYFUNCTION("""COMPUTED_VALUE"""),144.167525)</f>
        <v>144.167525</v>
      </c>
      <c r="F4" s="3">
        <f>IFERROR(__xludf.DUMMYFUNCTION("""COMPUTED_VALUE"""),6.929338)</f>
        <v>6.929338</v>
      </c>
      <c r="G4" s="3">
        <f>IFERROR(__xludf.DUMMYFUNCTION("""COMPUTED_VALUE"""),1486.44658)</f>
        <v>1486.44658</v>
      </c>
      <c r="H4" s="3">
        <f>IFERROR(__xludf.DUMMYFUNCTION("""COMPUTED_VALUE"""),2.100397)</f>
        <v>2.100397</v>
      </c>
      <c r="I4" s="3">
        <f>IFERROR(__xludf.DUMMYFUNCTION("""COMPUTED_VALUE"""),2.82277)</f>
        <v>2.82277</v>
      </c>
      <c r="J4" s="3">
        <f>IFERROR(__xludf.DUMMYFUNCTION("""COMPUTED_VALUE"""),1.90289E7)</f>
        <v>19028900</v>
      </c>
      <c r="K4" s="3">
        <f>IFERROR(__xludf.DUMMYFUNCTION("""COMPUTED_VALUE"""),1.206211748115E8)</f>
        <v>120621174.8</v>
      </c>
      <c r="L4" s="3">
        <f>IFERROR(__xludf.DUMMYFUNCTION("""COMPUTED_VALUE"""),3.34216954880957E8)</f>
        <v>334216954.9</v>
      </c>
      <c r="M4" s="3">
        <f>IFERROR(__xludf.DUMMYFUNCTION("""COMPUTED_VALUE"""),1.3703063093253E7)</f>
        <v>13703063.09</v>
      </c>
      <c r="N4" s="3">
        <f>IFERROR(__xludf.DUMMYFUNCTION("""COMPUTED_VALUE"""),4.56489583401055E8)</f>
        <v>456489583.4</v>
      </c>
      <c r="O4" s="3">
        <f>IFERROR(__xludf.DUMMYFUNCTION("""COMPUTED_VALUE"""),977631.036951)</f>
        <v>977631.037</v>
      </c>
      <c r="P4" s="3">
        <f>IFERROR(__xludf.DUMMYFUNCTION("""COMPUTED_VALUE"""),3.91958099393145E8)</f>
        <v>391958099.4</v>
      </c>
      <c r="Q4" s="3">
        <f>IFERROR(__xludf.DUMMYFUNCTION("""COMPUTED_VALUE"""),3.27140111453602E8)</f>
        <v>327140111.5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IFERROR(__xludf.DUMMYFUNCTION("""COMPUTED_VALUE"""),39678.473342)</f>
        <v>39678.47334</v>
      </c>
      <c r="C5" s="3">
        <f>IFERROR(__xludf.DUMMYFUNCTION("""COMPUTED_VALUE"""),2780.836879)</f>
        <v>2780.836879</v>
      </c>
      <c r="D5" s="3">
        <f>IFERROR(__xludf.DUMMYFUNCTION("""COMPUTED_VALUE"""),85.847885)</f>
        <v>85.847885</v>
      </c>
      <c r="E5" s="3">
        <f>IFERROR(__xludf.DUMMYFUNCTION("""COMPUTED_VALUE"""),141.11723)</f>
        <v>141.11723</v>
      </c>
      <c r="F5" s="3">
        <f>IFERROR(__xludf.DUMMYFUNCTION("""COMPUTED_VALUE"""),6.856312)</f>
        <v>6.856312</v>
      </c>
      <c r="G5" s="3">
        <f>IFERROR(__xludf.DUMMYFUNCTION("""COMPUTED_VALUE"""),1401.362372)</f>
        <v>1401.362372</v>
      </c>
      <c r="H5" s="3">
        <f>IFERROR(__xludf.DUMMYFUNCTION("""COMPUTED_VALUE"""),2.15616)</f>
        <v>2.15616</v>
      </c>
      <c r="I5" s="3">
        <f>IFERROR(__xludf.DUMMYFUNCTION("""COMPUTED_VALUE"""),2.739996)</f>
        <v>2.739996</v>
      </c>
      <c r="J5" s="3">
        <f>IFERROR(__xludf.DUMMYFUNCTION("""COMPUTED_VALUE"""),1.9029856E7)</f>
        <v>19029856</v>
      </c>
      <c r="K5" s="3">
        <f>IFERROR(__xludf.DUMMYFUNCTION("""COMPUTED_VALUE"""),1.20634544874E8)</f>
        <v>120634544.9</v>
      </c>
      <c r="L5" s="3">
        <f>IFERROR(__xludf.DUMMYFUNCTION("""COMPUTED_VALUE"""),3.34216322704552E8)</f>
        <v>334216322.7</v>
      </c>
      <c r="M5" s="3">
        <f>IFERROR(__xludf.DUMMYFUNCTION("""COMPUTED_VALUE"""),1.3703543949879E7)</f>
        <v>13703543.95</v>
      </c>
      <c r="N5" s="3">
        <f>IFERROR(__xludf.DUMMYFUNCTION("""COMPUTED_VALUE"""),4.56489583401055E8)</f>
        <v>456489583.4</v>
      </c>
      <c r="O5" s="3">
        <f>IFERROR(__xludf.DUMMYFUNCTION("""COMPUTED_VALUE"""),977631.036951)</f>
        <v>977631.037</v>
      </c>
      <c r="P5" s="3">
        <f>IFERROR(__xludf.DUMMYFUNCTION("""COMPUTED_VALUE"""),3.91958099393145E8)</f>
        <v>391958099.4</v>
      </c>
      <c r="Q5" s="3">
        <f>IFERROR(__xludf.DUMMYFUNCTION("""COMPUTED_VALUE"""),3.28886561437474E8)</f>
        <v>328886561.4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IFERROR(__xludf.DUMMYFUNCTION("""COMPUTED_VALUE"""),36547.03884)</f>
        <v>36547.03884</v>
      </c>
      <c r="C6" s="3">
        <f>IFERROR(__xludf.DUMMYFUNCTION("""COMPUTED_VALUE"""),2940.170177)</f>
        <v>2940.170177</v>
      </c>
      <c r="D6" s="3">
        <f>IFERROR(__xludf.DUMMYFUNCTION("""COMPUTED_VALUE"""),92.762378)</f>
        <v>92.762378</v>
      </c>
      <c r="E6" s="3">
        <f>IFERROR(__xludf.DUMMYFUNCTION("""COMPUTED_VALUE"""),159.568297)</f>
        <v>159.568297</v>
      </c>
      <c r="F6" s="3">
        <f>IFERROR(__xludf.DUMMYFUNCTION("""COMPUTED_VALUE"""),7.936684)</f>
        <v>7.936684</v>
      </c>
      <c r="G6" s="3">
        <f>IFERROR(__xludf.DUMMYFUNCTION("""COMPUTED_VALUE"""),1496.198432)</f>
        <v>1496.198432</v>
      </c>
      <c r="H6" s="3">
        <f>IFERROR(__xludf.DUMMYFUNCTION("""COMPUTED_VALUE"""),2.595929)</f>
        <v>2.595929</v>
      </c>
      <c r="I6" s="3">
        <f>IFERROR(__xludf.DUMMYFUNCTION("""COMPUTED_VALUE"""),3.085561)</f>
        <v>3.085561</v>
      </c>
      <c r="J6" s="3">
        <f>IFERROR(__xludf.DUMMYFUNCTION("""COMPUTED_VALUE"""),1.9030793E7)</f>
        <v>19030793</v>
      </c>
      <c r="K6" s="3">
        <f>IFERROR(__xludf.DUMMYFUNCTION("""COMPUTED_VALUE"""),1.206476778115E8)</f>
        <v>120647677.8</v>
      </c>
      <c r="L6" s="3">
        <f>IFERROR(__xludf.DUMMYFUNCTION("""COMPUTED_VALUE"""),3.34349395044966E8)</f>
        <v>334349395</v>
      </c>
      <c r="M6" s="3">
        <f>IFERROR(__xludf.DUMMYFUNCTION("""COMPUTED_VALUE"""),1.3703786958541E7)</f>
        <v>13703786.96</v>
      </c>
      <c r="N6" s="3">
        <f>IFERROR(__xludf.DUMMYFUNCTION("""COMPUTED_VALUE"""),4.56489583401055E8)</f>
        <v>456489583.4</v>
      </c>
      <c r="O6" s="3">
        <f>IFERROR(__xludf.DUMMYFUNCTION("""COMPUTED_VALUE"""),977631.036951)</f>
        <v>977631.037</v>
      </c>
      <c r="P6" s="3">
        <f>IFERROR(__xludf.DUMMYFUNCTION("""COMPUTED_VALUE"""),3.91958099393145E8)</f>
        <v>391958099.4</v>
      </c>
      <c r="Q6" s="3">
        <f>IFERROR(__xludf.DUMMYFUNCTION("""COMPUTED_VALUE"""),3.30810316501725E8)</f>
        <v>330810316.5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IFERROR(__xludf.DUMMYFUNCTION("""COMPUTED_VALUE"""),35997.002496)</f>
        <v>35997.0025</v>
      </c>
      <c r="C7" s="3">
        <f>IFERROR(__xludf.DUMMYFUNCTION("""COMPUTED_VALUE"""),2747.552793)</f>
        <v>2747.552793</v>
      </c>
      <c r="D7" s="3">
        <f>IFERROR(__xludf.DUMMYFUNCTION("""COMPUTED_VALUE"""),84.503459)</f>
        <v>84.503459</v>
      </c>
      <c r="E7" s="3">
        <f>IFERROR(__xludf.DUMMYFUNCTION("""COMPUTED_VALUE"""),141.347477)</f>
        <v>141.347477</v>
      </c>
      <c r="F7" s="3">
        <f>IFERROR(__xludf.DUMMYFUNCTION("""COMPUTED_VALUE"""),7.347492)</f>
        <v>7.347492</v>
      </c>
      <c r="G7" s="3">
        <f>IFERROR(__xludf.DUMMYFUNCTION("""COMPUTED_VALUE"""),1377.120061)</f>
        <v>1377.120061</v>
      </c>
      <c r="H7" s="3">
        <f>IFERROR(__xludf.DUMMYFUNCTION("""COMPUTED_VALUE"""),2.458675)</f>
        <v>2.458675</v>
      </c>
      <c r="I7" s="3">
        <f>IFERROR(__xludf.DUMMYFUNCTION("""COMPUTED_VALUE"""),2.80614)</f>
        <v>2.80614</v>
      </c>
      <c r="J7" s="3">
        <f>IFERROR(__xludf.DUMMYFUNCTION("""COMPUTED_VALUE"""),1.9031731E7)</f>
        <v>19031731</v>
      </c>
      <c r="K7" s="3">
        <f>IFERROR(__xludf.DUMMYFUNCTION("""COMPUTED_VALUE"""),1.20660870499E8)</f>
        <v>120660870.5</v>
      </c>
      <c r="L7" s="3">
        <f>IFERROR(__xludf.DUMMYFUNCTION("""COMPUTED_VALUE"""),3.34692901090017E8)</f>
        <v>334692901.1</v>
      </c>
      <c r="M7" s="3">
        <f>IFERROR(__xludf.DUMMYFUNCTION("""COMPUTED_VALUE"""),1.3703982686233E7)</f>
        <v>13703982.69</v>
      </c>
      <c r="N7" s="3">
        <f>IFERROR(__xludf.DUMMYFUNCTION("""COMPUTED_VALUE"""),4.56489583401055E8)</f>
        <v>456489583.4</v>
      </c>
      <c r="O7" s="3">
        <f>IFERROR(__xludf.DUMMYFUNCTION("""COMPUTED_VALUE"""),977631.036951)</f>
        <v>977631.037</v>
      </c>
      <c r="P7" s="3">
        <f>IFERROR(__xludf.DUMMYFUNCTION("""COMPUTED_VALUE"""),3.91958099393145E8)</f>
        <v>391958099.4</v>
      </c>
      <c r="Q7" s="3">
        <f>IFERROR(__xludf.DUMMYFUNCTION("""COMPUTED_VALUE"""),3.33581977275003E8)</f>
        <v>333581977.3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IFERROR(__xludf.DUMMYFUNCTION("""COMPUTED_VALUE"""),35450.771743)</f>
        <v>35450.77174</v>
      </c>
      <c r="C8" s="3">
        <f>IFERROR(__xludf.DUMMYFUNCTION("""COMPUTED_VALUE"""),2691.845625)</f>
        <v>2691.845625</v>
      </c>
      <c r="D8" s="3">
        <f>IFERROR(__xludf.DUMMYFUNCTION("""COMPUTED_VALUE"""),81.645169)</f>
        <v>81.645169</v>
      </c>
      <c r="E8" s="3">
        <f>IFERROR(__xludf.DUMMYFUNCTION("""COMPUTED_VALUE"""),138.374756)</f>
        <v>138.374756</v>
      </c>
      <c r="F8" s="3">
        <f>IFERROR(__xludf.DUMMYFUNCTION("""COMPUTED_VALUE"""),7.584601)</f>
        <v>7.584601</v>
      </c>
      <c r="G8" s="3">
        <f>IFERROR(__xludf.DUMMYFUNCTION("""COMPUTED_VALUE"""),1334.212568)</f>
        <v>1334.212568</v>
      </c>
      <c r="H8" s="3">
        <f>IFERROR(__xludf.DUMMYFUNCTION("""COMPUTED_VALUE"""),2.29207)</f>
        <v>2.29207</v>
      </c>
      <c r="I8" s="3">
        <f>IFERROR(__xludf.DUMMYFUNCTION("""COMPUTED_VALUE"""),2.74319)</f>
        <v>2.74319</v>
      </c>
      <c r="J8" s="3">
        <f>IFERROR(__xludf.DUMMYFUNCTION("""COMPUTED_VALUE"""),1.9032637E7)</f>
        <v>19032637</v>
      </c>
      <c r="K8" s="3">
        <f>IFERROR(__xludf.DUMMYFUNCTION("""COMPUTED_VALUE"""),1.20674081999E8)</f>
        <v>120674082</v>
      </c>
      <c r="L8" s="3">
        <f>IFERROR(__xludf.DUMMYFUNCTION("""COMPUTED_VALUE"""),3.35187502413829E8)</f>
        <v>335187502.4</v>
      </c>
      <c r="M8" s="3">
        <f>IFERROR(__xludf.DUMMYFUNCTION("""COMPUTED_VALUE"""),1.3712569481324E7)</f>
        <v>13712569.48</v>
      </c>
      <c r="N8" s="3">
        <f>IFERROR(__xludf.DUMMYFUNCTION("""COMPUTED_VALUE"""),4.56489583401055E8)</f>
        <v>456489583.4</v>
      </c>
      <c r="O8" s="3">
        <f>IFERROR(__xludf.DUMMYFUNCTION("""COMPUTED_VALUE"""),977631.036951)</f>
        <v>977631.037</v>
      </c>
      <c r="P8" s="3">
        <f>IFERROR(__xludf.DUMMYFUNCTION("""COMPUTED_VALUE"""),3.91958099393145E8)</f>
        <v>391958099.4</v>
      </c>
      <c r="Q8" s="3">
        <f>IFERROR(__xludf.DUMMYFUNCTION("""COMPUTED_VALUE"""),3.35566914514167E8)</f>
        <v>335566914.5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IFERROR(__xludf.DUMMYFUNCTION("""COMPUTED_VALUE"""),34027.021333)</f>
        <v>34027.02133</v>
      </c>
      <c r="C9" s="3">
        <f>IFERROR(__xludf.DUMMYFUNCTION("""COMPUTED_VALUE"""),2634.91257)</f>
        <v>2634.91257</v>
      </c>
      <c r="D9" s="3">
        <f>IFERROR(__xludf.DUMMYFUNCTION("""COMPUTED_VALUE"""),78.846263)</f>
        <v>78.846263</v>
      </c>
      <c r="E9" s="3">
        <f>IFERROR(__xludf.DUMMYFUNCTION("""COMPUTED_VALUE"""),132.18587)</f>
        <v>132.18587</v>
      </c>
      <c r="F9" s="3">
        <f>IFERROR(__xludf.DUMMYFUNCTION("""COMPUTED_VALUE"""),7.171079)</f>
        <v>7.171079</v>
      </c>
      <c r="G9" s="3">
        <f>IFERROR(__xludf.DUMMYFUNCTION("""COMPUTED_VALUE"""),1265.543785)</f>
        <v>1265.543785</v>
      </c>
      <c r="H9" s="3">
        <f>IFERROR(__xludf.DUMMYFUNCTION("""COMPUTED_VALUE"""),2.226843)</f>
        <v>2.226843</v>
      </c>
      <c r="I9" s="3">
        <f>IFERROR(__xludf.DUMMYFUNCTION("""COMPUTED_VALUE"""),2.762656)</f>
        <v>2.762656</v>
      </c>
      <c r="J9" s="3">
        <f>IFERROR(__xludf.DUMMYFUNCTION("""COMPUTED_VALUE"""),1.9033587E7)</f>
        <v>19033587</v>
      </c>
      <c r="K9" s="3">
        <f>IFERROR(__xludf.DUMMYFUNCTION("""COMPUTED_VALUE"""),1.206873133115E8)</f>
        <v>120687313.3</v>
      </c>
      <c r="L9" s="3">
        <f>IFERROR(__xludf.DUMMYFUNCTION("""COMPUTED_VALUE"""),3.3532070372447E8)</f>
        <v>335320703.7</v>
      </c>
      <c r="M9" s="3">
        <f>IFERROR(__xludf.DUMMYFUNCTION("""COMPUTED_VALUE"""),1.3713001881858E7)</f>
        <v>13713001.88</v>
      </c>
      <c r="N9" s="3">
        <f>IFERROR(__xludf.DUMMYFUNCTION("""COMPUTED_VALUE"""),4.56489583401055E8)</f>
        <v>456489583.4</v>
      </c>
      <c r="O9" s="3">
        <f>IFERROR(__xludf.DUMMYFUNCTION("""COMPUTED_VALUE"""),977631.036951)</f>
        <v>977631.037</v>
      </c>
      <c r="P9" s="3">
        <f>IFERROR(__xludf.DUMMYFUNCTION("""COMPUTED_VALUE"""),3.91958099393145E8)</f>
        <v>391958099.4</v>
      </c>
      <c r="Q9" s="3">
        <f>IFERROR(__xludf.DUMMYFUNCTION("""COMPUTED_VALUE"""),3.37571704306176E8)</f>
        <v>337571704.3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IFERROR(__xludf.DUMMYFUNCTION("""COMPUTED_VALUE"""),30072.939281)</f>
        <v>30072.93928</v>
      </c>
      <c r="C10" s="3">
        <f>IFERROR(__xludf.DUMMYFUNCTION("""COMPUTED_VALUE"""),2519.05337)</f>
        <v>2519.05337</v>
      </c>
      <c r="D10" s="3">
        <f>IFERROR(__xludf.DUMMYFUNCTION("""COMPUTED_VALUE"""),75.369953)</f>
        <v>75.369953</v>
      </c>
      <c r="E10" s="3">
        <f>IFERROR(__xludf.DUMMYFUNCTION("""COMPUTED_VALUE"""),125.988821)</f>
        <v>125.988821</v>
      </c>
      <c r="F10" s="3">
        <f>IFERROR(__xludf.DUMMYFUNCTION("""COMPUTED_VALUE"""),7.098135)</f>
        <v>7.098135</v>
      </c>
      <c r="G10" s="3">
        <f>IFERROR(__xludf.DUMMYFUNCTION("""COMPUTED_VALUE"""),1192.77374)</f>
        <v>1192.77374</v>
      </c>
      <c r="H10" s="3">
        <f>IFERROR(__xludf.DUMMYFUNCTION("""COMPUTED_VALUE"""),2.34783)</f>
        <v>2.34783</v>
      </c>
      <c r="I10" s="3">
        <f>IFERROR(__xludf.DUMMYFUNCTION("""COMPUTED_VALUE"""),2.787227)</f>
        <v>2.787227</v>
      </c>
      <c r="J10" s="3">
        <f>IFERROR(__xludf.DUMMYFUNCTION("""COMPUTED_VALUE"""),1.9034531E7)</f>
        <v>19034531</v>
      </c>
      <c r="K10" s="3">
        <f>IFERROR(__xludf.DUMMYFUNCTION("""COMPUTED_VALUE"""),1.207006439365E8)</f>
        <v>120700643.9</v>
      </c>
      <c r="L10" s="3">
        <f>IFERROR(__xludf.DUMMYFUNCTION("""COMPUTED_VALUE"""),3.3662252721018E8)</f>
        <v>336622527.2</v>
      </c>
      <c r="M10" s="3">
        <f>IFERROR(__xludf.DUMMYFUNCTION("""COMPUTED_VALUE"""),1.3713208650376E7)</f>
        <v>13713208.65</v>
      </c>
      <c r="N10" s="3">
        <f>IFERROR(__xludf.DUMMYFUNCTION("""COMPUTED_VALUE"""),4.56489583401055E8)</f>
        <v>456489583.4</v>
      </c>
      <c r="O10" s="3">
        <f>IFERROR(__xludf.DUMMYFUNCTION("""COMPUTED_VALUE"""),977631.036951)</f>
        <v>977631.037</v>
      </c>
      <c r="P10" s="3">
        <f>IFERROR(__xludf.DUMMYFUNCTION("""COMPUTED_VALUE"""),3.91958099393145E8)</f>
        <v>391958099.4</v>
      </c>
      <c r="Q10" s="3">
        <f>IFERROR(__xludf.DUMMYFUNCTION("""COMPUTED_VALUE"""),3.4139207134602E8)</f>
        <v>341392071.3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IFERROR(__xludf.DUMMYFUNCTION("""COMPUTED_VALUE"""),31012.796392)</f>
        <v>31012.79639</v>
      </c>
      <c r="C11" s="3">
        <f>IFERROR(__xludf.DUMMYFUNCTION("""COMPUTED_VALUE"""),2227.956716)</f>
        <v>2227.956716</v>
      </c>
      <c r="D11" s="3">
        <f>IFERROR(__xludf.DUMMYFUNCTION("""COMPUTED_VALUE"""),62.139162)</f>
        <v>62.139162</v>
      </c>
      <c r="E11" s="3">
        <f>IFERROR(__xludf.DUMMYFUNCTION("""COMPUTED_VALUE"""),99.348682)</f>
        <v>99.348682</v>
      </c>
      <c r="F11" s="3">
        <f>IFERROR(__xludf.DUMMYFUNCTION("""COMPUTED_VALUE"""),5.954821)</f>
        <v>5.954821</v>
      </c>
      <c r="G11" s="3">
        <f>IFERROR(__xludf.DUMMYFUNCTION("""COMPUTED_VALUE"""),1050.135049)</f>
        <v>1050.135049</v>
      </c>
      <c r="H11" s="3">
        <f>IFERROR(__xludf.DUMMYFUNCTION("""COMPUTED_VALUE"""),1.910542)</f>
        <v>1.910542</v>
      </c>
      <c r="I11" s="3">
        <f>IFERROR(__xludf.DUMMYFUNCTION("""COMPUTED_VALUE"""),1.991929)</f>
        <v>1.991929</v>
      </c>
      <c r="J11" s="3">
        <f>IFERROR(__xludf.DUMMYFUNCTION("""COMPUTED_VALUE"""),1.9035475E7)</f>
        <v>19035475</v>
      </c>
      <c r="K11" s="3">
        <f>IFERROR(__xludf.DUMMYFUNCTION("""COMPUTED_VALUE"""),1.207137464365E8)</f>
        <v>120713746.4</v>
      </c>
      <c r="L11" s="3">
        <f>IFERROR(__xludf.DUMMYFUNCTION("""COMPUTED_VALUE"""),3.36624435979203E8)</f>
        <v>336624436</v>
      </c>
      <c r="M11" s="3">
        <f>IFERROR(__xludf.DUMMYFUNCTION("""COMPUTED_VALUE"""),1.371334374639E7)</f>
        <v>13713343.75</v>
      </c>
      <c r="N11" s="3">
        <f>IFERROR(__xludf.DUMMYFUNCTION("""COMPUTED_VALUE"""),4.56489583401055E8)</f>
        <v>456489583.4</v>
      </c>
      <c r="O11" s="3">
        <f>IFERROR(__xludf.DUMMYFUNCTION("""COMPUTED_VALUE"""),977631.036951)</f>
        <v>977631.037</v>
      </c>
      <c r="P11" s="3">
        <f>IFERROR(__xludf.DUMMYFUNCTION("""COMPUTED_VALUE"""),3.91958099393145E8)</f>
        <v>391958099.4</v>
      </c>
      <c r="Q11" s="3">
        <f>IFERROR(__xludf.DUMMYFUNCTION("""COMPUTED_VALUE"""),3.43402802113043E8)</f>
        <v>343402802.1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IFERROR(__xludf.DUMMYFUNCTION("""COMPUTED_VALUE"""),28975.801361)</f>
        <v>28975.80136</v>
      </c>
      <c r="C12" s="3">
        <f>IFERROR(__xludf.DUMMYFUNCTION("""COMPUTED_VALUE"""),2341.227498)</f>
        <v>2341.227498</v>
      </c>
      <c r="D12" s="3">
        <f>IFERROR(__xludf.DUMMYFUNCTION("""COMPUTED_VALUE"""),66.859951)</f>
        <v>66.859951</v>
      </c>
      <c r="E12" s="3">
        <f>IFERROR(__xludf.DUMMYFUNCTION("""COMPUTED_VALUE"""),105.141455)</f>
        <v>105.141455</v>
      </c>
      <c r="F12" s="3">
        <f>IFERROR(__xludf.DUMMYFUNCTION("""COMPUTED_VALUE"""),6.069774)</f>
        <v>6.069774</v>
      </c>
      <c r="G12" s="3">
        <f>IFERROR(__xludf.DUMMYFUNCTION("""COMPUTED_VALUE"""),1221.570307)</f>
        <v>1221.570307</v>
      </c>
      <c r="H12" s="3">
        <f>IFERROR(__xludf.DUMMYFUNCTION("""COMPUTED_VALUE"""),1.974685)</f>
        <v>1.974685</v>
      </c>
      <c r="I12" s="3">
        <f>IFERROR(__xludf.DUMMYFUNCTION("""COMPUTED_VALUE"""),1.964434)</f>
        <v>1.964434</v>
      </c>
      <c r="J12" s="3">
        <f>IFERROR(__xludf.DUMMYFUNCTION("""COMPUTED_VALUE"""),1.9036431E7)</f>
        <v>19036431</v>
      </c>
      <c r="K12" s="3">
        <f>IFERROR(__xludf.DUMMYFUNCTION("""COMPUTED_VALUE"""),1.207269569365E8)</f>
        <v>120726956.9</v>
      </c>
      <c r="L12" s="3">
        <f>IFERROR(__xludf.DUMMYFUNCTION("""COMPUTED_VALUE"""),3.36790329791671E8)</f>
        <v>336790329.8</v>
      </c>
      <c r="M12" s="3">
        <f>IFERROR(__xludf.DUMMYFUNCTION("""COMPUTED_VALUE"""),1.3714930715086E7)</f>
        <v>13714930.72</v>
      </c>
      <c r="N12" s="3">
        <f>IFERROR(__xludf.DUMMYFUNCTION("""COMPUTED_VALUE"""),4.56489583401055E8)</f>
        <v>456489583.4</v>
      </c>
      <c r="O12" s="3">
        <f>IFERROR(__xludf.DUMMYFUNCTION("""COMPUTED_VALUE"""),977631.036951)</f>
        <v>977631.037</v>
      </c>
      <c r="P12" s="3">
        <f>IFERROR(__xludf.DUMMYFUNCTION("""COMPUTED_VALUE"""),3.91958099393145E8)</f>
        <v>391958099.4</v>
      </c>
      <c r="Q12" s="3">
        <f>IFERROR(__xludf.DUMMYFUNCTION("""COMPUTED_VALUE"""),3.45225666768197E8)</f>
        <v>345225666.8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IFERROR(__xludf.DUMMYFUNCTION("""COMPUTED_VALUE"""),28959.389929)</f>
        <v>28959.38993</v>
      </c>
      <c r="C13" s="3">
        <f>IFERROR(__xludf.DUMMYFUNCTION("""COMPUTED_VALUE"""),2076.812833)</f>
        <v>2076.812833</v>
      </c>
      <c r="D13" s="3">
        <f>IFERROR(__xludf.DUMMYFUNCTION("""COMPUTED_VALUE"""),50.713735)</f>
        <v>50.713735</v>
      </c>
      <c r="E13" s="3">
        <f>IFERROR(__xludf.DUMMYFUNCTION("""COMPUTED_VALUE"""),82.203149)</f>
        <v>82.203149</v>
      </c>
      <c r="F13" s="3">
        <f>IFERROR(__xludf.DUMMYFUNCTION("""COMPUTED_VALUE"""),4.892984)</f>
        <v>4.892984</v>
      </c>
      <c r="G13" s="3">
        <f>IFERROR(__xludf.DUMMYFUNCTION("""COMPUTED_VALUE"""),1127.40757)</f>
        <v>1127.40757</v>
      </c>
      <c r="H13" s="3">
        <f>IFERROR(__xludf.DUMMYFUNCTION("""COMPUTED_VALUE"""),1.501801)</f>
        <v>1.501801</v>
      </c>
      <c r="I13" s="3">
        <f>IFERROR(__xludf.DUMMYFUNCTION("""COMPUTED_VALUE"""),1.560975)</f>
        <v>1.560975</v>
      </c>
      <c r="J13" s="3">
        <f>IFERROR(__xludf.DUMMYFUNCTION("""COMPUTED_VALUE"""),1.90373E7)</f>
        <v>19037300</v>
      </c>
      <c r="K13" s="3">
        <f>IFERROR(__xludf.DUMMYFUNCTION("""COMPUTED_VALUE"""),1.207402584365E8)</f>
        <v>120740258.4</v>
      </c>
      <c r="L13" s="3">
        <f>IFERROR(__xludf.DUMMYFUNCTION("""COMPUTED_VALUE"""),3.36923515205963E8)</f>
        <v>336923515.2</v>
      </c>
      <c r="M13" s="3">
        <f>IFERROR(__xludf.DUMMYFUNCTION("""COMPUTED_VALUE"""),1.3715328309443E7)</f>
        <v>13715328.31</v>
      </c>
      <c r="N13" s="3">
        <f>IFERROR(__xludf.DUMMYFUNCTION("""COMPUTED_VALUE"""),4.56489583401055E8)</f>
        <v>456489583.4</v>
      </c>
      <c r="O13" s="3">
        <f>IFERROR(__xludf.DUMMYFUNCTION("""COMPUTED_VALUE"""),977631.036951)</f>
        <v>977631.037</v>
      </c>
      <c r="P13" s="3">
        <f>IFERROR(__xludf.DUMMYFUNCTION("""COMPUTED_VALUE"""),3.91958099393145E8)</f>
        <v>391958099.4</v>
      </c>
      <c r="Q13" s="3">
        <f>IFERROR(__xludf.DUMMYFUNCTION("""COMPUTED_VALUE"""),3.48427636567224E8)</f>
        <v>348427636.6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IFERROR(__xludf.DUMMYFUNCTION("""COMPUTED_VALUE"""),29245.757314)</f>
        <v>29245.75731</v>
      </c>
      <c r="C14" s="3">
        <f>IFERROR(__xludf.DUMMYFUNCTION("""COMPUTED_VALUE"""),1954.181681)</f>
        <v>1954.181681</v>
      </c>
      <c r="D14" s="3">
        <f>IFERROR(__xludf.DUMMYFUNCTION("""COMPUTED_VALUE"""),44.540271)</f>
        <v>44.540271</v>
      </c>
      <c r="E14" s="3">
        <f>IFERROR(__xludf.DUMMYFUNCTION("""COMPUTED_VALUE"""),76.900714)</f>
        <v>76.900714</v>
      </c>
      <c r="F14" s="3">
        <f>IFERROR(__xludf.DUMMYFUNCTION("""COMPUTED_VALUE"""),4.656379)</f>
        <v>4.656379</v>
      </c>
      <c r="G14" s="3">
        <f>IFERROR(__xludf.DUMMYFUNCTION("""COMPUTED_VALUE"""),1335.206943)</f>
        <v>1335.206943</v>
      </c>
      <c r="H14" s="3">
        <f>IFERROR(__xludf.DUMMYFUNCTION("""COMPUTED_VALUE"""),1.304043)</f>
        <v>1.304043</v>
      </c>
      <c r="I14" s="3">
        <f>IFERROR(__xludf.DUMMYFUNCTION("""COMPUTED_VALUE"""),1.406001)</f>
        <v>1.406001</v>
      </c>
      <c r="J14" s="3">
        <f>IFERROR(__xludf.DUMMYFUNCTION("""COMPUTED_VALUE"""),1.9038212E7)</f>
        <v>19038212</v>
      </c>
      <c r="K14" s="3">
        <f>IFERROR(__xludf.DUMMYFUNCTION("""COMPUTED_VALUE"""),1.207533685615E8)</f>
        <v>120753368.6</v>
      </c>
      <c r="L14" s="3">
        <f>IFERROR(__xludf.DUMMYFUNCTION("""COMPUTED_VALUE"""),3.37322385199212E8)</f>
        <v>337322385.2</v>
      </c>
      <c r="M14" s="3">
        <f>IFERROR(__xludf.DUMMYFUNCTION("""COMPUTED_VALUE"""),1.3715598184228E7)</f>
        <v>13715598.18</v>
      </c>
      <c r="N14" s="3">
        <f>IFERROR(__xludf.DUMMYFUNCTION("""COMPUTED_VALUE"""),4.56489583401055E8)</f>
        <v>456489583.4</v>
      </c>
      <c r="O14" s="3">
        <f>IFERROR(__xludf.DUMMYFUNCTION("""COMPUTED_VALUE"""),977631.036951)</f>
        <v>977631.037</v>
      </c>
      <c r="P14" s="3">
        <f>IFERROR(__xludf.DUMMYFUNCTION("""COMPUTED_VALUE"""),3.91958099393145E8)</f>
        <v>391958099.4</v>
      </c>
      <c r="Q14" s="3">
        <f>IFERROR(__xludf.DUMMYFUNCTION("""COMPUTED_VALUE"""),3.5044231741231E8)</f>
        <v>350442317.4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IFERROR(__xludf.DUMMYFUNCTION("""COMPUTED_VALUE"""),30048.70072)</f>
        <v>30048.70072</v>
      </c>
      <c r="C15" s="3">
        <f>IFERROR(__xludf.DUMMYFUNCTION("""COMPUTED_VALUE"""),2006.196794)</f>
        <v>2006.196794</v>
      </c>
      <c r="D15" s="3">
        <f>IFERROR(__xludf.DUMMYFUNCTION("""COMPUTED_VALUE"""),48.873913)</f>
        <v>48.873913</v>
      </c>
      <c r="E15" s="3">
        <f>IFERROR(__xludf.DUMMYFUNCTION("""COMPUTED_VALUE"""),82.341252)</f>
        <v>82.341252</v>
      </c>
      <c r="F15" s="3">
        <f>IFERROR(__xludf.DUMMYFUNCTION("""COMPUTED_VALUE"""),5.127297)</f>
        <v>5.127297</v>
      </c>
      <c r="G15" s="3">
        <f>IFERROR(__xludf.DUMMYFUNCTION("""COMPUTED_VALUE"""),1381.975763)</f>
        <v>1381.975763</v>
      </c>
      <c r="H15" s="3">
        <f>IFERROR(__xludf.DUMMYFUNCTION("""COMPUTED_VALUE"""),1.31615)</f>
        <v>1.31615</v>
      </c>
      <c r="I15" s="3">
        <f>IFERROR(__xludf.DUMMYFUNCTION("""COMPUTED_VALUE"""),1.460313)</f>
        <v>1.460313</v>
      </c>
      <c r="J15" s="3">
        <f>IFERROR(__xludf.DUMMYFUNCTION("""COMPUTED_VALUE"""),1.9039137E7)</f>
        <v>19039137</v>
      </c>
      <c r="K15" s="3">
        <f>IFERROR(__xludf.DUMMYFUNCTION("""COMPUTED_VALUE"""),1.207667391865E8)</f>
        <v>120766739.2</v>
      </c>
      <c r="L15" s="3">
        <f>IFERROR(__xludf.DUMMYFUNCTION("""COMPUTED_VALUE"""),3.37321867830181E8)</f>
        <v>337321867.8</v>
      </c>
      <c r="M15" s="3">
        <f>IFERROR(__xludf.DUMMYFUNCTION("""COMPUTED_VALUE"""),1.3715737491974E7)</f>
        <v>13715737.49</v>
      </c>
      <c r="N15" s="3">
        <f>IFERROR(__xludf.DUMMYFUNCTION("""COMPUTED_VALUE"""),4.56489583401055E8)</f>
        <v>456489583.4</v>
      </c>
      <c r="O15" s="3">
        <f>IFERROR(__xludf.DUMMYFUNCTION("""COMPUTED_VALUE"""),977631.036951)</f>
        <v>977631.037</v>
      </c>
      <c r="P15" s="3">
        <f>IFERROR(__xludf.DUMMYFUNCTION("""COMPUTED_VALUE"""),3.91958099393145E8)</f>
        <v>391958099.4</v>
      </c>
      <c r="Q15" s="3">
        <f>IFERROR(__xludf.DUMMYFUNCTION("""COMPUTED_VALUE"""),3.52459564016687E8)</f>
        <v>352459564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IFERROR(__xludf.DUMMYFUNCTION("""COMPUTED_VALUE"""),31292.530861)</f>
        <v>31292.53086</v>
      </c>
      <c r="C16" s="3">
        <f>IFERROR(__xludf.DUMMYFUNCTION("""COMPUTED_VALUE"""),2053.6366)</f>
        <v>2053.6366</v>
      </c>
      <c r="D16" s="3">
        <f>IFERROR(__xludf.DUMMYFUNCTION("""COMPUTED_VALUE"""),52.378337)</f>
        <v>52.378337</v>
      </c>
      <c r="E16" s="3">
        <f>IFERROR(__xludf.DUMMYFUNCTION("""COMPUTED_VALUE"""),86.515951)</f>
        <v>86.515951</v>
      </c>
      <c r="F16" s="3">
        <f>IFERROR(__xludf.DUMMYFUNCTION("""COMPUTED_VALUE"""),5.169285)</f>
        <v>5.169285</v>
      </c>
      <c r="G16" s="3">
        <f>IFERROR(__xludf.DUMMYFUNCTION("""COMPUTED_VALUE"""),1561.657775)</f>
        <v>1561.657775</v>
      </c>
      <c r="H16" s="3">
        <f>IFERROR(__xludf.DUMMYFUNCTION("""COMPUTED_VALUE"""),1.414553)</f>
        <v>1.414553</v>
      </c>
      <c r="I16" s="3">
        <f>IFERROR(__xludf.DUMMYFUNCTION("""COMPUTED_VALUE"""),1.501592)</f>
        <v>1.501592</v>
      </c>
      <c r="J16" s="3">
        <f>IFERROR(__xludf.DUMMYFUNCTION("""COMPUTED_VALUE"""),1.904005E7)</f>
        <v>19040050</v>
      </c>
      <c r="K16" s="3">
        <f>IFERROR(__xludf.DUMMYFUNCTION("""COMPUTED_VALUE"""),1.20779757749E8)</f>
        <v>120779757.7</v>
      </c>
      <c r="L16" s="3">
        <f>IFERROR(__xludf.DUMMYFUNCTION("""COMPUTED_VALUE"""),3.37461534198941E8)</f>
        <v>337461534.2</v>
      </c>
      <c r="M16" s="3">
        <f>IFERROR(__xludf.DUMMYFUNCTION("""COMPUTED_VALUE"""),1.3715854964589E7)</f>
        <v>13715854.96</v>
      </c>
      <c r="N16" s="3">
        <f>IFERROR(__xludf.DUMMYFUNCTION("""COMPUTED_VALUE"""),4.56489583401055E8)</f>
        <v>456489583.4</v>
      </c>
      <c r="O16" s="3">
        <f>IFERROR(__xludf.DUMMYFUNCTION("""COMPUTED_VALUE"""),977631.036951)</f>
        <v>977631.037</v>
      </c>
      <c r="P16" s="3">
        <f>IFERROR(__xludf.DUMMYFUNCTION("""COMPUTED_VALUE"""),3.91958099393145E8)</f>
        <v>391958099.4</v>
      </c>
      <c r="Q16" s="3">
        <f>IFERROR(__xludf.DUMMYFUNCTION("""COMPUTED_VALUE"""),3.54959106881959E8)</f>
        <v>354959106.9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IFERROR(__xludf.DUMMYFUNCTION("""COMPUTED_VALUE"""),29832.780715)</f>
        <v>29832.78072</v>
      </c>
      <c r="C17" s="3">
        <f>IFERROR(__xludf.DUMMYFUNCTION("""COMPUTED_VALUE"""),2142.663402)</f>
        <v>2142.663402</v>
      </c>
      <c r="D17" s="3">
        <f>IFERROR(__xludf.DUMMYFUNCTION("""COMPUTED_VALUE"""),58.748797)</f>
        <v>58.748797</v>
      </c>
      <c r="E17" s="3">
        <f>IFERROR(__xludf.DUMMYFUNCTION("""COMPUTED_VALUE"""),91.982302)</f>
        <v>91.982302</v>
      </c>
      <c r="F17" s="3">
        <f>IFERROR(__xludf.DUMMYFUNCTION("""COMPUTED_VALUE"""),5.443996)</f>
        <v>5.443996</v>
      </c>
      <c r="G17" s="3">
        <f>IFERROR(__xludf.DUMMYFUNCTION("""COMPUTED_VALUE"""),1573.207825)</f>
        <v>1573.207825</v>
      </c>
      <c r="H17" s="3">
        <f>IFERROR(__xludf.DUMMYFUNCTION("""COMPUTED_VALUE"""),1.507382)</f>
        <v>1.507382</v>
      </c>
      <c r="I17" s="3">
        <f>IFERROR(__xludf.DUMMYFUNCTION("""COMPUTED_VALUE"""),1.473121)</f>
        <v>1.473121</v>
      </c>
      <c r="J17" s="3">
        <f>IFERROR(__xludf.DUMMYFUNCTION("""COMPUTED_VALUE"""),1.9040806E7)</f>
        <v>19040806</v>
      </c>
      <c r="K17" s="3">
        <f>IFERROR(__xludf.DUMMYFUNCTION("""COMPUTED_VALUE"""),1.20793055374E8)</f>
        <v>120793055.4</v>
      </c>
      <c r="L17" s="3">
        <f>IFERROR(__xludf.DUMMYFUNCTION("""COMPUTED_VALUE"""),3.37138695885813E8)</f>
        <v>337138695.9</v>
      </c>
      <c r="M17" s="3">
        <f>IFERROR(__xludf.DUMMYFUNCTION("""COMPUTED_VALUE"""),1.3738607957077E7)</f>
        <v>13738607.96</v>
      </c>
      <c r="N17" s="3">
        <f>IFERROR(__xludf.DUMMYFUNCTION("""COMPUTED_VALUE"""),4.56489583401055E8)</f>
        <v>456489583.4</v>
      </c>
      <c r="O17" s="3">
        <f>IFERROR(__xludf.DUMMYFUNCTION("""COMPUTED_VALUE"""),977631.036951)</f>
        <v>977631.037</v>
      </c>
      <c r="P17" s="3">
        <f>IFERROR(__xludf.DUMMYFUNCTION("""COMPUTED_VALUE"""),3.91958099393145E8)</f>
        <v>391958099.4</v>
      </c>
      <c r="Q17" s="3">
        <f>IFERROR(__xludf.DUMMYFUNCTION("""COMPUTED_VALUE"""),3.57658354316487E8)</f>
        <v>357658354.3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IFERROR(__xludf.DUMMYFUNCTION("""COMPUTED_VALUE"""),30412.489302)</f>
        <v>30412.4893</v>
      </c>
      <c r="C18" s="3">
        <f>IFERROR(__xludf.DUMMYFUNCTION("""COMPUTED_VALUE"""),2021.279565)</f>
        <v>2021.279565</v>
      </c>
      <c r="D18" s="3">
        <f>IFERROR(__xludf.DUMMYFUNCTION("""COMPUTED_VALUE"""),53.755147)</f>
        <v>53.755147</v>
      </c>
      <c r="E18" s="3">
        <f>IFERROR(__xludf.DUMMYFUNCTION("""COMPUTED_VALUE"""),83.895907)</f>
        <v>83.895907</v>
      </c>
      <c r="F18" s="3">
        <f>IFERROR(__xludf.DUMMYFUNCTION("""COMPUTED_VALUE"""),5.052133)</f>
        <v>5.052133</v>
      </c>
      <c r="G18" s="3">
        <f>IFERROR(__xludf.DUMMYFUNCTION("""COMPUTED_VALUE"""),1529.341422)</f>
        <v>1529.341422</v>
      </c>
      <c r="H18" s="3">
        <f>IFERROR(__xludf.DUMMYFUNCTION("""COMPUTED_VALUE"""),1.362627)</f>
        <v>1.362627</v>
      </c>
      <c r="I18" s="3">
        <f>IFERROR(__xludf.DUMMYFUNCTION("""COMPUTED_VALUE"""),1.445745)</f>
        <v>1.445745</v>
      </c>
      <c r="J18" s="3">
        <f>IFERROR(__xludf.DUMMYFUNCTION("""COMPUTED_VALUE"""),1.9041787E7)</f>
        <v>19041787</v>
      </c>
      <c r="K18" s="3">
        <f>IFERROR(__xludf.DUMMYFUNCTION("""COMPUTED_VALUE"""),1.20806222749E8)</f>
        <v>120806222.7</v>
      </c>
      <c r="L18" s="3">
        <f>IFERROR(__xludf.DUMMYFUNCTION("""COMPUTED_VALUE"""),3.373560188054E8)</f>
        <v>337356018.8</v>
      </c>
      <c r="M18" s="3">
        <f>IFERROR(__xludf.DUMMYFUNCTION("""COMPUTED_VALUE"""),1.3739134444061E7)</f>
        <v>13739134.44</v>
      </c>
      <c r="N18" s="3">
        <f>IFERROR(__xludf.DUMMYFUNCTION("""COMPUTED_VALUE"""),4.56489583401055E8)</f>
        <v>456489583.4</v>
      </c>
      <c r="O18" s="3">
        <f>IFERROR(__xludf.DUMMYFUNCTION("""COMPUTED_VALUE"""),977631.036951)</f>
        <v>977631.037</v>
      </c>
      <c r="P18" s="3">
        <f>IFERROR(__xludf.DUMMYFUNCTION("""COMPUTED_VALUE"""),3.91958099393145E8)</f>
        <v>391958099.4</v>
      </c>
      <c r="Q18" s="3">
        <f>IFERROR(__xludf.DUMMYFUNCTION("""COMPUTED_VALUE"""),3.59687636664445E8)</f>
        <v>359687636.7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IFERROR(__xludf.DUMMYFUNCTION("""COMPUTED_VALUE"""),28673.357006)</f>
        <v>28673.35701</v>
      </c>
      <c r="C19" s="3">
        <f>IFERROR(__xludf.DUMMYFUNCTION("""COMPUTED_VALUE"""),2087.966866)</f>
        <v>2087.966866</v>
      </c>
      <c r="D19" s="3">
        <f>IFERROR(__xludf.DUMMYFUNCTION("""COMPUTED_VALUE"""),56.951284)</f>
        <v>56.951284</v>
      </c>
      <c r="E19" s="3">
        <f>IFERROR(__xludf.DUMMYFUNCTION("""COMPUTED_VALUE"""),92.560855)</f>
        <v>92.560855</v>
      </c>
      <c r="F19" s="3">
        <f>IFERROR(__xludf.DUMMYFUNCTION("""COMPUTED_VALUE"""),5.459629)</f>
        <v>5.459629</v>
      </c>
      <c r="G19" s="3">
        <f>IFERROR(__xludf.DUMMYFUNCTION("""COMPUTED_VALUE"""),1570.414877)</f>
        <v>1570.414877</v>
      </c>
      <c r="H19" s="3">
        <f>IFERROR(__xludf.DUMMYFUNCTION("""COMPUTED_VALUE"""),1.389919)</f>
        <v>1.389919</v>
      </c>
      <c r="I19" s="3">
        <f>IFERROR(__xludf.DUMMYFUNCTION("""COMPUTED_VALUE"""),1.537922)</f>
        <v>1.537922</v>
      </c>
      <c r="J19" s="3">
        <f>IFERROR(__xludf.DUMMYFUNCTION("""COMPUTED_VALUE"""),1.9042731E7)</f>
        <v>19042731</v>
      </c>
      <c r="K19" s="3">
        <f>IFERROR(__xludf.DUMMYFUNCTION("""COMPUTED_VALUE"""),1.20819479624E8)</f>
        <v>120819479.6</v>
      </c>
      <c r="L19" s="3">
        <f>IFERROR(__xludf.DUMMYFUNCTION("""COMPUTED_VALUE"""),3.37355559704819E8)</f>
        <v>337355559.7</v>
      </c>
      <c r="M19" s="3">
        <f>IFERROR(__xludf.DUMMYFUNCTION("""COMPUTED_VALUE"""),1.3739430663771E7)</f>
        <v>13739430.66</v>
      </c>
      <c r="N19" s="3">
        <f>IFERROR(__xludf.DUMMYFUNCTION("""COMPUTED_VALUE"""),4.56489583401055E8)</f>
        <v>456489583.4</v>
      </c>
      <c r="O19" s="3">
        <f>IFERROR(__xludf.DUMMYFUNCTION("""COMPUTED_VALUE"""),977631.036951)</f>
        <v>977631.037</v>
      </c>
      <c r="P19" s="3">
        <f>IFERROR(__xludf.DUMMYFUNCTION("""COMPUTED_VALUE"""),3.91958099393145E8)</f>
        <v>391958099.4</v>
      </c>
      <c r="Q19" s="3">
        <f>IFERROR(__xludf.DUMMYFUNCTION("""COMPUTED_VALUE"""),3.61672823841227E8)</f>
        <v>361672823.8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IFERROR(__xludf.DUMMYFUNCTION("""COMPUTED_VALUE"""),30281.175993)</f>
        <v>30281.17599</v>
      </c>
      <c r="C20" s="3">
        <f>IFERROR(__xludf.DUMMYFUNCTION("""COMPUTED_VALUE"""),1913.050302)</f>
        <v>1913.050302</v>
      </c>
      <c r="D20" s="3">
        <f>IFERROR(__xludf.DUMMYFUNCTION("""COMPUTED_VALUE"""),49.873637)</f>
        <v>49.873637</v>
      </c>
      <c r="E20" s="3">
        <f>IFERROR(__xludf.DUMMYFUNCTION("""COMPUTED_VALUE"""),81.870482)</f>
        <v>81.870482</v>
      </c>
      <c r="F20" s="3">
        <f>IFERROR(__xludf.DUMMYFUNCTION("""COMPUTED_VALUE"""),4.922264)</f>
        <v>4.922264</v>
      </c>
      <c r="G20" s="3">
        <f>IFERROR(__xludf.DUMMYFUNCTION("""COMPUTED_VALUE"""),1432.219514)</f>
        <v>1432.219514</v>
      </c>
      <c r="H20" s="3">
        <f>IFERROR(__xludf.DUMMYFUNCTION("""COMPUTED_VALUE"""),1.228163)</f>
        <v>1.228163</v>
      </c>
      <c r="I20" s="3">
        <f>IFERROR(__xludf.DUMMYFUNCTION("""COMPUTED_VALUE"""),1.379683)</f>
        <v>1.379683</v>
      </c>
      <c r="J20" s="3">
        <f>IFERROR(__xludf.DUMMYFUNCTION("""COMPUTED_VALUE"""),1.9043568E7)</f>
        <v>19043568</v>
      </c>
      <c r="K20" s="3">
        <f>IFERROR(__xludf.DUMMYFUNCTION("""COMPUTED_VALUE"""),1.20832757624E8)</f>
        <v>120832757.6</v>
      </c>
      <c r="L20" s="3">
        <f>IFERROR(__xludf.DUMMYFUNCTION("""COMPUTED_VALUE"""),3.39137479377852E8)</f>
        <v>339137479.4</v>
      </c>
      <c r="M20" s="3">
        <f>IFERROR(__xludf.DUMMYFUNCTION("""COMPUTED_VALUE"""),1.3739777975918E7)</f>
        <v>13739777.98</v>
      </c>
      <c r="N20" s="3">
        <f>IFERROR(__xludf.DUMMYFUNCTION("""COMPUTED_VALUE"""),4.56489583401055E8)</f>
        <v>456489583.4</v>
      </c>
      <c r="O20" s="3">
        <f>IFERROR(__xludf.DUMMYFUNCTION("""COMPUTED_VALUE"""),977631.036951)</f>
        <v>977631.037</v>
      </c>
      <c r="P20" s="3">
        <f>IFERROR(__xludf.DUMMYFUNCTION("""COMPUTED_VALUE"""),3.91958099393145E8)</f>
        <v>391958099.4</v>
      </c>
      <c r="Q20" s="3">
        <f>IFERROR(__xludf.DUMMYFUNCTION("""COMPUTED_VALUE"""),3.6422477697328E8)</f>
        <v>364224777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IFERROR(__xludf.DUMMYFUNCTION("""COMPUTED_VALUE"""),29163.241708)</f>
        <v>29163.24171</v>
      </c>
      <c r="C21" s="3">
        <f>IFERROR(__xludf.DUMMYFUNCTION("""COMPUTED_VALUE"""),2016.952653)</f>
        <v>2016.952653</v>
      </c>
      <c r="D21" s="3">
        <f>IFERROR(__xludf.DUMMYFUNCTION("""COMPUTED_VALUE"""),52.125185)</f>
        <v>52.125185</v>
      </c>
      <c r="E21" s="3">
        <f>IFERROR(__xludf.DUMMYFUNCTION("""COMPUTED_VALUE"""),91.710091)</f>
        <v>91.710091</v>
      </c>
      <c r="F21" s="3">
        <f>IFERROR(__xludf.DUMMYFUNCTION("""COMPUTED_VALUE"""),5.185391)</f>
        <v>5.185391</v>
      </c>
      <c r="G21" s="3">
        <f>IFERROR(__xludf.DUMMYFUNCTION("""COMPUTED_VALUE"""),1433.37382)</f>
        <v>1433.37382</v>
      </c>
      <c r="H21" s="3">
        <f>IFERROR(__xludf.DUMMYFUNCTION("""COMPUTED_VALUE"""),1.079349)</f>
        <v>1.079349</v>
      </c>
      <c r="I21" s="3">
        <f>IFERROR(__xludf.DUMMYFUNCTION("""COMPUTED_VALUE"""),1.418789)</f>
        <v>1.418789</v>
      </c>
      <c r="J21" s="3">
        <f>IFERROR(__xludf.DUMMYFUNCTION("""COMPUTED_VALUE"""),1.9044331E7)</f>
        <v>19044331</v>
      </c>
      <c r="K21" s="3">
        <f>IFERROR(__xludf.DUMMYFUNCTION("""COMPUTED_VALUE"""),1.208455558115E8)</f>
        <v>120845555.8</v>
      </c>
      <c r="L21" s="3">
        <f>IFERROR(__xludf.DUMMYFUNCTION("""COMPUTED_VALUE"""),3.39137093231842E8)</f>
        <v>339137093.2</v>
      </c>
      <c r="M21" s="3">
        <f>IFERROR(__xludf.DUMMYFUNCTION("""COMPUTED_VALUE"""),1.3740264570167E7)</f>
        <v>13740264.57</v>
      </c>
      <c r="N21" s="3">
        <f>IFERROR(__xludf.DUMMYFUNCTION("""COMPUTED_VALUE"""),4.56489583401055E8)</f>
        <v>456489583.4</v>
      </c>
      <c r="O21" s="3">
        <f>IFERROR(__xludf.DUMMYFUNCTION("""COMPUTED_VALUE"""),977631.036951)</f>
        <v>977631.037</v>
      </c>
      <c r="P21" s="3">
        <f>IFERROR(__xludf.DUMMYFUNCTION("""COMPUTED_VALUE"""),3.91958099393145E8)</f>
        <v>391958099.4</v>
      </c>
      <c r="Q21" s="3">
        <f>IFERROR(__xludf.DUMMYFUNCTION("""COMPUTED_VALUE"""),3.68216096518682E8)</f>
        <v>368216096.5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IFERROR(__xludf.DUMMYFUNCTION("""COMPUTED_VALUE"""),29439.303354)</f>
        <v>29439.30335</v>
      </c>
      <c r="C22" s="3">
        <f>IFERROR(__xludf.DUMMYFUNCTION("""COMPUTED_VALUE"""),1956.668407)</f>
        <v>1956.668407</v>
      </c>
      <c r="D22" s="3">
        <f>IFERROR(__xludf.DUMMYFUNCTION("""COMPUTED_VALUE"""),49.368749)</f>
        <v>49.368749</v>
      </c>
      <c r="E22" s="3">
        <f>IFERROR(__xludf.DUMMYFUNCTION("""COMPUTED_VALUE"""),90.133435)</f>
        <v>90.133435</v>
      </c>
      <c r="F22" s="3">
        <f>IFERROR(__xludf.DUMMYFUNCTION("""COMPUTED_VALUE"""),5.088243)</f>
        <v>5.088243</v>
      </c>
      <c r="G22" s="3">
        <f>IFERROR(__xludf.DUMMYFUNCTION("""COMPUTED_VALUE"""),1391.474934)</f>
        <v>1391.474934</v>
      </c>
      <c r="H22" s="3">
        <f>IFERROR(__xludf.DUMMYFUNCTION("""COMPUTED_VALUE"""),1.127977)</f>
        <v>1.127977</v>
      </c>
      <c r="I22" s="3">
        <f>IFERROR(__xludf.DUMMYFUNCTION("""COMPUTED_VALUE"""),1.320484)</f>
        <v>1.320484</v>
      </c>
      <c r="J22" s="3">
        <f>IFERROR(__xludf.DUMMYFUNCTION("""COMPUTED_VALUE"""),1.9045131E7)</f>
        <v>19045131</v>
      </c>
      <c r="K22" s="3">
        <f>IFERROR(__xludf.DUMMYFUNCTION("""COMPUTED_VALUE"""),1.208584165615E8)</f>
        <v>120858416.6</v>
      </c>
      <c r="L22" s="3">
        <f>IFERROR(__xludf.DUMMYFUNCTION("""COMPUTED_VALUE"""),3.39136570131434E8)</f>
        <v>339136570.1</v>
      </c>
      <c r="M22" s="3">
        <f>IFERROR(__xludf.DUMMYFUNCTION("""COMPUTED_VALUE"""),1.3740382806348E7)</f>
        <v>13740382.81</v>
      </c>
      <c r="N22" s="3">
        <f>IFERROR(__xludf.DUMMYFUNCTION("""COMPUTED_VALUE"""),4.56489583401055E8)</f>
        <v>456489583.4</v>
      </c>
      <c r="O22" s="3">
        <f>IFERROR(__xludf.DUMMYFUNCTION("""COMPUTED_VALUE"""),977631.036951)</f>
        <v>977631.037</v>
      </c>
      <c r="P22" s="3">
        <f>IFERROR(__xludf.DUMMYFUNCTION("""COMPUTED_VALUE"""),3.91958099393145E8)</f>
        <v>391958099.4</v>
      </c>
      <c r="Q22" s="3">
        <f>IFERROR(__xludf.DUMMYFUNCTION("""COMPUTED_VALUE"""),3.70220011593175E8)</f>
        <v>370220011.6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IFERROR(__xludf.DUMMYFUNCTION("""COMPUTED_VALUE"""),30259.633249)</f>
        <v>30259.63325</v>
      </c>
      <c r="C23" s="3">
        <f>IFERROR(__xludf.DUMMYFUNCTION("""COMPUTED_VALUE"""),1972.557944)</f>
        <v>1972.557944</v>
      </c>
      <c r="D23" s="3">
        <f>IFERROR(__xludf.DUMMYFUNCTION("""COMPUTED_VALUE"""),50.241556)</f>
        <v>50.241556</v>
      </c>
      <c r="E23" s="3">
        <f>IFERROR(__xludf.DUMMYFUNCTION("""COMPUTED_VALUE"""),91.162551)</f>
        <v>91.162551</v>
      </c>
      <c r="F23" s="3">
        <f>IFERROR(__xludf.DUMMYFUNCTION("""COMPUTED_VALUE"""),5.22356)</f>
        <v>5.22356</v>
      </c>
      <c r="G23" s="3">
        <f>IFERROR(__xludf.DUMMYFUNCTION("""COMPUTED_VALUE"""),1398.341332)</f>
        <v>1398.341332</v>
      </c>
      <c r="H23" s="3">
        <f>IFERROR(__xludf.DUMMYFUNCTION("""COMPUTED_VALUE"""),1.211265)</f>
        <v>1.211265</v>
      </c>
      <c r="I23" s="3">
        <f>IFERROR(__xludf.DUMMYFUNCTION("""COMPUTED_VALUE"""),1.319334)</f>
        <v>1.319334</v>
      </c>
      <c r="J23" s="3">
        <f>IFERROR(__xludf.DUMMYFUNCTION("""COMPUTED_VALUE"""),1.9045987E7)</f>
        <v>19045987</v>
      </c>
      <c r="K23" s="3">
        <f>IFERROR(__xludf.DUMMYFUNCTION("""COMPUTED_VALUE"""),1.208712695615E8)</f>
        <v>120871269.6</v>
      </c>
      <c r="L23" s="3">
        <f>IFERROR(__xludf.DUMMYFUNCTION("""COMPUTED_VALUE"""),3.39268583956003E8)</f>
        <v>339268584</v>
      </c>
      <c r="M23" s="3">
        <f>IFERROR(__xludf.DUMMYFUNCTION("""COMPUTED_VALUE"""),1.374057886971E7)</f>
        <v>13740578.87</v>
      </c>
      <c r="N23" s="3">
        <f>IFERROR(__xludf.DUMMYFUNCTION("""COMPUTED_VALUE"""),4.56489583401055E8)</f>
        <v>456489583.4</v>
      </c>
      <c r="O23" s="3">
        <f>IFERROR(__xludf.DUMMYFUNCTION("""COMPUTED_VALUE"""),977631.036951)</f>
        <v>977631.037</v>
      </c>
      <c r="P23" s="3">
        <f>IFERROR(__xludf.DUMMYFUNCTION("""COMPUTED_VALUE"""),3.91958099393145E8)</f>
        <v>391958099.4</v>
      </c>
      <c r="Q23" s="3">
        <f>IFERROR(__xludf.DUMMYFUNCTION("""COMPUTED_VALUE"""),3.72285401488625E8)</f>
        <v>372285401.5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IFERROR(__xludf.DUMMYFUNCTION("""COMPUTED_VALUE"""),29080.601914)</f>
        <v>29080.60191</v>
      </c>
      <c r="C24" s="3">
        <f>IFERROR(__xludf.DUMMYFUNCTION("""COMPUTED_VALUE"""),2040.481354)</f>
        <v>2040.481354</v>
      </c>
      <c r="D24" s="3">
        <f>IFERROR(__xludf.DUMMYFUNCTION("""COMPUTED_VALUE"""),52.407203)</f>
        <v>52.407203</v>
      </c>
      <c r="E24" s="3">
        <f>IFERROR(__xludf.DUMMYFUNCTION("""COMPUTED_VALUE"""),93.996349)</f>
        <v>93.996349</v>
      </c>
      <c r="F24" s="3">
        <f>IFERROR(__xludf.DUMMYFUNCTION("""COMPUTED_VALUE"""),5.47627)</f>
        <v>5.47627</v>
      </c>
      <c r="G24" s="3">
        <f>IFERROR(__xludf.DUMMYFUNCTION("""COMPUTED_VALUE"""),1429.822309)</f>
        <v>1429.822309</v>
      </c>
      <c r="H24" s="3">
        <f>IFERROR(__xludf.DUMMYFUNCTION("""COMPUTED_VALUE"""),1.272592)</f>
        <v>1.272592</v>
      </c>
      <c r="I24" s="3">
        <f>IFERROR(__xludf.DUMMYFUNCTION("""COMPUTED_VALUE"""),1.324456)</f>
        <v>1.324456</v>
      </c>
      <c r="J24" s="3">
        <f>IFERROR(__xludf.DUMMYFUNCTION("""COMPUTED_VALUE"""),1.9046768E7)</f>
        <v>19046768</v>
      </c>
      <c r="K24" s="3">
        <f>IFERROR(__xludf.DUMMYFUNCTION("""COMPUTED_VALUE"""),1.208841323115E8)</f>
        <v>120884132.3</v>
      </c>
      <c r="L24" s="3">
        <f>IFERROR(__xludf.DUMMYFUNCTION("""COMPUTED_VALUE"""),3.3926810843665E8)</f>
        <v>339268108.4</v>
      </c>
      <c r="M24" s="3">
        <f>IFERROR(__xludf.DUMMYFUNCTION("""COMPUTED_VALUE"""),1.3741188314339E7)</f>
        <v>13741188.31</v>
      </c>
      <c r="N24" s="3">
        <f>IFERROR(__xludf.DUMMYFUNCTION("""COMPUTED_VALUE"""),4.56489583401055E8)</f>
        <v>456489583.4</v>
      </c>
      <c r="O24" s="3">
        <f>IFERROR(__xludf.DUMMYFUNCTION("""COMPUTED_VALUE"""),977631.036951)</f>
        <v>977631.037</v>
      </c>
      <c r="P24" s="3">
        <f>IFERROR(__xludf.DUMMYFUNCTION("""COMPUTED_VALUE"""),3.91958099393145E8)</f>
        <v>391958099.4</v>
      </c>
      <c r="Q24" s="3">
        <f>IFERROR(__xludf.DUMMYFUNCTION("""COMPUTED_VALUE"""),3.74313692753636E8)</f>
        <v>374313692.8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IFERROR(__xludf.DUMMYFUNCTION("""COMPUTED_VALUE"""),29624.359243)</f>
        <v>29624.35924</v>
      </c>
      <c r="C25" s="3">
        <f>IFERROR(__xludf.DUMMYFUNCTION("""COMPUTED_VALUE"""),1971.310984)</f>
        <v>1971.310984</v>
      </c>
      <c r="D25" s="3">
        <f>IFERROR(__xludf.DUMMYFUNCTION("""COMPUTED_VALUE"""),49.101744)</f>
        <v>49.101744</v>
      </c>
      <c r="E25" s="3">
        <f>IFERROR(__xludf.DUMMYFUNCTION("""COMPUTED_VALUE"""),99.176523)</f>
        <v>99.176523</v>
      </c>
      <c r="F25" s="3">
        <f>IFERROR(__xludf.DUMMYFUNCTION("""COMPUTED_VALUE"""),5.625066)</f>
        <v>5.625066</v>
      </c>
      <c r="G25" s="3">
        <f>IFERROR(__xludf.DUMMYFUNCTION("""COMPUTED_VALUE"""),1302.794573)</f>
        <v>1302.794573</v>
      </c>
      <c r="H25" s="3">
        <f>IFERROR(__xludf.DUMMYFUNCTION("""COMPUTED_VALUE"""),1.29893)</f>
        <v>1.29893</v>
      </c>
      <c r="I25" s="3">
        <f>IFERROR(__xludf.DUMMYFUNCTION("""COMPUTED_VALUE"""),1.169524)</f>
        <v>1.169524</v>
      </c>
      <c r="J25" s="3">
        <f>IFERROR(__xludf.DUMMYFUNCTION("""COMPUTED_VALUE"""),1.904775E7)</f>
        <v>19047750</v>
      </c>
      <c r="K25" s="3">
        <f>IFERROR(__xludf.DUMMYFUNCTION("""COMPUTED_VALUE"""),1.208970743115E8)</f>
        <v>120897074.3</v>
      </c>
      <c r="L25" s="3">
        <f>IFERROR(__xludf.DUMMYFUNCTION("""COMPUTED_VALUE"""),3.39268323124079E8)</f>
        <v>339268323.1</v>
      </c>
      <c r="M25" s="3">
        <f>IFERROR(__xludf.DUMMYFUNCTION("""COMPUTED_VALUE"""),1.3741518392489E7)</f>
        <v>13741518.39</v>
      </c>
      <c r="N25" s="3">
        <f>IFERROR(__xludf.DUMMYFUNCTION("""COMPUTED_VALUE"""),4.56489583401055E8)</f>
        <v>456489583.4</v>
      </c>
      <c r="O25" s="3">
        <f>IFERROR(__xludf.DUMMYFUNCTION("""COMPUTED_VALUE"""),977631.036951)</f>
        <v>977631.037</v>
      </c>
      <c r="P25" s="3">
        <f>IFERROR(__xludf.DUMMYFUNCTION("""COMPUTED_VALUE"""),3.91958099393145E8)</f>
        <v>391958099.4</v>
      </c>
      <c r="Q25" s="3">
        <f>IFERROR(__xludf.DUMMYFUNCTION("""COMPUTED_VALUE"""),3.76316694534736E8)</f>
        <v>376316694.5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IFERROR(__xludf.DUMMYFUNCTION("""COMPUTED_VALUE"""),29511.77479)</f>
        <v>29511.77479</v>
      </c>
      <c r="C26" s="3">
        <f>IFERROR(__xludf.DUMMYFUNCTION("""COMPUTED_VALUE"""),1977.234532)</f>
        <v>1977.234532</v>
      </c>
      <c r="D26" s="3">
        <f>IFERROR(__xludf.DUMMYFUNCTION("""COMPUTED_VALUE"""),49.609853)</f>
        <v>49.609853</v>
      </c>
      <c r="E26" s="3">
        <f>IFERROR(__xludf.DUMMYFUNCTION("""COMPUTED_VALUE"""),106.403542)</f>
        <v>106.403542</v>
      </c>
      <c r="F26" s="3">
        <f>IFERROR(__xludf.DUMMYFUNCTION("""COMPUTED_VALUE"""),5.590588)</f>
        <v>5.590588</v>
      </c>
      <c r="G26" s="3">
        <f>IFERROR(__xludf.DUMMYFUNCTION("""COMPUTED_VALUE"""),1292.769131)</f>
        <v>1292.769131</v>
      </c>
      <c r="H26" s="3">
        <f>IFERROR(__xludf.DUMMYFUNCTION("""COMPUTED_VALUE"""),1.255562)</f>
        <v>1.255562</v>
      </c>
      <c r="I26" s="3">
        <f>IFERROR(__xludf.DUMMYFUNCTION("""COMPUTED_VALUE"""),1.099717)</f>
        <v>1.099717</v>
      </c>
      <c r="J26" s="3">
        <f>IFERROR(__xludf.DUMMYFUNCTION("""COMPUTED_VALUE"""),1.9048525E7)</f>
        <v>19048525</v>
      </c>
      <c r="K26" s="3">
        <f>IFERROR(__xludf.DUMMYFUNCTION("""COMPUTED_VALUE"""),1.20909903999E8)</f>
        <v>120909904</v>
      </c>
      <c r="L26" s="3">
        <f>IFERROR(__xludf.DUMMYFUNCTION("""COMPUTED_VALUE"""),3.39267951926586E8)</f>
        <v>339267951.9</v>
      </c>
      <c r="M26" s="3">
        <f>IFERROR(__xludf.DUMMYFUNCTION("""COMPUTED_VALUE"""),1.38678387261E7)</f>
        <v>13867838.73</v>
      </c>
      <c r="N26" s="3">
        <f>IFERROR(__xludf.DUMMYFUNCTION("""COMPUTED_VALUE"""),4.56489583401055E8)</f>
        <v>456489583.4</v>
      </c>
      <c r="O26" s="3">
        <f>IFERROR(__xludf.DUMMYFUNCTION("""COMPUTED_VALUE"""),977631.036951)</f>
        <v>977631.037</v>
      </c>
      <c r="P26" s="3">
        <f>IFERROR(__xludf.DUMMYFUNCTION("""COMPUTED_VALUE"""),3.91958099393145E8)</f>
        <v>391958099.4</v>
      </c>
      <c r="Q26" s="3">
        <f>IFERROR(__xludf.DUMMYFUNCTION("""COMPUTED_VALUE"""),3.78332294398226E8)</f>
        <v>378332294.4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IFERROR(__xludf.DUMMYFUNCTION("""COMPUTED_VALUE"""),29167.964539)</f>
        <v>29167.96454</v>
      </c>
      <c r="C27" s="3">
        <f>IFERROR(__xludf.DUMMYFUNCTION("""COMPUTED_VALUE"""),1940.318059)</f>
        <v>1940.318059</v>
      </c>
      <c r="D27" s="3">
        <f>IFERROR(__xludf.DUMMYFUNCTION("""COMPUTED_VALUE"""),47.912399)</f>
        <v>47.912399</v>
      </c>
      <c r="E27" s="3">
        <f>IFERROR(__xludf.DUMMYFUNCTION("""COMPUTED_VALUE"""),101.925442)</f>
        <v>101.925442</v>
      </c>
      <c r="F27" s="3">
        <f>IFERROR(__xludf.DUMMYFUNCTION("""COMPUTED_VALUE"""),5.618831)</f>
        <v>5.618831</v>
      </c>
      <c r="G27" s="3">
        <f>IFERROR(__xludf.DUMMYFUNCTION("""COMPUTED_VALUE"""),1260.950226)</f>
        <v>1260.950226</v>
      </c>
      <c r="H27" s="3">
        <f>IFERROR(__xludf.DUMMYFUNCTION("""COMPUTED_VALUE"""),1.232968)</f>
        <v>1.232968</v>
      </c>
      <c r="I27" s="3">
        <f>IFERROR(__xludf.DUMMYFUNCTION("""COMPUTED_VALUE"""),1.086791)</f>
        <v>1.086791</v>
      </c>
      <c r="J27" s="3">
        <f>IFERROR(__xludf.DUMMYFUNCTION("""COMPUTED_VALUE"""),1.90494E7)</f>
        <v>19049400</v>
      </c>
      <c r="K27" s="3">
        <f>IFERROR(__xludf.DUMMYFUNCTION("""COMPUTED_VALUE"""),1.20922857999E8)</f>
        <v>120922858</v>
      </c>
      <c r="L27" s="3">
        <f>IFERROR(__xludf.DUMMYFUNCTION("""COMPUTED_VALUE"""),3.39399154402711E8)</f>
        <v>339399154.4</v>
      </c>
      <c r="M27" s="3">
        <f>IFERROR(__xludf.DUMMYFUNCTION("""COMPUTED_VALUE"""),1.3868266051267E7)</f>
        <v>13868266.05</v>
      </c>
      <c r="N27" s="3">
        <f>IFERROR(__xludf.DUMMYFUNCTION("""COMPUTED_VALUE"""),4.56489583401055E8)</f>
        <v>456489583.4</v>
      </c>
      <c r="O27" s="3">
        <f>IFERROR(__xludf.DUMMYFUNCTION("""COMPUTED_VALUE"""),977631.036951)</f>
        <v>977631.037</v>
      </c>
      <c r="P27" s="3">
        <f>IFERROR(__xludf.DUMMYFUNCTION("""COMPUTED_VALUE"""),3.91958099393145E8)</f>
        <v>391958099.4</v>
      </c>
      <c r="Q27" s="3">
        <f>IFERROR(__xludf.DUMMYFUNCTION("""COMPUTED_VALUE"""),3.80346611123695E8)</f>
        <v>380346611.1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IFERROR(__xludf.DUMMYFUNCTION("""COMPUTED_VALUE"""),28597.029821)</f>
        <v>28597.02982</v>
      </c>
      <c r="C28" s="3">
        <f>IFERROR(__xludf.DUMMYFUNCTION("""COMPUTED_VALUE"""),1790.309723)</f>
        <v>1790.309723</v>
      </c>
      <c r="D28" s="3">
        <f>IFERROR(__xludf.DUMMYFUNCTION("""COMPUTED_VALUE"""),43.394001)</f>
        <v>43.394001</v>
      </c>
      <c r="E28" s="3">
        <f>IFERROR(__xludf.DUMMYFUNCTION("""COMPUTED_VALUE"""),100.896645)</f>
        <v>100.896645</v>
      </c>
      <c r="F28" s="3">
        <f>IFERROR(__xludf.DUMMYFUNCTION("""COMPUTED_VALUE"""),4.942806)</f>
        <v>4.942806</v>
      </c>
      <c r="G28" s="3">
        <f>IFERROR(__xludf.DUMMYFUNCTION("""COMPUTED_VALUE"""),1148.732535)</f>
        <v>1148.732535</v>
      </c>
      <c r="H28" s="3">
        <f>IFERROR(__xludf.DUMMYFUNCTION("""COMPUTED_VALUE"""),1.205091)</f>
        <v>1.205091</v>
      </c>
      <c r="I28" s="3">
        <f>IFERROR(__xludf.DUMMYFUNCTION("""COMPUTED_VALUE"""),1.001103)</f>
        <v>1.001103</v>
      </c>
      <c r="J28" s="3">
        <f>IFERROR(__xludf.DUMMYFUNCTION("""COMPUTED_VALUE"""),1.905025E7)</f>
        <v>19050250</v>
      </c>
      <c r="K28" s="3">
        <f>IFERROR(__xludf.DUMMYFUNCTION("""COMPUTED_VALUE"""),1.20935665624E8)</f>
        <v>120935665.6</v>
      </c>
      <c r="L28" s="3">
        <f>IFERROR(__xludf.DUMMYFUNCTION("""COMPUTED_VALUE"""),3.39398777635019E8)</f>
        <v>339398777.6</v>
      </c>
      <c r="M28" s="3">
        <f>IFERROR(__xludf.DUMMYFUNCTION("""COMPUTED_VALUE"""),1.3868450653964E7)</f>
        <v>13868450.65</v>
      </c>
      <c r="N28" s="3">
        <f>IFERROR(__xludf.DUMMYFUNCTION("""COMPUTED_VALUE"""),4.56489583401055E8)</f>
        <v>456489583.4</v>
      </c>
      <c r="O28" s="3">
        <f>IFERROR(__xludf.DUMMYFUNCTION("""COMPUTED_VALUE"""),977631.036951)</f>
        <v>977631.037</v>
      </c>
      <c r="P28" s="3">
        <f>IFERROR(__xludf.DUMMYFUNCTION("""COMPUTED_VALUE"""),3.91958099393145E8)</f>
        <v>391958099.4</v>
      </c>
      <c r="Q28" s="3">
        <f>IFERROR(__xludf.DUMMYFUNCTION("""COMPUTED_VALUE"""),3.82363377476296E8)</f>
        <v>382363377.5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IFERROR(__xludf.DUMMYFUNCTION("""COMPUTED_VALUE"""),29009.301507)</f>
        <v>29009.30151</v>
      </c>
      <c r="C29" s="3">
        <f>IFERROR(__xludf.DUMMYFUNCTION("""COMPUTED_VALUE"""),1725.462226)</f>
        <v>1725.462226</v>
      </c>
      <c r="D29" s="3">
        <f>IFERROR(__xludf.DUMMYFUNCTION("""COMPUTED_VALUE"""),41.136324)</f>
        <v>41.136324</v>
      </c>
      <c r="E29" s="3">
        <f>IFERROR(__xludf.DUMMYFUNCTION("""COMPUTED_VALUE"""),92.320174)</f>
        <v>92.320174</v>
      </c>
      <c r="F29" s="3">
        <f>IFERROR(__xludf.DUMMYFUNCTION("""COMPUTED_VALUE"""),4.692841)</f>
        <v>4.692841</v>
      </c>
      <c r="G29" s="3">
        <f>IFERROR(__xludf.DUMMYFUNCTION("""COMPUTED_VALUE"""),1119.690848)</f>
        <v>1119.690848</v>
      </c>
      <c r="H29" s="3">
        <f>IFERROR(__xludf.DUMMYFUNCTION("""COMPUTED_VALUE"""),1.171713)</f>
        <v>1.171713</v>
      </c>
      <c r="I29" s="3">
        <f>IFERROR(__xludf.DUMMYFUNCTION("""COMPUTED_VALUE"""),1.082203)</f>
        <v>1.082203</v>
      </c>
      <c r="J29" s="3">
        <f>IFERROR(__xludf.DUMMYFUNCTION("""COMPUTED_VALUE"""),1.905115E7)</f>
        <v>19051150</v>
      </c>
      <c r="K29" s="3">
        <f>IFERROR(__xludf.DUMMYFUNCTION("""COMPUTED_VALUE"""),1.209486384365E8)</f>
        <v>120948638.4</v>
      </c>
      <c r="L29" s="3">
        <f>IFERROR(__xludf.DUMMYFUNCTION("""COMPUTED_VALUE"""),3.39398371088557E8)</f>
        <v>339398371.1</v>
      </c>
      <c r="M29" s="3">
        <f>IFERROR(__xludf.DUMMYFUNCTION("""COMPUTED_VALUE"""),1.3868571145333E7)</f>
        <v>13868571.15</v>
      </c>
      <c r="N29" s="3">
        <f>IFERROR(__xludf.DUMMYFUNCTION("""COMPUTED_VALUE"""),4.56489583401055E8)</f>
        <v>456489583.4</v>
      </c>
      <c r="O29" s="3">
        <f>IFERROR(__xludf.DUMMYFUNCTION("""COMPUTED_VALUE"""),977631.036951)</f>
        <v>977631.037</v>
      </c>
      <c r="P29" s="3">
        <f>IFERROR(__xludf.DUMMYFUNCTION("""COMPUTED_VALUE"""),3.91958099393145E8)</f>
        <v>391958099.4</v>
      </c>
      <c r="Q29" s="3">
        <f>IFERROR(__xludf.DUMMYFUNCTION("""COMPUTED_VALUE"""),3.84392391964556E8)</f>
        <v>384392392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IFERROR(__xludf.DUMMYFUNCTION("""COMPUTED_VALUE"""),29452.109529)</f>
        <v>29452.10953</v>
      </c>
      <c r="C30" s="3">
        <f>IFERROR(__xludf.DUMMYFUNCTION("""COMPUTED_VALUE"""),1790.896078)</f>
        <v>1790.896078</v>
      </c>
      <c r="D30" s="3">
        <f>IFERROR(__xludf.DUMMYFUNCTION("""COMPUTED_VALUE"""),44.210894)</f>
        <v>44.210894</v>
      </c>
      <c r="E30" s="3">
        <f>IFERROR(__xludf.DUMMYFUNCTION("""COMPUTED_VALUE"""),95.399369)</f>
        <v>95.399369</v>
      </c>
      <c r="F30" s="3">
        <f>IFERROR(__xludf.DUMMYFUNCTION("""COMPUTED_VALUE"""),4.980048)</f>
        <v>4.980048</v>
      </c>
      <c r="G30" s="3">
        <f>IFERROR(__xludf.DUMMYFUNCTION("""COMPUTED_VALUE"""),1209.725863)</f>
        <v>1209.725863</v>
      </c>
      <c r="H30" s="3">
        <f>IFERROR(__xludf.DUMMYFUNCTION("""COMPUTED_VALUE"""),1.218375)</f>
        <v>1.218375</v>
      </c>
      <c r="I30" s="3">
        <f>IFERROR(__xludf.DUMMYFUNCTION("""COMPUTED_VALUE"""),1.039655)</f>
        <v>1.039655</v>
      </c>
      <c r="J30" s="3">
        <f>IFERROR(__xludf.DUMMYFUNCTION("""COMPUTED_VALUE"""),1.9052093E7)</f>
        <v>19052093</v>
      </c>
      <c r="K30" s="3">
        <f>IFERROR(__xludf.DUMMYFUNCTION("""COMPUTED_VALUE"""),1.209615156865E8)</f>
        <v>120961515.7</v>
      </c>
      <c r="L30" s="3">
        <f>IFERROR(__xludf.DUMMYFUNCTION("""COMPUTED_VALUE"""),3.39530156782251E8)</f>
        <v>339530156.8</v>
      </c>
      <c r="M30" s="3">
        <f>IFERROR(__xludf.DUMMYFUNCTION("""COMPUTED_VALUE"""),1.3868703616022E7)</f>
        <v>13868703.62</v>
      </c>
      <c r="N30" s="3">
        <f>IFERROR(__xludf.DUMMYFUNCTION("""COMPUTED_VALUE"""),4.56489583401055E8)</f>
        <v>456489583.4</v>
      </c>
      <c r="O30" s="3">
        <f>IFERROR(__xludf.DUMMYFUNCTION("""COMPUTED_VALUE"""),977631.036951)</f>
        <v>977631.037</v>
      </c>
      <c r="P30" s="3">
        <f>IFERROR(__xludf.DUMMYFUNCTION("""COMPUTED_VALUE"""),3.91958099393145E8)</f>
        <v>391958099.4</v>
      </c>
      <c r="Q30" s="3">
        <f>IFERROR(__xludf.DUMMYFUNCTION("""COMPUTED_VALUE"""),3.86395277096744E8)</f>
        <v>386395277.1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IFERROR(__xludf.DUMMYFUNCTION("""COMPUTED_VALUE"""),31708.966946)</f>
        <v>31708.96695</v>
      </c>
      <c r="C31" s="3">
        <f>IFERROR(__xludf.DUMMYFUNCTION("""COMPUTED_VALUE"""),1812.714869)</f>
        <v>1812.714869</v>
      </c>
      <c r="D31" s="3">
        <f>IFERROR(__xludf.DUMMYFUNCTION("""COMPUTED_VALUE"""),44.960477)</f>
        <v>44.960477</v>
      </c>
      <c r="E31" s="3">
        <f>IFERROR(__xludf.DUMMYFUNCTION("""COMPUTED_VALUE"""),95.413491)</f>
        <v>95.413491</v>
      </c>
      <c r="F31" s="3">
        <f>IFERROR(__xludf.DUMMYFUNCTION("""COMPUTED_VALUE"""),4.942211)</f>
        <v>4.942211</v>
      </c>
      <c r="G31" s="3">
        <f>IFERROR(__xludf.DUMMYFUNCTION("""COMPUTED_VALUE"""),1193.138958)</f>
        <v>1193.138958</v>
      </c>
      <c r="H31" s="3">
        <f>IFERROR(__xludf.DUMMYFUNCTION("""COMPUTED_VALUE"""),1.254631)</f>
        <v>1.254631</v>
      </c>
      <c r="I31" s="3">
        <f>IFERROR(__xludf.DUMMYFUNCTION("""COMPUTED_VALUE"""),1.163036)</f>
        <v>1.163036</v>
      </c>
      <c r="J31" s="3">
        <f>IFERROR(__xludf.DUMMYFUNCTION("""COMPUTED_VALUE"""),1.9053031E7)</f>
        <v>19053031</v>
      </c>
      <c r="K31" s="3">
        <f>IFERROR(__xludf.DUMMYFUNCTION("""COMPUTED_VALUE"""),1.209744000615E8)</f>
        <v>120974400.1</v>
      </c>
      <c r="L31" s="3">
        <f>IFERROR(__xludf.DUMMYFUNCTION("""COMPUTED_VALUE"""),3.39529760749404E8)</f>
        <v>339529760.7</v>
      </c>
      <c r="M31" s="3">
        <f>IFERROR(__xludf.DUMMYFUNCTION("""COMPUTED_VALUE"""),1.3869745501634E7)</f>
        <v>13869745.5</v>
      </c>
      <c r="N31" s="3">
        <f>IFERROR(__xludf.DUMMYFUNCTION("""COMPUTED_VALUE"""),4.56489583401055E8)</f>
        <v>456489583.4</v>
      </c>
      <c r="O31" s="3">
        <f>IFERROR(__xludf.DUMMYFUNCTION("""COMPUTED_VALUE"""),977631.036951)</f>
        <v>977631.037</v>
      </c>
      <c r="P31" s="3">
        <f>IFERROR(__xludf.DUMMYFUNCTION("""COMPUTED_VALUE"""),3.91958099393145E8)</f>
        <v>391958099.4</v>
      </c>
      <c r="Q31" s="3">
        <f>IFERROR(__xludf.DUMMYFUNCTION("""COMPUTED_VALUE"""),3.89242670896532E8)</f>
        <v>389242670.9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IFERROR(__xludf.DUMMYFUNCTION("""COMPUTED_VALUE"""),31771.389376)</f>
        <v>31771.38938</v>
      </c>
      <c r="C32" s="3">
        <f>IFERROR(__xludf.DUMMYFUNCTION("""COMPUTED_VALUE"""),1996.563513)</f>
        <v>1996.563513</v>
      </c>
      <c r="D32" s="3">
        <f>IFERROR(__xludf.DUMMYFUNCTION("""COMPUTED_VALUE"""),47.177405)</f>
        <v>47.177405</v>
      </c>
      <c r="E32" s="3">
        <f>IFERROR(__xludf.DUMMYFUNCTION("""COMPUTED_VALUE"""),117.207908)</f>
        <v>117.207908</v>
      </c>
      <c r="F32" s="3">
        <f>IFERROR(__xludf.DUMMYFUNCTION("""COMPUTED_VALUE"""),5.652219)</f>
        <v>5.652219</v>
      </c>
      <c r="G32" s="3">
        <f>IFERROR(__xludf.DUMMYFUNCTION("""COMPUTED_VALUE"""),1369.335622)</f>
        <v>1369.335622</v>
      </c>
      <c r="H32" s="3">
        <f>IFERROR(__xludf.DUMMYFUNCTION("""COMPUTED_VALUE"""),1.386603)</f>
        <v>1.386603</v>
      </c>
      <c r="I32" s="3">
        <f>IFERROR(__xludf.DUMMYFUNCTION("""COMPUTED_VALUE"""),1.212005)</f>
        <v>1.212005</v>
      </c>
      <c r="J32" s="3">
        <f>IFERROR(__xludf.DUMMYFUNCTION("""COMPUTED_VALUE"""),1.9053962E7)</f>
        <v>19053962</v>
      </c>
      <c r="K32" s="3">
        <f>IFERROR(__xludf.DUMMYFUNCTION("""COMPUTED_VALUE"""),1.209872555615E8)</f>
        <v>120987255.6</v>
      </c>
      <c r="L32" s="3">
        <f>IFERROR(__xludf.DUMMYFUNCTION("""COMPUTED_VALUE"""),3.39529350680469E8)</f>
        <v>339529350.7</v>
      </c>
      <c r="M32" s="3">
        <f>IFERROR(__xludf.DUMMYFUNCTION("""COMPUTED_VALUE"""),1.388106468028E7)</f>
        <v>13881064.68</v>
      </c>
      <c r="N32" s="3">
        <f>IFERROR(__xludf.DUMMYFUNCTION("""COMPUTED_VALUE"""),4.56489583401055E8)</f>
        <v>456489583.4</v>
      </c>
      <c r="O32" s="3">
        <f>IFERROR(__xludf.DUMMYFUNCTION("""COMPUTED_VALUE"""),977631.036951)</f>
        <v>977631.037</v>
      </c>
      <c r="P32" s="3">
        <f>IFERROR(__xludf.DUMMYFUNCTION("""COMPUTED_VALUE"""),3.91958099393145E8)</f>
        <v>391958099.4</v>
      </c>
      <c r="Q32" s="3">
        <f>IFERROR(__xludf.DUMMYFUNCTION("""COMPUTED_VALUE"""),3.91270798853067E8)</f>
        <v>391270798.9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IFERROR(__xludf.DUMMYFUNCTION("""COMPUTED_VALUE"""),29788.693905)</f>
        <v>29788.69391</v>
      </c>
      <c r="C33" s="3">
        <f>IFERROR(__xludf.DUMMYFUNCTION("""COMPUTED_VALUE"""),1940.436137)</f>
        <v>1940.436137</v>
      </c>
      <c r="D33" s="3">
        <f>IFERROR(__xludf.DUMMYFUNCTION("""COMPUTED_VALUE"""),45.746213)</f>
        <v>45.746213</v>
      </c>
      <c r="E33" s="3">
        <f>IFERROR(__xludf.DUMMYFUNCTION("""COMPUTED_VALUE"""),112.828191)</f>
        <v>112.828191</v>
      </c>
      <c r="F33" s="3">
        <f>IFERROR(__xludf.DUMMYFUNCTION("""COMPUTED_VALUE"""),5.687735)</f>
        <v>5.687735</v>
      </c>
      <c r="G33" s="3">
        <f>IFERROR(__xludf.DUMMYFUNCTION("""COMPUTED_VALUE"""),1321.135149)</f>
        <v>1321.135149</v>
      </c>
      <c r="H33" s="3">
        <f>IFERROR(__xludf.DUMMYFUNCTION("""COMPUTED_VALUE"""),1.380196)</f>
        <v>1.380196</v>
      </c>
      <c r="I33" s="3">
        <f>IFERROR(__xludf.DUMMYFUNCTION("""COMPUTED_VALUE"""),1.050571)</f>
        <v>1.050571</v>
      </c>
      <c r="J33" s="3">
        <f>IFERROR(__xludf.DUMMYFUNCTION("""COMPUTED_VALUE"""),1.9054856E7)</f>
        <v>19054856</v>
      </c>
      <c r="K33" s="3">
        <f>IFERROR(__xludf.DUMMYFUNCTION("""COMPUTED_VALUE"""),1.210000684365E8)</f>
        <v>121000068.4</v>
      </c>
      <c r="L33" s="3">
        <f>IFERROR(__xludf.DUMMYFUNCTION("""COMPUTED_VALUE"""),3.39963394207574E8)</f>
        <v>339963394.2</v>
      </c>
      <c r="M33" s="3">
        <f>IFERROR(__xludf.DUMMYFUNCTION("""COMPUTED_VALUE"""),1.388131789986E7)</f>
        <v>13881317.9</v>
      </c>
      <c r="N33" s="3">
        <f>IFERROR(__xludf.DUMMYFUNCTION("""COMPUTED_VALUE"""),4.56489583401055E8)</f>
        <v>456489583.4</v>
      </c>
      <c r="O33" s="3">
        <f>IFERROR(__xludf.DUMMYFUNCTION("""COMPUTED_VALUE"""),977631.036951)</f>
        <v>977631.037</v>
      </c>
      <c r="P33" s="3">
        <f>IFERROR(__xludf.DUMMYFUNCTION("""COMPUTED_VALUE"""),3.91958099393145E8)</f>
        <v>391958099.4</v>
      </c>
      <c r="Q33" s="3">
        <f>IFERROR(__xludf.DUMMYFUNCTION("""COMPUTED_VALUE"""),3.93275427506998E8)</f>
        <v>393275427.5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IFERROR(__xludf.DUMMYFUNCTION("""COMPUTED_VALUE"""),30436.463428)</f>
        <v>30436.46343</v>
      </c>
      <c r="C34" s="3">
        <f>IFERROR(__xludf.DUMMYFUNCTION("""COMPUTED_VALUE"""),1816.84699)</f>
        <v>1816.84699</v>
      </c>
      <c r="D34" s="3">
        <f>IFERROR(__xludf.DUMMYFUNCTION("""COMPUTED_VALUE"""),40.161184)</f>
        <v>40.161184</v>
      </c>
      <c r="E34" s="3">
        <f>IFERROR(__xludf.DUMMYFUNCTION("""COMPUTED_VALUE"""),106.318607)</f>
        <v>106.318607</v>
      </c>
      <c r="F34" s="3">
        <f>IFERROR(__xludf.DUMMYFUNCTION("""COMPUTED_VALUE"""),5.141428)</f>
        <v>5.141428</v>
      </c>
      <c r="G34" s="3">
        <f>IFERROR(__xludf.DUMMYFUNCTION("""COMPUTED_VALUE"""),1208.792993)</f>
        <v>1208.792993</v>
      </c>
      <c r="H34" s="3">
        <f>IFERROR(__xludf.DUMMYFUNCTION("""COMPUTED_VALUE"""),1.266987)</f>
        <v>1.266987</v>
      </c>
      <c r="I34" s="3">
        <f>IFERROR(__xludf.DUMMYFUNCTION("""COMPUTED_VALUE"""),1.026171)</f>
        <v>1.026171</v>
      </c>
      <c r="J34" s="3">
        <f>IFERROR(__xludf.DUMMYFUNCTION("""COMPUTED_VALUE"""),1.9055712E7)</f>
        <v>19055712</v>
      </c>
      <c r="K34" s="3">
        <f>IFERROR(__xludf.DUMMYFUNCTION("""COMPUTED_VALUE"""),1.21012928499E8)</f>
        <v>121012928.5</v>
      </c>
      <c r="L34" s="3">
        <f>IFERROR(__xludf.DUMMYFUNCTION("""COMPUTED_VALUE"""),3.3980775788494E8)</f>
        <v>339807757.9</v>
      </c>
      <c r="M34" s="3">
        <f>IFERROR(__xludf.DUMMYFUNCTION("""COMPUTED_VALUE"""),1.3882130317065E7)</f>
        <v>13882130.32</v>
      </c>
      <c r="N34" s="3">
        <f>IFERROR(__xludf.DUMMYFUNCTION("""COMPUTED_VALUE"""),4.56489583401055E8)</f>
        <v>456489583.4</v>
      </c>
      <c r="O34" s="3">
        <f>IFERROR(__xludf.DUMMYFUNCTION("""COMPUTED_VALUE"""),977631.036951)</f>
        <v>977631.037</v>
      </c>
      <c r="P34" s="3">
        <f>IFERROR(__xludf.DUMMYFUNCTION("""COMPUTED_VALUE"""),3.91958099393145E8)</f>
        <v>391958099.4</v>
      </c>
      <c r="Q34" s="3">
        <f>IFERROR(__xludf.DUMMYFUNCTION("""COMPUTED_VALUE"""),3.95440770742884E8)</f>
        <v>395440770.7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IFERROR(__xludf.DUMMYFUNCTION("""COMPUTED_VALUE"""),29676.165409)</f>
        <v>29676.16541</v>
      </c>
      <c r="C35" s="3">
        <f>IFERROR(__xludf.DUMMYFUNCTION("""COMPUTED_VALUE"""),1832.654399)</f>
        <v>1832.654399</v>
      </c>
      <c r="D35" s="3">
        <f>IFERROR(__xludf.DUMMYFUNCTION("""COMPUTED_VALUE"""),40.827216)</f>
        <v>40.827216</v>
      </c>
      <c r="E35" s="3">
        <f>IFERROR(__xludf.DUMMYFUNCTION("""COMPUTED_VALUE"""),110.963515)</f>
        <v>110.963515</v>
      </c>
      <c r="F35" s="3">
        <f>IFERROR(__xludf.DUMMYFUNCTION("""COMPUTED_VALUE"""),5.280675)</f>
        <v>5.280675</v>
      </c>
      <c r="G35" s="3">
        <f>IFERROR(__xludf.DUMMYFUNCTION("""COMPUTED_VALUE"""),1205.110507)</f>
        <v>1205.110507</v>
      </c>
      <c r="H35" s="3">
        <f>IFERROR(__xludf.DUMMYFUNCTION("""COMPUTED_VALUE"""),1.255532)</f>
        <v>1.255532</v>
      </c>
      <c r="I35" s="3">
        <f>IFERROR(__xludf.DUMMYFUNCTION("""COMPUTED_VALUE"""),1.022028)</f>
        <v>1.022028</v>
      </c>
      <c r="J35" s="3">
        <f>IFERROR(__xludf.DUMMYFUNCTION("""COMPUTED_VALUE"""),1.9056493E7)</f>
        <v>19056493</v>
      </c>
      <c r="K35" s="3">
        <f>IFERROR(__xludf.DUMMYFUNCTION("""COMPUTED_VALUE"""),1.210257980615E8)</f>
        <v>121025798.1</v>
      </c>
      <c r="L35" s="3">
        <f>IFERROR(__xludf.DUMMYFUNCTION("""COMPUTED_VALUE"""),3.39807258701408E8)</f>
        <v>339807258.7</v>
      </c>
      <c r="M35" s="3">
        <f>IFERROR(__xludf.DUMMYFUNCTION("""COMPUTED_VALUE"""),1.3882270073301E7)</f>
        <v>13882270.07</v>
      </c>
      <c r="N35" s="3">
        <f>IFERROR(__xludf.DUMMYFUNCTION("""COMPUTED_VALUE"""),4.56489583401055E8)</f>
        <v>456489583.4</v>
      </c>
      <c r="O35" s="3">
        <f>IFERROR(__xludf.DUMMYFUNCTION("""COMPUTED_VALUE"""),977631.036951)</f>
        <v>977631.037</v>
      </c>
      <c r="P35" s="3">
        <f>IFERROR(__xludf.DUMMYFUNCTION("""COMPUTED_VALUE"""),3.91958099393145E8)</f>
        <v>391958099.4</v>
      </c>
      <c r="Q35" s="3">
        <f>IFERROR(__xludf.DUMMYFUNCTION("""COMPUTED_VALUE"""),3.97485742802173E8)</f>
        <v>397485742.8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IFERROR(__xludf.DUMMYFUNCTION("""COMPUTED_VALUE"""),29847.733072)</f>
        <v>29847.73307</v>
      </c>
      <c r="C36" s="3">
        <f>IFERROR(__xludf.DUMMYFUNCTION("""COMPUTED_VALUE"""),1773.519807)</f>
        <v>1773.519807</v>
      </c>
      <c r="D36" s="3">
        <f>IFERROR(__xludf.DUMMYFUNCTION("""COMPUTED_VALUE"""),38.247967)</f>
        <v>38.247967</v>
      </c>
      <c r="E36" s="3">
        <f>IFERROR(__xludf.DUMMYFUNCTION("""COMPUTED_VALUE"""),106.888531)</f>
        <v>106.888531</v>
      </c>
      <c r="F36" s="3">
        <f>IFERROR(__xludf.DUMMYFUNCTION("""COMPUTED_VALUE"""),5.072912)</f>
        <v>5.072912</v>
      </c>
      <c r="G36" s="3">
        <f>IFERROR(__xludf.DUMMYFUNCTION("""COMPUTED_VALUE"""),1146.076319)</f>
        <v>1146.076319</v>
      </c>
      <c r="H36" s="3">
        <f>IFERROR(__xludf.DUMMYFUNCTION("""COMPUTED_VALUE"""),1.171612)</f>
        <v>1.171612</v>
      </c>
      <c r="I36" s="3">
        <f>IFERROR(__xludf.DUMMYFUNCTION("""COMPUTED_VALUE"""),0.997866)</f>
        <v>0.997866</v>
      </c>
      <c r="J36" s="3">
        <f>IFERROR(__xludf.DUMMYFUNCTION("""COMPUTED_VALUE"""),1.9057387E7)</f>
        <v>19057387</v>
      </c>
      <c r="K36" s="3">
        <f>IFERROR(__xludf.DUMMYFUNCTION("""COMPUTED_VALUE"""),1.21038693999E8)</f>
        <v>121038694</v>
      </c>
      <c r="L36" s="3">
        <f>IFERROR(__xludf.DUMMYFUNCTION("""COMPUTED_VALUE"""),3.3980670700542E8)</f>
        <v>339806707</v>
      </c>
      <c r="M36" s="3">
        <f>IFERROR(__xludf.DUMMYFUNCTION("""COMPUTED_VALUE"""),1.3882311792519E7)</f>
        <v>13882311.79</v>
      </c>
      <c r="N36" s="3">
        <f>IFERROR(__xludf.DUMMYFUNCTION("""COMPUTED_VALUE"""),4.56489583401055E8)</f>
        <v>456489583.4</v>
      </c>
      <c r="O36" s="3">
        <f>IFERROR(__xludf.DUMMYFUNCTION("""COMPUTED_VALUE"""),977631.036951)</f>
        <v>977631.037</v>
      </c>
      <c r="P36" s="3">
        <f>IFERROR(__xludf.DUMMYFUNCTION("""COMPUTED_VALUE"""),3.91958099393145E8)</f>
        <v>391958099.4</v>
      </c>
      <c r="Q36" s="3">
        <f>IFERROR(__xludf.DUMMYFUNCTION("""COMPUTED_VALUE"""),3.99474093480047E8)</f>
        <v>399474093.5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IFERROR(__xludf.DUMMYFUNCTION("""COMPUTED_VALUE"""),29899.877693)</f>
        <v>29899.87769</v>
      </c>
      <c r="C37" s="3">
        <f>IFERROR(__xludf.DUMMYFUNCTION("""COMPUTED_VALUE"""),1803.646978)</f>
        <v>1803.646978</v>
      </c>
      <c r="D37" s="3">
        <f>IFERROR(__xludf.DUMMYFUNCTION("""COMPUTED_VALUE"""),38.991597)</f>
        <v>38.991597</v>
      </c>
      <c r="E37" s="3">
        <f>IFERROR(__xludf.DUMMYFUNCTION("""COMPUTED_VALUE"""),106.904204)</f>
        <v>106.904204</v>
      </c>
      <c r="F37" s="3">
        <f>IFERROR(__xludf.DUMMYFUNCTION("""COMPUTED_VALUE"""),5.112042)</f>
        <v>5.112042</v>
      </c>
      <c r="G37" s="3">
        <f>IFERROR(__xludf.DUMMYFUNCTION("""COMPUTED_VALUE"""),1172.772392)</f>
        <v>1172.772392</v>
      </c>
      <c r="H37" s="3">
        <f>IFERROR(__xludf.DUMMYFUNCTION("""COMPUTED_VALUE"""),1.17858)</f>
        <v>1.17858</v>
      </c>
      <c r="I37" s="3">
        <f>IFERROR(__xludf.DUMMYFUNCTION("""COMPUTED_VALUE"""),1.013276)</f>
        <v>1.013276</v>
      </c>
      <c r="J37" s="3">
        <f>IFERROR(__xludf.DUMMYFUNCTION("""COMPUTED_VALUE"""),1.9058293E7)</f>
        <v>19058293</v>
      </c>
      <c r="K37" s="3">
        <f>IFERROR(__xludf.DUMMYFUNCTION("""COMPUTED_VALUE"""),1.21051040624E8)</f>
        <v>121051040.6</v>
      </c>
      <c r="L37" s="3">
        <f>IFERROR(__xludf.DUMMYFUNCTION("""COMPUTED_VALUE"""),3.39806201253943E8)</f>
        <v>339806201.3</v>
      </c>
      <c r="M37" s="3">
        <f>IFERROR(__xludf.DUMMYFUNCTION("""COMPUTED_VALUE"""),1.3882529140867E7)</f>
        <v>13882529.14</v>
      </c>
      <c r="N37" s="3">
        <f>IFERROR(__xludf.DUMMYFUNCTION("""COMPUTED_VALUE"""),4.56489583401055E8)</f>
        <v>456489583.4</v>
      </c>
      <c r="O37" s="3">
        <f>IFERROR(__xludf.DUMMYFUNCTION("""COMPUTED_VALUE"""),977631.036951)</f>
        <v>977631.037</v>
      </c>
      <c r="P37" s="3">
        <f>IFERROR(__xludf.DUMMYFUNCTION("""COMPUTED_VALUE"""),3.91958099393145E8)</f>
        <v>391958099.4</v>
      </c>
      <c r="Q37" s="3">
        <f>IFERROR(__xludf.DUMMYFUNCTION("""COMPUTED_VALUE"""),4.01488200237476E8)</f>
        <v>401488200.2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IFERROR(__xludf.DUMMYFUNCTION("""COMPUTED_VALUE"""),31350.041508)</f>
        <v>31350.04151</v>
      </c>
      <c r="C38" s="3">
        <f>IFERROR(__xludf.DUMMYFUNCTION("""COMPUTED_VALUE"""),1804.777612)</f>
        <v>1804.777612</v>
      </c>
      <c r="D38" s="3">
        <f>IFERROR(__xludf.DUMMYFUNCTION("""COMPUTED_VALUE"""),38.488084)</f>
        <v>38.488084</v>
      </c>
      <c r="E38" s="3">
        <f>IFERROR(__xludf.DUMMYFUNCTION("""COMPUTED_VALUE"""),103.559044)</f>
        <v>103.559044</v>
      </c>
      <c r="F38" s="3">
        <f>IFERROR(__xludf.DUMMYFUNCTION("""COMPUTED_VALUE"""),5.087729)</f>
        <v>5.087729</v>
      </c>
      <c r="G38" s="3">
        <f>IFERROR(__xludf.DUMMYFUNCTION("""COMPUTED_VALUE"""),1179.512609)</f>
        <v>1179.512609</v>
      </c>
      <c r="H38" s="3">
        <f>IFERROR(__xludf.DUMMYFUNCTION("""COMPUTED_VALUE"""),1.210666)</f>
        <v>1.210666</v>
      </c>
      <c r="I38" s="3">
        <f>IFERROR(__xludf.DUMMYFUNCTION("""COMPUTED_VALUE"""),1.051294)</f>
        <v>1.051294</v>
      </c>
      <c r="J38" s="3">
        <f>IFERROR(__xludf.DUMMYFUNCTION("""COMPUTED_VALUE"""),1.9059193E7)</f>
        <v>19059193</v>
      </c>
      <c r="K38" s="3">
        <f>IFERROR(__xludf.DUMMYFUNCTION("""COMPUTED_VALUE"""),1.210633856865E8)</f>
        <v>121063385.7</v>
      </c>
      <c r="L38" s="3">
        <f>IFERROR(__xludf.DUMMYFUNCTION("""COMPUTED_VALUE"""),3.39938054491184E8)</f>
        <v>339938054.5</v>
      </c>
      <c r="M38" s="3">
        <f>IFERROR(__xludf.DUMMYFUNCTION("""COMPUTED_VALUE"""),1.3882811051638E7)</f>
        <v>13882811.05</v>
      </c>
      <c r="N38" s="3">
        <f>IFERROR(__xludf.DUMMYFUNCTION("""COMPUTED_VALUE"""),4.56489583401055E8)</f>
        <v>456489583.4</v>
      </c>
      <c r="O38" s="3">
        <f>IFERROR(__xludf.DUMMYFUNCTION("""COMPUTED_VALUE"""),977631.036951)</f>
        <v>977631.037</v>
      </c>
      <c r="P38" s="3">
        <f>IFERROR(__xludf.DUMMYFUNCTION("""COMPUTED_VALUE"""),3.91958099393145E8)</f>
        <v>391958099.4</v>
      </c>
      <c r="Q38" s="3">
        <f>IFERROR(__xludf.DUMMYFUNCTION("""COMPUTED_VALUE"""),4.03579076868571E8)</f>
        <v>403579076.9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IFERROR(__xludf.DUMMYFUNCTION("""COMPUTED_VALUE"""),31107.537985)</f>
        <v>31107.53799</v>
      </c>
      <c r="C39" s="3">
        <f>IFERROR(__xludf.DUMMYFUNCTION("""COMPUTED_VALUE"""),1858.261725)</f>
        <v>1858.261725</v>
      </c>
      <c r="D39" s="3">
        <f>IFERROR(__xludf.DUMMYFUNCTION("""COMPUTED_VALUE"""),42.349219)</f>
        <v>42.349219</v>
      </c>
      <c r="E39" s="3">
        <f>IFERROR(__xludf.DUMMYFUNCTION("""COMPUTED_VALUE"""),105.896453)</f>
        <v>105.896453</v>
      </c>
      <c r="F39" s="3">
        <f>IFERROR(__xludf.DUMMYFUNCTION("""COMPUTED_VALUE"""),5.346567)</f>
        <v>5.346567</v>
      </c>
      <c r="G39" s="3">
        <f>IFERROR(__xludf.DUMMYFUNCTION("""COMPUTED_VALUE"""),1211.12221)</f>
        <v>1211.12221</v>
      </c>
      <c r="H39" s="3">
        <f>IFERROR(__xludf.DUMMYFUNCTION("""COMPUTED_VALUE"""),1.2859)</f>
        <v>1.2859</v>
      </c>
      <c r="I39" s="3">
        <f>IFERROR(__xludf.DUMMYFUNCTION("""COMPUTED_VALUE"""),1.071085)</f>
        <v>1.071085</v>
      </c>
      <c r="J39" s="3">
        <f>IFERROR(__xludf.DUMMYFUNCTION("""COMPUTED_VALUE"""),1.9060081E7)</f>
        <v>19060081</v>
      </c>
      <c r="K39" s="3">
        <f>IFERROR(__xludf.DUMMYFUNCTION("""COMPUTED_VALUE"""),1.21075610124E8)</f>
        <v>121075610.1</v>
      </c>
      <c r="L39" s="3">
        <f>IFERROR(__xludf.DUMMYFUNCTION("""COMPUTED_VALUE"""),3.40434725482878E8)</f>
        <v>340434725.5</v>
      </c>
      <c r="M39" s="3">
        <f>IFERROR(__xludf.DUMMYFUNCTION("""COMPUTED_VALUE"""),1.388291972502E7)</f>
        <v>13882919.73</v>
      </c>
      <c r="N39" s="3">
        <f>IFERROR(__xludf.DUMMYFUNCTION("""COMPUTED_VALUE"""),4.56489583401055E8)</f>
        <v>456489583.4</v>
      </c>
      <c r="O39" s="3">
        <f>IFERROR(__xludf.DUMMYFUNCTION("""COMPUTED_VALUE"""),977631.036951)</f>
        <v>977631.037</v>
      </c>
      <c r="P39" s="3">
        <f>IFERROR(__xludf.DUMMYFUNCTION("""COMPUTED_VALUE"""),3.91958099393145E8)</f>
        <v>391958099.4</v>
      </c>
      <c r="Q39" s="3">
        <f>IFERROR(__xludf.DUMMYFUNCTION("""COMPUTED_VALUE"""),4.08095469944657E8)</f>
        <v>408095469.9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IFERROR(__xludf.DUMMYFUNCTION("""COMPUTED_VALUE"""),30189.674427)</f>
        <v>30189.67443</v>
      </c>
      <c r="C40" s="3">
        <f>IFERROR(__xludf.DUMMYFUNCTION("""COMPUTED_VALUE"""),1812.039766)</f>
        <v>1812.039766</v>
      </c>
      <c r="D40" s="3">
        <f>IFERROR(__xludf.DUMMYFUNCTION("""COMPUTED_VALUE"""),39.288669)</f>
        <v>39.288669</v>
      </c>
      <c r="E40" s="3">
        <f>IFERROR(__xludf.DUMMYFUNCTION("""COMPUTED_VALUE"""),99.179132)</f>
        <v>99.179132</v>
      </c>
      <c r="F40" s="3">
        <f>IFERROR(__xludf.DUMMYFUNCTION("""COMPUTED_VALUE"""),5.213563)</f>
        <v>5.213563</v>
      </c>
      <c r="G40" s="3">
        <f>IFERROR(__xludf.DUMMYFUNCTION("""COMPUTED_VALUE"""),1157.321912)</f>
        <v>1157.321912</v>
      </c>
      <c r="H40" s="3">
        <f>IFERROR(__xludf.DUMMYFUNCTION("""COMPUTED_VALUE"""),1.187618)</f>
        <v>1.187618</v>
      </c>
      <c r="I40" s="3">
        <f>IFERROR(__xludf.DUMMYFUNCTION("""COMPUTED_VALUE"""),1.081339)</f>
        <v>1.081339</v>
      </c>
      <c r="J40" s="3">
        <f>IFERROR(__xludf.DUMMYFUNCTION("""COMPUTED_VALUE"""),1.9061106E7)</f>
        <v>19061106</v>
      </c>
      <c r="K40" s="3">
        <f>IFERROR(__xludf.DUMMYFUNCTION("""COMPUTED_VALUE"""),1.210879654365E8)</f>
        <v>121087965.4</v>
      </c>
      <c r="L40" s="3">
        <f>IFERROR(__xludf.DUMMYFUNCTION("""COMPUTED_VALUE"""),3.41750968969976E8)</f>
        <v>341750969</v>
      </c>
      <c r="M40" s="3">
        <f>IFERROR(__xludf.DUMMYFUNCTION("""COMPUTED_VALUE"""),1.3882989913355E7)</f>
        <v>13882989.91</v>
      </c>
      <c r="N40" s="3">
        <f>IFERROR(__xludf.DUMMYFUNCTION("""COMPUTED_VALUE"""),4.56489583401055E8)</f>
        <v>456489583.4</v>
      </c>
      <c r="O40" s="3">
        <f>IFERROR(__xludf.DUMMYFUNCTION("""COMPUTED_VALUE"""),977631.036951)</f>
        <v>977631.037</v>
      </c>
      <c r="P40" s="3">
        <f>IFERROR(__xludf.DUMMYFUNCTION("""COMPUTED_VALUE"""),3.91958099393145E8)</f>
        <v>391958099.4</v>
      </c>
      <c r="Q40" s="3">
        <f>IFERROR(__xludf.DUMMYFUNCTION("""COMPUTED_VALUE"""),4.11058488371831E8)</f>
        <v>411058488.4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IFERROR(__xludf.DUMMYFUNCTION("""COMPUTED_VALUE"""),30076.379892)</f>
        <v>30076.37989</v>
      </c>
      <c r="C41" s="3">
        <f>IFERROR(__xludf.DUMMYFUNCTION("""COMPUTED_VALUE"""),1790.736107)</f>
        <v>1790.736107</v>
      </c>
      <c r="D41" s="3">
        <f>IFERROR(__xludf.DUMMYFUNCTION("""COMPUTED_VALUE"""),38.808699)</f>
        <v>38.808699</v>
      </c>
      <c r="E41" s="3">
        <f>IFERROR(__xludf.DUMMYFUNCTION("""COMPUTED_VALUE"""),96.458873)</f>
        <v>96.458873</v>
      </c>
      <c r="F41" s="3">
        <f>IFERROR(__xludf.DUMMYFUNCTION("""COMPUTED_VALUE"""),5.079823)</f>
        <v>5.079823</v>
      </c>
      <c r="G41" s="3">
        <f>IFERROR(__xludf.DUMMYFUNCTION("""COMPUTED_VALUE"""),1154.816034)</f>
        <v>1154.816034</v>
      </c>
      <c r="H41" s="3">
        <f>IFERROR(__xludf.DUMMYFUNCTION("""COMPUTED_VALUE"""),1.158723)</f>
        <v>1.158723</v>
      </c>
      <c r="I41" s="3">
        <f>IFERROR(__xludf.DUMMYFUNCTION("""COMPUTED_VALUE"""),1.009776)</f>
        <v>1.009776</v>
      </c>
      <c r="J41" s="3">
        <f>IFERROR(__xludf.DUMMYFUNCTION("""COMPUTED_VALUE"""),1.9062237E7)</f>
        <v>19062237</v>
      </c>
      <c r="K41" s="3">
        <f>IFERROR(__xludf.DUMMYFUNCTION("""COMPUTED_VALUE"""),1.211002800615E8)</f>
        <v>121100280.1</v>
      </c>
      <c r="L41" s="3">
        <f>IFERROR(__xludf.DUMMYFUNCTION("""COMPUTED_VALUE"""),3.41882953460418E8)</f>
        <v>341882953.5</v>
      </c>
      <c r="M41" s="3">
        <f>IFERROR(__xludf.DUMMYFUNCTION("""COMPUTED_VALUE"""),1.3883056283663E7)</f>
        <v>13883056.28</v>
      </c>
      <c r="N41" s="3">
        <f>IFERROR(__xludf.DUMMYFUNCTION("""COMPUTED_VALUE"""),4.56489583401055E8)</f>
        <v>456489583.4</v>
      </c>
      <c r="O41" s="3">
        <f>IFERROR(__xludf.DUMMYFUNCTION("""COMPUTED_VALUE"""),977631.036951)</f>
        <v>977631.037</v>
      </c>
      <c r="P41" s="3">
        <f>IFERROR(__xludf.DUMMYFUNCTION("""COMPUTED_VALUE"""),3.91958099393145E8)</f>
        <v>391958099.4</v>
      </c>
      <c r="Q41" s="3">
        <f>IFERROR(__xludf.DUMMYFUNCTION("""COMPUTED_VALUE"""),4.13072758437736E8)</f>
        <v>413072758.4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IFERROR(__xludf.DUMMYFUNCTION("""COMPUTED_VALUE"""),29069.629058)</f>
        <v>29069.62906</v>
      </c>
      <c r="C42" s="3">
        <f>IFERROR(__xludf.DUMMYFUNCTION("""COMPUTED_VALUE"""),1786.328856)</f>
        <v>1786.328856</v>
      </c>
      <c r="D42" s="3">
        <f>IFERROR(__xludf.DUMMYFUNCTION("""COMPUTED_VALUE"""),39.903383)</f>
        <v>39.903383</v>
      </c>
      <c r="E42" s="3">
        <f>IFERROR(__xludf.DUMMYFUNCTION("""COMPUTED_VALUE"""),95.631085)</f>
        <v>95.631085</v>
      </c>
      <c r="F42" s="3">
        <f>IFERROR(__xludf.DUMMYFUNCTION("""COMPUTED_VALUE"""),5.19541)</f>
        <v>5.19541</v>
      </c>
      <c r="G42" s="3">
        <f>IFERROR(__xludf.DUMMYFUNCTION("""COMPUTED_VALUE"""),1134.550694)</f>
        <v>1134.550694</v>
      </c>
      <c r="H42" s="3">
        <f>IFERROR(__xludf.DUMMYFUNCTION("""COMPUTED_VALUE"""),1.14643)</f>
        <v>1.14643</v>
      </c>
      <c r="I42" s="3">
        <f>IFERROR(__xludf.DUMMYFUNCTION("""COMPUTED_VALUE"""),1.015426)</f>
        <v>1.015426</v>
      </c>
      <c r="J42" s="3">
        <f>IFERROR(__xludf.DUMMYFUNCTION("""COMPUTED_VALUE"""),1.9063137E7)</f>
        <v>19063137</v>
      </c>
      <c r="K42" s="3">
        <f>IFERROR(__xludf.DUMMYFUNCTION("""COMPUTED_VALUE"""),1.21112430749E8)</f>
        <v>121112430.7</v>
      </c>
      <c r="L42" s="3">
        <f>IFERROR(__xludf.DUMMYFUNCTION("""COMPUTED_VALUE"""),3.4191128192215E8)</f>
        <v>341911281.9</v>
      </c>
      <c r="M42" s="3">
        <f>IFERROR(__xludf.DUMMYFUNCTION("""COMPUTED_VALUE"""),1.3883915936695E7)</f>
        <v>13883915.94</v>
      </c>
      <c r="N42" s="3">
        <f>IFERROR(__xludf.DUMMYFUNCTION("""COMPUTED_VALUE"""),4.56489583401055E8)</f>
        <v>456489583.4</v>
      </c>
      <c r="O42" s="3">
        <f>IFERROR(__xludf.DUMMYFUNCTION("""COMPUTED_VALUE"""),977631.036951)</f>
        <v>977631.037</v>
      </c>
      <c r="P42" s="3">
        <f>IFERROR(__xludf.DUMMYFUNCTION("""COMPUTED_VALUE"""),3.91958099393145E8)</f>
        <v>391958099.4</v>
      </c>
      <c r="Q42" s="3">
        <f>IFERROR(__xludf.DUMMYFUNCTION("""COMPUTED_VALUE"""),4.15212471769503E8)</f>
        <v>415212471.8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IFERROR(__xludf.DUMMYFUNCTION("""COMPUTED_VALUE"""),28393.12275)</f>
        <v>28393.12275</v>
      </c>
      <c r="C43" s="3">
        <f>IFERROR(__xludf.DUMMYFUNCTION("""COMPUTED_VALUE"""),1661.421355)</f>
        <v>1661.421355</v>
      </c>
      <c r="D43" s="3">
        <f>IFERROR(__xludf.DUMMYFUNCTION("""COMPUTED_VALUE"""),37.127259)</f>
        <v>37.127259</v>
      </c>
      <c r="E43" s="3">
        <f>IFERROR(__xludf.DUMMYFUNCTION("""COMPUTED_VALUE"""),88.053995)</f>
        <v>88.053995</v>
      </c>
      <c r="F43" s="3">
        <f>IFERROR(__xludf.DUMMYFUNCTION("""COMPUTED_VALUE"""),4.812547)</f>
        <v>4.812547</v>
      </c>
      <c r="G43" s="3">
        <f>IFERROR(__xludf.DUMMYFUNCTION("""COMPUTED_VALUE"""),1044.750473)</f>
        <v>1044.750473</v>
      </c>
      <c r="H43" s="3">
        <f>IFERROR(__xludf.DUMMYFUNCTION("""COMPUTED_VALUE"""),1.026847)</f>
        <v>1.026847</v>
      </c>
      <c r="I43" s="3">
        <f>IFERROR(__xludf.DUMMYFUNCTION("""COMPUTED_VALUE"""),1.003889)</f>
        <v>1.003889</v>
      </c>
      <c r="J43" s="3">
        <f>IFERROR(__xludf.DUMMYFUNCTION("""COMPUTED_VALUE"""),1.9064075E7)</f>
        <v>19064075</v>
      </c>
      <c r="K43" s="3">
        <f>IFERROR(__xludf.DUMMYFUNCTION("""COMPUTED_VALUE"""),1.211246626865E8)</f>
        <v>121124662.7</v>
      </c>
      <c r="L43" s="3">
        <f>IFERROR(__xludf.DUMMYFUNCTION("""COMPUTED_VALUE"""),3.4207723722138E8)</f>
        <v>342077237.2</v>
      </c>
      <c r="M43" s="3">
        <f>IFERROR(__xludf.DUMMYFUNCTION("""COMPUTED_VALUE"""),1.3884614839317E7)</f>
        <v>13884614.84</v>
      </c>
      <c r="N43" s="3">
        <f>IFERROR(__xludf.DUMMYFUNCTION("""COMPUTED_VALUE"""),4.56489583401055E8)</f>
        <v>456489583.4</v>
      </c>
      <c r="O43" s="3">
        <f>IFERROR(__xludf.DUMMYFUNCTION("""COMPUTED_VALUE"""),977631.036951)</f>
        <v>977631.037</v>
      </c>
      <c r="P43" s="3">
        <f>IFERROR(__xludf.DUMMYFUNCTION("""COMPUTED_VALUE"""),3.91958099393145E8)</f>
        <v>391958099.4</v>
      </c>
      <c r="Q43" s="3">
        <f>IFERROR(__xludf.DUMMYFUNCTION("""COMPUTED_VALUE"""),4.17337010974277E8)</f>
        <v>417337011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IFERROR(__xludf.DUMMYFUNCTION("""COMPUTED_VALUE"""),26553.86776)</f>
        <v>26553.86776</v>
      </c>
      <c r="C44" s="3">
        <f>IFERROR(__xludf.DUMMYFUNCTION("""COMPUTED_VALUE"""),1531.104694)</f>
        <v>1531.104694</v>
      </c>
      <c r="D44" s="3">
        <f>IFERROR(__xludf.DUMMYFUNCTION("""COMPUTED_VALUE"""),33.900268)</f>
        <v>33.900268</v>
      </c>
      <c r="E44" s="3">
        <f>IFERROR(__xludf.DUMMYFUNCTION("""COMPUTED_VALUE"""),77.181857)</f>
        <v>77.181857</v>
      </c>
      <c r="F44" s="3">
        <f>IFERROR(__xludf.DUMMYFUNCTION("""COMPUTED_VALUE"""),4.383471)</f>
        <v>4.383471</v>
      </c>
      <c r="G44" s="3">
        <f>IFERROR(__xludf.DUMMYFUNCTION("""COMPUTED_VALUE"""),989.129324)</f>
        <v>989.129324</v>
      </c>
      <c r="H44" s="3">
        <f>IFERROR(__xludf.DUMMYFUNCTION("""COMPUTED_VALUE"""),0.909303)</f>
        <v>0.909303</v>
      </c>
      <c r="I44" s="3">
        <f>IFERROR(__xludf.DUMMYFUNCTION("""COMPUTED_VALUE"""),0.837094)</f>
        <v>0.837094</v>
      </c>
      <c r="J44" s="3">
        <f>IFERROR(__xludf.DUMMYFUNCTION("""COMPUTED_VALUE"""),1.9064987E7)</f>
        <v>19064987</v>
      </c>
      <c r="K44" s="3">
        <f>IFERROR(__xludf.DUMMYFUNCTION("""COMPUTED_VALUE"""),1.21137036499E8)</f>
        <v>121137036.5</v>
      </c>
      <c r="L44" s="3">
        <f>IFERROR(__xludf.DUMMYFUNCTION("""COMPUTED_VALUE"""),3.42076767718553E8)</f>
        <v>342076767.7</v>
      </c>
      <c r="M44" s="3">
        <f>IFERROR(__xludf.DUMMYFUNCTION("""COMPUTED_VALUE"""),1.3885058104627E7)</f>
        <v>13885058.1</v>
      </c>
      <c r="N44" s="3">
        <f>IFERROR(__xludf.DUMMYFUNCTION("""COMPUTED_VALUE"""),4.56489583401055E8)</f>
        <v>456489583.4</v>
      </c>
      <c r="O44" s="3">
        <f>IFERROR(__xludf.DUMMYFUNCTION("""COMPUTED_VALUE"""),977631.036951)</f>
        <v>977631.037</v>
      </c>
      <c r="P44" s="3">
        <f>IFERROR(__xludf.DUMMYFUNCTION("""COMPUTED_VALUE"""),3.91958099393145E8)</f>
        <v>391958099.4</v>
      </c>
      <c r="Q44" s="3">
        <f>IFERROR(__xludf.DUMMYFUNCTION("""COMPUTED_VALUE"""),4.19338682957791E8)</f>
        <v>419338683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IFERROR(__xludf.DUMMYFUNCTION("""COMPUTED_VALUE"""),22454.299298)</f>
        <v>22454.2993</v>
      </c>
      <c r="C45" s="3">
        <f>IFERROR(__xludf.DUMMYFUNCTION("""COMPUTED_VALUE"""),1433.782545)</f>
        <v>1433.782545</v>
      </c>
      <c r="D45" s="3">
        <f>IFERROR(__xludf.DUMMYFUNCTION("""COMPUTED_VALUE"""),30.569833)</f>
        <v>30.569833</v>
      </c>
      <c r="E45" s="3">
        <f>IFERROR(__xludf.DUMMYFUNCTION("""COMPUTED_VALUE"""),70.333355)</f>
        <v>70.333355</v>
      </c>
      <c r="F45" s="3">
        <f>IFERROR(__xludf.DUMMYFUNCTION("""COMPUTED_VALUE"""),4.056605)</f>
        <v>4.056605</v>
      </c>
      <c r="G45" s="3">
        <f>IFERROR(__xludf.DUMMYFUNCTION("""COMPUTED_VALUE"""),911.177587)</f>
        <v>911.177587</v>
      </c>
      <c r="H45" s="3">
        <f>IFERROR(__xludf.DUMMYFUNCTION("""COMPUTED_VALUE"""),0.863761)</f>
        <v>0.863761</v>
      </c>
      <c r="I45" s="3">
        <f>IFERROR(__xludf.DUMMYFUNCTION("""COMPUTED_VALUE"""),0.794617)</f>
        <v>0.794617</v>
      </c>
      <c r="J45" s="3">
        <f>IFERROR(__xludf.DUMMYFUNCTION("""COMPUTED_VALUE"""),1.9065843E7)</f>
        <v>19065843</v>
      </c>
      <c r="K45" s="3">
        <f>IFERROR(__xludf.DUMMYFUNCTION("""COMPUTED_VALUE"""),1.211492723115E8)</f>
        <v>121149272.3</v>
      </c>
      <c r="L45" s="3">
        <f>IFERROR(__xludf.DUMMYFUNCTION("""COMPUTED_VALUE"""),3.42208721782371E8)</f>
        <v>342208721.8</v>
      </c>
      <c r="M45" s="3">
        <f>IFERROR(__xludf.DUMMYFUNCTION("""COMPUTED_VALUE"""),1.3885466334848E7)</f>
        <v>13885466.33</v>
      </c>
      <c r="N45" s="3">
        <f>IFERROR(__xludf.DUMMYFUNCTION("""COMPUTED_VALUE"""),4.56489583401055E8)</f>
        <v>456489583.4</v>
      </c>
      <c r="O45" s="3">
        <f>IFERROR(__xludf.DUMMYFUNCTION("""COMPUTED_VALUE"""),977631.036951)</f>
        <v>977631.037</v>
      </c>
      <c r="P45" s="3">
        <f>IFERROR(__xludf.DUMMYFUNCTION("""COMPUTED_VALUE"""),3.91958099393145E8)</f>
        <v>391958099.4</v>
      </c>
      <c r="Q45" s="3">
        <f>IFERROR(__xludf.DUMMYFUNCTION("""COMPUTED_VALUE"""),4.21356009225165E8)</f>
        <v>421356009.2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IFERROR(__xludf.DUMMYFUNCTION("""COMPUTED_VALUE"""),22110.001141)</f>
        <v>22110.00114</v>
      </c>
      <c r="C46" s="3">
        <f>IFERROR(__xludf.DUMMYFUNCTION("""COMPUTED_VALUE"""),1207.446724)</f>
        <v>1207.446724</v>
      </c>
      <c r="D46" s="3">
        <f>IFERROR(__xludf.DUMMYFUNCTION("""COMPUTED_VALUE"""),28.550636)</f>
        <v>28.550636</v>
      </c>
      <c r="E46" s="3">
        <f>IFERROR(__xludf.DUMMYFUNCTION("""COMPUTED_VALUE"""),59.655845)</f>
        <v>59.655845</v>
      </c>
      <c r="F46" s="3">
        <f>IFERROR(__xludf.DUMMYFUNCTION("""COMPUTED_VALUE"""),3.664061)</f>
        <v>3.664061</v>
      </c>
      <c r="G46" s="3">
        <f>IFERROR(__xludf.DUMMYFUNCTION("""COMPUTED_VALUE"""),761.449712)</f>
        <v>761.449712</v>
      </c>
      <c r="H46" s="3">
        <f>IFERROR(__xludf.DUMMYFUNCTION("""COMPUTED_VALUE"""),0.717807)</f>
        <v>0.717807</v>
      </c>
      <c r="I46" s="3">
        <f>IFERROR(__xludf.DUMMYFUNCTION("""COMPUTED_VALUE"""),0.607146)</f>
        <v>0.607146</v>
      </c>
      <c r="J46" s="3">
        <f>IFERROR(__xludf.DUMMYFUNCTION("""COMPUTED_VALUE"""),1.9066681E7)</f>
        <v>19066681</v>
      </c>
      <c r="K46" s="3">
        <f>IFERROR(__xludf.DUMMYFUNCTION("""COMPUTED_VALUE"""),1.21161456499E8)</f>
        <v>121161456.5</v>
      </c>
      <c r="L46" s="3">
        <f>IFERROR(__xludf.DUMMYFUNCTION("""COMPUTED_VALUE"""),3.42208348504297E8)</f>
        <v>342208348.5</v>
      </c>
      <c r="M46" s="3">
        <f>IFERROR(__xludf.DUMMYFUNCTION("""COMPUTED_VALUE"""),1.388580839075E7)</f>
        <v>13885808.39</v>
      </c>
      <c r="N46" s="3">
        <f>IFERROR(__xludf.DUMMYFUNCTION("""COMPUTED_VALUE"""),4.56489583401055E8)</f>
        <v>456489583.4</v>
      </c>
      <c r="O46" s="3">
        <f>IFERROR(__xludf.DUMMYFUNCTION("""COMPUTED_VALUE"""),977631.036951)</f>
        <v>977631.037</v>
      </c>
      <c r="P46" s="3">
        <f>IFERROR(__xludf.DUMMYFUNCTION("""COMPUTED_VALUE"""),3.91958099393145E8)</f>
        <v>391958099.4</v>
      </c>
      <c r="Q46" s="3">
        <f>IFERROR(__xludf.DUMMYFUNCTION("""COMPUTED_VALUE"""),4.23371469109962E8)</f>
        <v>423371469.1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IFERROR(__xludf.DUMMYFUNCTION("""COMPUTED_VALUE"""),22557.775395)</f>
        <v>22557.7754</v>
      </c>
      <c r="C47" s="3">
        <f>IFERROR(__xludf.DUMMYFUNCTION("""COMPUTED_VALUE"""),1208.795428)</f>
        <v>1208.795428</v>
      </c>
      <c r="D47" s="3">
        <f>IFERROR(__xludf.DUMMYFUNCTION("""COMPUTED_VALUE"""),29.549751)</f>
        <v>29.549751</v>
      </c>
      <c r="E47" s="3">
        <f>IFERROR(__xludf.DUMMYFUNCTION("""COMPUTED_VALUE"""),62.114023)</f>
        <v>62.114023</v>
      </c>
      <c r="F47" s="3">
        <f>IFERROR(__xludf.DUMMYFUNCTION("""COMPUTED_VALUE"""),3.861913)</f>
        <v>3.861913</v>
      </c>
      <c r="G47" s="3">
        <f>IFERROR(__xludf.DUMMYFUNCTION("""COMPUTED_VALUE"""),786.233662)</f>
        <v>786.233662</v>
      </c>
      <c r="H47" s="3">
        <f>IFERROR(__xludf.DUMMYFUNCTION("""COMPUTED_VALUE"""),0.730452)</f>
        <v>0.730452</v>
      </c>
      <c r="I47" s="3">
        <f>IFERROR(__xludf.DUMMYFUNCTION("""COMPUTED_VALUE"""),0.622091)</f>
        <v>0.622091</v>
      </c>
      <c r="J47" s="3">
        <f>IFERROR(__xludf.DUMMYFUNCTION("""COMPUTED_VALUE"""),1.906755E7)</f>
        <v>19067550</v>
      </c>
      <c r="K47" s="3">
        <f>IFERROR(__xludf.DUMMYFUNCTION("""COMPUTED_VALUE"""),1.211736408115E8)</f>
        <v>121173640.8</v>
      </c>
      <c r="L47" s="3">
        <f>IFERROR(__xludf.DUMMYFUNCTION("""COMPUTED_VALUE"""),3.42209600270983E8)</f>
        <v>342209600.3</v>
      </c>
      <c r="M47" s="3">
        <f>IFERROR(__xludf.DUMMYFUNCTION("""COMPUTED_VALUE"""),1.3886053937994E7)</f>
        <v>13886053.94</v>
      </c>
      <c r="N47" s="3">
        <f>IFERROR(__xludf.DUMMYFUNCTION("""COMPUTED_VALUE"""),4.56489583401055E8)</f>
        <v>456489583.4</v>
      </c>
      <c r="O47" s="3">
        <f>IFERROR(__xludf.DUMMYFUNCTION("""COMPUTED_VALUE"""),977631.036951)</f>
        <v>977631.037</v>
      </c>
      <c r="P47" s="3">
        <f>IFERROR(__xludf.DUMMYFUNCTION("""COMPUTED_VALUE"""),3.91958099393145E8)</f>
        <v>391958099.4</v>
      </c>
      <c r="Q47" s="3">
        <f>IFERROR(__xludf.DUMMYFUNCTION("""COMPUTED_VALUE"""),4.2538534256957E8)</f>
        <v>425385342.6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IFERROR(__xludf.DUMMYFUNCTION("""COMPUTED_VALUE"""),20370.981748)</f>
        <v>20370.98175</v>
      </c>
      <c r="C48" s="3">
        <f>IFERROR(__xludf.DUMMYFUNCTION("""COMPUTED_VALUE"""),1236.322434)</f>
        <v>1236.322434</v>
      </c>
      <c r="D48" s="3">
        <f>IFERROR(__xludf.DUMMYFUNCTION("""COMPUTED_VALUE"""),34.703612)</f>
        <v>34.703612</v>
      </c>
      <c r="E48" s="3">
        <f>IFERROR(__xludf.DUMMYFUNCTION("""COMPUTED_VALUE"""),66.547277)</f>
        <v>66.547277</v>
      </c>
      <c r="F48" s="3">
        <f>IFERROR(__xludf.DUMMYFUNCTION("""COMPUTED_VALUE"""),4.42163)</f>
        <v>4.42163</v>
      </c>
      <c r="G48" s="3">
        <f>IFERROR(__xludf.DUMMYFUNCTION("""COMPUTED_VALUE"""),827.117699)</f>
        <v>827.117699</v>
      </c>
      <c r="H48" s="3">
        <f>IFERROR(__xludf.DUMMYFUNCTION("""COMPUTED_VALUE"""),0.767285)</f>
        <v>0.767285</v>
      </c>
      <c r="I48" s="3">
        <f>IFERROR(__xludf.DUMMYFUNCTION("""COMPUTED_VALUE"""),0.629558)</f>
        <v>0.629558</v>
      </c>
      <c r="J48" s="3">
        <f>IFERROR(__xludf.DUMMYFUNCTION("""COMPUTED_VALUE"""),1.9068587E7)</f>
        <v>19068587</v>
      </c>
      <c r="K48" s="3">
        <f>IFERROR(__xludf.DUMMYFUNCTION("""COMPUTED_VALUE"""),1.211857030615E8)</f>
        <v>121185703.1</v>
      </c>
      <c r="L48" s="3">
        <f>IFERROR(__xludf.DUMMYFUNCTION("""COMPUTED_VALUE"""),3.42348148485023E8)</f>
        <v>342348148.5</v>
      </c>
      <c r="M48" s="3">
        <f>IFERROR(__xludf.DUMMYFUNCTION("""COMPUTED_VALUE"""),1.3889091434545E7)</f>
        <v>13889091.43</v>
      </c>
      <c r="N48" s="3">
        <f>IFERROR(__xludf.DUMMYFUNCTION("""COMPUTED_VALUE"""),4.56489583401055E8)</f>
        <v>456489583.4</v>
      </c>
      <c r="O48" s="3">
        <f>IFERROR(__xludf.DUMMYFUNCTION("""COMPUTED_VALUE"""),977631.036951)</f>
        <v>977631.037</v>
      </c>
      <c r="P48" s="3">
        <f>IFERROR(__xludf.DUMMYFUNCTION("""COMPUTED_VALUE"""),3.91958099393145E8)</f>
        <v>391958099.4</v>
      </c>
      <c r="Q48" s="3">
        <f>IFERROR(__xludf.DUMMYFUNCTION("""COMPUTED_VALUE"""),4.28402832145419E8)</f>
        <v>428402832.1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IFERROR(__xludf.DUMMYFUNCTION("""COMPUTED_VALUE"""),20413.201586)</f>
        <v>20413.20159</v>
      </c>
      <c r="C49" s="3">
        <f>IFERROR(__xludf.DUMMYFUNCTION("""COMPUTED_VALUE"""),1067.933684)</f>
        <v>1067.933684</v>
      </c>
      <c r="D49" s="3">
        <f>IFERROR(__xludf.DUMMYFUNCTION("""COMPUTED_VALUE"""),30.096099)</f>
        <v>30.096099</v>
      </c>
      <c r="E49" s="3">
        <f>IFERROR(__xludf.DUMMYFUNCTION("""COMPUTED_VALUE"""),56.569649)</f>
        <v>56.569649</v>
      </c>
      <c r="F49" s="3">
        <f>IFERROR(__xludf.DUMMYFUNCTION("""COMPUTED_VALUE"""),3.835729)</f>
        <v>3.835729</v>
      </c>
      <c r="G49" s="3">
        <f>IFERROR(__xludf.DUMMYFUNCTION("""COMPUTED_VALUE"""),735.138136)</f>
        <v>735.138136</v>
      </c>
      <c r="H49" s="3">
        <f>IFERROR(__xludf.DUMMYFUNCTION("""COMPUTED_VALUE"""),0.664641)</f>
        <v>0.664641</v>
      </c>
      <c r="I49" s="3">
        <f>IFERROR(__xludf.DUMMYFUNCTION("""COMPUTED_VALUE"""),0.537479)</f>
        <v>0.537479</v>
      </c>
      <c r="J49" s="3">
        <f>IFERROR(__xludf.DUMMYFUNCTION("""COMPUTED_VALUE"""),1.906935E7)</f>
        <v>19069350</v>
      </c>
      <c r="K49" s="3">
        <f>IFERROR(__xludf.DUMMYFUNCTION("""COMPUTED_VALUE"""),1.211979254365E8)</f>
        <v>121197925.4</v>
      </c>
      <c r="L49" s="3">
        <f>IFERROR(__xludf.DUMMYFUNCTION("""COMPUTED_VALUE"""),3.42370449065709E8)</f>
        <v>342370449.1</v>
      </c>
      <c r="M49" s="3">
        <f>IFERROR(__xludf.DUMMYFUNCTION("""COMPUTED_VALUE"""),1.3889417595406E7)</f>
        <v>13889417.6</v>
      </c>
      <c r="N49" s="3">
        <f>IFERROR(__xludf.DUMMYFUNCTION("""COMPUTED_VALUE"""),4.56489583401055E8)</f>
        <v>456489583.4</v>
      </c>
      <c r="O49" s="3">
        <f>IFERROR(__xludf.DUMMYFUNCTION("""COMPUTED_VALUE"""),977631.036951)</f>
        <v>977631.037</v>
      </c>
      <c r="P49" s="3">
        <f>IFERROR(__xludf.DUMMYFUNCTION("""COMPUTED_VALUE"""),3.91958099393145E8)</f>
        <v>391958099.4</v>
      </c>
      <c r="Q49" s="3">
        <f>IFERROR(__xludf.DUMMYFUNCTION("""COMPUTED_VALUE"""),4.30417428828275E8)</f>
        <v>430417428.8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IFERROR(__xludf.DUMMYFUNCTION("""COMPUTED_VALUE"""),18947.075421)</f>
        <v>18947.07542</v>
      </c>
      <c r="C50" s="3">
        <f>IFERROR(__xludf.DUMMYFUNCTION("""COMPUTED_VALUE"""),1085.019601)</f>
        <v>1085.019601</v>
      </c>
      <c r="D50" s="3">
        <f>IFERROR(__xludf.DUMMYFUNCTION("""COMPUTED_VALUE"""),30.668175)</f>
        <v>30.668175</v>
      </c>
      <c r="E50" s="3">
        <f>IFERROR(__xludf.DUMMYFUNCTION("""COMPUTED_VALUE"""),57.303359)</f>
        <v>57.303359</v>
      </c>
      <c r="F50" s="3">
        <f>IFERROR(__xludf.DUMMYFUNCTION("""COMPUTED_VALUE"""),3.93036)</f>
        <v>3.93036</v>
      </c>
      <c r="G50" s="3">
        <f>IFERROR(__xludf.DUMMYFUNCTION("""COMPUTED_VALUE"""),766.259839)</f>
        <v>766.259839</v>
      </c>
      <c r="H50" s="3">
        <f>IFERROR(__xludf.DUMMYFUNCTION("""COMPUTED_VALUE"""),0.660001)</f>
        <v>0.660001</v>
      </c>
      <c r="I50" s="3">
        <f>IFERROR(__xludf.DUMMYFUNCTION("""COMPUTED_VALUE"""),0.578682)</f>
        <v>0.578682</v>
      </c>
      <c r="J50" s="3">
        <f>IFERROR(__xludf.DUMMYFUNCTION("""COMPUTED_VALUE"""),1.9070018E7)</f>
        <v>19070018</v>
      </c>
      <c r="K50" s="3">
        <f>IFERROR(__xludf.DUMMYFUNCTION("""COMPUTED_VALUE"""),1.21210176499E8)</f>
        <v>121210176.5</v>
      </c>
      <c r="L50" s="3">
        <f>IFERROR(__xludf.DUMMYFUNCTION("""COMPUTED_VALUE"""),3.4237934747499E8)</f>
        <v>342379347.5</v>
      </c>
      <c r="M50" s="3">
        <f>IFERROR(__xludf.DUMMYFUNCTION("""COMPUTED_VALUE"""),1.3889592206744E7)</f>
        <v>13889592.21</v>
      </c>
      <c r="N50" s="3">
        <f>IFERROR(__xludf.DUMMYFUNCTION("""COMPUTED_VALUE"""),4.56489583401055E8)</f>
        <v>456489583.4</v>
      </c>
      <c r="O50" s="3">
        <f>IFERROR(__xludf.DUMMYFUNCTION("""COMPUTED_VALUE"""),977631.036951)</f>
        <v>977631.037</v>
      </c>
      <c r="P50" s="3">
        <f>IFERROR(__xludf.DUMMYFUNCTION("""COMPUTED_VALUE"""),3.91958099393145E8)</f>
        <v>391958099.4</v>
      </c>
      <c r="Q50" s="3">
        <f>IFERROR(__xludf.DUMMYFUNCTION("""COMPUTED_VALUE"""),4.32448682975626E8)</f>
        <v>432448683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IFERROR(__xludf.DUMMYFUNCTION("""COMPUTED_VALUE"""),20547.071879)</f>
        <v>20547.07188</v>
      </c>
      <c r="C51" s="3">
        <f>IFERROR(__xludf.DUMMYFUNCTION("""COMPUTED_VALUE"""),993.697714)</f>
        <v>993.697714</v>
      </c>
      <c r="D51" s="3">
        <f>IFERROR(__xludf.DUMMYFUNCTION("""COMPUTED_VALUE"""),31.975383)</f>
        <v>31.975383</v>
      </c>
      <c r="E51" s="3">
        <f>IFERROR(__xludf.DUMMYFUNCTION("""COMPUTED_VALUE"""),49.579584)</f>
        <v>49.579584</v>
      </c>
      <c r="F51" s="3">
        <f>IFERROR(__xludf.DUMMYFUNCTION("""COMPUTED_VALUE"""),3.642738)</f>
        <v>3.642738</v>
      </c>
      <c r="G51" s="3">
        <f>IFERROR(__xludf.DUMMYFUNCTION("""COMPUTED_VALUE"""),731.937656)</f>
        <v>731.937656</v>
      </c>
      <c r="H51" s="3">
        <f>IFERROR(__xludf.DUMMYFUNCTION("""COMPUTED_VALUE"""),0.582753)</f>
        <v>0.582753</v>
      </c>
      <c r="I51" s="3">
        <f>IFERROR(__xludf.DUMMYFUNCTION("""COMPUTED_VALUE"""),0.465642)</f>
        <v>0.465642</v>
      </c>
      <c r="J51" s="3">
        <f>IFERROR(__xludf.DUMMYFUNCTION("""COMPUTED_VALUE"""),1.9070993E7)</f>
        <v>19070993</v>
      </c>
      <c r="K51" s="3">
        <f>IFERROR(__xludf.DUMMYFUNCTION("""COMPUTED_VALUE"""),1.212223986865E8)</f>
        <v>121222398.7</v>
      </c>
      <c r="L51" s="3">
        <f>IFERROR(__xludf.DUMMYFUNCTION("""COMPUTED_VALUE"""),3.42378720203899E8)</f>
        <v>342378720.2</v>
      </c>
      <c r="M51" s="3">
        <f>IFERROR(__xludf.DUMMYFUNCTION("""COMPUTED_VALUE"""),1.3890139150933E7)</f>
        <v>13890139.15</v>
      </c>
      <c r="N51" s="3">
        <f>IFERROR(__xludf.DUMMYFUNCTION("""COMPUTED_VALUE"""),4.56489583401055E8)</f>
        <v>456489583.4</v>
      </c>
      <c r="O51" s="3">
        <f>IFERROR(__xludf.DUMMYFUNCTION("""COMPUTED_VALUE"""),977631.036951)</f>
        <v>977631.037</v>
      </c>
      <c r="P51" s="3">
        <f>IFERROR(__xludf.DUMMYFUNCTION("""COMPUTED_VALUE"""),3.91958099393145E8)</f>
        <v>391958099.4</v>
      </c>
      <c r="Q51" s="3">
        <f>IFERROR(__xludf.DUMMYFUNCTION("""COMPUTED_VALUE"""),4.34450284969793E8)</f>
        <v>434450285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IFERROR(__xludf.DUMMYFUNCTION("""COMPUTED_VALUE"""),20551.426495)</f>
        <v>20551.4265</v>
      </c>
      <c r="C52" s="3">
        <f>IFERROR(__xludf.DUMMYFUNCTION("""COMPUTED_VALUE"""),1125.778885)</f>
        <v>1125.778885</v>
      </c>
      <c r="D52" s="3">
        <f>IFERROR(__xludf.DUMMYFUNCTION("""COMPUTED_VALUE"""),34.139004)</f>
        <v>34.139004</v>
      </c>
      <c r="E52" s="3">
        <f>IFERROR(__xludf.DUMMYFUNCTION("""COMPUTED_VALUE"""),53.989446)</f>
        <v>53.989446</v>
      </c>
      <c r="F52" s="3">
        <f>IFERROR(__xludf.DUMMYFUNCTION("""COMPUTED_VALUE"""),4.186464)</f>
        <v>4.186464</v>
      </c>
      <c r="G52" s="3">
        <f>IFERROR(__xludf.DUMMYFUNCTION("""COMPUTED_VALUE"""),905.245616)</f>
        <v>905.245616</v>
      </c>
      <c r="H52" s="3">
        <f>IFERROR(__xludf.DUMMYFUNCTION("""COMPUTED_VALUE"""),0.645372)</f>
        <v>0.645372</v>
      </c>
      <c r="I52" s="3">
        <f>IFERROR(__xludf.DUMMYFUNCTION("""COMPUTED_VALUE"""),0.516202)</f>
        <v>0.516202</v>
      </c>
      <c r="J52" s="3">
        <f>IFERROR(__xludf.DUMMYFUNCTION("""COMPUTED_VALUE"""),1.907185E7)</f>
        <v>19071850</v>
      </c>
      <c r="K52" s="3">
        <f>IFERROR(__xludf.DUMMYFUNCTION("""COMPUTED_VALUE"""),1.21234453874E8)</f>
        <v>121234453.9</v>
      </c>
      <c r="L52" s="3">
        <f>IFERROR(__xludf.DUMMYFUNCTION("""COMPUTED_VALUE"""),3.42509409476232E8)</f>
        <v>342509409.5</v>
      </c>
      <c r="M52" s="3">
        <f>IFERROR(__xludf.DUMMYFUNCTION("""COMPUTED_VALUE"""),1.3896884734533E7)</f>
        <v>13896884.73</v>
      </c>
      <c r="N52" s="3">
        <f>IFERROR(__xludf.DUMMYFUNCTION("""COMPUTED_VALUE"""),4.56489583401055E8)</f>
        <v>456489583.4</v>
      </c>
      <c r="O52" s="3">
        <f>IFERROR(__xludf.DUMMYFUNCTION("""COMPUTED_VALUE"""),977631.036951)</f>
        <v>977631.037</v>
      </c>
      <c r="P52" s="3">
        <f>IFERROR(__xludf.DUMMYFUNCTION("""COMPUTED_VALUE"""),3.91958099393145E8)</f>
        <v>391958099.4</v>
      </c>
      <c r="Q52" s="3">
        <f>IFERROR(__xludf.DUMMYFUNCTION("""COMPUTED_VALUE"""),4.36465488226986E8)</f>
        <v>436465488.2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IFERROR(__xludf.DUMMYFUNCTION("""COMPUTED_VALUE"""),20696.526127)</f>
        <v>20696.52613</v>
      </c>
      <c r="C53" s="3">
        <f>IFERROR(__xludf.DUMMYFUNCTION("""COMPUTED_VALUE"""),1126.900833)</f>
        <v>1126.900833</v>
      </c>
      <c r="D53" s="3">
        <f>IFERROR(__xludf.DUMMYFUNCTION("""COMPUTED_VALUE"""),35.210349)</f>
        <v>35.210349</v>
      </c>
      <c r="E53" s="3">
        <f>IFERROR(__xludf.DUMMYFUNCTION("""COMPUTED_VALUE"""),61.513371)</f>
        <v>61.513371</v>
      </c>
      <c r="F53" s="3">
        <f>IFERROR(__xludf.DUMMYFUNCTION("""COMPUTED_VALUE"""),4.289353)</f>
        <v>4.289353</v>
      </c>
      <c r="G53" s="3">
        <f>IFERROR(__xludf.DUMMYFUNCTION("""COMPUTED_VALUE"""),899.822742)</f>
        <v>899.822742</v>
      </c>
      <c r="H53" s="3">
        <f>IFERROR(__xludf.DUMMYFUNCTION("""COMPUTED_VALUE"""),0.701057)</f>
        <v>0.701057</v>
      </c>
      <c r="I53" s="3">
        <f>IFERROR(__xludf.DUMMYFUNCTION("""COMPUTED_VALUE"""),0.51155)</f>
        <v>0.51155</v>
      </c>
      <c r="J53" s="3">
        <f>IFERROR(__xludf.DUMMYFUNCTION("""COMPUTED_VALUE"""),1.9072662E7)</f>
        <v>19072662</v>
      </c>
      <c r="K53" s="3">
        <f>IFERROR(__xludf.DUMMYFUNCTION("""COMPUTED_VALUE"""),1.212466571865E8)</f>
        <v>121246657.2</v>
      </c>
      <c r="L53" s="3">
        <f>IFERROR(__xludf.DUMMYFUNCTION("""COMPUTED_VALUE"""),3.42508757490055E8)</f>
        <v>342508757.5</v>
      </c>
      <c r="M53" s="3">
        <f>IFERROR(__xludf.DUMMYFUNCTION("""COMPUTED_VALUE"""),1.3897329082054E7)</f>
        <v>13897329.08</v>
      </c>
      <c r="N53" s="3">
        <f>IFERROR(__xludf.DUMMYFUNCTION("""COMPUTED_VALUE"""),4.56489583401055E8)</f>
        <v>456489583.4</v>
      </c>
      <c r="O53" s="3">
        <f>IFERROR(__xludf.DUMMYFUNCTION("""COMPUTED_VALUE"""),977631.036951)</f>
        <v>977631.037</v>
      </c>
      <c r="P53" s="3">
        <f>IFERROR(__xludf.DUMMYFUNCTION("""COMPUTED_VALUE"""),3.91958099393145E8)</f>
        <v>391958099.4</v>
      </c>
      <c r="Q53" s="3">
        <f>IFERROR(__xludf.DUMMYFUNCTION("""COMPUTED_VALUE"""),4.38493149587877E8)</f>
        <v>438493149.6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IFERROR(__xludf.DUMMYFUNCTION("""COMPUTED_VALUE"""),19963.620056)</f>
        <v>19963.62006</v>
      </c>
      <c r="C54" s="3">
        <f>IFERROR(__xludf.DUMMYFUNCTION("""COMPUTED_VALUE"""),1124.351454)</f>
        <v>1124.351454</v>
      </c>
      <c r="D54" s="3">
        <f>IFERROR(__xludf.DUMMYFUNCTION("""COMPUTED_VALUE"""),36.376838)</f>
        <v>36.376838</v>
      </c>
      <c r="E54" s="3">
        <f>IFERROR(__xludf.DUMMYFUNCTION("""COMPUTED_VALUE"""),66.324997)</f>
        <v>66.324997</v>
      </c>
      <c r="F54" s="3">
        <f>IFERROR(__xludf.DUMMYFUNCTION("""COMPUTED_VALUE"""),4.773112)</f>
        <v>4.773112</v>
      </c>
      <c r="G54" s="3">
        <f>IFERROR(__xludf.DUMMYFUNCTION("""COMPUTED_VALUE"""),920.875115)</f>
        <v>920.875115</v>
      </c>
      <c r="H54" s="3">
        <f>IFERROR(__xludf.DUMMYFUNCTION("""COMPUTED_VALUE"""),0.724939)</f>
        <v>0.724939</v>
      </c>
      <c r="I54" s="3">
        <f>IFERROR(__xludf.DUMMYFUNCTION("""COMPUTED_VALUE"""),0.529479)</f>
        <v>0.529479</v>
      </c>
      <c r="J54" s="3">
        <f>IFERROR(__xludf.DUMMYFUNCTION("""COMPUTED_VALUE"""),1.90736E7)</f>
        <v>19073600</v>
      </c>
      <c r="K54" s="3">
        <f>IFERROR(__xludf.DUMMYFUNCTION("""COMPUTED_VALUE"""),1.212581720615E8)</f>
        <v>121258172.1</v>
      </c>
      <c r="L54" s="3">
        <f>IFERROR(__xludf.DUMMYFUNCTION("""COMPUTED_VALUE"""),3.42508116685695E8)</f>
        <v>342508116.7</v>
      </c>
      <c r="M54" s="3">
        <f>IFERROR(__xludf.DUMMYFUNCTION("""COMPUTED_VALUE"""),1.3898117592803E7)</f>
        <v>13898117.59</v>
      </c>
      <c r="N54" s="3">
        <f>IFERROR(__xludf.DUMMYFUNCTION("""COMPUTED_VALUE"""),4.56489583401055E8)</f>
        <v>456489583.4</v>
      </c>
      <c r="O54" s="3">
        <f>IFERROR(__xludf.DUMMYFUNCTION("""COMPUTED_VALUE"""),977631.036951)</f>
        <v>977631.037</v>
      </c>
      <c r="P54" s="3">
        <f>IFERROR(__xludf.DUMMYFUNCTION("""COMPUTED_VALUE"""),3.91958099393145E8)</f>
        <v>391958099.4</v>
      </c>
      <c r="Q54" s="3">
        <f>IFERROR(__xludf.DUMMYFUNCTION("""COMPUTED_VALUE"""),4.40572201209176E8)</f>
        <v>440572201.2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IFERROR(__xludf.DUMMYFUNCTION("""COMPUTED_VALUE"""),21089.983764)</f>
        <v>21089.98376</v>
      </c>
      <c r="C55" s="3">
        <f>IFERROR(__xludf.DUMMYFUNCTION("""COMPUTED_VALUE"""),1049.023815)</f>
        <v>1049.023815</v>
      </c>
      <c r="D55" s="3">
        <f>IFERROR(__xludf.DUMMYFUNCTION("""COMPUTED_VALUE"""),34.093257)</f>
        <v>34.093257</v>
      </c>
      <c r="E55" s="3">
        <f>IFERROR(__xludf.DUMMYFUNCTION("""COMPUTED_VALUE"""),61.898415)</f>
        <v>61.898415</v>
      </c>
      <c r="F55" s="3">
        <f>IFERROR(__xludf.DUMMYFUNCTION("""COMPUTED_VALUE"""),4.982678)</f>
        <v>4.982678</v>
      </c>
      <c r="G55" s="3">
        <f>IFERROR(__xludf.DUMMYFUNCTION("""COMPUTED_VALUE"""),882.796852)</f>
        <v>882.796852</v>
      </c>
      <c r="H55" s="3">
        <f>IFERROR(__xludf.DUMMYFUNCTION("""COMPUTED_VALUE"""),0.699038)</f>
        <v>0.699038</v>
      </c>
      <c r="I55" s="3">
        <f>IFERROR(__xludf.DUMMYFUNCTION("""COMPUTED_VALUE"""),0.525228)</f>
        <v>0.525228</v>
      </c>
      <c r="J55" s="3">
        <f>IFERROR(__xludf.DUMMYFUNCTION("""COMPUTED_VALUE"""),1.9074375E7)</f>
        <v>19074375</v>
      </c>
      <c r="K55" s="3">
        <f>IFERROR(__xludf.DUMMYFUNCTION("""COMPUTED_VALUE"""),1.212693108115E8)</f>
        <v>121269310.8</v>
      </c>
      <c r="L55" s="3">
        <f>IFERROR(__xludf.DUMMYFUNCTION("""COMPUTED_VALUE"""),3.4263891593035E8)</f>
        <v>342638915.9</v>
      </c>
      <c r="M55" s="3">
        <f>IFERROR(__xludf.DUMMYFUNCTION("""COMPUTED_VALUE"""),1.389826379441E7)</f>
        <v>13898263.79</v>
      </c>
      <c r="N55" s="3">
        <f>IFERROR(__xludf.DUMMYFUNCTION("""COMPUTED_VALUE"""),4.56489583401055E8)</f>
        <v>456489583.4</v>
      </c>
      <c r="O55" s="3">
        <f>IFERROR(__xludf.DUMMYFUNCTION("""COMPUTED_VALUE"""),977631.036951)</f>
        <v>977631.037</v>
      </c>
      <c r="P55" s="3">
        <f>IFERROR(__xludf.DUMMYFUNCTION("""COMPUTED_VALUE"""),3.91958099393145E8)</f>
        <v>391958099.4</v>
      </c>
      <c r="Q55" s="3">
        <f>IFERROR(__xludf.DUMMYFUNCTION("""COMPUTED_VALUE"""),4.42601938920683E8)</f>
        <v>442601938.9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IFERROR(__xludf.DUMMYFUNCTION("""COMPUTED_VALUE"""),21112.96488)</f>
        <v>21112.96488</v>
      </c>
      <c r="C56" s="3">
        <f>IFERROR(__xludf.DUMMYFUNCTION("""COMPUTED_VALUE"""),1143.576413)</f>
        <v>1143.576413</v>
      </c>
      <c r="D56" s="3">
        <f>IFERROR(__xludf.DUMMYFUNCTION("""COMPUTED_VALUE"""),38.122496)</f>
        <v>38.122496</v>
      </c>
      <c r="E56" s="3">
        <f>IFERROR(__xludf.DUMMYFUNCTION("""COMPUTED_VALUE"""),67.949347)</f>
        <v>67.949347</v>
      </c>
      <c r="F56" s="3">
        <f>IFERROR(__xludf.DUMMYFUNCTION("""COMPUTED_VALUE"""),5.605006)</f>
        <v>5.605006</v>
      </c>
      <c r="G56" s="3">
        <f>IFERROR(__xludf.DUMMYFUNCTION("""COMPUTED_VALUE"""),977.29259)</f>
        <v>977.29259</v>
      </c>
      <c r="H56" s="3">
        <f>IFERROR(__xludf.DUMMYFUNCTION("""COMPUTED_VALUE"""),0.830443)</f>
        <v>0.830443</v>
      </c>
      <c r="I56" s="3">
        <f>IFERROR(__xludf.DUMMYFUNCTION("""COMPUTED_VALUE"""),0.553717)</f>
        <v>0.553717</v>
      </c>
      <c r="J56" s="3">
        <f>IFERROR(__xludf.DUMMYFUNCTION("""COMPUTED_VALUE"""),1.9075325E7)</f>
        <v>19075325</v>
      </c>
      <c r="K56" s="3">
        <f>IFERROR(__xludf.DUMMYFUNCTION("""COMPUTED_VALUE"""),1.21280384624E8)</f>
        <v>121280384.6</v>
      </c>
      <c r="L56" s="3">
        <f>IFERROR(__xludf.DUMMYFUNCTION("""COMPUTED_VALUE"""),3.42638355051789E8)</f>
        <v>342638355.1</v>
      </c>
      <c r="M56" s="3">
        <f>IFERROR(__xludf.DUMMYFUNCTION("""COMPUTED_VALUE"""),1.3898463061216E7)</f>
        <v>13898463.06</v>
      </c>
      <c r="N56" s="3">
        <f>IFERROR(__xludf.DUMMYFUNCTION("""COMPUTED_VALUE"""),4.56489583401055E8)</f>
        <v>456489583.4</v>
      </c>
      <c r="O56" s="3">
        <f>IFERROR(__xludf.DUMMYFUNCTION("""COMPUTED_VALUE"""),977631.036951)</f>
        <v>977631.037</v>
      </c>
      <c r="P56" s="3">
        <f>IFERROR(__xludf.DUMMYFUNCTION("""COMPUTED_VALUE"""),3.91958099393145E8)</f>
        <v>391958099.4</v>
      </c>
      <c r="Q56" s="3">
        <f>IFERROR(__xludf.DUMMYFUNCTION("""COMPUTED_VALUE"""),4.44962981000077E8)</f>
        <v>444962981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IFERROR(__xludf.DUMMYFUNCTION("""COMPUTED_VALUE"""),21479.437446)</f>
        <v>21479.43745</v>
      </c>
      <c r="C57" s="3">
        <f>IFERROR(__xludf.DUMMYFUNCTION("""COMPUTED_VALUE"""),1221.46879)</f>
        <v>1221.46879</v>
      </c>
      <c r="D57" s="3">
        <f>IFERROR(__xludf.DUMMYFUNCTION("""COMPUTED_VALUE"""),41.804762)</f>
        <v>41.804762</v>
      </c>
      <c r="E57" s="3">
        <f>IFERROR(__xludf.DUMMYFUNCTION("""COMPUTED_VALUE"""),70.911279)</f>
        <v>70.911279</v>
      </c>
      <c r="F57" s="3">
        <f>IFERROR(__xludf.DUMMYFUNCTION("""COMPUTED_VALUE"""),5.455058)</f>
        <v>5.455058</v>
      </c>
      <c r="G57" s="3">
        <f>IFERROR(__xludf.DUMMYFUNCTION("""COMPUTED_VALUE"""),1050.843273)</f>
        <v>1050.843273</v>
      </c>
      <c r="H57" s="3">
        <f>IFERROR(__xludf.DUMMYFUNCTION("""COMPUTED_VALUE"""),0.839173)</f>
        <v>0.839173</v>
      </c>
      <c r="I57" s="3">
        <f>IFERROR(__xludf.DUMMYFUNCTION("""COMPUTED_VALUE"""),0.634008)</f>
        <v>0.634008</v>
      </c>
      <c r="J57" s="3">
        <f>IFERROR(__xludf.DUMMYFUNCTION("""COMPUTED_VALUE"""),1.9076162E7)</f>
        <v>19076162</v>
      </c>
      <c r="K57" s="3">
        <f>IFERROR(__xludf.DUMMYFUNCTION("""COMPUTED_VALUE"""),1.21291590624E8)</f>
        <v>121291590.6</v>
      </c>
      <c r="L57" s="3">
        <f>IFERROR(__xludf.DUMMYFUNCTION("""COMPUTED_VALUE"""),3.42637778724315E8)</f>
        <v>342637778.7</v>
      </c>
      <c r="M57" s="3">
        <f>IFERROR(__xludf.DUMMYFUNCTION("""COMPUTED_VALUE"""),1.3899035201451E7)</f>
        <v>13899035.2</v>
      </c>
      <c r="N57" s="3">
        <f>IFERROR(__xludf.DUMMYFUNCTION("""COMPUTED_VALUE"""),4.56489583401055E8)</f>
        <v>456489583.4</v>
      </c>
      <c r="O57" s="3">
        <f>IFERROR(__xludf.DUMMYFUNCTION("""COMPUTED_VALUE"""),977631.036951)</f>
        <v>977631.037</v>
      </c>
      <c r="P57" s="3">
        <f>IFERROR(__xludf.DUMMYFUNCTION("""COMPUTED_VALUE"""),3.91958099393145E8)</f>
        <v>391958099.4</v>
      </c>
      <c r="Q57" s="3">
        <f>IFERROR(__xludf.DUMMYFUNCTION("""COMPUTED_VALUE"""),4.46983340139138E8)</f>
        <v>446983340.1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IFERROR(__xludf.DUMMYFUNCTION("""COMPUTED_VALUE"""),21028.08688)</f>
        <v>21028.08688</v>
      </c>
      <c r="C58" s="3">
        <f>IFERROR(__xludf.DUMMYFUNCTION("""COMPUTED_VALUE"""),1241.475753)</f>
        <v>1241.475753</v>
      </c>
      <c r="D58" s="3">
        <f>IFERROR(__xludf.DUMMYFUNCTION("""COMPUTED_VALUE"""),42.206675)</f>
        <v>42.206675</v>
      </c>
      <c r="E58" s="3">
        <f>IFERROR(__xludf.DUMMYFUNCTION("""COMPUTED_VALUE"""),69.950212)</f>
        <v>69.950212</v>
      </c>
      <c r="F58" s="3">
        <f>IFERROR(__xludf.DUMMYFUNCTION("""COMPUTED_VALUE"""),5.618101)</f>
        <v>5.618101</v>
      </c>
      <c r="G58" s="3">
        <f>IFERROR(__xludf.DUMMYFUNCTION("""COMPUTED_VALUE"""),1034.220757)</f>
        <v>1034.220757</v>
      </c>
      <c r="H58" s="3">
        <f>IFERROR(__xludf.DUMMYFUNCTION("""COMPUTED_VALUE"""),0.818784)</f>
        <v>0.818784</v>
      </c>
      <c r="I58" s="3">
        <f>IFERROR(__xludf.DUMMYFUNCTION("""COMPUTED_VALUE"""),0.651949)</f>
        <v>0.651949</v>
      </c>
      <c r="J58" s="3">
        <f>IFERROR(__xludf.DUMMYFUNCTION("""COMPUTED_VALUE"""),1.90771E7)</f>
        <v>19077100</v>
      </c>
      <c r="K58" s="3">
        <f>IFERROR(__xludf.DUMMYFUNCTION("""COMPUTED_VALUE"""),1.213027649365E8)</f>
        <v>121302764.9</v>
      </c>
      <c r="L58" s="3">
        <f>IFERROR(__xludf.DUMMYFUNCTION("""COMPUTED_VALUE"""),3.42768759370501E8)</f>
        <v>342768759.4</v>
      </c>
      <c r="M58" s="3">
        <f>IFERROR(__xludf.DUMMYFUNCTION("""COMPUTED_VALUE"""),1.3899456645666E7)</f>
        <v>13899456.65</v>
      </c>
      <c r="N58" s="3">
        <f>IFERROR(__xludf.DUMMYFUNCTION("""COMPUTED_VALUE"""),4.56489583401055E8)</f>
        <v>456489583.4</v>
      </c>
      <c r="O58" s="3">
        <f>IFERROR(__xludf.DUMMYFUNCTION("""COMPUTED_VALUE"""),977631.036951)</f>
        <v>977631.037</v>
      </c>
      <c r="P58" s="3">
        <f>IFERROR(__xludf.DUMMYFUNCTION("""COMPUTED_VALUE"""),3.91958099393145E8)</f>
        <v>391958099.4</v>
      </c>
      <c r="Q58" s="3">
        <f>IFERROR(__xludf.DUMMYFUNCTION("""COMPUTED_VALUE"""),4.49013007861299E8)</f>
        <v>449013007.9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IFERROR(__xludf.DUMMYFUNCTION("""COMPUTED_VALUE"""),20719.11019)</f>
        <v>20719.11019</v>
      </c>
      <c r="C59" s="3">
        <f>IFERROR(__xludf.DUMMYFUNCTION("""COMPUTED_VALUE"""),1196.723957)</f>
        <v>1196.723957</v>
      </c>
      <c r="D59" s="3">
        <f>IFERROR(__xludf.DUMMYFUNCTION("""COMPUTED_VALUE"""),39.359371)</f>
        <v>39.359371</v>
      </c>
      <c r="E59" s="3">
        <f>IFERROR(__xludf.DUMMYFUNCTION("""COMPUTED_VALUE"""),65.356454)</f>
        <v>65.356454</v>
      </c>
      <c r="F59" s="3">
        <f>IFERROR(__xludf.DUMMYFUNCTION("""COMPUTED_VALUE"""),5.591552)</f>
        <v>5.591552</v>
      </c>
      <c r="G59" s="3">
        <f>IFERROR(__xludf.DUMMYFUNCTION("""COMPUTED_VALUE"""),1000.608405)</f>
        <v>1000.608405</v>
      </c>
      <c r="H59" s="3">
        <f>IFERROR(__xludf.DUMMYFUNCTION("""COMPUTED_VALUE"""),0.747895)</f>
        <v>0.747895</v>
      </c>
      <c r="I59" s="3">
        <f>IFERROR(__xludf.DUMMYFUNCTION("""COMPUTED_VALUE"""),0.606756)</f>
        <v>0.606756</v>
      </c>
      <c r="J59" s="3">
        <f>IFERROR(__xludf.DUMMYFUNCTION("""COMPUTED_VALUE"""),1.9077962E7)</f>
        <v>19077962</v>
      </c>
      <c r="K59" s="3">
        <f>IFERROR(__xludf.DUMMYFUNCTION("""COMPUTED_VALUE"""),1.21313866999E8)</f>
        <v>121313867</v>
      </c>
      <c r="L59" s="3">
        <f>IFERROR(__xludf.DUMMYFUNCTION("""COMPUTED_VALUE"""),3.42769519675171E8)</f>
        <v>342769519.7</v>
      </c>
      <c r="M59" s="3">
        <f>IFERROR(__xludf.DUMMYFUNCTION("""COMPUTED_VALUE"""),1.3899626193E7)</f>
        <v>13899626.19</v>
      </c>
      <c r="N59" s="3">
        <f>IFERROR(__xludf.DUMMYFUNCTION("""COMPUTED_VALUE"""),4.56489583401055E8)</f>
        <v>456489583.4</v>
      </c>
      <c r="O59" s="3">
        <f>IFERROR(__xludf.DUMMYFUNCTION("""COMPUTED_VALUE"""),977631.036951)</f>
        <v>977631.037</v>
      </c>
      <c r="P59" s="3">
        <f>IFERROR(__xludf.DUMMYFUNCTION("""COMPUTED_VALUE"""),3.91958099393145E8)</f>
        <v>391958099.4</v>
      </c>
      <c r="Q59" s="3">
        <f>IFERROR(__xludf.DUMMYFUNCTION("""COMPUTED_VALUE"""),4.51046781281838E8)</f>
        <v>451046781.3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IFERROR(__xludf.DUMMYFUNCTION("""COMPUTED_VALUE"""),20256.414987)</f>
        <v>20256.41499</v>
      </c>
      <c r="C60" s="3">
        <f>IFERROR(__xludf.DUMMYFUNCTION("""COMPUTED_VALUE"""),1191.173331)</f>
        <v>1191.173331</v>
      </c>
      <c r="D60" s="3">
        <f>IFERROR(__xludf.DUMMYFUNCTION("""COMPUTED_VALUE"""),38.466239)</f>
        <v>38.466239</v>
      </c>
      <c r="E60" s="3">
        <f>IFERROR(__xludf.DUMMYFUNCTION("""COMPUTED_VALUE"""),65.52729)</f>
        <v>65.52729</v>
      </c>
      <c r="F60" s="3">
        <f>IFERROR(__xludf.DUMMYFUNCTION("""COMPUTED_VALUE"""),5.333516)</f>
        <v>5.333516</v>
      </c>
      <c r="G60" s="3">
        <f>IFERROR(__xludf.DUMMYFUNCTION("""COMPUTED_VALUE"""),1000.902162)</f>
        <v>1000.902162</v>
      </c>
      <c r="H60" s="3">
        <f>IFERROR(__xludf.DUMMYFUNCTION("""COMPUTED_VALUE"""),0.734849)</f>
        <v>0.734849</v>
      </c>
      <c r="I60" s="3">
        <f>IFERROR(__xludf.DUMMYFUNCTION("""COMPUTED_VALUE"""),0.579123)</f>
        <v>0.579123</v>
      </c>
      <c r="J60" s="3">
        <f>IFERROR(__xludf.DUMMYFUNCTION("""COMPUTED_VALUE"""),1.9078743E7)</f>
        <v>19078743</v>
      </c>
      <c r="K60" s="3">
        <f>IFERROR(__xludf.DUMMYFUNCTION("""COMPUTED_VALUE"""),1.21325065249E8)</f>
        <v>121325065.2</v>
      </c>
      <c r="L60" s="3">
        <f>IFERROR(__xludf.DUMMYFUNCTION("""COMPUTED_VALUE"""),3.4276880275189E8)</f>
        <v>342768802.8</v>
      </c>
      <c r="M60" s="3">
        <f>IFERROR(__xludf.DUMMYFUNCTION("""COMPUTED_VALUE"""),1.3900908443032E7)</f>
        <v>13900908.44</v>
      </c>
      <c r="N60" s="3">
        <f>IFERROR(__xludf.DUMMYFUNCTION("""COMPUTED_VALUE"""),4.56489583401055E8)</f>
        <v>456489583.4</v>
      </c>
      <c r="O60" s="3">
        <f>IFERROR(__xludf.DUMMYFUNCTION("""COMPUTED_VALUE"""),977631.036951)</f>
        <v>977631.037</v>
      </c>
      <c r="P60" s="3">
        <f>IFERROR(__xludf.DUMMYFUNCTION("""COMPUTED_VALUE"""),3.91958099393145E8)</f>
        <v>391958099.4</v>
      </c>
      <c r="Q60" s="3">
        <f>IFERROR(__xludf.DUMMYFUNCTION("""COMPUTED_VALUE"""),4.53074465972511E8)</f>
        <v>453074466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IFERROR(__xludf.DUMMYFUNCTION("""COMPUTED_VALUE"""),20096.416033)</f>
        <v>20096.41603</v>
      </c>
      <c r="C61" s="3">
        <f>IFERROR(__xludf.DUMMYFUNCTION("""COMPUTED_VALUE"""),1142.30519)</f>
        <v>1142.30519</v>
      </c>
      <c r="D61" s="3">
        <f>IFERROR(__xludf.DUMMYFUNCTION("""COMPUTED_VALUE"""),35.282115)</f>
        <v>35.282115</v>
      </c>
      <c r="E61" s="3">
        <f>IFERROR(__xludf.DUMMYFUNCTION("""COMPUTED_VALUE"""),60.006214)</f>
        <v>60.006214</v>
      </c>
      <c r="F61" s="3">
        <f>IFERROR(__xludf.DUMMYFUNCTION("""COMPUTED_VALUE"""),4.915156)</f>
        <v>4.915156</v>
      </c>
      <c r="G61" s="3">
        <f>IFERROR(__xludf.DUMMYFUNCTION("""COMPUTED_VALUE"""),944.907829)</f>
        <v>944.907829</v>
      </c>
      <c r="H61" s="3">
        <f>IFERROR(__xludf.DUMMYFUNCTION("""COMPUTED_VALUE"""),0.695389)</f>
        <v>0.695389</v>
      </c>
      <c r="I61" s="3">
        <f>IFERROR(__xludf.DUMMYFUNCTION("""COMPUTED_VALUE"""),0.521311)</f>
        <v>0.521311</v>
      </c>
      <c r="J61" s="3">
        <f>IFERROR(__xludf.DUMMYFUNCTION("""COMPUTED_VALUE"""),1.9079737E7)</f>
        <v>19079737</v>
      </c>
      <c r="K61" s="3">
        <f>IFERROR(__xludf.DUMMYFUNCTION("""COMPUTED_VALUE"""),1.21336160124E8)</f>
        <v>121336160.1</v>
      </c>
      <c r="L61" s="3">
        <f>IFERROR(__xludf.DUMMYFUNCTION("""COMPUTED_VALUE"""),3.42899819433495E8)</f>
        <v>342899819.4</v>
      </c>
      <c r="M61" s="3">
        <f>IFERROR(__xludf.DUMMYFUNCTION("""COMPUTED_VALUE"""),1.3901055822138E7)</f>
        <v>13901055.82</v>
      </c>
      <c r="N61" s="3">
        <f>IFERROR(__xludf.DUMMYFUNCTION("""COMPUTED_VALUE"""),4.56489583401055E8)</f>
        <v>456489583.4</v>
      </c>
      <c r="O61" s="3">
        <f>IFERROR(__xludf.DUMMYFUNCTION("""COMPUTED_VALUE"""),977631.036951)</f>
        <v>977631.037</v>
      </c>
      <c r="P61" s="3">
        <f>IFERROR(__xludf.DUMMYFUNCTION("""COMPUTED_VALUE"""),3.91958099393145E8)</f>
        <v>391958099.4</v>
      </c>
      <c r="Q61" s="3">
        <f>IFERROR(__xludf.DUMMYFUNCTION("""COMPUTED_VALUE"""),4.55090112495566E8)</f>
        <v>455090112.5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IFERROR(__xludf.DUMMYFUNCTION("""COMPUTED_VALUE"""),19944.730424)</f>
        <v>19944.73042</v>
      </c>
      <c r="C62" s="3">
        <f>IFERROR(__xludf.DUMMYFUNCTION("""COMPUTED_VALUE"""),1098.892355)</f>
        <v>1098.892355</v>
      </c>
      <c r="D62" s="3">
        <f>IFERROR(__xludf.DUMMYFUNCTION("""COMPUTED_VALUE"""),34.013169)</f>
        <v>34.013169</v>
      </c>
      <c r="E62" s="3">
        <f>IFERROR(__xludf.DUMMYFUNCTION("""COMPUTED_VALUE"""),59.820593)</f>
        <v>59.820593</v>
      </c>
      <c r="F62" s="3">
        <f>IFERROR(__xludf.DUMMYFUNCTION("""COMPUTED_VALUE"""),5.109)</f>
        <v>5.109</v>
      </c>
      <c r="G62" s="3">
        <f>IFERROR(__xludf.DUMMYFUNCTION("""COMPUTED_VALUE"""),910.085481)</f>
        <v>910.085481</v>
      </c>
      <c r="H62" s="3">
        <f>IFERROR(__xludf.DUMMYFUNCTION("""COMPUTED_VALUE"""),0.709674)</f>
        <v>0.709674</v>
      </c>
      <c r="I62" s="3">
        <f>IFERROR(__xludf.DUMMYFUNCTION("""COMPUTED_VALUE"""),0.489294)</f>
        <v>0.489294</v>
      </c>
      <c r="J62" s="3">
        <f>IFERROR(__xludf.DUMMYFUNCTION("""COMPUTED_VALUE"""),1.9080662E7)</f>
        <v>19080662</v>
      </c>
      <c r="K62" s="3">
        <f>IFERROR(__xludf.DUMMYFUNCTION("""COMPUTED_VALUE"""),1.21347228124E8)</f>
        <v>121347228.1</v>
      </c>
      <c r="L62" s="3">
        <f>IFERROR(__xludf.DUMMYFUNCTION("""COMPUTED_VALUE"""),3.42899201132956E8)</f>
        <v>342899201.1</v>
      </c>
      <c r="M62" s="3">
        <f>IFERROR(__xludf.DUMMYFUNCTION("""COMPUTED_VALUE"""),1.3916738547813E7)</f>
        <v>13916738.55</v>
      </c>
      <c r="N62" s="3">
        <f>IFERROR(__xludf.DUMMYFUNCTION("""COMPUTED_VALUE"""),4.56489583401055E8)</f>
        <v>456489583.4</v>
      </c>
      <c r="O62" s="3">
        <f>IFERROR(__xludf.DUMMYFUNCTION("""COMPUTED_VALUE"""),977631.036951)</f>
        <v>977631.037</v>
      </c>
      <c r="P62" s="3">
        <f>IFERROR(__xludf.DUMMYFUNCTION("""COMPUTED_VALUE"""),3.91958099393145E8)</f>
        <v>391958099.4</v>
      </c>
      <c r="Q62" s="3">
        <f>IFERROR(__xludf.DUMMYFUNCTION("""COMPUTED_VALUE"""),4.57178539770128E8)</f>
        <v>457178539.8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IFERROR(__xludf.DUMMYFUNCTION("""COMPUTED_VALUE"""),19252.146475)</f>
        <v>19252.14648</v>
      </c>
      <c r="C63" s="3">
        <f>IFERROR(__xludf.DUMMYFUNCTION("""COMPUTED_VALUE"""),1069.566257)</f>
        <v>1069.566257</v>
      </c>
      <c r="D63" s="3">
        <f>IFERROR(__xludf.DUMMYFUNCTION("""COMPUTED_VALUE"""),33.715618)</f>
        <v>33.715618</v>
      </c>
      <c r="E63" s="3">
        <f>IFERROR(__xludf.DUMMYFUNCTION("""COMPUTED_VALUE"""),56.972626)</f>
        <v>56.972626</v>
      </c>
      <c r="F63" s="3">
        <f>IFERROR(__xludf.DUMMYFUNCTION("""COMPUTED_VALUE"""),4.996136)</f>
        <v>4.996136</v>
      </c>
      <c r="G63" s="3">
        <f>IFERROR(__xludf.DUMMYFUNCTION("""COMPUTED_VALUE"""),907.708961)</f>
        <v>907.708961</v>
      </c>
      <c r="H63" s="3">
        <f>IFERROR(__xludf.DUMMYFUNCTION("""COMPUTED_VALUE"""),0.686009)</f>
        <v>0.686009</v>
      </c>
      <c r="I63" s="3">
        <f>IFERROR(__xludf.DUMMYFUNCTION("""COMPUTED_VALUE"""),0.451521)</f>
        <v>0.451521</v>
      </c>
      <c r="J63" s="3">
        <f>IFERROR(__xludf.DUMMYFUNCTION("""COMPUTED_VALUE"""),1.90817E7)</f>
        <v>19081700</v>
      </c>
      <c r="K63" s="3">
        <f>IFERROR(__xludf.DUMMYFUNCTION("""COMPUTED_VALUE"""),1.213589996865E8)</f>
        <v>121358999.7</v>
      </c>
      <c r="L63" s="3">
        <f>IFERROR(__xludf.DUMMYFUNCTION("""COMPUTED_VALUE"""),3.43284542263902E8)</f>
        <v>343284542.3</v>
      </c>
      <c r="M63" s="3">
        <f>IFERROR(__xludf.DUMMYFUNCTION("""COMPUTED_VALUE"""),1.3916977627046E7)</f>
        <v>13916977.63</v>
      </c>
      <c r="N63" s="3">
        <f>IFERROR(__xludf.DUMMYFUNCTION("""COMPUTED_VALUE"""),4.56489583401055E8)</f>
        <v>456489583.4</v>
      </c>
      <c r="O63" s="3">
        <f>IFERROR(__xludf.DUMMYFUNCTION("""COMPUTED_VALUE"""),977631.036951)</f>
        <v>977631.037</v>
      </c>
      <c r="P63" s="3">
        <f>IFERROR(__xludf.DUMMYFUNCTION("""COMPUTED_VALUE"""),3.91958099393145E8)</f>
        <v>391958099.4</v>
      </c>
      <c r="Q63" s="3">
        <f>IFERROR(__xludf.DUMMYFUNCTION("""COMPUTED_VALUE"""),4.59560627182297E8)</f>
        <v>459560627.2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IFERROR(__xludf.DUMMYFUNCTION("""COMPUTED_VALUE"""),19224.058542)</f>
        <v>19224.05854</v>
      </c>
      <c r="C64" s="3">
        <f>IFERROR(__xludf.DUMMYFUNCTION("""COMPUTED_VALUE"""),1058.421834)</f>
        <v>1058.421834</v>
      </c>
      <c r="D64" s="3">
        <f>IFERROR(__xludf.DUMMYFUNCTION("""COMPUTED_VALUE"""),32.807389)</f>
        <v>32.807389</v>
      </c>
      <c r="E64" s="3">
        <f>IFERROR(__xludf.DUMMYFUNCTION("""COMPUTED_VALUE"""),56.308116)</f>
        <v>56.308116</v>
      </c>
      <c r="F64" s="3">
        <f>IFERROR(__xludf.DUMMYFUNCTION("""COMPUTED_VALUE"""),4.855572)</f>
        <v>4.855572</v>
      </c>
      <c r="G64" s="3">
        <f>IFERROR(__xludf.DUMMYFUNCTION("""COMPUTED_VALUE"""),892.839193)</f>
        <v>892.839193</v>
      </c>
      <c r="H64" s="3">
        <f>IFERROR(__xludf.DUMMYFUNCTION("""COMPUTED_VALUE"""),0.74583)</f>
        <v>0.74583</v>
      </c>
      <c r="I64" s="3">
        <f>IFERROR(__xludf.DUMMYFUNCTION("""COMPUTED_VALUE"""),0.450392)</f>
        <v>0.450392</v>
      </c>
      <c r="J64" s="3">
        <f>IFERROR(__xludf.DUMMYFUNCTION("""COMPUTED_VALUE"""),1.9082587E7)</f>
        <v>19082587</v>
      </c>
      <c r="K64" s="3">
        <f>IFERROR(__xludf.DUMMYFUNCTION("""COMPUTED_VALUE"""),1.213723515615E8)</f>
        <v>121372351.6</v>
      </c>
      <c r="L64" s="3">
        <f>IFERROR(__xludf.DUMMYFUNCTION("""COMPUTED_VALUE"""),3.43416820191807E8)</f>
        <v>343416820.2</v>
      </c>
      <c r="M64" s="3">
        <f>IFERROR(__xludf.DUMMYFUNCTION("""COMPUTED_VALUE"""),1.3919520801604E7)</f>
        <v>13919520.8</v>
      </c>
      <c r="N64" s="3">
        <f>IFERROR(__xludf.DUMMYFUNCTION("""COMPUTED_VALUE"""),4.56489583401055E8)</f>
        <v>456489583.4</v>
      </c>
      <c r="O64" s="3">
        <f>IFERROR(__xludf.DUMMYFUNCTION("""COMPUTED_VALUE"""),977631.036951)</f>
        <v>977631.037</v>
      </c>
      <c r="P64" s="3">
        <f>IFERROR(__xludf.DUMMYFUNCTION("""COMPUTED_VALUE"""),3.91958099393145E8)</f>
        <v>391958099.4</v>
      </c>
      <c r="Q64" s="3">
        <f>IFERROR(__xludf.DUMMYFUNCTION("""COMPUTED_VALUE"""),4.61587098724296E8)</f>
        <v>461587098.7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IFERROR(__xludf.DUMMYFUNCTION("""COMPUTED_VALUE"""),19291.954943)</f>
        <v>19291.95494</v>
      </c>
      <c r="C65" s="3">
        <f>IFERROR(__xludf.DUMMYFUNCTION("""COMPUTED_VALUE"""),1065.663291)</f>
        <v>1065.663291</v>
      </c>
      <c r="D65" s="3">
        <f>IFERROR(__xludf.DUMMYFUNCTION("""COMPUTED_VALUE"""),33.329921)</f>
        <v>33.329921</v>
      </c>
      <c r="E65" s="3">
        <f>IFERROR(__xludf.DUMMYFUNCTION("""COMPUTED_VALUE"""),57.821796)</f>
        <v>57.821796</v>
      </c>
      <c r="F65" s="3">
        <f>IFERROR(__xludf.DUMMYFUNCTION("""COMPUTED_VALUE"""),4.90749)</f>
        <v>4.90749</v>
      </c>
      <c r="G65" s="3">
        <f>IFERROR(__xludf.DUMMYFUNCTION("""COMPUTED_VALUE"""),907.097228)</f>
        <v>907.097228</v>
      </c>
      <c r="H65" s="3">
        <f>IFERROR(__xludf.DUMMYFUNCTION("""COMPUTED_VALUE"""),0.77792)</f>
        <v>0.77792</v>
      </c>
      <c r="I65" s="3">
        <f>IFERROR(__xludf.DUMMYFUNCTION("""COMPUTED_VALUE"""),0.474586)</f>
        <v>0.474586</v>
      </c>
      <c r="J65" s="3">
        <f>IFERROR(__xludf.DUMMYFUNCTION("""COMPUTED_VALUE"""),1.9083443E7)</f>
        <v>19083443</v>
      </c>
      <c r="K65" s="3">
        <f>IFERROR(__xludf.DUMMYFUNCTION("""COMPUTED_VALUE"""),1.213860401865E8)</f>
        <v>121386040.2</v>
      </c>
      <c r="L65" s="3">
        <f>IFERROR(__xludf.DUMMYFUNCTION("""COMPUTED_VALUE"""),3.43416607102484E8)</f>
        <v>343416607.1</v>
      </c>
      <c r="M65" s="3">
        <f>IFERROR(__xludf.DUMMYFUNCTION("""COMPUTED_VALUE"""),1.3920097321374E7)</f>
        <v>13920097.32</v>
      </c>
      <c r="N65" s="3">
        <f>IFERROR(__xludf.DUMMYFUNCTION("""COMPUTED_VALUE"""),4.56489583401055E8)</f>
        <v>456489583.4</v>
      </c>
      <c r="O65" s="3">
        <f>IFERROR(__xludf.DUMMYFUNCTION("""COMPUTED_VALUE"""),977631.036951)</f>
        <v>977631.037</v>
      </c>
      <c r="P65" s="3">
        <f>IFERROR(__xludf.DUMMYFUNCTION("""COMPUTED_VALUE"""),3.91958099393145E8)</f>
        <v>391958099.4</v>
      </c>
      <c r="Q65" s="3">
        <f>IFERROR(__xludf.DUMMYFUNCTION("""COMPUTED_VALUE"""),4.63690987037119E8)</f>
        <v>463690987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IFERROR(__xludf.DUMMYFUNCTION("""COMPUTED_VALUE"""),20211.885516)</f>
        <v>20211.88552</v>
      </c>
      <c r="C66" s="3">
        <f>IFERROR(__xludf.DUMMYFUNCTION("""COMPUTED_VALUE"""),1072.918241)</f>
        <v>1072.918241</v>
      </c>
      <c r="D66" s="3">
        <f>IFERROR(__xludf.DUMMYFUNCTION("""COMPUTED_VALUE"""),33.349764)</f>
        <v>33.349764</v>
      </c>
      <c r="E66" s="3">
        <f>IFERROR(__xludf.DUMMYFUNCTION("""COMPUTED_VALUE"""),57.573546)</f>
        <v>57.573546</v>
      </c>
      <c r="F66" s="3">
        <f>IFERROR(__xludf.DUMMYFUNCTION("""COMPUTED_VALUE"""),4.912893)</f>
        <v>4.912893</v>
      </c>
      <c r="G66" s="3">
        <f>IFERROR(__xludf.DUMMYFUNCTION("""COMPUTED_VALUE"""),902.973418)</f>
        <v>902.973418</v>
      </c>
      <c r="H66" s="3">
        <f>IFERROR(__xludf.DUMMYFUNCTION("""COMPUTED_VALUE"""),0.79559)</f>
        <v>0.79559</v>
      </c>
      <c r="I66" s="3">
        <f>IFERROR(__xludf.DUMMYFUNCTION("""COMPUTED_VALUE"""),0.505522)</f>
        <v>0.505522</v>
      </c>
      <c r="J66" s="3">
        <f>IFERROR(__xludf.DUMMYFUNCTION("""COMPUTED_VALUE"""),1.9084375E7)</f>
        <v>19084375</v>
      </c>
      <c r="K66" s="3">
        <f>IFERROR(__xludf.DUMMYFUNCTION("""COMPUTED_VALUE"""),1.21399635249E8)</f>
        <v>121399635.2</v>
      </c>
      <c r="L66" s="3">
        <f>IFERROR(__xludf.DUMMYFUNCTION("""COMPUTED_VALUE"""),3.43433379506559E8)</f>
        <v>343433379.5</v>
      </c>
      <c r="M66" s="3">
        <f>IFERROR(__xludf.DUMMYFUNCTION("""COMPUTED_VALUE"""),1.3920237281877E7)</f>
        <v>13920237.28</v>
      </c>
      <c r="N66" s="3">
        <f>IFERROR(__xludf.DUMMYFUNCTION("""COMPUTED_VALUE"""),4.56489583401055E8)</f>
        <v>456489583.4</v>
      </c>
      <c r="O66" s="3">
        <f>IFERROR(__xludf.DUMMYFUNCTION("""COMPUTED_VALUE"""),977631.036951)</f>
        <v>977631.037</v>
      </c>
      <c r="P66" s="3">
        <f>IFERROR(__xludf.DUMMYFUNCTION("""COMPUTED_VALUE"""),3.91958099393145E8)</f>
        <v>391958099.4</v>
      </c>
      <c r="Q66" s="3">
        <f>IFERROR(__xludf.DUMMYFUNCTION("""COMPUTED_VALUE"""),4.65706726879303E8)</f>
        <v>465706726.9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IFERROR(__xludf.DUMMYFUNCTION("""COMPUTED_VALUE"""),20159.349158)</f>
        <v>20159.34916</v>
      </c>
      <c r="C67" s="3">
        <f>IFERROR(__xludf.DUMMYFUNCTION("""COMPUTED_VALUE"""),1149.731816)</f>
        <v>1149.731816</v>
      </c>
      <c r="D67" s="3">
        <f>IFERROR(__xludf.DUMMYFUNCTION("""COMPUTED_VALUE"""),36.676903)</f>
        <v>36.676903</v>
      </c>
      <c r="E67" s="3">
        <f>IFERROR(__xludf.DUMMYFUNCTION("""COMPUTED_VALUE"""),63.051996)</f>
        <v>63.051996</v>
      </c>
      <c r="F67" s="3">
        <f>IFERROR(__xludf.DUMMYFUNCTION("""COMPUTED_VALUE"""),5.324687)</f>
        <v>5.324687</v>
      </c>
      <c r="G67" s="3">
        <f>IFERROR(__xludf.DUMMYFUNCTION("""COMPUTED_VALUE"""),940.750624)</f>
        <v>940.750624</v>
      </c>
      <c r="H67" s="3">
        <f>IFERROR(__xludf.DUMMYFUNCTION("""COMPUTED_VALUE"""),0.864754)</f>
        <v>0.864754</v>
      </c>
      <c r="I67" s="3">
        <f>IFERROR(__xludf.DUMMYFUNCTION("""COMPUTED_VALUE"""),0.548345)</f>
        <v>0.548345</v>
      </c>
      <c r="J67" s="3">
        <f>IFERROR(__xludf.DUMMYFUNCTION("""COMPUTED_VALUE"""),1.9085293E7)</f>
        <v>19085293</v>
      </c>
      <c r="K67" s="3">
        <f>IFERROR(__xludf.DUMMYFUNCTION("""COMPUTED_VALUE"""),1.21413221624E8)</f>
        <v>121413221.6</v>
      </c>
      <c r="L67" s="3">
        <f>IFERROR(__xludf.DUMMYFUNCTION("""COMPUTED_VALUE"""),3.43144895879142E8)</f>
        <v>343144895.9</v>
      </c>
      <c r="M67" s="3">
        <f>IFERROR(__xludf.DUMMYFUNCTION("""COMPUTED_VALUE"""),1.3935294532885E7)</f>
        <v>13935294.53</v>
      </c>
      <c r="N67" s="3">
        <f>IFERROR(__xludf.DUMMYFUNCTION("""COMPUTED_VALUE"""),4.56489583401055E8)</f>
        <v>456489583.4</v>
      </c>
      <c r="O67" s="3">
        <f>IFERROR(__xludf.DUMMYFUNCTION("""COMPUTED_VALUE"""),977631.036951)</f>
        <v>977631.037</v>
      </c>
      <c r="P67" s="3">
        <f>IFERROR(__xludf.DUMMYFUNCTION("""COMPUTED_VALUE"""),3.91958099393145E8)</f>
        <v>391958099.4</v>
      </c>
      <c r="Q67" s="3">
        <f>IFERROR(__xludf.DUMMYFUNCTION("""COMPUTED_VALUE"""),4.66721455756363E8)</f>
        <v>466721455.8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IFERROR(__xludf.DUMMYFUNCTION("""COMPUTED_VALUE"""),20544.630589)</f>
        <v>20544.63059</v>
      </c>
      <c r="C68" s="3">
        <f>IFERROR(__xludf.DUMMYFUNCTION("""COMPUTED_VALUE"""),1131.403557)</f>
        <v>1131.403557</v>
      </c>
      <c r="D68" s="3">
        <f>IFERROR(__xludf.DUMMYFUNCTION("""COMPUTED_VALUE"""),35.364436)</f>
        <v>35.364436</v>
      </c>
      <c r="E68" s="3">
        <f>IFERROR(__xludf.DUMMYFUNCTION("""COMPUTED_VALUE"""),60.559089)</f>
        <v>60.559089</v>
      </c>
      <c r="F68" s="3">
        <f>IFERROR(__xludf.DUMMYFUNCTION("""COMPUTED_VALUE"""),5.301804)</f>
        <v>5.301804</v>
      </c>
      <c r="G68" s="3">
        <f>IFERROR(__xludf.DUMMYFUNCTION("""COMPUTED_VALUE"""),932.291113)</f>
        <v>932.291113</v>
      </c>
      <c r="H68" s="3">
        <f>IFERROR(__xludf.DUMMYFUNCTION("""COMPUTED_VALUE"""),0.954846)</f>
        <v>0.954846</v>
      </c>
      <c r="I68" s="3">
        <f>IFERROR(__xludf.DUMMYFUNCTION("""COMPUTED_VALUE"""),0.564199)</f>
        <v>0.564199</v>
      </c>
      <c r="J68" s="3">
        <f>IFERROR(__xludf.DUMMYFUNCTION("""COMPUTED_VALUE"""),1.9086062E7)</f>
        <v>19086062</v>
      </c>
      <c r="K68" s="3">
        <f>IFERROR(__xludf.DUMMYFUNCTION("""COMPUTED_VALUE"""),1.214267643115E8)</f>
        <v>121426764.3</v>
      </c>
      <c r="L68" s="3">
        <f>IFERROR(__xludf.DUMMYFUNCTION("""COMPUTED_VALUE"""),3.43277336806308E8)</f>
        <v>343277336.8</v>
      </c>
      <c r="M68" s="3">
        <f>IFERROR(__xludf.DUMMYFUNCTION("""COMPUTED_VALUE"""),1.3935543494584E7)</f>
        <v>13935543.49</v>
      </c>
      <c r="N68" s="3">
        <f>IFERROR(__xludf.DUMMYFUNCTION("""COMPUTED_VALUE"""),4.56489583401055E8)</f>
        <v>456489583.4</v>
      </c>
      <c r="O68" s="3">
        <f>IFERROR(__xludf.DUMMYFUNCTION("""COMPUTED_VALUE"""),977631.036951)</f>
        <v>977631.037</v>
      </c>
      <c r="P68" s="3">
        <f>IFERROR(__xludf.DUMMYFUNCTION("""COMPUTED_VALUE"""),3.91958099393145E8)</f>
        <v>391958099.4</v>
      </c>
      <c r="Q68" s="3">
        <f>IFERROR(__xludf.DUMMYFUNCTION("""COMPUTED_VALUE"""),4.70543252994612E8)</f>
        <v>470543253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IFERROR(__xludf.DUMMYFUNCTION("""COMPUTED_VALUE"""),21612.685158)</f>
        <v>21612.68516</v>
      </c>
      <c r="C69" s="3">
        <f>IFERROR(__xludf.DUMMYFUNCTION("""COMPUTED_VALUE"""),1185.475647)</f>
        <v>1185.475647</v>
      </c>
      <c r="D69" s="3">
        <f>IFERROR(__xludf.DUMMYFUNCTION("""COMPUTED_VALUE"""),37.012435)</f>
        <v>37.012435</v>
      </c>
      <c r="E69" s="3">
        <f>IFERROR(__xludf.DUMMYFUNCTION("""COMPUTED_VALUE"""),62.943331)</f>
        <v>62.943331</v>
      </c>
      <c r="F69" s="3">
        <f>IFERROR(__xludf.DUMMYFUNCTION("""COMPUTED_VALUE"""),5.349806)</f>
        <v>5.349806</v>
      </c>
      <c r="G69" s="3">
        <f>IFERROR(__xludf.DUMMYFUNCTION("""COMPUTED_VALUE"""),996.30388)</f>
        <v>996.30388</v>
      </c>
      <c r="H69" s="3">
        <f>IFERROR(__xludf.DUMMYFUNCTION("""COMPUTED_VALUE"""),0.960853)</f>
        <v>0.960853</v>
      </c>
      <c r="I69" s="3">
        <f>IFERROR(__xludf.DUMMYFUNCTION("""COMPUTED_VALUE"""),0.596504)</f>
        <v>0.596504</v>
      </c>
      <c r="J69" s="3">
        <f>IFERROR(__xludf.DUMMYFUNCTION("""COMPUTED_VALUE"""),1.9086831E7)</f>
        <v>19086831</v>
      </c>
      <c r="K69" s="3">
        <f>IFERROR(__xludf.DUMMYFUNCTION("""COMPUTED_VALUE"""),1.214403329365E8)</f>
        <v>121440332.9</v>
      </c>
      <c r="L69" s="3">
        <f>IFERROR(__xludf.DUMMYFUNCTION("""COMPUTED_VALUE"""),3.43806356909818E8)</f>
        <v>343806356.9</v>
      </c>
      <c r="M69" s="3">
        <f>IFERROR(__xludf.DUMMYFUNCTION("""COMPUTED_VALUE"""),1.3936168559492E7)</f>
        <v>13936168.56</v>
      </c>
      <c r="N69" s="3">
        <f>IFERROR(__xludf.DUMMYFUNCTION("""COMPUTED_VALUE"""),4.56489583401055E8)</f>
        <v>456489583.4</v>
      </c>
      <c r="O69" s="3">
        <f>IFERROR(__xludf.DUMMYFUNCTION("""COMPUTED_VALUE"""),977631.036951)</f>
        <v>977631.037</v>
      </c>
      <c r="P69" s="3">
        <f>IFERROR(__xludf.DUMMYFUNCTION("""COMPUTED_VALUE"""),3.91958099393145E8)</f>
        <v>391958099.4</v>
      </c>
      <c r="Q69" s="3">
        <f>IFERROR(__xludf.DUMMYFUNCTION("""COMPUTED_VALUE"""),4.75069794525958E8)</f>
        <v>475069794.5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IFERROR(__xludf.DUMMYFUNCTION("""COMPUTED_VALUE"""),21588.881649)</f>
        <v>21588.88165</v>
      </c>
      <c r="C70" s="3">
        <f>IFERROR(__xludf.DUMMYFUNCTION("""COMPUTED_VALUE"""),1236.981738)</f>
        <v>1236.981738</v>
      </c>
      <c r="D70" s="3">
        <f>IFERROR(__xludf.DUMMYFUNCTION("""COMPUTED_VALUE"""),38.446775)</f>
        <v>38.446775</v>
      </c>
      <c r="E70" s="3">
        <f>IFERROR(__xludf.DUMMYFUNCTION("""COMPUTED_VALUE"""),71.152454)</f>
        <v>71.152454</v>
      </c>
      <c r="F70" s="3">
        <f>IFERROR(__xludf.DUMMYFUNCTION("""COMPUTED_VALUE"""),5.729551)</f>
        <v>5.729551</v>
      </c>
      <c r="G70" s="3">
        <f>IFERROR(__xludf.DUMMYFUNCTION("""COMPUTED_VALUE"""),989.061116)</f>
        <v>989.061116</v>
      </c>
      <c r="H70" s="3">
        <f>IFERROR(__xludf.DUMMYFUNCTION("""COMPUTED_VALUE"""),1.050134)</f>
        <v>1.050134</v>
      </c>
      <c r="I70" s="3">
        <f>IFERROR(__xludf.DUMMYFUNCTION("""COMPUTED_VALUE"""),0.671012)</f>
        <v>0.671012</v>
      </c>
      <c r="J70" s="3">
        <f>IFERROR(__xludf.DUMMYFUNCTION("""COMPUTED_VALUE"""),1.90878E7)</f>
        <v>19087800</v>
      </c>
      <c r="K70" s="3">
        <f>IFERROR(__xludf.DUMMYFUNCTION("""COMPUTED_VALUE"""),1.214537220615E8)</f>
        <v>121453722.1</v>
      </c>
      <c r="L70" s="3">
        <f>IFERROR(__xludf.DUMMYFUNCTION("""COMPUTED_VALUE"""),3.45108092064429E8)</f>
        <v>345108092.1</v>
      </c>
      <c r="M70" s="3">
        <f>IFERROR(__xludf.DUMMYFUNCTION("""COMPUTED_VALUE"""),1.393737922517E7)</f>
        <v>13937379.23</v>
      </c>
      <c r="N70" s="3">
        <f>IFERROR(__xludf.DUMMYFUNCTION("""COMPUTED_VALUE"""),4.56489583401055E8)</f>
        <v>456489583.4</v>
      </c>
      <c r="O70" s="3">
        <f>IFERROR(__xludf.DUMMYFUNCTION("""COMPUTED_VALUE"""),977631.036951)</f>
        <v>977631.037</v>
      </c>
      <c r="P70" s="3">
        <f>IFERROR(__xludf.DUMMYFUNCTION("""COMPUTED_VALUE"""),3.91958099393145E8)</f>
        <v>391958099.4</v>
      </c>
      <c r="Q70" s="3">
        <f>IFERROR(__xludf.DUMMYFUNCTION("""COMPUTED_VALUE"""),4.77074219423772E8)</f>
        <v>477074219.4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IFERROR(__xludf.DUMMYFUNCTION("""COMPUTED_VALUE"""),21581.403251)</f>
        <v>21581.40325</v>
      </c>
      <c r="C71" s="3">
        <f>IFERROR(__xludf.DUMMYFUNCTION("""COMPUTED_VALUE"""),1213.257471)</f>
        <v>1213.257471</v>
      </c>
      <c r="D71" s="3">
        <f>IFERROR(__xludf.DUMMYFUNCTION("""COMPUTED_VALUE"""),38.102132)</f>
        <v>38.102132</v>
      </c>
      <c r="E71" s="3">
        <f>IFERROR(__xludf.DUMMYFUNCTION("""COMPUTED_VALUE"""),71.585682)</f>
        <v>71.585682</v>
      </c>
      <c r="F71" s="3">
        <f>IFERROR(__xludf.DUMMYFUNCTION("""COMPUTED_VALUE"""),5.796142)</f>
        <v>5.796142</v>
      </c>
      <c r="G71" s="3">
        <f>IFERROR(__xludf.DUMMYFUNCTION("""COMPUTED_VALUE"""),961.172374)</f>
        <v>961.172374</v>
      </c>
      <c r="H71" s="3">
        <f>IFERROR(__xludf.DUMMYFUNCTION("""COMPUTED_VALUE"""),1.007646)</f>
        <v>1.007646</v>
      </c>
      <c r="I71" s="3">
        <f>IFERROR(__xludf.DUMMYFUNCTION("""COMPUTED_VALUE"""),0.738189)</f>
        <v>0.738189</v>
      </c>
      <c r="J71" s="3">
        <f>IFERROR(__xludf.DUMMYFUNCTION("""COMPUTED_VALUE"""),1.908875E7)</f>
        <v>19088750</v>
      </c>
      <c r="K71" s="3">
        <f>IFERROR(__xludf.DUMMYFUNCTION("""COMPUTED_VALUE"""),1.214674434365E8)</f>
        <v>121467443.4</v>
      </c>
      <c r="L71" s="3">
        <f>IFERROR(__xludf.DUMMYFUNCTION("""COMPUTED_VALUE"""),3.45241087126498E8)</f>
        <v>345241087.1</v>
      </c>
      <c r="M71" s="3">
        <f>IFERROR(__xludf.DUMMYFUNCTION("""COMPUTED_VALUE"""),1.3938807236841E7)</f>
        <v>13938807.24</v>
      </c>
      <c r="N71" s="3">
        <f>IFERROR(__xludf.DUMMYFUNCTION("""COMPUTED_VALUE"""),4.56489583401055E8)</f>
        <v>456489583.4</v>
      </c>
      <c r="O71" s="3">
        <f>IFERROR(__xludf.DUMMYFUNCTION("""COMPUTED_VALUE"""),977631.036951)</f>
        <v>977631.037</v>
      </c>
      <c r="P71" s="3">
        <f>IFERROR(__xludf.DUMMYFUNCTION("""COMPUTED_VALUE"""),3.91958099393145E8)</f>
        <v>391958099.4</v>
      </c>
      <c r="Q71" s="3">
        <f>IFERROR(__xludf.DUMMYFUNCTION("""COMPUTED_VALUE"""),4.79088769447063E8)</f>
        <v>479088769.4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IFERROR(__xludf.DUMMYFUNCTION("""COMPUTED_VALUE"""),20849.061868)</f>
        <v>20849.06187</v>
      </c>
      <c r="C72" s="3">
        <f>IFERROR(__xludf.DUMMYFUNCTION("""COMPUTED_VALUE"""),1216.416525)</f>
        <v>1216.416525</v>
      </c>
      <c r="D72" s="3">
        <f>IFERROR(__xludf.DUMMYFUNCTION("""COMPUTED_VALUE"""),38.038791)</f>
        <v>38.038791</v>
      </c>
      <c r="E72" s="3">
        <f>IFERROR(__xludf.DUMMYFUNCTION("""COMPUTED_VALUE"""),81.925378)</f>
        <v>81.925378</v>
      </c>
      <c r="F72" s="3">
        <f>IFERROR(__xludf.DUMMYFUNCTION("""COMPUTED_VALUE"""),6.452374)</f>
        <v>6.452374</v>
      </c>
      <c r="G72" s="3">
        <f>IFERROR(__xludf.DUMMYFUNCTION("""COMPUTED_VALUE"""),996.566399)</f>
        <v>996.566399</v>
      </c>
      <c r="H72" s="3">
        <f>IFERROR(__xludf.DUMMYFUNCTION("""COMPUTED_VALUE"""),1.014689)</f>
        <v>1.014689</v>
      </c>
      <c r="I72" s="3">
        <f>IFERROR(__xludf.DUMMYFUNCTION("""COMPUTED_VALUE"""),0.686313)</f>
        <v>0.686313</v>
      </c>
      <c r="J72" s="3">
        <f>IFERROR(__xludf.DUMMYFUNCTION("""COMPUTED_VALUE"""),1.9089537E7)</f>
        <v>19089537</v>
      </c>
      <c r="K72" s="3">
        <f>IFERROR(__xludf.DUMMYFUNCTION("""COMPUTED_VALUE"""),1.214807908115E8)</f>
        <v>121480790.8</v>
      </c>
      <c r="L72" s="3">
        <f>IFERROR(__xludf.DUMMYFUNCTION("""COMPUTED_VALUE"""),3.45276356882607E8)</f>
        <v>345276356.9</v>
      </c>
      <c r="M72" s="3">
        <f>IFERROR(__xludf.DUMMYFUNCTION("""COMPUTED_VALUE"""),1.3939449655278E7)</f>
        <v>13939449.66</v>
      </c>
      <c r="N72" s="3">
        <f>IFERROR(__xludf.DUMMYFUNCTION("""COMPUTED_VALUE"""),4.56489583401055E8)</f>
        <v>456489583.4</v>
      </c>
      <c r="O72" s="3">
        <f>IFERROR(__xludf.DUMMYFUNCTION("""COMPUTED_VALUE"""),977631.036951)</f>
        <v>977631.037</v>
      </c>
      <c r="P72" s="3">
        <f>IFERROR(__xludf.DUMMYFUNCTION("""COMPUTED_VALUE"""),3.91958099393145E8)</f>
        <v>391958099.4</v>
      </c>
      <c r="Q72" s="3">
        <f>IFERROR(__xludf.DUMMYFUNCTION("""COMPUTED_VALUE"""),4.81118413839442E8)</f>
        <v>481118413.8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IFERROR(__xludf.DUMMYFUNCTION("""COMPUTED_VALUE"""),19945.553951)</f>
        <v>19945.55395</v>
      </c>
      <c r="C73" s="3">
        <f>IFERROR(__xludf.DUMMYFUNCTION("""COMPUTED_VALUE"""),1167.566741)</f>
        <v>1167.566741</v>
      </c>
      <c r="D73" s="3">
        <f>IFERROR(__xludf.DUMMYFUNCTION("""COMPUTED_VALUE"""),36.684292)</f>
        <v>36.684292</v>
      </c>
      <c r="E73" s="3">
        <f>IFERROR(__xludf.DUMMYFUNCTION("""COMPUTED_VALUE"""),77.75512)</f>
        <v>77.75512</v>
      </c>
      <c r="F73" s="3">
        <f>IFERROR(__xludf.DUMMYFUNCTION("""COMPUTED_VALUE"""),6.232659)</f>
        <v>6.232659</v>
      </c>
      <c r="G73" s="3">
        <f>IFERROR(__xludf.DUMMYFUNCTION("""COMPUTED_VALUE"""),940.37503)</f>
        <v>940.37503</v>
      </c>
      <c r="H73" s="3">
        <f>IFERROR(__xludf.DUMMYFUNCTION("""COMPUTED_VALUE"""),0.954082)</f>
        <v>0.954082</v>
      </c>
      <c r="I73" s="3">
        <f>IFERROR(__xludf.DUMMYFUNCTION("""COMPUTED_VALUE"""),0.636943)</f>
        <v>0.636943</v>
      </c>
      <c r="J73" s="3">
        <f>IFERROR(__xludf.DUMMYFUNCTION("""COMPUTED_VALUE"""),1.9090556E7)</f>
        <v>19090556</v>
      </c>
      <c r="K73" s="3">
        <f>IFERROR(__xludf.DUMMYFUNCTION("""COMPUTED_VALUE"""),1.21494294249E8)</f>
        <v>121494294.2</v>
      </c>
      <c r="L73" s="3">
        <f>IFERROR(__xludf.DUMMYFUNCTION("""COMPUTED_VALUE"""),3.45442027724405E8)</f>
        <v>345442027.7</v>
      </c>
      <c r="M73" s="3">
        <f>IFERROR(__xludf.DUMMYFUNCTION("""COMPUTED_VALUE"""),1.3939960450084E7)</f>
        <v>13939960.45</v>
      </c>
      <c r="N73" s="3">
        <f>IFERROR(__xludf.DUMMYFUNCTION("""COMPUTED_VALUE"""),4.56489583401055E8)</f>
        <v>456489583.4</v>
      </c>
      <c r="O73" s="3">
        <f>IFERROR(__xludf.DUMMYFUNCTION("""COMPUTED_VALUE"""),977631.036951)</f>
        <v>977631.037</v>
      </c>
      <c r="P73" s="3">
        <f>IFERROR(__xludf.DUMMYFUNCTION("""COMPUTED_VALUE"""),3.91958099393145E8)</f>
        <v>391958099.4</v>
      </c>
      <c r="Q73" s="3">
        <f>IFERROR(__xludf.DUMMYFUNCTION("""COMPUTED_VALUE"""),4.83154206166857E8)</f>
        <v>483154206.2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IFERROR(__xludf.DUMMYFUNCTION("""COMPUTED_VALUE"""),19311.500765)</f>
        <v>19311.50077</v>
      </c>
      <c r="C74" s="3">
        <f>IFERROR(__xludf.DUMMYFUNCTION("""COMPUTED_VALUE"""),1095.325757)</f>
        <v>1095.325757</v>
      </c>
      <c r="D74" s="3">
        <f>IFERROR(__xludf.DUMMYFUNCTION("""COMPUTED_VALUE"""),33.389058)</f>
        <v>33.389058</v>
      </c>
      <c r="E74" s="3">
        <f>IFERROR(__xludf.DUMMYFUNCTION("""COMPUTED_VALUE"""),69.812984)</f>
        <v>69.812984</v>
      </c>
      <c r="F74" s="3">
        <f>IFERROR(__xludf.DUMMYFUNCTION("""COMPUTED_VALUE"""),5.560908)</f>
        <v>5.560908</v>
      </c>
      <c r="G74" s="3">
        <f>IFERROR(__xludf.DUMMYFUNCTION("""COMPUTED_VALUE"""),865.427206)</f>
        <v>865.427206</v>
      </c>
      <c r="H74" s="3">
        <f>IFERROR(__xludf.DUMMYFUNCTION("""COMPUTED_VALUE"""),0.887373)</f>
        <v>0.887373</v>
      </c>
      <c r="I74" s="3">
        <f>IFERROR(__xludf.DUMMYFUNCTION("""COMPUTED_VALUE"""),0.621504)</f>
        <v>0.621504</v>
      </c>
      <c r="J74" s="3">
        <f>IFERROR(__xludf.DUMMYFUNCTION("""COMPUTED_VALUE"""),1.9091318E7)</f>
        <v>19091318</v>
      </c>
      <c r="K74" s="3">
        <f>IFERROR(__xludf.DUMMYFUNCTION("""COMPUTED_VALUE"""),1.21507817749E8)</f>
        <v>121507817.7</v>
      </c>
      <c r="L74" s="3">
        <f>IFERROR(__xludf.DUMMYFUNCTION("""COMPUTED_VALUE"""),3.45574842828218E8)</f>
        <v>345574842.8</v>
      </c>
      <c r="M74" s="3">
        <f>IFERROR(__xludf.DUMMYFUNCTION("""COMPUTED_VALUE"""),1.394059370686E7)</f>
        <v>13940593.71</v>
      </c>
      <c r="N74" s="3">
        <f>IFERROR(__xludf.DUMMYFUNCTION("""COMPUTED_VALUE"""),4.56489583401055E8)</f>
        <v>456489583.4</v>
      </c>
      <c r="O74" s="3">
        <f>IFERROR(__xludf.DUMMYFUNCTION("""COMPUTED_VALUE"""),977631.036951)</f>
        <v>977631.037</v>
      </c>
      <c r="P74" s="3">
        <f>IFERROR(__xludf.DUMMYFUNCTION("""COMPUTED_VALUE"""),3.91958099393145E8)</f>
        <v>391958099.4</v>
      </c>
      <c r="Q74" s="3">
        <f>IFERROR(__xludf.DUMMYFUNCTION("""COMPUTED_VALUE"""),4.8517045926425E8)</f>
        <v>485170459.3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IFERROR(__xludf.DUMMYFUNCTION("""COMPUTED_VALUE"""),20223.657383)</f>
        <v>20223.65738</v>
      </c>
      <c r="C75" s="3">
        <f>IFERROR(__xludf.DUMMYFUNCTION("""COMPUTED_VALUE"""),1037.541899)</f>
        <v>1037.541899</v>
      </c>
      <c r="D75" s="3">
        <f>IFERROR(__xludf.DUMMYFUNCTION("""COMPUTED_VALUE"""),32.653743)</f>
        <v>32.653743</v>
      </c>
      <c r="E75" s="3">
        <f>IFERROR(__xludf.DUMMYFUNCTION("""COMPUTED_VALUE"""),68.318888)</f>
        <v>68.318888</v>
      </c>
      <c r="F75" s="3">
        <f>IFERROR(__xludf.DUMMYFUNCTION("""COMPUTED_VALUE"""),5.531975)</f>
        <v>5.531975</v>
      </c>
      <c r="G75" s="3">
        <f>IFERROR(__xludf.DUMMYFUNCTION("""COMPUTED_VALUE"""),823.80403)</f>
        <v>823.80403</v>
      </c>
      <c r="H75" s="3">
        <f>IFERROR(__xludf.DUMMYFUNCTION("""COMPUTED_VALUE"""),0.875817)</f>
        <v>0.875817</v>
      </c>
      <c r="I75" s="3">
        <f>IFERROR(__xludf.DUMMYFUNCTION("""COMPUTED_VALUE"""),0.633567)</f>
        <v>0.633567</v>
      </c>
      <c r="J75" s="3">
        <f>IFERROR(__xludf.DUMMYFUNCTION("""COMPUTED_VALUE"""),1.9092237E7)</f>
        <v>19092237</v>
      </c>
      <c r="K75" s="3">
        <f>IFERROR(__xludf.DUMMYFUNCTION("""COMPUTED_VALUE"""),1.21521472499E8)</f>
        <v>121521472.5</v>
      </c>
      <c r="L75" s="3">
        <f>IFERROR(__xludf.DUMMYFUNCTION("""COMPUTED_VALUE"""),3.45574943574904E8)</f>
        <v>345574943.6</v>
      </c>
      <c r="M75" s="3">
        <f>IFERROR(__xludf.DUMMYFUNCTION("""COMPUTED_VALUE"""),1.3940983739218E7)</f>
        <v>13940983.74</v>
      </c>
      <c r="N75" s="3">
        <f>IFERROR(__xludf.DUMMYFUNCTION("""COMPUTED_VALUE"""),4.56489583401055E8)</f>
        <v>456489583.4</v>
      </c>
      <c r="O75" s="3">
        <f>IFERROR(__xludf.DUMMYFUNCTION("""COMPUTED_VALUE"""),977631.036951)</f>
        <v>977631.037</v>
      </c>
      <c r="P75" s="3">
        <f>IFERROR(__xludf.DUMMYFUNCTION("""COMPUTED_VALUE"""),3.91958099393145E8)</f>
        <v>391958099.4</v>
      </c>
      <c r="Q75" s="3">
        <f>IFERROR(__xludf.DUMMYFUNCTION("""COMPUTED_VALUE"""),4.87198517231438E8)</f>
        <v>487198517.2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IFERROR(__xludf.DUMMYFUNCTION("""COMPUTED_VALUE"""),20574.456765)</f>
        <v>20574.45677</v>
      </c>
      <c r="C76" s="3">
        <f>IFERROR(__xludf.DUMMYFUNCTION("""COMPUTED_VALUE"""),1114.189456)</f>
        <v>1114.189456</v>
      </c>
      <c r="D76" s="3">
        <f>IFERROR(__xludf.DUMMYFUNCTION("""COMPUTED_VALUE"""),34.91369)</f>
        <v>34.91369</v>
      </c>
      <c r="E76" s="3">
        <f>IFERROR(__xludf.DUMMYFUNCTION("""COMPUTED_VALUE"""),79.725446)</f>
        <v>79.725446</v>
      </c>
      <c r="F76" s="3">
        <f>IFERROR(__xludf.DUMMYFUNCTION("""COMPUTED_VALUE"""),6.11417)</f>
        <v>6.11417</v>
      </c>
      <c r="G76" s="3">
        <f>IFERROR(__xludf.DUMMYFUNCTION("""COMPUTED_VALUE"""),854.646761)</f>
        <v>854.646761</v>
      </c>
      <c r="H76" s="3">
        <f>IFERROR(__xludf.DUMMYFUNCTION("""COMPUTED_VALUE"""),1.048413)</f>
        <v>1.048413</v>
      </c>
      <c r="I76" s="3">
        <f>IFERROR(__xludf.DUMMYFUNCTION("""COMPUTED_VALUE"""),0.93657)</f>
        <v>0.93657</v>
      </c>
      <c r="J76" s="3">
        <f>IFERROR(__xludf.DUMMYFUNCTION("""COMPUTED_VALUE"""),1.9092956E7)</f>
        <v>19092956</v>
      </c>
      <c r="K76" s="3">
        <f>IFERROR(__xludf.DUMMYFUNCTION("""COMPUTED_VALUE"""),1.215336664365E8)</f>
        <v>121533666.4</v>
      </c>
      <c r="L76" s="3">
        <f>IFERROR(__xludf.DUMMYFUNCTION("""COMPUTED_VALUE"""),3.45575754381636E8)</f>
        <v>345575754.4</v>
      </c>
      <c r="M76" s="3">
        <f>IFERROR(__xludf.DUMMYFUNCTION("""COMPUTED_VALUE"""),1.3941382602635E7)</f>
        <v>13941382.6</v>
      </c>
      <c r="N76" s="3">
        <f>IFERROR(__xludf.DUMMYFUNCTION("""COMPUTED_VALUE"""),4.56489583401055E8)</f>
        <v>456489583.4</v>
      </c>
      <c r="O76" s="3">
        <f>IFERROR(__xludf.DUMMYFUNCTION("""COMPUTED_VALUE"""),977631.036951)</f>
        <v>977631.037</v>
      </c>
      <c r="P76" s="3">
        <f>IFERROR(__xludf.DUMMYFUNCTION("""COMPUTED_VALUE"""),3.91958099393145E8)</f>
        <v>391958099.4</v>
      </c>
      <c r="Q76" s="3">
        <f>IFERROR(__xludf.DUMMYFUNCTION("""COMPUTED_VALUE"""),4.89199769278872E8)</f>
        <v>489199769.3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IFERROR(__xludf.DUMMYFUNCTION("""COMPUTED_VALUE"""),20819.9152)</f>
        <v>20819.9152</v>
      </c>
      <c r="C77" s="3">
        <f>IFERROR(__xludf.DUMMYFUNCTION("""COMPUTED_VALUE"""),1192.488217)</f>
        <v>1192.488217</v>
      </c>
      <c r="D77" s="3">
        <f>IFERROR(__xludf.DUMMYFUNCTION("""COMPUTED_VALUE"""),37.111432)</f>
        <v>37.111432</v>
      </c>
      <c r="E77" s="3">
        <f>IFERROR(__xludf.DUMMYFUNCTION("""COMPUTED_VALUE"""),91.189318)</f>
        <v>91.189318</v>
      </c>
      <c r="F77" s="3">
        <f>IFERROR(__xludf.DUMMYFUNCTION("""COMPUTED_VALUE"""),7.009815)</f>
        <v>7.009815</v>
      </c>
      <c r="G77" s="3">
        <f>IFERROR(__xludf.DUMMYFUNCTION("""COMPUTED_VALUE"""),891.104176)</f>
        <v>891.104176</v>
      </c>
      <c r="H77" s="3">
        <f>IFERROR(__xludf.DUMMYFUNCTION("""COMPUTED_VALUE"""),1.166991)</f>
        <v>1.166991</v>
      </c>
      <c r="I77" s="3">
        <f>IFERROR(__xludf.DUMMYFUNCTION("""COMPUTED_VALUE"""),0.915468)</f>
        <v>0.915468</v>
      </c>
      <c r="J77" s="3">
        <f>IFERROR(__xludf.DUMMYFUNCTION("""COMPUTED_VALUE"""),1.9093693E7)</f>
        <v>19093693</v>
      </c>
      <c r="K77" s="3">
        <f>IFERROR(__xludf.DUMMYFUNCTION("""COMPUTED_VALUE"""),1.21548426374E8)</f>
        <v>121548426.4</v>
      </c>
      <c r="L77" s="3">
        <f>IFERROR(__xludf.DUMMYFUNCTION("""COMPUTED_VALUE"""),3.45708129301327E8)</f>
        <v>345708129.3</v>
      </c>
      <c r="M77" s="3">
        <f>IFERROR(__xludf.DUMMYFUNCTION("""COMPUTED_VALUE"""),1.3947716238479E7)</f>
        <v>13947716.24</v>
      </c>
      <c r="N77" s="3">
        <f>IFERROR(__xludf.DUMMYFUNCTION("""COMPUTED_VALUE"""),4.56489583401055E8)</f>
        <v>456489583.4</v>
      </c>
      <c r="O77" s="3">
        <f>IFERROR(__xludf.DUMMYFUNCTION("""COMPUTED_VALUE"""),977631.036951)</f>
        <v>977631.037</v>
      </c>
      <c r="P77" s="3">
        <f>IFERROR(__xludf.DUMMYFUNCTION("""COMPUTED_VALUE"""),3.91958099393145E8)</f>
        <v>391958099.4</v>
      </c>
      <c r="Q77" s="3">
        <f>IFERROR(__xludf.DUMMYFUNCTION("""COMPUTED_VALUE"""),4.91231606670778E8)</f>
        <v>491231606.7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IFERROR(__xludf.DUMMYFUNCTION("""COMPUTED_VALUE"""),21191.602982)</f>
        <v>21191.60298</v>
      </c>
      <c r="C78" s="3">
        <f>IFERROR(__xludf.DUMMYFUNCTION("""COMPUTED_VALUE"""),1231.010096)</f>
        <v>1231.010096</v>
      </c>
      <c r="D78" s="3">
        <f>IFERROR(__xludf.DUMMYFUNCTION("""COMPUTED_VALUE"""),37.356993)</f>
        <v>37.356993</v>
      </c>
      <c r="E78" s="3">
        <f>IFERROR(__xludf.DUMMYFUNCTION("""COMPUTED_VALUE"""),90.390505)</f>
        <v>90.390505</v>
      </c>
      <c r="F78" s="3">
        <f>IFERROR(__xludf.DUMMYFUNCTION("""COMPUTED_VALUE"""),6.778151)</f>
        <v>6.778151</v>
      </c>
      <c r="G78" s="3">
        <f>IFERROR(__xludf.DUMMYFUNCTION("""COMPUTED_VALUE"""),910.9816)</f>
        <v>910.9816</v>
      </c>
      <c r="H78" s="3">
        <f>IFERROR(__xludf.DUMMYFUNCTION("""COMPUTED_VALUE"""),1.107834)</f>
        <v>1.107834</v>
      </c>
      <c r="I78" s="3">
        <f>IFERROR(__xludf.DUMMYFUNCTION("""COMPUTED_VALUE"""),1.138277)</f>
        <v>1.138277</v>
      </c>
      <c r="J78" s="3">
        <f>IFERROR(__xludf.DUMMYFUNCTION("""COMPUTED_VALUE"""),1.9094593E7)</f>
        <v>19094593</v>
      </c>
      <c r="K78" s="3">
        <f>IFERROR(__xludf.DUMMYFUNCTION("""COMPUTED_VALUE"""),1.215619518115E8)</f>
        <v>121561951.8</v>
      </c>
      <c r="L78" s="3">
        <f>IFERROR(__xludf.DUMMYFUNCTION("""COMPUTED_VALUE"""),3.4547034353283E8)</f>
        <v>345470343.5</v>
      </c>
      <c r="M78" s="3">
        <f>IFERROR(__xludf.DUMMYFUNCTION("""COMPUTED_VALUE"""),1.3948032327888E7)</f>
        <v>13948032.33</v>
      </c>
      <c r="N78" s="3">
        <f>IFERROR(__xludf.DUMMYFUNCTION("""COMPUTED_VALUE"""),4.56489583401055E8)</f>
        <v>456489583.4</v>
      </c>
      <c r="O78" s="3">
        <f>IFERROR(__xludf.DUMMYFUNCTION("""COMPUTED_VALUE"""),977631.036951)</f>
        <v>977631.037</v>
      </c>
      <c r="P78" s="3">
        <f>IFERROR(__xludf.DUMMYFUNCTION("""COMPUTED_VALUE"""),3.91958099393145E8)</f>
        <v>391958099.4</v>
      </c>
      <c r="Q78" s="3">
        <f>IFERROR(__xludf.DUMMYFUNCTION("""COMPUTED_VALUE"""),4.93245690098426E8)</f>
        <v>493245690.1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IFERROR(__xludf.DUMMYFUNCTION("""COMPUTED_VALUE"""),20792.178173)</f>
        <v>20792.17817</v>
      </c>
      <c r="C79" s="3">
        <f>IFERROR(__xludf.DUMMYFUNCTION("""COMPUTED_VALUE"""),1355.656882)</f>
        <v>1355.656882</v>
      </c>
      <c r="D79" s="3">
        <f>IFERROR(__xludf.DUMMYFUNCTION("""COMPUTED_VALUE"""),39.578377)</f>
        <v>39.578377</v>
      </c>
      <c r="E79" s="3">
        <f>IFERROR(__xludf.DUMMYFUNCTION("""COMPUTED_VALUE"""),92.851955)</f>
        <v>92.851955</v>
      </c>
      <c r="F79" s="3">
        <f>IFERROR(__xludf.DUMMYFUNCTION("""COMPUTED_VALUE"""),7.374646)</f>
        <v>7.374646</v>
      </c>
      <c r="G79" s="3">
        <f>IFERROR(__xludf.DUMMYFUNCTION("""COMPUTED_VALUE"""),964.342157)</f>
        <v>964.342157</v>
      </c>
      <c r="H79" s="3">
        <f>IFERROR(__xludf.DUMMYFUNCTION("""COMPUTED_VALUE"""),1.173112)</f>
        <v>1.173112</v>
      </c>
      <c r="I79" s="3">
        <f>IFERROR(__xludf.DUMMYFUNCTION("""COMPUTED_VALUE"""),1.383141)</f>
        <v>1.383141</v>
      </c>
      <c r="J79" s="3">
        <f>IFERROR(__xludf.DUMMYFUNCTION("""COMPUTED_VALUE"""),1.90955E7)</f>
        <v>19095500</v>
      </c>
      <c r="K79" s="3">
        <f>IFERROR(__xludf.DUMMYFUNCTION("""COMPUTED_VALUE"""),1.215754829365E8)</f>
        <v>121575482.9</v>
      </c>
      <c r="L79" s="3">
        <f>IFERROR(__xludf.DUMMYFUNCTION("""COMPUTED_VALUE"""),3.45476158521718E8)</f>
        <v>345476158.5</v>
      </c>
      <c r="M79" s="3">
        <f>IFERROR(__xludf.DUMMYFUNCTION("""COMPUTED_VALUE"""),1.3948351936471E7)</f>
        <v>13948351.94</v>
      </c>
      <c r="N79" s="3">
        <f>IFERROR(__xludf.DUMMYFUNCTION("""COMPUTED_VALUE"""),4.56489583401055E8)</f>
        <v>456489583.4</v>
      </c>
      <c r="O79" s="3">
        <f>IFERROR(__xludf.DUMMYFUNCTION("""COMPUTED_VALUE"""),977631.036951)</f>
        <v>977631.037</v>
      </c>
      <c r="P79" s="3">
        <f>IFERROR(__xludf.DUMMYFUNCTION("""COMPUTED_VALUE"""),3.91958099393145E8)</f>
        <v>391958099.4</v>
      </c>
      <c r="Q79" s="3">
        <f>IFERROR(__xludf.DUMMYFUNCTION("""COMPUTED_VALUE"""),4.95362899716888E8)</f>
        <v>495362899.7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IFERROR(__xludf.DUMMYFUNCTION("""COMPUTED_VALUE"""),22436.613216)</f>
        <v>22436.61322</v>
      </c>
      <c r="C80" s="3">
        <f>IFERROR(__xludf.DUMMYFUNCTION("""COMPUTED_VALUE"""),1338.098367)</f>
        <v>1338.098367</v>
      </c>
      <c r="D80" s="3">
        <f>IFERROR(__xludf.DUMMYFUNCTION("""COMPUTED_VALUE"""),38.600358)</f>
        <v>38.600358</v>
      </c>
      <c r="E80" s="3">
        <f>IFERROR(__xludf.DUMMYFUNCTION("""COMPUTED_VALUE"""),88.260836)</f>
        <v>88.260836</v>
      </c>
      <c r="F80" s="3">
        <f>IFERROR(__xludf.DUMMYFUNCTION("""COMPUTED_VALUE"""),6.942805)</f>
        <v>6.942805</v>
      </c>
      <c r="G80" s="3">
        <f>IFERROR(__xludf.DUMMYFUNCTION("""COMPUTED_VALUE"""),931.554739)</f>
        <v>931.554739</v>
      </c>
      <c r="H80" s="3">
        <f>IFERROR(__xludf.DUMMYFUNCTION("""COMPUTED_VALUE"""),1.078301)</f>
        <v>1.078301</v>
      </c>
      <c r="I80" s="3">
        <f>IFERROR(__xludf.DUMMYFUNCTION("""COMPUTED_VALUE"""),1.637439)</f>
        <v>1.637439</v>
      </c>
      <c r="J80" s="3">
        <f>IFERROR(__xludf.DUMMYFUNCTION("""COMPUTED_VALUE"""),1.9096287E7)</f>
        <v>19096287</v>
      </c>
      <c r="K80" s="3">
        <f>IFERROR(__xludf.DUMMYFUNCTION("""COMPUTED_VALUE"""),1.21588820999E8)</f>
        <v>121588821</v>
      </c>
      <c r="L80" s="3">
        <f>IFERROR(__xludf.DUMMYFUNCTION("""COMPUTED_VALUE"""),3.45608799735194E8)</f>
        <v>345608799.7</v>
      </c>
      <c r="M80" s="3">
        <f>IFERROR(__xludf.DUMMYFUNCTION("""COMPUTED_VALUE"""),1.3948605151412E7)</f>
        <v>13948605.15</v>
      </c>
      <c r="N80" s="3">
        <f>IFERROR(__xludf.DUMMYFUNCTION("""COMPUTED_VALUE"""),4.56489583401055E8)</f>
        <v>456489583.4</v>
      </c>
      <c r="O80" s="3">
        <f>IFERROR(__xludf.DUMMYFUNCTION("""COMPUTED_VALUE"""),977631.036951)</f>
        <v>977631.037</v>
      </c>
      <c r="P80" s="3">
        <f>IFERROR(__xludf.DUMMYFUNCTION("""COMPUTED_VALUE"""),3.91958099393145E8)</f>
        <v>391958099.4</v>
      </c>
      <c r="Q80" s="3">
        <f>IFERROR(__xludf.DUMMYFUNCTION("""COMPUTED_VALUE"""),4.97364268413233E8)</f>
        <v>497364268.4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IFERROR(__xludf.DUMMYFUNCTION("""COMPUTED_VALUE"""),23397.463138)</f>
        <v>23397.46314</v>
      </c>
      <c r="C81" s="3">
        <f>IFERROR(__xludf.DUMMYFUNCTION("""COMPUTED_VALUE"""),1580.82875)</f>
        <v>1580.82875</v>
      </c>
      <c r="D81" s="3">
        <f>IFERROR(__xludf.DUMMYFUNCTION("""COMPUTED_VALUE"""),43.531277)</f>
        <v>43.531277</v>
      </c>
      <c r="E81" s="3">
        <f>IFERROR(__xludf.DUMMYFUNCTION("""COMPUTED_VALUE"""),96.180348)</f>
        <v>96.180348</v>
      </c>
      <c r="F81" s="3">
        <f>IFERROR(__xludf.DUMMYFUNCTION("""COMPUTED_VALUE"""),7.324554)</f>
        <v>7.324554</v>
      </c>
      <c r="G81" s="3">
        <f>IFERROR(__xludf.DUMMYFUNCTION("""COMPUTED_VALUE"""),1047.34245)</f>
        <v>1047.34245</v>
      </c>
      <c r="H81" s="3">
        <f>IFERROR(__xludf.DUMMYFUNCTION("""COMPUTED_VALUE"""),1.341656)</f>
        <v>1.341656</v>
      </c>
      <c r="I81" s="3">
        <f>IFERROR(__xludf.DUMMYFUNCTION("""COMPUTED_VALUE"""),1.531253)</f>
        <v>1.531253</v>
      </c>
      <c r="J81" s="3">
        <f>IFERROR(__xludf.DUMMYFUNCTION("""COMPUTED_VALUE"""),1.9097131E7)</f>
        <v>19097131</v>
      </c>
      <c r="K81" s="3">
        <f>IFERROR(__xludf.DUMMYFUNCTION("""COMPUTED_VALUE"""),1.21602448874E8)</f>
        <v>121602448.9</v>
      </c>
      <c r="L81" s="3">
        <f>IFERROR(__xludf.DUMMYFUNCTION("""COMPUTED_VALUE"""),3.45608139292671E8)</f>
        <v>345608139.3</v>
      </c>
      <c r="M81" s="3">
        <f>IFERROR(__xludf.DUMMYFUNCTION("""COMPUTED_VALUE"""),1.39657753517E7)</f>
        <v>13965775.35</v>
      </c>
      <c r="N81" s="3">
        <f>IFERROR(__xludf.DUMMYFUNCTION("""COMPUTED_VALUE"""),4.56489583401055E8)</f>
        <v>456489583.4</v>
      </c>
      <c r="O81" s="3">
        <f>IFERROR(__xludf.DUMMYFUNCTION("""COMPUTED_VALUE"""),977631.036951)</f>
        <v>977631.037</v>
      </c>
      <c r="P81" s="3">
        <f>IFERROR(__xludf.DUMMYFUNCTION("""COMPUTED_VALUE"""),3.91958099393145E8)</f>
        <v>391958099.4</v>
      </c>
      <c r="Q81" s="3">
        <f>IFERROR(__xludf.DUMMYFUNCTION("""COMPUTED_VALUE"""),4.99379984925635E8)</f>
        <v>499379984.9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IFERROR(__xludf.DUMMYFUNCTION("""COMPUTED_VALUE"""),23224.022774)</f>
        <v>23224.02277</v>
      </c>
      <c r="C82" s="3">
        <f>IFERROR(__xludf.DUMMYFUNCTION("""COMPUTED_VALUE"""),1542.496673)</f>
        <v>1542.496673</v>
      </c>
      <c r="D82" s="3">
        <f>IFERROR(__xludf.DUMMYFUNCTION("""COMPUTED_VALUE"""),44.863098)</f>
        <v>44.863098</v>
      </c>
      <c r="E82" s="3">
        <f>IFERROR(__xludf.DUMMYFUNCTION("""COMPUTED_VALUE"""),95.774096)</f>
        <v>95.774096</v>
      </c>
      <c r="F82" s="3">
        <f>IFERROR(__xludf.DUMMYFUNCTION("""COMPUTED_VALUE"""),7.349089)</f>
        <v>7.349089</v>
      </c>
      <c r="G82" s="3">
        <f>IFERROR(__xludf.DUMMYFUNCTION("""COMPUTED_VALUE"""),1030.166567)</f>
        <v>1030.166567</v>
      </c>
      <c r="H82" s="3">
        <f>IFERROR(__xludf.DUMMYFUNCTION("""COMPUTED_VALUE"""),1.24993)</f>
        <v>1.24993</v>
      </c>
      <c r="I82" s="3">
        <f>IFERROR(__xludf.DUMMYFUNCTION("""COMPUTED_VALUE"""),1.49256)</f>
        <v>1.49256</v>
      </c>
      <c r="J82" s="3">
        <f>IFERROR(__xludf.DUMMYFUNCTION("""COMPUTED_VALUE"""),1.9097975E7)</f>
        <v>19097975</v>
      </c>
      <c r="K82" s="3">
        <f>IFERROR(__xludf.DUMMYFUNCTION("""COMPUTED_VALUE"""),1.21616092874E8)</f>
        <v>121616092.9</v>
      </c>
      <c r="L82" s="3">
        <f>IFERROR(__xludf.DUMMYFUNCTION("""COMPUTED_VALUE"""),3.45607441746432E8)</f>
        <v>345607441.7</v>
      </c>
      <c r="M82" s="3">
        <f>IFERROR(__xludf.DUMMYFUNCTION("""COMPUTED_VALUE"""),1.396596177834E7)</f>
        <v>13965961.78</v>
      </c>
      <c r="N82" s="3">
        <f>IFERROR(__xludf.DUMMYFUNCTION("""COMPUTED_VALUE"""),4.56489583401055E8)</f>
        <v>456489583.4</v>
      </c>
      <c r="O82" s="3">
        <f>IFERROR(__xludf.DUMMYFUNCTION("""COMPUTED_VALUE"""),977631.036951)</f>
        <v>977631.037</v>
      </c>
      <c r="P82" s="3">
        <f>IFERROR(__xludf.DUMMYFUNCTION("""COMPUTED_VALUE"""),3.91958099393145E8)</f>
        <v>391958099.4</v>
      </c>
      <c r="Q82" s="3">
        <f>IFERROR(__xludf.DUMMYFUNCTION("""COMPUTED_VALUE"""),5.0139626135281E8)</f>
        <v>501396261.4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IFERROR(__xludf.DUMMYFUNCTION("""COMPUTED_VALUE"""),23151.70478)</f>
        <v>23151.70478</v>
      </c>
      <c r="C83" s="3">
        <f>IFERROR(__xludf.DUMMYFUNCTION("""COMPUTED_VALUE"""),1521.624521)</f>
        <v>1521.624521</v>
      </c>
      <c r="D83" s="3">
        <f>IFERROR(__xludf.DUMMYFUNCTION("""COMPUTED_VALUE"""),42.03319)</f>
        <v>42.03319</v>
      </c>
      <c r="E83" s="3">
        <f>IFERROR(__xludf.DUMMYFUNCTION("""COMPUTED_VALUE"""),90.820371)</f>
        <v>90.820371</v>
      </c>
      <c r="F83" s="3">
        <f>IFERROR(__xludf.DUMMYFUNCTION("""COMPUTED_VALUE"""),6.858587)</f>
        <v>6.858587</v>
      </c>
      <c r="G83" s="3">
        <f>IFERROR(__xludf.DUMMYFUNCTION("""COMPUTED_VALUE"""),972.935891)</f>
        <v>972.935891</v>
      </c>
      <c r="H83" s="3">
        <f>IFERROR(__xludf.DUMMYFUNCTION("""COMPUTED_VALUE"""),1.158184)</f>
        <v>1.158184</v>
      </c>
      <c r="I83" s="3">
        <f>IFERROR(__xludf.DUMMYFUNCTION("""COMPUTED_VALUE"""),1.57203)</f>
        <v>1.57203</v>
      </c>
      <c r="J83" s="3">
        <f>IFERROR(__xludf.DUMMYFUNCTION("""COMPUTED_VALUE"""),1.9098737E7)</f>
        <v>19098737</v>
      </c>
      <c r="K83" s="3">
        <f>IFERROR(__xludf.DUMMYFUNCTION("""COMPUTED_VALUE"""),1.21629513249E8)</f>
        <v>121629513.2</v>
      </c>
      <c r="L83" s="3">
        <f>IFERROR(__xludf.DUMMYFUNCTION("""COMPUTED_VALUE"""),3.45745513080164E8)</f>
        <v>345745513.1</v>
      </c>
      <c r="M83" s="3">
        <f>IFERROR(__xludf.DUMMYFUNCTION("""COMPUTED_VALUE"""),1.396620323491E7)</f>
        <v>13966203.23</v>
      </c>
      <c r="N83" s="3">
        <f>IFERROR(__xludf.DUMMYFUNCTION("""COMPUTED_VALUE"""),4.56489583401055E8)</f>
        <v>456489583.4</v>
      </c>
      <c r="O83" s="3">
        <f>IFERROR(__xludf.DUMMYFUNCTION("""COMPUTED_VALUE"""),977631.036951)</f>
        <v>977631.037</v>
      </c>
      <c r="P83" s="3">
        <f>IFERROR(__xludf.DUMMYFUNCTION("""COMPUTED_VALUE"""),3.91958099393145E8)</f>
        <v>391958099.4</v>
      </c>
      <c r="Q83" s="3">
        <f>IFERROR(__xludf.DUMMYFUNCTION("""COMPUTED_VALUE"""),5.03411091333487E8)</f>
        <v>503411091.3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IFERROR(__xludf.DUMMYFUNCTION("""COMPUTED_VALUE"""),22684.635948)</f>
        <v>22684.63595</v>
      </c>
      <c r="C84" s="3">
        <f>IFERROR(__xludf.DUMMYFUNCTION("""COMPUTED_VALUE"""),1575.265469)</f>
        <v>1575.265469</v>
      </c>
      <c r="D84" s="3">
        <f>IFERROR(__xludf.DUMMYFUNCTION("""COMPUTED_VALUE"""),43.106726)</f>
        <v>43.106726</v>
      </c>
      <c r="E84" s="3">
        <f>IFERROR(__xludf.DUMMYFUNCTION("""COMPUTED_VALUE"""),95.388771)</f>
        <v>95.388771</v>
      </c>
      <c r="F84" s="3">
        <f>IFERROR(__xludf.DUMMYFUNCTION("""COMPUTED_VALUE"""),7.229573)</f>
        <v>7.229573</v>
      </c>
      <c r="G84" s="3">
        <f>IFERROR(__xludf.DUMMYFUNCTION("""COMPUTED_VALUE"""),977.468153)</f>
        <v>977.468153</v>
      </c>
      <c r="H84" s="3">
        <f>IFERROR(__xludf.DUMMYFUNCTION("""COMPUTED_VALUE"""),1.404088)</f>
        <v>1.404088</v>
      </c>
      <c r="I84" s="3">
        <f>IFERROR(__xludf.DUMMYFUNCTION("""COMPUTED_VALUE"""),1.616264)</f>
        <v>1.616264</v>
      </c>
      <c r="J84" s="3">
        <f>IFERROR(__xludf.DUMMYFUNCTION("""COMPUTED_VALUE"""),1.9099612E7)</f>
        <v>19099612</v>
      </c>
      <c r="K84" s="3">
        <f>IFERROR(__xludf.DUMMYFUNCTION("""COMPUTED_VALUE"""),1.21643128374E8)</f>
        <v>121643128.4</v>
      </c>
      <c r="L84" s="3">
        <f>IFERROR(__xludf.DUMMYFUNCTION("""COMPUTED_VALUE"""),3.45762618967499E8)</f>
        <v>345762619</v>
      </c>
      <c r="M84" s="3">
        <f>IFERROR(__xludf.DUMMYFUNCTION("""COMPUTED_VALUE"""),1.3967238845596E7)</f>
        <v>13967238.85</v>
      </c>
      <c r="N84" s="3">
        <f>IFERROR(__xludf.DUMMYFUNCTION("""COMPUTED_VALUE"""),4.56489583401055E8)</f>
        <v>456489583.4</v>
      </c>
      <c r="O84" s="3">
        <f>IFERROR(__xludf.DUMMYFUNCTION("""COMPUTED_VALUE"""),977631.036951)</f>
        <v>977631.037</v>
      </c>
      <c r="P84" s="3">
        <f>IFERROR(__xludf.DUMMYFUNCTION("""COMPUTED_VALUE"""),3.91958099393145E8)</f>
        <v>391958099.4</v>
      </c>
      <c r="Q84" s="3">
        <f>IFERROR(__xludf.DUMMYFUNCTION("""COMPUTED_VALUE"""),5.05427671047831E8)</f>
        <v>505427671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IFERROR(__xludf.DUMMYFUNCTION("""COMPUTED_VALUE"""),22450.664718)</f>
        <v>22450.66472</v>
      </c>
      <c r="C85" s="3">
        <f>IFERROR(__xludf.DUMMYFUNCTION("""COMPUTED_VALUE"""),1535.380278)</f>
        <v>1535.380278</v>
      </c>
      <c r="D85" s="3">
        <f>IFERROR(__xludf.DUMMYFUNCTION("""COMPUTED_VALUE"""),40.504191)</f>
        <v>40.504191</v>
      </c>
      <c r="E85" s="3">
        <f>IFERROR(__xludf.DUMMYFUNCTION("""COMPUTED_VALUE"""),89.511739)</f>
        <v>89.511739</v>
      </c>
      <c r="F85" s="3">
        <f>IFERROR(__xludf.DUMMYFUNCTION("""COMPUTED_VALUE"""),6.889708)</f>
        <v>6.889708</v>
      </c>
      <c r="G85" s="3">
        <f>IFERROR(__xludf.DUMMYFUNCTION("""COMPUTED_VALUE"""),947.535406)</f>
        <v>947.535406</v>
      </c>
      <c r="H85" s="3">
        <f>IFERROR(__xludf.DUMMYFUNCTION("""COMPUTED_VALUE"""),1.433418)</f>
        <v>1.433418</v>
      </c>
      <c r="I85" s="3">
        <f>IFERROR(__xludf.DUMMYFUNCTION("""COMPUTED_VALUE"""),1.525833)</f>
        <v>1.525833</v>
      </c>
      <c r="J85" s="3">
        <f>IFERROR(__xludf.DUMMYFUNCTION("""COMPUTED_VALUE"""),1.9100437E7)</f>
        <v>19100437</v>
      </c>
      <c r="K85" s="3">
        <f>IFERROR(__xludf.DUMMYFUNCTION("""COMPUTED_VALUE"""),1.21656657374E8)</f>
        <v>121656657.4</v>
      </c>
      <c r="L85" s="3">
        <f>IFERROR(__xludf.DUMMYFUNCTION("""COMPUTED_VALUE"""),3.45761905788783E8)</f>
        <v>345761905.8</v>
      </c>
      <c r="M85" s="3">
        <f>IFERROR(__xludf.DUMMYFUNCTION("""COMPUTED_VALUE"""),1.396748868251E7)</f>
        <v>13967488.68</v>
      </c>
      <c r="N85" s="3">
        <f>IFERROR(__xludf.DUMMYFUNCTION("""COMPUTED_VALUE"""),4.56489583401055E8)</f>
        <v>456489583.4</v>
      </c>
      <c r="O85" s="3">
        <f>IFERROR(__xludf.DUMMYFUNCTION("""COMPUTED_VALUE"""),977631.036951)</f>
        <v>977631.037</v>
      </c>
      <c r="P85" s="3">
        <f>IFERROR(__xludf.DUMMYFUNCTION("""COMPUTED_VALUE"""),3.91958099393145E8)</f>
        <v>391958099.4</v>
      </c>
      <c r="Q85" s="3">
        <f>IFERROR(__xludf.DUMMYFUNCTION("""COMPUTED_VALUE"""),5.07443177592193E8)</f>
        <v>507443177.6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IFERROR(__xludf.DUMMYFUNCTION("""COMPUTED_VALUE"""),22583.43794)</f>
        <v>22583.43794</v>
      </c>
      <c r="C86" s="3">
        <f>IFERROR(__xludf.DUMMYFUNCTION("""COMPUTED_VALUE"""),1546.930733)</f>
        <v>1546.930733</v>
      </c>
      <c r="D86" s="3">
        <f>IFERROR(__xludf.DUMMYFUNCTION("""COMPUTED_VALUE"""),39.922034)</f>
        <v>39.922034</v>
      </c>
      <c r="E86" s="3">
        <f>IFERROR(__xludf.DUMMYFUNCTION("""COMPUTED_VALUE"""),89.224045)</f>
        <v>89.224045</v>
      </c>
      <c r="F86" s="3">
        <f>IFERROR(__xludf.DUMMYFUNCTION("""COMPUTED_VALUE"""),6.957151)</f>
        <v>6.957151</v>
      </c>
      <c r="G86" s="3">
        <f>IFERROR(__xludf.DUMMYFUNCTION("""COMPUTED_VALUE"""),954.237935)</f>
        <v>954.237935</v>
      </c>
      <c r="H86" s="3">
        <f>IFERROR(__xludf.DUMMYFUNCTION("""COMPUTED_VALUE"""),1.394773)</f>
        <v>1.394773</v>
      </c>
      <c r="I86" s="3">
        <f>IFERROR(__xludf.DUMMYFUNCTION("""COMPUTED_VALUE"""),1.59058)</f>
        <v>1.59058</v>
      </c>
      <c r="J86" s="3">
        <f>IFERROR(__xludf.DUMMYFUNCTION("""COMPUTED_VALUE"""),1.9101406E7)</f>
        <v>19101406</v>
      </c>
      <c r="K86" s="3">
        <f>IFERROR(__xludf.DUMMYFUNCTION("""COMPUTED_VALUE"""),1.21670300499E8)</f>
        <v>121670300.5</v>
      </c>
      <c r="L86" s="3">
        <f>IFERROR(__xludf.DUMMYFUNCTION("""COMPUTED_VALUE"""),3.45893428328752E8)</f>
        <v>345893428.3</v>
      </c>
      <c r="M86" s="3">
        <f>IFERROR(__xludf.DUMMYFUNCTION("""COMPUTED_VALUE"""),1.3967630476793E7)</f>
        <v>13967630.48</v>
      </c>
      <c r="N86" s="3">
        <f>IFERROR(__xludf.DUMMYFUNCTION("""COMPUTED_VALUE"""),4.56489583401055E8)</f>
        <v>456489583.4</v>
      </c>
      <c r="O86" s="3">
        <f>IFERROR(__xludf.DUMMYFUNCTION("""COMPUTED_VALUE"""),977631.036951)</f>
        <v>977631.037</v>
      </c>
      <c r="P86" s="3">
        <f>IFERROR(__xludf.DUMMYFUNCTION("""COMPUTED_VALUE"""),3.91958099393145E8)</f>
        <v>391958099.4</v>
      </c>
      <c r="Q86" s="3">
        <f>IFERROR(__xludf.DUMMYFUNCTION("""COMPUTED_VALUE"""),5.09458964093941E8)</f>
        <v>509458964.1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IFERROR(__xludf.DUMMYFUNCTION("""COMPUTED_VALUE"""),21307.303433)</f>
        <v>21307.30343</v>
      </c>
      <c r="C87" s="3">
        <f>IFERROR(__xludf.DUMMYFUNCTION("""COMPUTED_VALUE"""),1597.798685)</f>
        <v>1597.798685</v>
      </c>
      <c r="D87" s="3">
        <f>IFERROR(__xludf.DUMMYFUNCTION("""COMPUTED_VALUE"""),40.926554)</f>
        <v>40.926554</v>
      </c>
      <c r="E87" s="3">
        <f>IFERROR(__xludf.DUMMYFUNCTION("""COMPUTED_VALUE"""),90.574826)</f>
        <v>90.574826</v>
      </c>
      <c r="F87" s="3">
        <f>IFERROR(__xludf.DUMMYFUNCTION("""COMPUTED_VALUE"""),7.246643)</f>
        <v>7.246643</v>
      </c>
      <c r="G87" s="3">
        <f>IFERROR(__xludf.DUMMYFUNCTION("""COMPUTED_VALUE"""),985.486235)</f>
        <v>985.486235</v>
      </c>
      <c r="H87" s="3">
        <f>IFERROR(__xludf.DUMMYFUNCTION("""COMPUTED_VALUE"""),1.375335)</f>
        <v>1.375335</v>
      </c>
      <c r="I87" s="3">
        <f>IFERROR(__xludf.DUMMYFUNCTION("""COMPUTED_VALUE"""),1.631132)</f>
        <v>1.631132</v>
      </c>
      <c r="J87" s="3">
        <f>IFERROR(__xludf.DUMMYFUNCTION("""COMPUTED_VALUE"""),1.9102381E7)</f>
        <v>19102381</v>
      </c>
      <c r="K87" s="3">
        <f>IFERROR(__xludf.DUMMYFUNCTION("""COMPUTED_VALUE"""),1.21683671999E8)</f>
        <v>121683672</v>
      </c>
      <c r="L87" s="3">
        <f>IFERROR(__xludf.DUMMYFUNCTION("""COMPUTED_VALUE"""),3.4589279526088E8)</f>
        <v>345892795.3</v>
      </c>
      <c r="M87" s="3">
        <f>IFERROR(__xludf.DUMMYFUNCTION("""COMPUTED_VALUE"""),1.3967845849607E7)</f>
        <v>13967845.85</v>
      </c>
      <c r="N87" s="3">
        <f>IFERROR(__xludf.DUMMYFUNCTION("""COMPUTED_VALUE"""),4.56489583401055E8)</f>
        <v>456489583.4</v>
      </c>
      <c r="O87" s="3">
        <f>IFERROR(__xludf.DUMMYFUNCTION("""COMPUTED_VALUE"""),977631.036951)</f>
        <v>977631.037</v>
      </c>
      <c r="P87" s="3">
        <f>IFERROR(__xludf.DUMMYFUNCTION("""COMPUTED_VALUE"""),3.91958099393145E8)</f>
        <v>391958099.4</v>
      </c>
      <c r="Q87" s="3">
        <f>IFERROR(__xludf.DUMMYFUNCTION("""COMPUTED_VALUE"""),5.11492379134346E8)</f>
        <v>511492379.1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IFERROR(__xludf.DUMMYFUNCTION("""COMPUTED_VALUE"""),21257.260059)</f>
        <v>21257.26006</v>
      </c>
      <c r="C88" s="3">
        <f>IFERROR(__xludf.DUMMYFUNCTION("""COMPUTED_VALUE"""),1440.472152)</f>
        <v>1440.472152</v>
      </c>
      <c r="D88" s="3">
        <f>IFERROR(__xludf.DUMMYFUNCTION("""COMPUTED_VALUE"""),36.655783)</f>
        <v>36.655783</v>
      </c>
      <c r="E88" s="3">
        <f>IFERROR(__xludf.DUMMYFUNCTION("""COMPUTED_VALUE"""),81.367184)</f>
        <v>81.367184</v>
      </c>
      <c r="F88" s="3">
        <f>IFERROR(__xludf.DUMMYFUNCTION("""COMPUTED_VALUE"""),7.045829)</f>
        <v>7.045829</v>
      </c>
      <c r="G88" s="3">
        <f>IFERROR(__xludf.DUMMYFUNCTION("""COMPUTED_VALUE"""),894.661512)</f>
        <v>894.661512</v>
      </c>
      <c r="H88" s="3">
        <f>IFERROR(__xludf.DUMMYFUNCTION("""COMPUTED_VALUE"""),1.177037)</f>
        <v>1.177037</v>
      </c>
      <c r="I88" s="3">
        <f>IFERROR(__xludf.DUMMYFUNCTION("""COMPUTED_VALUE"""),1.451041)</f>
        <v>1.451041</v>
      </c>
      <c r="J88" s="3">
        <f>IFERROR(__xludf.DUMMYFUNCTION("""COMPUTED_VALUE"""),1.9103287E7)</f>
        <v>19103287</v>
      </c>
      <c r="K88" s="3">
        <f>IFERROR(__xludf.DUMMYFUNCTION("""COMPUTED_VALUE"""),1.21697017124E8)</f>
        <v>121697017.1</v>
      </c>
      <c r="L88" s="3">
        <f>IFERROR(__xludf.DUMMYFUNCTION("""COMPUTED_VALUE"""),3.45896650953038E8)</f>
        <v>345896651</v>
      </c>
      <c r="M88" s="3">
        <f>IFERROR(__xludf.DUMMYFUNCTION("""COMPUTED_VALUE"""),1.3968093794384E7)</f>
        <v>13968093.79</v>
      </c>
      <c r="N88" s="3">
        <f>IFERROR(__xludf.DUMMYFUNCTION("""COMPUTED_VALUE"""),4.56489583401055E8)</f>
        <v>456489583.4</v>
      </c>
      <c r="O88" s="3">
        <f>IFERROR(__xludf.DUMMYFUNCTION("""COMPUTED_VALUE"""),977631.036951)</f>
        <v>977631.037</v>
      </c>
      <c r="P88" s="3">
        <f>IFERROR(__xludf.DUMMYFUNCTION("""COMPUTED_VALUE"""),3.91958099393145E8)</f>
        <v>391958099.4</v>
      </c>
      <c r="Q88" s="3">
        <f>IFERROR(__xludf.DUMMYFUNCTION("""COMPUTED_VALUE"""),5.13519777661085E8)</f>
        <v>513519777.7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IFERROR(__xludf.DUMMYFUNCTION("""COMPUTED_VALUE"""),23006.555701)</f>
        <v>23006.5557</v>
      </c>
      <c r="C89" s="3">
        <f>IFERROR(__xludf.DUMMYFUNCTION("""COMPUTED_VALUE"""),1449.390574)</f>
        <v>1449.390574</v>
      </c>
      <c r="D89" s="3">
        <f>IFERROR(__xludf.DUMMYFUNCTION("""COMPUTED_VALUE"""),36.273582)</f>
        <v>36.273582</v>
      </c>
      <c r="E89" s="3">
        <f>IFERROR(__xludf.DUMMYFUNCTION("""COMPUTED_VALUE"""),81.202389)</f>
        <v>81.202389</v>
      </c>
      <c r="F89" s="3">
        <f>IFERROR(__xludf.DUMMYFUNCTION("""COMPUTED_VALUE"""),6.654496)</f>
        <v>6.654496</v>
      </c>
      <c r="G89" s="3">
        <f>IFERROR(__xludf.DUMMYFUNCTION("""COMPUTED_VALUE"""),919.064914)</f>
        <v>919.064914</v>
      </c>
      <c r="H89" s="3">
        <f>IFERROR(__xludf.DUMMYFUNCTION("""COMPUTED_VALUE"""),1.167799)</f>
        <v>1.167799</v>
      </c>
      <c r="I89" s="3">
        <f>IFERROR(__xludf.DUMMYFUNCTION("""COMPUTED_VALUE"""),1.448977)</f>
        <v>1.448977</v>
      </c>
      <c r="J89" s="3">
        <f>IFERROR(__xludf.DUMMYFUNCTION("""COMPUTED_VALUE"""),1.9104275E7)</f>
        <v>19104275</v>
      </c>
      <c r="K89" s="3">
        <f>IFERROR(__xludf.DUMMYFUNCTION("""COMPUTED_VALUE"""),1.21710489124E8)</f>
        <v>121710489.1</v>
      </c>
      <c r="L89" s="3">
        <f>IFERROR(__xludf.DUMMYFUNCTION("""COMPUTED_VALUE"""),3.46028772251411E8)</f>
        <v>346028772.3</v>
      </c>
      <c r="M89" s="3">
        <f>IFERROR(__xludf.DUMMYFUNCTION("""COMPUTED_VALUE"""),1.3969492334459E7)</f>
        <v>13969492.33</v>
      </c>
      <c r="N89" s="3">
        <f>IFERROR(__xludf.DUMMYFUNCTION("""COMPUTED_VALUE"""),4.56489583401055E8)</f>
        <v>456489583.4</v>
      </c>
      <c r="O89" s="3">
        <f>IFERROR(__xludf.DUMMYFUNCTION("""COMPUTED_VALUE"""),977631.036951)</f>
        <v>977631.037</v>
      </c>
      <c r="P89" s="3">
        <f>IFERROR(__xludf.DUMMYFUNCTION("""COMPUTED_VALUE"""),3.91958099393145E8)</f>
        <v>391958099.4</v>
      </c>
      <c r="Q89" s="3">
        <f>IFERROR(__xludf.DUMMYFUNCTION("""COMPUTED_VALUE"""),5.15535517503269E8)</f>
        <v>515535517.5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IFERROR(__xludf.DUMMYFUNCTION("""COMPUTED_VALUE"""),23850.084964)</f>
        <v>23850.08496</v>
      </c>
      <c r="C90" s="3">
        <f>IFERROR(__xludf.DUMMYFUNCTION("""COMPUTED_VALUE"""),1639.197877)</f>
        <v>1639.197877</v>
      </c>
      <c r="D90" s="3">
        <f>IFERROR(__xludf.DUMMYFUNCTION("""COMPUTED_VALUE"""),40.297288)</f>
        <v>40.297288</v>
      </c>
      <c r="E90" s="3">
        <f>IFERROR(__xludf.DUMMYFUNCTION("""COMPUTED_VALUE"""),94.953621)</f>
        <v>94.953621</v>
      </c>
      <c r="F90" s="3">
        <f>IFERROR(__xludf.DUMMYFUNCTION("""COMPUTED_VALUE"""),8.056056)</f>
        <v>8.056056</v>
      </c>
      <c r="G90" s="3">
        <f>IFERROR(__xludf.DUMMYFUNCTION("""COMPUTED_VALUE"""),1012.708017)</f>
        <v>1012.708017</v>
      </c>
      <c r="H90" s="3">
        <f>IFERROR(__xludf.DUMMYFUNCTION("""COMPUTED_VALUE"""),1.328814)</f>
        <v>1.328814</v>
      </c>
      <c r="I90" s="3">
        <f>IFERROR(__xludf.DUMMYFUNCTION("""COMPUTED_VALUE"""),1.956413)</f>
        <v>1.956413</v>
      </c>
      <c r="J90" s="3">
        <f>IFERROR(__xludf.DUMMYFUNCTION("""COMPUTED_VALUE"""),1.9105343E7)</f>
        <v>19105343</v>
      </c>
      <c r="K90" s="3">
        <f>IFERROR(__xludf.DUMMYFUNCTION("""COMPUTED_VALUE"""),1.21724019374E8)</f>
        <v>121724019.4</v>
      </c>
      <c r="L90" s="3">
        <f>IFERROR(__xludf.DUMMYFUNCTION("""COMPUTED_VALUE"""),3.46028126103174E8)</f>
        <v>346028126.1</v>
      </c>
      <c r="M90" s="3">
        <f>IFERROR(__xludf.DUMMYFUNCTION("""COMPUTED_VALUE"""),1.3969987657148E7)</f>
        <v>13969987.66</v>
      </c>
      <c r="N90" s="3">
        <f>IFERROR(__xludf.DUMMYFUNCTION("""COMPUTED_VALUE"""),4.56489583401055E8)</f>
        <v>456489583.4</v>
      </c>
      <c r="O90" s="3">
        <f>IFERROR(__xludf.DUMMYFUNCTION("""COMPUTED_VALUE"""),977631.036951)</f>
        <v>977631.037</v>
      </c>
      <c r="P90" s="3">
        <f>IFERROR(__xludf.DUMMYFUNCTION("""COMPUTED_VALUE"""),3.91958099393145E8)</f>
        <v>391958099.4</v>
      </c>
      <c r="Q90" s="3">
        <f>IFERROR(__xludf.DUMMYFUNCTION("""COMPUTED_VALUE"""),5.17531613668836E8)</f>
        <v>517531613.7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IFERROR(__xludf.DUMMYFUNCTION("""COMPUTED_VALUE"""),23777.310145)</f>
        <v>23777.31015</v>
      </c>
      <c r="C91" s="3">
        <f>IFERROR(__xludf.DUMMYFUNCTION("""COMPUTED_VALUE"""),1727.041713)</f>
        <v>1727.041713</v>
      </c>
      <c r="D91" s="3">
        <f>IFERROR(__xludf.DUMMYFUNCTION("""COMPUTED_VALUE"""),42.941617)</f>
        <v>42.941617</v>
      </c>
      <c r="E91" s="3">
        <f>IFERROR(__xludf.DUMMYFUNCTION("""COMPUTED_VALUE"""),100.588593)</f>
        <v>100.588593</v>
      </c>
      <c r="F91" s="3">
        <f>IFERROR(__xludf.DUMMYFUNCTION("""COMPUTED_VALUE"""),9.284156)</f>
        <v>9.284156</v>
      </c>
      <c r="G91" s="3">
        <f>IFERROR(__xludf.DUMMYFUNCTION("""COMPUTED_VALUE"""),1115.219051)</f>
        <v>1115.219051</v>
      </c>
      <c r="H91" s="3">
        <f>IFERROR(__xludf.DUMMYFUNCTION("""COMPUTED_VALUE"""),1.548049)</f>
        <v>1.548049</v>
      </c>
      <c r="I91" s="3">
        <f>IFERROR(__xludf.DUMMYFUNCTION("""COMPUTED_VALUE"""),2.219831)</f>
        <v>2.219831</v>
      </c>
      <c r="J91" s="3">
        <f>IFERROR(__xludf.DUMMYFUNCTION("""COMPUTED_VALUE"""),1.9106187E7)</f>
        <v>19106187</v>
      </c>
      <c r="K91" s="3">
        <f>IFERROR(__xludf.DUMMYFUNCTION("""COMPUTED_VALUE"""),1.21735327999E8)</f>
        <v>121735328</v>
      </c>
      <c r="L91" s="3">
        <f>IFERROR(__xludf.DUMMYFUNCTION("""COMPUTED_VALUE"""),3.46027384154124E8)</f>
        <v>346027384.2</v>
      </c>
      <c r="M91" s="3">
        <f>IFERROR(__xludf.DUMMYFUNCTION("""COMPUTED_VALUE"""),1.3970457623399E7)</f>
        <v>13970457.62</v>
      </c>
      <c r="N91" s="3">
        <f>IFERROR(__xludf.DUMMYFUNCTION("""COMPUTED_VALUE"""),4.56489583401055E8)</f>
        <v>456489583.4</v>
      </c>
      <c r="O91" s="3">
        <f>IFERROR(__xludf.DUMMYFUNCTION("""COMPUTED_VALUE"""),977631.036951)</f>
        <v>977631.037</v>
      </c>
      <c r="P91" s="3">
        <f>IFERROR(__xludf.DUMMYFUNCTION("""COMPUTED_VALUE"""),3.91958099393145E8)</f>
        <v>391958099.4</v>
      </c>
      <c r="Q91" s="3">
        <f>IFERROR(__xludf.DUMMYFUNCTION("""COMPUTED_VALUE"""),5.19548053404486E8)</f>
        <v>519548053.4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IFERROR(__xludf.DUMMYFUNCTION("""COMPUTED_VALUE"""),23644.722864)</f>
        <v>23644.72286</v>
      </c>
      <c r="C92" s="3">
        <f>IFERROR(__xludf.DUMMYFUNCTION("""COMPUTED_VALUE"""),1722.518435)</f>
        <v>1722.518435</v>
      </c>
      <c r="D92" s="3">
        <f>IFERROR(__xludf.DUMMYFUNCTION("""COMPUTED_VALUE"""),41.940819)</f>
        <v>41.940819</v>
      </c>
      <c r="E92" s="3">
        <f>IFERROR(__xludf.DUMMYFUNCTION("""COMPUTED_VALUE"""),95.679284)</f>
        <v>95.679284</v>
      </c>
      <c r="F92" s="3">
        <f>IFERROR(__xludf.DUMMYFUNCTION("""COMPUTED_VALUE"""),9.091775)</f>
        <v>9.091775</v>
      </c>
      <c r="G92" s="3">
        <f>IFERROR(__xludf.DUMMYFUNCTION("""COMPUTED_VALUE"""),1154.20657)</f>
        <v>1154.20657</v>
      </c>
      <c r="H92" s="3">
        <f>IFERROR(__xludf.DUMMYFUNCTION("""COMPUTED_VALUE"""),1.426349)</f>
        <v>1.426349</v>
      </c>
      <c r="I92" s="3">
        <f>IFERROR(__xludf.DUMMYFUNCTION("""COMPUTED_VALUE"""),2.449432)</f>
        <v>2.449432</v>
      </c>
      <c r="J92" s="3">
        <f>IFERROR(__xludf.DUMMYFUNCTION("""COMPUTED_VALUE"""),1.91071E7)</f>
        <v>19107100</v>
      </c>
      <c r="K92" s="3">
        <f>IFERROR(__xludf.DUMMYFUNCTION("""COMPUTED_VALUE"""),1.217509870615E8)</f>
        <v>121750987.1</v>
      </c>
      <c r="L92" s="3">
        <f>IFERROR(__xludf.DUMMYFUNCTION("""COMPUTED_VALUE"""),3.46159898165344E8)</f>
        <v>346159898.2</v>
      </c>
      <c r="M92" s="3">
        <f>IFERROR(__xludf.DUMMYFUNCTION("""COMPUTED_VALUE"""),1.3970634233726E7)</f>
        <v>13970634.23</v>
      </c>
      <c r="N92" s="3">
        <f>IFERROR(__xludf.DUMMYFUNCTION("""COMPUTED_VALUE"""),4.56489583401055E8)</f>
        <v>456489583.4</v>
      </c>
      <c r="O92" s="3">
        <f>IFERROR(__xludf.DUMMYFUNCTION("""COMPUTED_VALUE"""),977631.036951)</f>
        <v>977631.037</v>
      </c>
      <c r="P92" s="3">
        <f>IFERROR(__xludf.DUMMYFUNCTION("""COMPUTED_VALUE"""),3.91958099393145E8)</f>
        <v>391958099.4</v>
      </c>
      <c r="Q92" s="3">
        <f>IFERROR(__xludf.DUMMYFUNCTION("""COMPUTED_VALUE"""),5.21576507977972E8)</f>
        <v>521576508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IFERROR(__xludf.DUMMYFUNCTION("""COMPUTED_VALUE"""),23312.841916)</f>
        <v>23312.84192</v>
      </c>
      <c r="C93" s="3">
        <f>IFERROR(__xludf.DUMMYFUNCTION("""COMPUTED_VALUE"""),1697.25136)</f>
        <v>1697.25136</v>
      </c>
      <c r="D93" s="3">
        <f>IFERROR(__xludf.DUMMYFUNCTION("""COMPUTED_VALUE"""),43.846939)</f>
        <v>43.846939</v>
      </c>
      <c r="E93" s="3">
        <f>IFERROR(__xludf.DUMMYFUNCTION("""COMPUTED_VALUE"""),95.34354)</f>
        <v>95.34354</v>
      </c>
      <c r="F93" s="3">
        <f>IFERROR(__xludf.DUMMYFUNCTION("""COMPUTED_VALUE"""),8.777603)</f>
        <v>8.777603</v>
      </c>
      <c r="G93" s="3">
        <f>IFERROR(__xludf.DUMMYFUNCTION("""COMPUTED_VALUE"""),1122.054929)</f>
        <v>1122.054929</v>
      </c>
      <c r="H93" s="3">
        <f>IFERROR(__xludf.DUMMYFUNCTION("""COMPUTED_VALUE"""),1.359135)</f>
        <v>1.359135</v>
      </c>
      <c r="I93" s="3">
        <f>IFERROR(__xludf.DUMMYFUNCTION("""COMPUTED_VALUE"""),2.324374)</f>
        <v>2.324374</v>
      </c>
      <c r="J93" s="3">
        <f>IFERROR(__xludf.DUMMYFUNCTION("""COMPUTED_VALUE"""),1.9107912E7)</f>
        <v>19107912</v>
      </c>
      <c r="K93" s="3">
        <f>IFERROR(__xludf.DUMMYFUNCTION("""COMPUTED_VALUE"""),1.217644379365E8)</f>
        <v>121764437.9</v>
      </c>
      <c r="L93" s="3">
        <f>IFERROR(__xludf.DUMMYFUNCTION("""COMPUTED_VALUE"""),3.4615919429646E8)</f>
        <v>346159194.3</v>
      </c>
      <c r="M93" s="3">
        <f>IFERROR(__xludf.DUMMYFUNCTION("""COMPUTED_VALUE"""),1.3971684612636E7)</f>
        <v>13971684.61</v>
      </c>
      <c r="N93" s="3">
        <f>IFERROR(__xludf.DUMMYFUNCTION("""COMPUTED_VALUE"""),4.56489583401055E8)</f>
        <v>456489583.4</v>
      </c>
      <c r="O93" s="3">
        <f>IFERROR(__xludf.DUMMYFUNCTION("""COMPUTED_VALUE"""),977631.036951)</f>
        <v>977631.037</v>
      </c>
      <c r="P93" s="3">
        <f>IFERROR(__xludf.DUMMYFUNCTION("""COMPUTED_VALUE"""),3.91958099393145E8)</f>
        <v>391958099.4</v>
      </c>
      <c r="Q93" s="3">
        <f>IFERROR(__xludf.DUMMYFUNCTION("""COMPUTED_VALUE"""),5.23679136482556E8)</f>
        <v>523679136.5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IFERROR(__xludf.DUMMYFUNCTION("""COMPUTED_VALUE"""),23240.537234)</f>
        <v>23240.53723</v>
      </c>
      <c r="C94" s="3">
        <f>IFERROR(__xludf.DUMMYFUNCTION("""COMPUTED_VALUE"""),1679.23631)</f>
        <v>1679.23631</v>
      </c>
      <c r="D94" s="3">
        <f>IFERROR(__xludf.DUMMYFUNCTION("""COMPUTED_VALUE"""),42.357566)</f>
        <v>42.357566</v>
      </c>
      <c r="E94" s="3">
        <f>IFERROR(__xludf.DUMMYFUNCTION("""COMPUTED_VALUE"""),97.59643)</f>
        <v>97.59643</v>
      </c>
      <c r="F94" s="3">
        <f>IFERROR(__xludf.DUMMYFUNCTION("""COMPUTED_VALUE"""),8.332774)</f>
        <v>8.332774</v>
      </c>
      <c r="G94" s="3">
        <f>IFERROR(__xludf.DUMMYFUNCTION("""COMPUTED_VALUE"""),1100.67637)</f>
        <v>1100.67637</v>
      </c>
      <c r="H94" s="3">
        <f>IFERROR(__xludf.DUMMYFUNCTION("""COMPUTED_VALUE"""),1.318436)</f>
        <v>1.318436</v>
      </c>
      <c r="I94" s="3">
        <f>IFERROR(__xludf.DUMMYFUNCTION("""COMPUTED_VALUE"""),2.13709)</f>
        <v>2.13709</v>
      </c>
      <c r="J94" s="3">
        <f>IFERROR(__xludf.DUMMYFUNCTION("""COMPUTED_VALUE"""),1.9108843E7)</f>
        <v>19108843</v>
      </c>
      <c r="K94" s="3">
        <f>IFERROR(__xludf.DUMMYFUNCTION("""COMPUTED_VALUE"""),1.217779445615E8)</f>
        <v>121777944.6</v>
      </c>
      <c r="L94" s="3">
        <f>IFERROR(__xludf.DUMMYFUNCTION("""COMPUTED_VALUE"""),3.46520527292569E8)</f>
        <v>346520527.3</v>
      </c>
      <c r="M94" s="3">
        <f>IFERROR(__xludf.DUMMYFUNCTION("""COMPUTED_VALUE"""),1.3979116401164E7)</f>
        <v>13979116.4</v>
      </c>
      <c r="N94" s="3">
        <f>IFERROR(__xludf.DUMMYFUNCTION("""COMPUTED_VALUE"""),4.56489583401055E8)</f>
        <v>456489583.4</v>
      </c>
      <c r="O94" s="3">
        <f>IFERROR(__xludf.DUMMYFUNCTION("""COMPUTED_VALUE"""),977631.036951)</f>
        <v>977631.037</v>
      </c>
      <c r="P94" s="3">
        <f>IFERROR(__xludf.DUMMYFUNCTION("""COMPUTED_VALUE"""),3.91958099393145E8)</f>
        <v>391958099.4</v>
      </c>
      <c r="Q94" s="3">
        <f>IFERROR(__xludf.DUMMYFUNCTION("""COMPUTED_VALUE"""),5.25693989793016E8)</f>
        <v>525693989.8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IFERROR(__xludf.DUMMYFUNCTION("""COMPUTED_VALUE"""),22990.541091)</f>
        <v>22990.54109</v>
      </c>
      <c r="C95" s="3">
        <f>IFERROR(__xludf.DUMMYFUNCTION("""COMPUTED_VALUE"""),1628.808581)</f>
        <v>1628.808581</v>
      </c>
      <c r="D95" s="3">
        <f>IFERROR(__xludf.DUMMYFUNCTION("""COMPUTED_VALUE"""),41.620507)</f>
        <v>41.620507</v>
      </c>
      <c r="E95" s="3">
        <f>IFERROR(__xludf.DUMMYFUNCTION("""COMPUTED_VALUE"""),96.595081)</f>
        <v>96.595081</v>
      </c>
      <c r="F95" s="3">
        <f>IFERROR(__xludf.DUMMYFUNCTION("""COMPUTED_VALUE"""),8.347577)</f>
        <v>8.347577</v>
      </c>
      <c r="G95" s="3">
        <f>IFERROR(__xludf.DUMMYFUNCTION("""COMPUTED_VALUE"""),1061.595287)</f>
        <v>1061.595287</v>
      </c>
      <c r="H95" s="3">
        <f>IFERROR(__xludf.DUMMYFUNCTION("""COMPUTED_VALUE"""),1.305211)</f>
        <v>1.305211</v>
      </c>
      <c r="I95" s="3">
        <f>IFERROR(__xludf.DUMMYFUNCTION("""COMPUTED_VALUE"""),2.090745)</f>
        <v>2.090745</v>
      </c>
      <c r="J95" s="3">
        <f>IFERROR(__xludf.DUMMYFUNCTION("""COMPUTED_VALUE"""),1.91097E7)</f>
        <v>19109700</v>
      </c>
      <c r="K95" s="3">
        <f>IFERROR(__xludf.DUMMYFUNCTION("""COMPUTED_VALUE"""),1.217913971865E8)</f>
        <v>121791397.2</v>
      </c>
      <c r="L95" s="3">
        <f>IFERROR(__xludf.DUMMYFUNCTION("""COMPUTED_VALUE"""),3.46519845755235E8)</f>
        <v>346519845.8</v>
      </c>
      <c r="M95" s="3">
        <f>IFERROR(__xludf.DUMMYFUNCTION("""COMPUTED_VALUE"""),1.3979201451471E7)</f>
        <v>13979201.45</v>
      </c>
      <c r="N95" s="3">
        <f>IFERROR(__xludf.DUMMYFUNCTION("""COMPUTED_VALUE"""),4.56489583401055E8)</f>
        <v>456489583.4</v>
      </c>
      <c r="O95" s="3">
        <f>IFERROR(__xludf.DUMMYFUNCTION("""COMPUTED_VALUE"""),977631.036951)</f>
        <v>977631.037</v>
      </c>
      <c r="P95" s="3">
        <f>IFERROR(__xludf.DUMMYFUNCTION("""COMPUTED_VALUE"""),3.91958099393145E8)</f>
        <v>391958099.4</v>
      </c>
      <c r="Q95" s="3">
        <f>IFERROR(__xludf.DUMMYFUNCTION("""COMPUTED_VALUE"""),5.27723680844959E8)</f>
        <v>527723680.8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IFERROR(__xludf.DUMMYFUNCTION("""COMPUTED_VALUE"""),22845.872932)</f>
        <v>22845.87293</v>
      </c>
      <c r="C96" s="3">
        <f>IFERROR(__xludf.DUMMYFUNCTION("""COMPUTED_VALUE"""),1631.25256)</f>
        <v>1631.25256</v>
      </c>
      <c r="D96" s="3">
        <f>IFERROR(__xludf.DUMMYFUNCTION("""COMPUTED_VALUE"""),39.799312)</f>
        <v>39.799312</v>
      </c>
      <c r="E96" s="3">
        <f>IFERROR(__xludf.DUMMYFUNCTION("""COMPUTED_VALUE"""),93.492857)</f>
        <v>93.492857</v>
      </c>
      <c r="F96" s="3">
        <f>IFERROR(__xludf.DUMMYFUNCTION("""COMPUTED_VALUE"""),8.258928)</f>
        <v>8.258928</v>
      </c>
      <c r="G96" s="3">
        <f>IFERROR(__xludf.DUMMYFUNCTION("""COMPUTED_VALUE"""),1044.146723)</f>
        <v>1044.146723</v>
      </c>
      <c r="H96" s="3">
        <f>IFERROR(__xludf.DUMMYFUNCTION("""COMPUTED_VALUE"""),1.336127)</f>
        <v>1.336127</v>
      </c>
      <c r="I96" s="3">
        <f>IFERROR(__xludf.DUMMYFUNCTION("""COMPUTED_VALUE"""),2.310744)</f>
        <v>2.310744</v>
      </c>
      <c r="J96" s="3">
        <f>IFERROR(__xludf.DUMMYFUNCTION("""COMPUTED_VALUE"""),1.9110706E7)</f>
        <v>19110706</v>
      </c>
      <c r="K96" s="3">
        <f>IFERROR(__xludf.DUMMYFUNCTION("""COMPUTED_VALUE"""),1.21804929374E8)</f>
        <v>121804929.4</v>
      </c>
      <c r="L96" s="3">
        <f>IFERROR(__xludf.DUMMYFUNCTION("""COMPUTED_VALUE"""),3.46652443511433E8)</f>
        <v>346652443.5</v>
      </c>
      <c r="M96" s="3">
        <f>IFERROR(__xludf.DUMMYFUNCTION("""COMPUTED_VALUE"""),1.397965521628E7)</f>
        <v>13979655.22</v>
      </c>
      <c r="N96" s="3">
        <f>IFERROR(__xludf.DUMMYFUNCTION("""COMPUTED_VALUE"""),4.56489583401055E8)</f>
        <v>456489583.4</v>
      </c>
      <c r="O96" s="3">
        <f>IFERROR(__xludf.DUMMYFUNCTION("""COMPUTED_VALUE"""),977631.036951)</f>
        <v>977631.037</v>
      </c>
      <c r="P96" s="3">
        <f>IFERROR(__xludf.DUMMYFUNCTION("""COMPUTED_VALUE"""),3.91958099393145E8)</f>
        <v>391958099.4</v>
      </c>
      <c r="Q96" s="3">
        <f>IFERROR(__xludf.DUMMYFUNCTION("""COMPUTED_VALUE"""),5.2973865080433E8)</f>
        <v>529738650.8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IFERROR(__xludf.DUMMYFUNCTION("""COMPUTED_VALUE"""),22643.400408)</f>
        <v>22643.40041</v>
      </c>
      <c r="C97" s="3">
        <f>IFERROR(__xludf.DUMMYFUNCTION("""COMPUTED_VALUE"""),1619.707089)</f>
        <v>1619.707089</v>
      </c>
      <c r="D97" s="3">
        <f>IFERROR(__xludf.DUMMYFUNCTION("""COMPUTED_VALUE"""),38.572518)</f>
        <v>38.572518</v>
      </c>
      <c r="E97" s="3">
        <f>IFERROR(__xludf.DUMMYFUNCTION("""COMPUTED_VALUE"""),94.92456)</f>
        <v>94.92456</v>
      </c>
      <c r="F97" s="3">
        <f>IFERROR(__xludf.DUMMYFUNCTION("""COMPUTED_VALUE"""),8.927123)</f>
        <v>8.927123</v>
      </c>
      <c r="G97" s="3">
        <f>IFERROR(__xludf.DUMMYFUNCTION("""COMPUTED_VALUE"""),1040.208444)</f>
        <v>1040.208444</v>
      </c>
      <c r="H97" s="3">
        <f>IFERROR(__xludf.DUMMYFUNCTION("""COMPUTED_VALUE"""),1.333735)</f>
        <v>1.333735</v>
      </c>
      <c r="I97" s="3">
        <f>IFERROR(__xludf.DUMMYFUNCTION("""COMPUTED_VALUE"""),2.574148)</f>
        <v>2.574148</v>
      </c>
      <c r="J97" s="3">
        <f>IFERROR(__xludf.DUMMYFUNCTION("""COMPUTED_VALUE"""),1.91116E7)</f>
        <v>19111600</v>
      </c>
      <c r="K97" s="3">
        <f>IFERROR(__xludf.DUMMYFUNCTION("""COMPUTED_VALUE"""),1.218182974365E8)</f>
        <v>121818297.4</v>
      </c>
      <c r="L97" s="3">
        <f>IFERROR(__xludf.DUMMYFUNCTION("""COMPUTED_VALUE"""),3.46339196906434E8)</f>
        <v>346339196.9</v>
      </c>
      <c r="M97" s="3">
        <f>IFERROR(__xludf.DUMMYFUNCTION("""COMPUTED_VALUE"""),1.3981273942187E7)</f>
        <v>13981273.94</v>
      </c>
      <c r="N97" s="3">
        <f>IFERROR(__xludf.DUMMYFUNCTION("""COMPUTED_VALUE"""),4.56489583401055E8)</f>
        <v>456489583.4</v>
      </c>
      <c r="O97" s="3">
        <f>IFERROR(__xludf.DUMMYFUNCTION("""COMPUTED_VALUE"""),977631.036951)</f>
        <v>977631.037</v>
      </c>
      <c r="P97" s="3">
        <f>IFERROR(__xludf.DUMMYFUNCTION("""COMPUTED_VALUE"""),3.91958099393145E8)</f>
        <v>391958099.4</v>
      </c>
      <c r="Q97" s="3">
        <f>IFERROR(__xludf.DUMMYFUNCTION("""COMPUTED_VALUE"""),5.31772074621426E8)</f>
        <v>531772074.6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IFERROR(__xludf.DUMMYFUNCTION("""COMPUTED_VALUE"""),23262.616745)</f>
        <v>23262.61675</v>
      </c>
      <c r="C98" s="3">
        <f>IFERROR(__xludf.DUMMYFUNCTION("""COMPUTED_VALUE"""),1607.061603)</f>
        <v>1607.061603</v>
      </c>
      <c r="D98" s="3">
        <f>IFERROR(__xludf.DUMMYFUNCTION("""COMPUTED_VALUE"""),38.81351)</f>
        <v>38.81351</v>
      </c>
      <c r="E98" s="3">
        <f>IFERROR(__xludf.DUMMYFUNCTION("""COMPUTED_VALUE"""),96.40166)</f>
        <v>96.40166</v>
      </c>
      <c r="F98" s="3">
        <f>IFERROR(__xludf.DUMMYFUNCTION("""COMPUTED_VALUE"""),8.818838)</f>
        <v>8.818838</v>
      </c>
      <c r="G98" s="3">
        <f>IFERROR(__xludf.DUMMYFUNCTION("""COMPUTED_VALUE"""),1050.249663)</f>
        <v>1050.249663</v>
      </c>
      <c r="H98" s="3">
        <f>IFERROR(__xludf.DUMMYFUNCTION("""COMPUTED_VALUE"""),1.330201)</f>
        <v>1.330201</v>
      </c>
      <c r="I98" s="3">
        <f>IFERROR(__xludf.DUMMYFUNCTION("""COMPUTED_VALUE"""),2.455623)</f>
        <v>2.455623</v>
      </c>
      <c r="J98" s="3">
        <f>IFERROR(__xludf.DUMMYFUNCTION("""COMPUTED_VALUE"""),1.9112431E7)</f>
        <v>19112431</v>
      </c>
      <c r="K98" s="3">
        <f>IFERROR(__xludf.DUMMYFUNCTION("""COMPUTED_VALUE"""),1.21831680249E8)</f>
        <v>121831680.2</v>
      </c>
      <c r="L98" s="3">
        <f>IFERROR(__xludf.DUMMYFUNCTION("""COMPUTED_VALUE"""),3.46472319309739E8)</f>
        <v>346472319.3</v>
      </c>
      <c r="M98" s="3">
        <f>IFERROR(__xludf.DUMMYFUNCTION("""COMPUTED_VALUE"""),1.3981879010132E7)</f>
        <v>13981879.01</v>
      </c>
      <c r="N98" s="3">
        <f>IFERROR(__xludf.DUMMYFUNCTION("""COMPUTED_VALUE"""),4.56489583401055E8)</f>
        <v>456489583.4</v>
      </c>
      <c r="O98" s="3">
        <f>IFERROR(__xludf.DUMMYFUNCTION("""COMPUTED_VALUE"""),977631.036951)</f>
        <v>977631.037</v>
      </c>
      <c r="P98" s="3">
        <f>IFERROR(__xludf.DUMMYFUNCTION("""COMPUTED_VALUE"""),3.91958099393145E8)</f>
        <v>391958099.4</v>
      </c>
      <c r="Q98" s="3">
        <f>IFERROR(__xludf.DUMMYFUNCTION("""COMPUTED_VALUE"""),5.36257999001951E8)</f>
        <v>536257999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IFERROR(__xludf.DUMMYFUNCTION("""COMPUTED_VALUE"""),22973.781987)</f>
        <v>22973.78199</v>
      </c>
      <c r="C99" s="3">
        <f>IFERROR(__xludf.DUMMYFUNCTION("""COMPUTED_VALUE"""),1730.561515)</f>
        <v>1730.561515</v>
      </c>
      <c r="D99" s="3">
        <f>IFERROR(__xludf.DUMMYFUNCTION("""COMPUTED_VALUE"""),40.611819)</f>
        <v>40.611819</v>
      </c>
      <c r="E99" s="3">
        <f>IFERROR(__xludf.DUMMYFUNCTION("""COMPUTED_VALUE"""),102.823614)</f>
        <v>102.823614</v>
      </c>
      <c r="F99" s="3">
        <f>IFERROR(__xludf.DUMMYFUNCTION("""COMPUTED_VALUE"""),8.978772)</f>
        <v>8.978772</v>
      </c>
      <c r="G99" s="3">
        <f>IFERROR(__xludf.DUMMYFUNCTION("""COMPUTED_VALUE"""),1121.529914)</f>
        <v>1121.529914</v>
      </c>
      <c r="H99" s="3">
        <f>IFERROR(__xludf.DUMMYFUNCTION("""COMPUTED_VALUE"""),1.445096)</f>
        <v>1.445096</v>
      </c>
      <c r="I99" s="3">
        <f>IFERROR(__xludf.DUMMYFUNCTION("""COMPUTED_VALUE"""),2.650984)</f>
        <v>2.650984</v>
      </c>
      <c r="J99" s="3">
        <f>IFERROR(__xludf.DUMMYFUNCTION("""COMPUTED_VALUE"""),1.9113368E7)</f>
        <v>19113368</v>
      </c>
      <c r="K99" s="3">
        <f>IFERROR(__xludf.DUMMYFUNCTION("""COMPUTED_VALUE"""),1.21845295374E8)</f>
        <v>121845295.4</v>
      </c>
      <c r="L99" s="3">
        <f>IFERROR(__xludf.DUMMYFUNCTION("""COMPUTED_VALUE"""),3.46471544157969E8)</f>
        <v>346471544.2</v>
      </c>
      <c r="M99" s="3">
        <f>IFERROR(__xludf.DUMMYFUNCTION("""COMPUTED_VALUE"""),1.3982062159139E7)</f>
        <v>13982062.16</v>
      </c>
      <c r="N99" s="3">
        <f>IFERROR(__xludf.DUMMYFUNCTION("""COMPUTED_VALUE"""),4.56489583401055E8)</f>
        <v>456489583.4</v>
      </c>
      <c r="O99" s="3">
        <f>IFERROR(__xludf.DUMMYFUNCTION("""COMPUTED_VALUE"""),977631.036951)</f>
        <v>977631.037</v>
      </c>
      <c r="P99" s="3">
        <f>IFERROR(__xludf.DUMMYFUNCTION("""COMPUTED_VALUE"""),3.91958099393145E8)</f>
        <v>391958099.4</v>
      </c>
      <c r="Q99" s="3">
        <f>IFERROR(__xludf.DUMMYFUNCTION("""COMPUTED_VALUE"""),5.38302597784724E8)</f>
        <v>538302597.8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IFERROR(__xludf.DUMMYFUNCTION("""COMPUTED_VALUE"""),23102.37199)</f>
        <v>23102.37199</v>
      </c>
      <c r="C100" s="3">
        <f>IFERROR(__xludf.DUMMYFUNCTION("""COMPUTED_VALUE"""),1691.447338)</f>
        <v>1691.447338</v>
      </c>
      <c r="D100" s="3">
        <f>IFERROR(__xludf.DUMMYFUNCTION("""COMPUTED_VALUE"""),40.058646)</f>
        <v>40.058646</v>
      </c>
      <c r="E100" s="3">
        <f>IFERROR(__xludf.DUMMYFUNCTION("""COMPUTED_VALUE"""),99.045797)</f>
        <v>99.045797</v>
      </c>
      <c r="F100" s="3">
        <f>IFERROR(__xludf.DUMMYFUNCTION("""COMPUTED_VALUE"""),8.776418)</f>
        <v>8.776418</v>
      </c>
      <c r="G100" s="3">
        <f>IFERROR(__xludf.DUMMYFUNCTION("""COMPUTED_VALUE"""),1085.546889)</f>
        <v>1085.546889</v>
      </c>
      <c r="H100" s="3">
        <f>IFERROR(__xludf.DUMMYFUNCTION("""COMPUTED_VALUE"""),1.373439)</f>
        <v>1.373439</v>
      </c>
      <c r="I100" s="3">
        <f>IFERROR(__xludf.DUMMYFUNCTION("""COMPUTED_VALUE"""),2.601278)</f>
        <v>2.601278</v>
      </c>
      <c r="J100" s="3">
        <f>IFERROR(__xludf.DUMMYFUNCTION("""COMPUTED_VALUE"""),1.9114362E7)</f>
        <v>19114362</v>
      </c>
      <c r="K100" s="3">
        <f>IFERROR(__xludf.DUMMYFUNCTION("""COMPUTED_VALUE"""),1.21858727624E8)</f>
        <v>121858727.6</v>
      </c>
      <c r="L100" s="3">
        <f>IFERROR(__xludf.DUMMYFUNCTION("""COMPUTED_VALUE"""),3.4697191196546E8)</f>
        <v>346971912</v>
      </c>
      <c r="M100" s="3">
        <f>IFERROR(__xludf.DUMMYFUNCTION("""COMPUTED_VALUE"""),1.3982526729287E7)</f>
        <v>13982526.73</v>
      </c>
      <c r="N100" s="3">
        <f>IFERROR(__xludf.DUMMYFUNCTION("""COMPUTED_VALUE"""),4.56489583401055E8)</f>
        <v>456489583.4</v>
      </c>
      <c r="O100" s="3">
        <f>IFERROR(__xludf.DUMMYFUNCTION("""COMPUTED_VALUE"""),977631.036951)</f>
        <v>977631.037</v>
      </c>
      <c r="P100" s="3">
        <f>IFERROR(__xludf.DUMMYFUNCTION("""COMPUTED_VALUE"""),3.91958099393145E8)</f>
        <v>391958099.4</v>
      </c>
      <c r="Q100" s="3">
        <f>IFERROR(__xludf.DUMMYFUNCTION("""COMPUTED_VALUE"""),5.40289152069368E8)</f>
        <v>540289152.1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IFERROR(__xludf.DUMMYFUNCTION("""COMPUTED_VALUE"""),23842.148177)</f>
        <v>23842.14818</v>
      </c>
      <c r="C101" s="3">
        <f>IFERROR(__xludf.DUMMYFUNCTION("""COMPUTED_VALUE"""),1700.539855)</f>
        <v>1700.539855</v>
      </c>
      <c r="D101" s="3">
        <f>IFERROR(__xludf.DUMMYFUNCTION("""COMPUTED_VALUE"""),40.618018)</f>
        <v>40.618018</v>
      </c>
      <c r="E101" s="3">
        <f>IFERROR(__xludf.DUMMYFUNCTION("""COMPUTED_VALUE"""),101.314926)</f>
        <v>101.314926</v>
      </c>
      <c r="F101" s="3">
        <f>IFERROR(__xludf.DUMMYFUNCTION("""COMPUTED_VALUE"""),8.790583)</f>
        <v>8.790583</v>
      </c>
      <c r="G101" s="3">
        <f>IFERROR(__xludf.DUMMYFUNCTION("""COMPUTED_VALUE"""),1128.13811)</f>
        <v>1128.13811</v>
      </c>
      <c r="H101" s="3">
        <f>IFERROR(__xludf.DUMMYFUNCTION("""COMPUTED_VALUE"""),1.404065)</f>
        <v>1.404065</v>
      </c>
      <c r="I101" s="3">
        <f>IFERROR(__xludf.DUMMYFUNCTION("""COMPUTED_VALUE"""),2.474077)</f>
        <v>2.474077</v>
      </c>
      <c r="J101" s="3">
        <f>IFERROR(__xludf.DUMMYFUNCTION("""COMPUTED_VALUE"""),1.9115337E7)</f>
        <v>19115337</v>
      </c>
      <c r="K101" s="3">
        <f>IFERROR(__xludf.DUMMYFUNCTION("""COMPUTED_VALUE"""),1.21872196749E8)</f>
        <v>121872196.7</v>
      </c>
      <c r="L101" s="3">
        <f>IFERROR(__xludf.DUMMYFUNCTION("""COMPUTED_VALUE"""),3.48407365720977E8)</f>
        <v>348407365.7</v>
      </c>
      <c r="M101" s="3">
        <f>IFERROR(__xludf.DUMMYFUNCTION("""COMPUTED_VALUE"""),1.3983251850727E7)</f>
        <v>13983251.85</v>
      </c>
      <c r="N101" s="3">
        <f>IFERROR(__xludf.DUMMYFUNCTION("""COMPUTED_VALUE"""),4.56489583401055E8)</f>
        <v>456489583.4</v>
      </c>
      <c r="O101" s="3">
        <f>IFERROR(__xludf.DUMMYFUNCTION("""COMPUTED_VALUE"""),977631.036951)</f>
        <v>977631.037</v>
      </c>
      <c r="P101" s="3">
        <f>IFERROR(__xludf.DUMMYFUNCTION("""COMPUTED_VALUE"""),3.91958099393145E8)</f>
        <v>391958099.4</v>
      </c>
      <c r="Q101" s="3">
        <f>IFERROR(__xludf.DUMMYFUNCTION("""COMPUTED_VALUE"""),5.42305451826324E8)</f>
        <v>542305451.8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IFERROR(__xludf.DUMMYFUNCTION("""COMPUTED_VALUE"""),23166.048734)</f>
        <v>23166.04873</v>
      </c>
      <c r="C102" s="3">
        <f>IFERROR(__xludf.DUMMYFUNCTION("""COMPUTED_VALUE"""),1777.071254)</f>
        <v>1777.071254</v>
      </c>
      <c r="D102" s="3">
        <f>IFERROR(__xludf.DUMMYFUNCTION("""COMPUTED_VALUE"""),42.179469)</f>
        <v>42.179469</v>
      </c>
      <c r="E102" s="3">
        <f>IFERROR(__xludf.DUMMYFUNCTION("""COMPUTED_VALUE"""),102.513976)</f>
        <v>102.513976</v>
      </c>
      <c r="F102" s="3">
        <f>IFERROR(__xludf.DUMMYFUNCTION("""COMPUTED_VALUE"""),8.788493)</f>
        <v>8.788493</v>
      </c>
      <c r="G102" s="3">
        <f>IFERROR(__xludf.DUMMYFUNCTION("""COMPUTED_VALUE"""),1143.966113)</f>
        <v>1143.966113</v>
      </c>
      <c r="H102" s="3">
        <f>IFERROR(__xludf.DUMMYFUNCTION("""COMPUTED_VALUE"""),1.428007)</f>
        <v>1.428007</v>
      </c>
      <c r="I102" s="3">
        <f>IFERROR(__xludf.DUMMYFUNCTION("""COMPUTED_VALUE"""),2.402832)</f>
        <v>2.402832</v>
      </c>
      <c r="J102" s="3">
        <f>IFERROR(__xludf.DUMMYFUNCTION("""COMPUTED_VALUE"""),1.9116268E7)</f>
        <v>19116268</v>
      </c>
      <c r="K102" s="3">
        <f>IFERROR(__xludf.DUMMYFUNCTION("""COMPUTED_VALUE"""),1.21885552374E8)</f>
        <v>121885552.4</v>
      </c>
      <c r="L102" s="3">
        <f>IFERROR(__xludf.DUMMYFUNCTION("""COMPUTED_VALUE"""),3.4840664269399E8)</f>
        <v>348406642.7</v>
      </c>
      <c r="M102" s="3">
        <f>IFERROR(__xludf.DUMMYFUNCTION("""COMPUTED_VALUE"""),1.3984389853509E7)</f>
        <v>13984389.85</v>
      </c>
      <c r="N102" s="3">
        <f>IFERROR(__xludf.DUMMYFUNCTION("""COMPUTED_VALUE"""),4.56489583401055E8)</f>
        <v>456489583.4</v>
      </c>
      <c r="O102" s="3">
        <f>IFERROR(__xludf.DUMMYFUNCTION("""COMPUTED_VALUE"""),977631.036951)</f>
        <v>977631.037</v>
      </c>
      <c r="P102" s="3">
        <f>IFERROR(__xludf.DUMMYFUNCTION("""COMPUTED_VALUE"""),3.91958099393145E8)</f>
        <v>391958099.4</v>
      </c>
      <c r="Q102" s="3">
        <f>IFERROR(__xludf.DUMMYFUNCTION("""COMPUTED_VALUE"""),5.44339178930589E8)</f>
        <v>544339178.9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IFERROR(__xludf.DUMMYFUNCTION("""COMPUTED_VALUE"""),23980.242857)</f>
        <v>23980.24286</v>
      </c>
      <c r="C103" s="3">
        <f>IFERROR(__xludf.DUMMYFUNCTION("""COMPUTED_VALUE"""),1700.850174)</f>
        <v>1700.850174</v>
      </c>
      <c r="D103" s="3">
        <f>IFERROR(__xludf.DUMMYFUNCTION("""COMPUTED_VALUE"""),40.337737)</f>
        <v>40.337737</v>
      </c>
      <c r="E103" s="3">
        <f>IFERROR(__xludf.DUMMYFUNCTION("""COMPUTED_VALUE"""),97.861442)</f>
        <v>97.861442</v>
      </c>
      <c r="F103" s="3">
        <f>IFERROR(__xludf.DUMMYFUNCTION("""COMPUTED_VALUE"""),8.44037)</f>
        <v>8.44037</v>
      </c>
      <c r="G103" s="3">
        <f>IFERROR(__xludf.DUMMYFUNCTION("""COMPUTED_VALUE"""),1068.960442)</f>
        <v>1068.960442</v>
      </c>
      <c r="H103" s="3">
        <f>IFERROR(__xludf.DUMMYFUNCTION("""COMPUTED_VALUE"""),1.292069)</f>
        <v>1.292069</v>
      </c>
      <c r="I103" s="3">
        <f>IFERROR(__xludf.DUMMYFUNCTION("""COMPUTED_VALUE"""),2.24999)</f>
        <v>2.24999</v>
      </c>
      <c r="J103" s="3">
        <f>IFERROR(__xludf.DUMMYFUNCTION("""COMPUTED_VALUE"""),1.9117125E7)</f>
        <v>19117125</v>
      </c>
      <c r="K103" s="3">
        <f>IFERROR(__xludf.DUMMYFUNCTION("""COMPUTED_VALUE"""),1.21898991874E8)</f>
        <v>121898991.9</v>
      </c>
      <c r="L103" s="3">
        <f>IFERROR(__xludf.DUMMYFUNCTION("""COMPUTED_VALUE"""),3.48408342456003E8)</f>
        <v>348408342.5</v>
      </c>
      <c r="M103" s="3">
        <f>IFERROR(__xludf.DUMMYFUNCTION("""COMPUTED_VALUE"""),1.3985115713716E7)</f>
        <v>13985115.71</v>
      </c>
      <c r="N103" s="3">
        <f>IFERROR(__xludf.DUMMYFUNCTION("""COMPUTED_VALUE"""),4.56489583401055E8)</f>
        <v>456489583.4</v>
      </c>
      <c r="O103" s="3">
        <f>IFERROR(__xludf.DUMMYFUNCTION("""COMPUTED_VALUE"""),977631.036951)</f>
        <v>977631.037</v>
      </c>
      <c r="P103" s="3">
        <f>IFERROR(__xludf.DUMMYFUNCTION("""COMPUTED_VALUE"""),3.91958099393145E8)</f>
        <v>391958099.4</v>
      </c>
      <c r="Q103" s="3">
        <f>IFERROR(__xludf.DUMMYFUNCTION("""COMPUTED_VALUE"""),5.46335415074849E8)</f>
        <v>546335415.1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IFERROR(__xludf.DUMMYFUNCTION("""COMPUTED_VALUE"""),23942.829898)</f>
        <v>23942.8299</v>
      </c>
      <c r="C104" s="3">
        <f>IFERROR(__xludf.DUMMYFUNCTION("""COMPUTED_VALUE"""),1855.691904)</f>
        <v>1855.691904</v>
      </c>
      <c r="D104" s="3">
        <f>IFERROR(__xludf.DUMMYFUNCTION("""COMPUTED_VALUE"""),42.470703)</f>
        <v>42.470703</v>
      </c>
      <c r="E104" s="3">
        <f>IFERROR(__xludf.DUMMYFUNCTION("""COMPUTED_VALUE"""),111.121577)</f>
        <v>111.121577</v>
      </c>
      <c r="F104" s="3">
        <f>IFERROR(__xludf.DUMMYFUNCTION("""COMPUTED_VALUE"""),9.22111)</f>
        <v>9.22111</v>
      </c>
      <c r="G104" s="3">
        <f>IFERROR(__xludf.DUMMYFUNCTION("""COMPUTED_VALUE"""),1115.84925)</f>
        <v>1115.84925</v>
      </c>
      <c r="H104" s="3">
        <f>IFERROR(__xludf.DUMMYFUNCTION("""COMPUTED_VALUE"""),1.389866)</f>
        <v>1.389866</v>
      </c>
      <c r="I104" s="3">
        <f>IFERROR(__xludf.DUMMYFUNCTION("""COMPUTED_VALUE"""),2.71756)</f>
        <v>2.71756</v>
      </c>
      <c r="J104" s="3">
        <f>IFERROR(__xludf.DUMMYFUNCTION("""COMPUTED_VALUE"""),1.9118112E7)</f>
        <v>19118112</v>
      </c>
      <c r="K104" s="3">
        <f>IFERROR(__xludf.DUMMYFUNCTION("""COMPUTED_VALUE"""),1.21912215249E8)</f>
        <v>121912215.2</v>
      </c>
      <c r="L104" s="3">
        <f>IFERROR(__xludf.DUMMYFUNCTION("""COMPUTED_VALUE"""),3.4857399262384E8)</f>
        <v>348573992.6</v>
      </c>
      <c r="M104" s="3">
        <f>IFERROR(__xludf.DUMMYFUNCTION("""COMPUTED_VALUE"""),1.3985739718079E7)</f>
        <v>13985739.72</v>
      </c>
      <c r="N104" s="3">
        <f>IFERROR(__xludf.DUMMYFUNCTION("""COMPUTED_VALUE"""),4.56489583401055E8)</f>
        <v>456489583.4</v>
      </c>
      <c r="O104" s="3">
        <f>IFERROR(__xludf.DUMMYFUNCTION("""COMPUTED_VALUE"""),977631.036951)</f>
        <v>977631.037</v>
      </c>
      <c r="P104" s="3">
        <f>IFERROR(__xludf.DUMMYFUNCTION("""COMPUTED_VALUE"""),3.91958099393145E8)</f>
        <v>391958099.4</v>
      </c>
      <c r="Q104" s="3">
        <f>IFERROR(__xludf.DUMMYFUNCTION("""COMPUTED_VALUE"""),5.49385658796361E8)</f>
        <v>549385658.8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IFERROR(__xludf.DUMMYFUNCTION("""COMPUTED_VALUE"""),24401.968129)</f>
        <v>24401.96813</v>
      </c>
      <c r="C105" s="3">
        <f>IFERROR(__xludf.DUMMYFUNCTION("""COMPUTED_VALUE"""),1881.820674)</f>
        <v>1881.820674</v>
      </c>
      <c r="D105" s="3">
        <f>IFERROR(__xludf.DUMMYFUNCTION("""COMPUTED_VALUE"""),42.795253)</f>
        <v>42.795253</v>
      </c>
      <c r="E105" s="3">
        <f>IFERROR(__xludf.DUMMYFUNCTION("""COMPUTED_VALUE"""),107.609485)</f>
        <v>107.609485</v>
      </c>
      <c r="F105" s="3">
        <f>IFERROR(__xludf.DUMMYFUNCTION("""COMPUTED_VALUE"""),8.964899)</f>
        <v>8.964899</v>
      </c>
      <c r="G105" s="3">
        <f>IFERROR(__xludf.DUMMYFUNCTION("""COMPUTED_VALUE"""),1081.58168)</f>
        <v>1081.58168</v>
      </c>
      <c r="H105" s="3">
        <f>IFERROR(__xludf.DUMMYFUNCTION("""COMPUTED_VALUE"""),1.360575)</f>
        <v>1.360575</v>
      </c>
      <c r="I105" s="3">
        <f>IFERROR(__xludf.DUMMYFUNCTION("""COMPUTED_VALUE"""),2.613981)</f>
        <v>2.613981</v>
      </c>
      <c r="J105" s="3">
        <f>IFERROR(__xludf.DUMMYFUNCTION("""COMPUTED_VALUE"""),1.9118962E7)</f>
        <v>19118962</v>
      </c>
      <c r="K105" s="3">
        <f>IFERROR(__xludf.DUMMYFUNCTION("""COMPUTED_VALUE"""),1.21925475624E8)</f>
        <v>121925475.6</v>
      </c>
      <c r="L105" s="3">
        <f>IFERROR(__xludf.DUMMYFUNCTION("""COMPUTED_VALUE"""),3.4870691519817E8)</f>
        <v>348706915.2</v>
      </c>
      <c r="M105" s="3">
        <f>IFERROR(__xludf.DUMMYFUNCTION("""COMPUTED_VALUE"""),1.3986421258289E7)</f>
        <v>13986421.26</v>
      </c>
      <c r="N105" s="3">
        <f>IFERROR(__xludf.DUMMYFUNCTION("""COMPUTED_VALUE"""),4.56489583401055E8)</f>
        <v>456489583.4</v>
      </c>
      <c r="O105" s="3">
        <f>IFERROR(__xludf.DUMMYFUNCTION("""COMPUTED_VALUE"""),977631.036951)</f>
        <v>977631.037</v>
      </c>
      <c r="P105" s="3">
        <f>IFERROR(__xludf.DUMMYFUNCTION("""COMPUTED_VALUE"""),3.91958099393145E8)</f>
        <v>391958099.4</v>
      </c>
      <c r="Q105" s="3">
        <f>IFERROR(__xludf.DUMMYFUNCTION("""COMPUTED_VALUE"""),5.51413530125292E8)</f>
        <v>551413530.1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IFERROR(__xludf.DUMMYFUNCTION("""COMPUTED_VALUE"""),24426.699277)</f>
        <v>24426.69928</v>
      </c>
      <c r="C106" s="3">
        <f>IFERROR(__xludf.DUMMYFUNCTION("""COMPUTED_VALUE"""),1955.87313)</f>
        <v>1955.87313</v>
      </c>
      <c r="D106" s="3">
        <f>IFERROR(__xludf.DUMMYFUNCTION("""COMPUTED_VALUE"""),45.518287)</f>
        <v>45.518287</v>
      </c>
      <c r="E106" s="3">
        <f>IFERROR(__xludf.DUMMYFUNCTION("""COMPUTED_VALUE"""),114.777628)</f>
        <v>114.777628</v>
      </c>
      <c r="F106" s="3">
        <f>IFERROR(__xludf.DUMMYFUNCTION("""COMPUTED_VALUE"""),9.209798)</f>
        <v>9.209798</v>
      </c>
      <c r="G106" s="3">
        <f>IFERROR(__xludf.DUMMYFUNCTION("""COMPUTED_VALUE"""),1082.872172)</f>
        <v>1082.872172</v>
      </c>
      <c r="H106" s="3">
        <f>IFERROR(__xludf.DUMMYFUNCTION("""COMPUTED_VALUE"""),1.42097)</f>
        <v>1.42097</v>
      </c>
      <c r="I106" s="3">
        <f>IFERROR(__xludf.DUMMYFUNCTION("""COMPUTED_VALUE"""),2.818077)</f>
        <v>2.818077</v>
      </c>
      <c r="J106" s="3">
        <f>IFERROR(__xludf.DUMMYFUNCTION("""COMPUTED_VALUE"""),1.9119875E7)</f>
        <v>19119875</v>
      </c>
      <c r="K106" s="3">
        <f>IFERROR(__xludf.DUMMYFUNCTION("""COMPUTED_VALUE"""),1.219387579365E8)</f>
        <v>121938757.9</v>
      </c>
      <c r="L106" s="3">
        <f>IFERROR(__xludf.DUMMYFUNCTION("""COMPUTED_VALUE"""),3.48706210496568E8)</f>
        <v>348706210.5</v>
      </c>
      <c r="M106" s="3">
        <f>IFERROR(__xludf.DUMMYFUNCTION("""COMPUTED_VALUE"""),1.398712499968E7)</f>
        <v>13987125</v>
      </c>
      <c r="N106" s="3">
        <f>IFERROR(__xludf.DUMMYFUNCTION("""COMPUTED_VALUE"""),4.56489583401055E8)</f>
        <v>456489583.4</v>
      </c>
      <c r="O106" s="3">
        <f>IFERROR(__xludf.DUMMYFUNCTION("""COMPUTED_VALUE"""),977631.036951)</f>
        <v>977631.037</v>
      </c>
      <c r="P106" s="3">
        <f>IFERROR(__xludf.DUMMYFUNCTION("""COMPUTED_VALUE"""),3.91958099393145E8)</f>
        <v>391958099.4</v>
      </c>
      <c r="Q106" s="3">
        <f>IFERROR(__xludf.DUMMYFUNCTION("""COMPUTED_VALUE"""),5.53415808683143E8)</f>
        <v>553415808.7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IFERROR(__xludf.DUMMYFUNCTION("""COMPUTED_VALUE"""),24325.99791)</f>
        <v>24325.99791</v>
      </c>
      <c r="C107" s="3">
        <f>IFERROR(__xludf.DUMMYFUNCTION("""COMPUTED_VALUE"""),1983.94942)</f>
        <v>1983.94942</v>
      </c>
      <c r="D107" s="3">
        <f>IFERROR(__xludf.DUMMYFUNCTION("""COMPUTED_VALUE"""),46.619111)</f>
        <v>46.619111</v>
      </c>
      <c r="E107" s="3">
        <f>IFERROR(__xludf.DUMMYFUNCTION("""COMPUTED_VALUE"""),110.571893)</f>
        <v>110.571893</v>
      </c>
      <c r="F107" s="3">
        <f>IFERROR(__xludf.DUMMYFUNCTION("""COMPUTED_VALUE"""),8.987442)</f>
        <v>8.987442</v>
      </c>
      <c r="G107" s="3">
        <f>IFERROR(__xludf.DUMMYFUNCTION("""COMPUTED_VALUE"""),1069.037766)</f>
        <v>1069.037766</v>
      </c>
      <c r="H107" s="3">
        <f>IFERROR(__xludf.DUMMYFUNCTION("""COMPUTED_VALUE"""),1.434211)</f>
        <v>1.434211</v>
      </c>
      <c r="I107" s="3">
        <f>IFERROR(__xludf.DUMMYFUNCTION("""COMPUTED_VALUE"""),2.930064)</f>
        <v>2.930064</v>
      </c>
      <c r="J107" s="3">
        <f>IFERROR(__xludf.DUMMYFUNCTION("""COMPUTED_VALUE"""),1.9120781E7)</f>
        <v>19120781</v>
      </c>
      <c r="K107" s="3">
        <f>IFERROR(__xludf.DUMMYFUNCTION("""COMPUTED_VALUE"""),1.219520475615E8)</f>
        <v>121952047.6</v>
      </c>
      <c r="L107" s="3">
        <f>IFERROR(__xludf.DUMMYFUNCTION("""COMPUTED_VALUE"""),3.48705545319633E8)</f>
        <v>348705545.3</v>
      </c>
      <c r="M107" s="3">
        <f>IFERROR(__xludf.DUMMYFUNCTION("""COMPUTED_VALUE"""),1.3987700923547E7)</f>
        <v>13987700.92</v>
      </c>
      <c r="N107" s="3">
        <f>IFERROR(__xludf.DUMMYFUNCTION("""COMPUTED_VALUE"""),4.56489583401055E8)</f>
        <v>456489583.4</v>
      </c>
      <c r="O107" s="3">
        <f>IFERROR(__xludf.DUMMYFUNCTION("""COMPUTED_VALUE"""),977631.036951)</f>
        <v>977631.037</v>
      </c>
      <c r="P107" s="3">
        <f>IFERROR(__xludf.DUMMYFUNCTION("""COMPUTED_VALUE"""),3.91958099393145E8)</f>
        <v>391958099.4</v>
      </c>
      <c r="Q107" s="3">
        <f>IFERROR(__xludf.DUMMYFUNCTION("""COMPUTED_VALUE"""),5.55433204939863E8)</f>
        <v>555433204.9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IFERROR(__xludf.DUMMYFUNCTION("""COMPUTED_VALUE"""),24108.539752)</f>
        <v>24108.53975</v>
      </c>
      <c r="C108" s="3">
        <f>IFERROR(__xludf.DUMMYFUNCTION("""COMPUTED_VALUE"""),1935.668782)</f>
        <v>1935.668782</v>
      </c>
      <c r="D108" s="3">
        <f>IFERROR(__xludf.DUMMYFUNCTION("""COMPUTED_VALUE"""),44.862893)</f>
        <v>44.862893</v>
      </c>
      <c r="E108" s="3">
        <f>IFERROR(__xludf.DUMMYFUNCTION("""COMPUTED_VALUE"""),107.470623)</f>
        <v>107.470623</v>
      </c>
      <c r="F108" s="3">
        <f>IFERROR(__xludf.DUMMYFUNCTION("""COMPUTED_VALUE"""),8.881124)</f>
        <v>8.881124</v>
      </c>
      <c r="G108" s="3">
        <f>IFERROR(__xludf.DUMMYFUNCTION("""COMPUTED_VALUE"""),1024.346936)</f>
        <v>1024.346936</v>
      </c>
      <c r="H108" s="3">
        <f>IFERROR(__xludf.DUMMYFUNCTION("""COMPUTED_VALUE"""),1.388947)</f>
        <v>1.388947</v>
      </c>
      <c r="I108" s="3">
        <f>IFERROR(__xludf.DUMMYFUNCTION("""COMPUTED_VALUE"""),2.655666)</f>
        <v>2.655666</v>
      </c>
      <c r="J108" s="3">
        <f>IFERROR(__xludf.DUMMYFUNCTION("""COMPUTED_VALUE"""),1.9121593E7)</f>
        <v>19121593</v>
      </c>
      <c r="K108" s="3">
        <f>IFERROR(__xludf.DUMMYFUNCTION("""COMPUTED_VALUE"""),1.219654183115E8)</f>
        <v>121965418.3</v>
      </c>
      <c r="L108" s="3">
        <f>IFERROR(__xludf.DUMMYFUNCTION("""COMPUTED_VALUE"""),3.48838182705272E8)</f>
        <v>348838182.7</v>
      </c>
      <c r="M108" s="3">
        <f>IFERROR(__xludf.DUMMYFUNCTION("""COMPUTED_VALUE"""),1.3987862289871E7)</f>
        <v>13987862.29</v>
      </c>
      <c r="N108" s="3">
        <f>IFERROR(__xludf.DUMMYFUNCTION("""COMPUTED_VALUE"""),4.56489583401055E8)</f>
        <v>456489583.4</v>
      </c>
      <c r="O108" s="3">
        <f>IFERROR(__xludf.DUMMYFUNCTION("""COMPUTED_VALUE"""),977631.036951)</f>
        <v>977631.037</v>
      </c>
      <c r="P108" s="3">
        <f>IFERROR(__xludf.DUMMYFUNCTION("""COMPUTED_VALUE"""),3.91958099393145E8)</f>
        <v>391958099.4</v>
      </c>
      <c r="Q108" s="3">
        <f>IFERROR(__xludf.DUMMYFUNCTION("""COMPUTED_VALUE"""),5.5746123957727E8)</f>
        <v>557461239.6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IFERROR(__xludf.DUMMYFUNCTION("""COMPUTED_VALUE"""),23817.467814)</f>
        <v>23817.46781</v>
      </c>
      <c r="C109" s="3">
        <f>IFERROR(__xludf.DUMMYFUNCTION("""COMPUTED_VALUE"""),1899.501111)</f>
        <v>1899.501111</v>
      </c>
      <c r="D109" s="3">
        <f>IFERROR(__xludf.DUMMYFUNCTION("""COMPUTED_VALUE"""),43.725798)</f>
        <v>43.725798</v>
      </c>
      <c r="E109" s="3">
        <f>IFERROR(__xludf.DUMMYFUNCTION("""COMPUTED_VALUE"""),107.070623)</f>
        <v>107.070623</v>
      </c>
      <c r="F109" s="3">
        <f>IFERROR(__xludf.DUMMYFUNCTION("""COMPUTED_VALUE"""),8.468508)</f>
        <v>8.468508</v>
      </c>
      <c r="G109" s="3">
        <f>IFERROR(__xludf.DUMMYFUNCTION("""COMPUTED_VALUE"""),998.242853)</f>
        <v>998.242853</v>
      </c>
      <c r="H109" s="3">
        <f>IFERROR(__xludf.DUMMYFUNCTION("""COMPUTED_VALUE"""),1.333871)</f>
        <v>1.333871</v>
      </c>
      <c r="I109" s="3">
        <f>IFERROR(__xludf.DUMMYFUNCTION("""COMPUTED_VALUE"""),2.749838)</f>
        <v>2.749838</v>
      </c>
      <c r="J109" s="3">
        <f>IFERROR(__xludf.DUMMYFUNCTION("""COMPUTED_VALUE"""),1.9122531E7)</f>
        <v>19122531</v>
      </c>
      <c r="K109" s="3">
        <f>IFERROR(__xludf.DUMMYFUNCTION("""COMPUTED_VALUE"""),1.219785254365E8)</f>
        <v>121978525.4</v>
      </c>
      <c r="L109" s="3">
        <f>IFERROR(__xludf.DUMMYFUNCTION("""COMPUTED_VALUE"""),3.48837486001298E8)</f>
        <v>348837486</v>
      </c>
      <c r="M109" s="3">
        <f>IFERROR(__xludf.DUMMYFUNCTION("""COMPUTED_VALUE"""),1.3988088977518E7)</f>
        <v>13988088.98</v>
      </c>
      <c r="N109" s="3">
        <f>IFERROR(__xludf.DUMMYFUNCTION("""COMPUTED_VALUE"""),4.56489583401055E8)</f>
        <v>456489583.4</v>
      </c>
      <c r="O109" s="3">
        <f>IFERROR(__xludf.DUMMYFUNCTION("""COMPUTED_VALUE"""),977631.036951)</f>
        <v>977631.037</v>
      </c>
      <c r="P109" s="3">
        <f>IFERROR(__xludf.DUMMYFUNCTION("""COMPUTED_VALUE"""),3.91958099393145E8)</f>
        <v>391958099.4</v>
      </c>
      <c r="Q109" s="3">
        <f>IFERROR(__xludf.DUMMYFUNCTION("""COMPUTED_VALUE"""),5.59463984730765E8)</f>
        <v>559463984.7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IFERROR(__xludf.DUMMYFUNCTION("""COMPUTED_VALUE"""),23340.597372)</f>
        <v>23340.59737</v>
      </c>
      <c r="C110" s="3">
        <f>IFERROR(__xludf.DUMMYFUNCTION("""COMPUTED_VALUE"""),1877.001195)</f>
        <v>1877.001195</v>
      </c>
      <c r="D110" s="3">
        <f>IFERROR(__xludf.DUMMYFUNCTION("""COMPUTED_VALUE"""),43.087128)</f>
        <v>43.087128</v>
      </c>
      <c r="E110" s="3">
        <f>IFERROR(__xludf.DUMMYFUNCTION("""COMPUTED_VALUE"""),109.81409)</f>
        <v>109.81409</v>
      </c>
      <c r="F110" s="3">
        <f>IFERROR(__xludf.DUMMYFUNCTION("""COMPUTED_VALUE"""),8.339581)</f>
        <v>8.339581</v>
      </c>
      <c r="G110" s="3">
        <f>IFERROR(__xludf.DUMMYFUNCTION("""COMPUTED_VALUE"""),979.603079)</f>
        <v>979.603079</v>
      </c>
      <c r="H110" s="3">
        <f>IFERROR(__xludf.DUMMYFUNCTION("""COMPUTED_VALUE"""),1.28584)</f>
        <v>1.28584</v>
      </c>
      <c r="I110" s="3">
        <f>IFERROR(__xludf.DUMMYFUNCTION("""COMPUTED_VALUE"""),2.578945)</f>
        <v>2.578945</v>
      </c>
      <c r="J110" s="3">
        <f>IFERROR(__xludf.DUMMYFUNCTION("""COMPUTED_VALUE"""),1.9123443E7)</f>
        <v>19123443</v>
      </c>
      <c r="K110" s="3">
        <f>IFERROR(__xludf.DUMMYFUNCTION("""COMPUTED_VALUE"""),1.21991912124E8)</f>
        <v>121991912.1</v>
      </c>
      <c r="L110" s="3">
        <f>IFERROR(__xludf.DUMMYFUNCTION("""COMPUTED_VALUE"""),3.48836770275971E8)</f>
        <v>348836770.3</v>
      </c>
      <c r="M110" s="3">
        <f>IFERROR(__xludf.DUMMYFUNCTION("""COMPUTED_VALUE"""),1.3988486504207E7)</f>
        <v>13988486.5</v>
      </c>
      <c r="N110" s="3">
        <f>IFERROR(__xludf.DUMMYFUNCTION("""COMPUTED_VALUE"""),4.56489583401055E8)</f>
        <v>456489583.4</v>
      </c>
      <c r="O110" s="3">
        <f>IFERROR(__xludf.DUMMYFUNCTION("""COMPUTED_VALUE"""),977631.036951)</f>
        <v>977631.037</v>
      </c>
      <c r="P110" s="3">
        <f>IFERROR(__xludf.DUMMYFUNCTION("""COMPUTED_VALUE"""),3.91958099393145E8)</f>
        <v>391958099.4</v>
      </c>
      <c r="Q110" s="3">
        <f>IFERROR(__xludf.DUMMYFUNCTION("""COMPUTED_VALUE"""),5.61491949378825E8)</f>
        <v>561491949.4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IFERROR(__xludf.DUMMYFUNCTION("""COMPUTED_VALUE"""),23196.928125)</f>
        <v>23196.92813</v>
      </c>
      <c r="C111" s="3">
        <f>IFERROR(__xludf.DUMMYFUNCTION("""COMPUTED_VALUE"""),1834.275353)</f>
        <v>1834.275353</v>
      </c>
      <c r="D111" s="3">
        <f>IFERROR(__xludf.DUMMYFUNCTION("""COMPUTED_VALUE"""),40.535039)</f>
        <v>40.535039</v>
      </c>
      <c r="E111" s="3">
        <f>IFERROR(__xludf.DUMMYFUNCTION("""COMPUTED_VALUE"""),100.236673)</f>
        <v>100.236673</v>
      </c>
      <c r="F111" s="3">
        <f>IFERROR(__xludf.DUMMYFUNCTION("""COMPUTED_VALUE"""),7.958688)</f>
        <v>7.958688</v>
      </c>
      <c r="G111" s="3">
        <f>IFERROR(__xludf.DUMMYFUNCTION("""COMPUTED_VALUE"""),929.86419)</f>
        <v>929.86419</v>
      </c>
      <c r="H111" s="3">
        <f>IFERROR(__xludf.DUMMYFUNCTION("""COMPUTED_VALUE"""),1.182571)</f>
        <v>1.182571</v>
      </c>
      <c r="I111" s="3">
        <f>IFERROR(__xludf.DUMMYFUNCTION("""COMPUTED_VALUE"""),2.478898)</f>
        <v>2.478898</v>
      </c>
      <c r="J111" s="3">
        <f>IFERROR(__xludf.DUMMYFUNCTION("""COMPUTED_VALUE"""),1.9124256E7)</f>
        <v>19124256</v>
      </c>
      <c r="K111" s="3">
        <f>IFERROR(__xludf.DUMMYFUNCTION("""COMPUTED_VALUE"""),1.22005065124E8)</f>
        <v>122005065.1</v>
      </c>
      <c r="L111" s="3">
        <f>IFERROR(__xludf.DUMMYFUNCTION("""COMPUTED_VALUE"""),3.48812757049775E8)</f>
        <v>348812757</v>
      </c>
      <c r="M111" s="3">
        <f>IFERROR(__xludf.DUMMYFUNCTION("""COMPUTED_VALUE"""),1.3989189081466E7)</f>
        <v>13989189.08</v>
      </c>
      <c r="N111" s="3">
        <f>IFERROR(__xludf.DUMMYFUNCTION("""COMPUTED_VALUE"""),4.56489583401055E8)</f>
        <v>456489583.4</v>
      </c>
      <c r="O111" s="3">
        <f>IFERROR(__xludf.DUMMYFUNCTION("""COMPUTED_VALUE"""),977631.036951)</f>
        <v>977631.037</v>
      </c>
      <c r="P111" s="3">
        <f>IFERROR(__xludf.DUMMYFUNCTION("""COMPUTED_VALUE"""),3.91958099393145E8)</f>
        <v>391958099.4</v>
      </c>
      <c r="Q111" s="3">
        <f>IFERROR(__xludf.DUMMYFUNCTION("""COMPUTED_VALUE"""),5.63593924649507E8)</f>
        <v>563593924.6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IFERROR(__xludf.DUMMYFUNCTION("""COMPUTED_VALUE"""),20835.422976)</f>
        <v>20835.42298</v>
      </c>
      <c r="C112" s="3">
        <f>IFERROR(__xludf.DUMMYFUNCTION("""COMPUTED_VALUE"""),1846.508019)</f>
        <v>1846.508019</v>
      </c>
      <c r="D112" s="3">
        <f>IFERROR(__xludf.DUMMYFUNCTION("""COMPUTED_VALUE"""),39.513141)</f>
        <v>39.513141</v>
      </c>
      <c r="E112" s="3">
        <f>IFERROR(__xludf.DUMMYFUNCTION("""COMPUTED_VALUE"""),94.896121)</f>
        <v>94.896121</v>
      </c>
      <c r="F112" s="3">
        <f>IFERROR(__xludf.DUMMYFUNCTION("""COMPUTED_VALUE"""),7.574364)</f>
        <v>7.574364</v>
      </c>
      <c r="G112" s="3">
        <f>IFERROR(__xludf.DUMMYFUNCTION("""COMPUTED_VALUE"""),895.269864)</f>
        <v>895.269864</v>
      </c>
      <c r="H112" s="3">
        <f>IFERROR(__xludf.DUMMYFUNCTION("""COMPUTED_VALUE"""),1.113743)</f>
        <v>1.113743</v>
      </c>
      <c r="I112" s="3">
        <f>IFERROR(__xludf.DUMMYFUNCTION("""COMPUTED_VALUE"""),2.226746)</f>
        <v>2.226746</v>
      </c>
      <c r="J112" s="3">
        <f>IFERROR(__xludf.DUMMYFUNCTION("""COMPUTED_VALUE"""),1.9125156E7)</f>
        <v>19125156</v>
      </c>
      <c r="K112" s="3">
        <f>IFERROR(__xludf.DUMMYFUNCTION("""COMPUTED_VALUE"""),1.22018279374E8)</f>
        <v>122018279.4</v>
      </c>
      <c r="L112" s="3">
        <f>IFERROR(__xludf.DUMMYFUNCTION("""COMPUTED_VALUE"""),3.48812654465631E8)</f>
        <v>348812654.5</v>
      </c>
      <c r="M112" s="3">
        <f>IFERROR(__xludf.DUMMYFUNCTION("""COMPUTED_VALUE"""),1.3990342556468E7)</f>
        <v>13990342.56</v>
      </c>
      <c r="N112" s="3">
        <f>IFERROR(__xludf.DUMMYFUNCTION("""COMPUTED_VALUE"""),4.56489583401055E8)</f>
        <v>456489583.4</v>
      </c>
      <c r="O112" s="3">
        <f>IFERROR(__xludf.DUMMYFUNCTION("""COMPUTED_VALUE"""),977631.036951)</f>
        <v>977631.037</v>
      </c>
      <c r="P112" s="3">
        <f>IFERROR(__xludf.DUMMYFUNCTION("""COMPUTED_VALUE"""),3.91958099393145E8)</f>
        <v>391958099.4</v>
      </c>
      <c r="Q112" s="3">
        <f>IFERROR(__xludf.DUMMYFUNCTION("""COMPUTED_VALUE"""),5.75679248087734E8)</f>
        <v>575679248.1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IFERROR(__xludf.DUMMYFUNCTION("""COMPUTED_VALUE"""),21144.533557)</f>
        <v>21144.53356</v>
      </c>
      <c r="C113" s="3">
        <f>IFERROR(__xludf.DUMMYFUNCTION("""COMPUTED_VALUE"""),1608.939858)</f>
        <v>1608.939858</v>
      </c>
      <c r="D113" s="3">
        <f>IFERROR(__xludf.DUMMYFUNCTION("""COMPUTED_VALUE"""),35.812248)</f>
        <v>35.812248</v>
      </c>
      <c r="E113" s="3">
        <f>IFERROR(__xludf.DUMMYFUNCTION("""COMPUTED_VALUE"""),83.428304)</f>
        <v>83.428304</v>
      </c>
      <c r="F113" s="3">
        <f>IFERROR(__xludf.DUMMYFUNCTION("""COMPUTED_VALUE"""),6.896528)</f>
        <v>6.896528</v>
      </c>
      <c r="G113" s="3">
        <f>IFERROR(__xludf.DUMMYFUNCTION("""COMPUTED_VALUE"""),837.632031)</f>
        <v>837.632031</v>
      </c>
      <c r="H113" s="3">
        <f>IFERROR(__xludf.DUMMYFUNCTION("""COMPUTED_VALUE"""),1.051074)</f>
        <v>1.051074</v>
      </c>
      <c r="I113" s="3">
        <f>IFERROR(__xludf.DUMMYFUNCTION("""COMPUTED_VALUE"""),1.86048)</f>
        <v>1.86048</v>
      </c>
      <c r="J113" s="3">
        <f>IFERROR(__xludf.DUMMYFUNCTION("""COMPUTED_VALUE"""),1.912625E7)</f>
        <v>19126250</v>
      </c>
      <c r="K113" s="3">
        <f>IFERROR(__xludf.DUMMYFUNCTION("""COMPUTED_VALUE"""),1.22031473749E8)</f>
        <v>122031473.7</v>
      </c>
      <c r="L113" s="3">
        <f>IFERROR(__xludf.DUMMYFUNCTION("""COMPUTED_VALUE"""),3.49120758204177E8)</f>
        <v>349120758.2</v>
      </c>
      <c r="M113" s="3">
        <f>IFERROR(__xludf.DUMMYFUNCTION("""COMPUTED_VALUE"""),1.3990484496281E7)</f>
        <v>13990484.5</v>
      </c>
      <c r="N113" s="3">
        <f>IFERROR(__xludf.DUMMYFUNCTION("""COMPUTED_VALUE"""),4.56489583401055E8)</f>
        <v>456489583.4</v>
      </c>
      <c r="O113" s="3">
        <f>IFERROR(__xludf.DUMMYFUNCTION("""COMPUTED_VALUE"""),977631.036951)</f>
        <v>977631.037</v>
      </c>
      <c r="P113" s="3">
        <f>IFERROR(__xludf.DUMMYFUNCTION("""COMPUTED_VALUE"""),3.91958099393145E8)</f>
        <v>391958099.4</v>
      </c>
      <c r="Q113" s="3">
        <f>IFERROR(__xludf.DUMMYFUNCTION("""COMPUTED_VALUE"""),5.7769321486647E8)</f>
        <v>577693214.9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IFERROR(__xludf.DUMMYFUNCTION("""COMPUTED_VALUE"""),21515.581984)</f>
        <v>21515.58198</v>
      </c>
      <c r="C114" s="3">
        <f>IFERROR(__xludf.DUMMYFUNCTION("""COMPUTED_VALUE"""),1576.148689)</f>
        <v>1576.148689</v>
      </c>
      <c r="D114" s="3">
        <f>IFERROR(__xludf.DUMMYFUNCTION("""COMPUTED_VALUE"""),35.285242)</f>
        <v>35.285242</v>
      </c>
      <c r="E114" s="3">
        <f>IFERROR(__xludf.DUMMYFUNCTION("""COMPUTED_VALUE"""),82.875698)</f>
        <v>82.875698</v>
      </c>
      <c r="F114" s="3">
        <f>IFERROR(__xludf.DUMMYFUNCTION("""COMPUTED_VALUE"""),7.006636)</f>
        <v>7.006636</v>
      </c>
      <c r="G114" s="3">
        <f>IFERROR(__xludf.DUMMYFUNCTION("""COMPUTED_VALUE"""),823.1706)</f>
        <v>823.1706</v>
      </c>
      <c r="H114" s="3">
        <f>IFERROR(__xludf.DUMMYFUNCTION("""COMPUTED_VALUE"""),1.000278)</f>
        <v>1.000278</v>
      </c>
      <c r="I114" s="3">
        <f>IFERROR(__xludf.DUMMYFUNCTION("""COMPUTED_VALUE"""),1.8427)</f>
        <v>1.8427</v>
      </c>
      <c r="J114" s="3">
        <f>IFERROR(__xludf.DUMMYFUNCTION("""COMPUTED_VALUE"""),1.9127231E7)</f>
        <v>19127231</v>
      </c>
      <c r="K114" s="3">
        <f>IFERROR(__xludf.DUMMYFUNCTION("""COMPUTED_VALUE"""),1.220447804365E8)</f>
        <v>122044780.4</v>
      </c>
      <c r="L114" s="3">
        <f>IFERROR(__xludf.DUMMYFUNCTION("""COMPUTED_VALUE"""),3.49119939752156E8)</f>
        <v>349119939.8</v>
      </c>
      <c r="M114" s="3">
        <f>IFERROR(__xludf.DUMMYFUNCTION("""COMPUTED_VALUE"""),1.3991017734324E7)</f>
        <v>13991017.73</v>
      </c>
      <c r="N114" s="3">
        <f>IFERROR(__xludf.DUMMYFUNCTION("""COMPUTED_VALUE"""),4.56489583401055E8)</f>
        <v>456489583.4</v>
      </c>
      <c r="O114" s="3">
        <f>IFERROR(__xludf.DUMMYFUNCTION("""COMPUTED_VALUE"""),977631.036951)</f>
        <v>977631.037</v>
      </c>
      <c r="P114" s="3">
        <f>IFERROR(__xludf.DUMMYFUNCTION("""COMPUTED_VALUE"""),3.91958099393145E8)</f>
        <v>391958099.4</v>
      </c>
      <c r="Q114" s="3">
        <f>IFERROR(__xludf.DUMMYFUNCTION("""COMPUTED_VALUE"""),5.79722579301462E8)</f>
        <v>579722579.3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IFERROR(__xludf.DUMMYFUNCTION("""COMPUTED_VALUE"""),21396.504099)</f>
        <v>21396.5041</v>
      </c>
      <c r="C115" s="3">
        <f>IFERROR(__xludf.DUMMYFUNCTION("""COMPUTED_VALUE"""),1618.028499)</f>
        <v>1618.028499</v>
      </c>
      <c r="D115" s="3">
        <f>IFERROR(__xludf.DUMMYFUNCTION("""COMPUTED_VALUE"""),36.483106)</f>
        <v>36.483106</v>
      </c>
      <c r="E115" s="3">
        <f>IFERROR(__xludf.DUMMYFUNCTION("""COMPUTED_VALUE"""),85.930625)</f>
        <v>85.930625</v>
      </c>
      <c r="F115" s="3">
        <f>IFERROR(__xludf.DUMMYFUNCTION("""COMPUTED_VALUE"""),7.210728)</f>
        <v>7.210728</v>
      </c>
      <c r="G115" s="3">
        <f>IFERROR(__xludf.DUMMYFUNCTION("""COMPUTED_VALUE"""),838.367019)</f>
        <v>838.367019</v>
      </c>
      <c r="H115" s="3">
        <f>IFERROR(__xludf.DUMMYFUNCTION("""COMPUTED_VALUE"""),1.025868)</f>
        <v>1.025868</v>
      </c>
      <c r="I115" s="3">
        <f>IFERROR(__xludf.DUMMYFUNCTION("""COMPUTED_VALUE"""),2.162116)</f>
        <v>2.162116</v>
      </c>
      <c r="J115" s="3">
        <f>IFERROR(__xludf.DUMMYFUNCTION("""COMPUTED_VALUE"""),1.9128093E7)</f>
        <v>19128093</v>
      </c>
      <c r="K115" s="3">
        <f>IFERROR(__xludf.DUMMYFUNCTION("""COMPUTED_VALUE"""),1.22058088249E8)</f>
        <v>122058088.2</v>
      </c>
      <c r="L115" s="3">
        <f>IFERROR(__xludf.DUMMYFUNCTION("""COMPUTED_VALUE"""),3.49119204567048E8)</f>
        <v>349119204.6</v>
      </c>
      <c r="M115" s="3">
        <f>IFERROR(__xludf.DUMMYFUNCTION("""COMPUTED_VALUE"""),1.3991275888879E7)</f>
        <v>13991275.89</v>
      </c>
      <c r="N115" s="3">
        <f>IFERROR(__xludf.DUMMYFUNCTION("""COMPUTED_VALUE"""),4.56489583401055E8)</f>
        <v>456489583.4</v>
      </c>
      <c r="O115" s="3">
        <f>IFERROR(__xludf.DUMMYFUNCTION("""COMPUTED_VALUE"""),977631.036951)</f>
        <v>977631.037</v>
      </c>
      <c r="P115" s="3">
        <f>IFERROR(__xludf.DUMMYFUNCTION("""COMPUTED_VALUE"""),3.91958099393145E8)</f>
        <v>391958099.4</v>
      </c>
      <c r="Q115" s="3">
        <f>IFERROR(__xludf.DUMMYFUNCTION("""COMPUTED_VALUE"""),5.81725371114522E8)</f>
        <v>581725371.1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IFERROR(__xludf.DUMMYFUNCTION("""COMPUTED_VALUE"""),21527.111864)</f>
        <v>21527.11186</v>
      </c>
      <c r="C116" s="3">
        <f>IFERROR(__xludf.DUMMYFUNCTION("""COMPUTED_VALUE"""),1624.689747)</f>
        <v>1624.689747</v>
      </c>
      <c r="D116" s="3">
        <f>IFERROR(__xludf.DUMMYFUNCTION("""COMPUTED_VALUE"""),35.419967)</f>
        <v>35.419967</v>
      </c>
      <c r="E116" s="3">
        <f>IFERROR(__xludf.DUMMYFUNCTION("""COMPUTED_VALUE"""),88.496144)</f>
        <v>88.496144</v>
      </c>
      <c r="F116" s="3">
        <f>IFERROR(__xludf.DUMMYFUNCTION("""COMPUTED_VALUE"""),6.985236)</f>
        <v>6.985236</v>
      </c>
      <c r="G116" s="3">
        <f>IFERROR(__xludf.DUMMYFUNCTION("""COMPUTED_VALUE"""),839.547227)</f>
        <v>839.547227</v>
      </c>
      <c r="H116" s="3">
        <f>IFERROR(__xludf.DUMMYFUNCTION("""COMPUTED_VALUE"""),1.100016)</f>
        <v>1.100016</v>
      </c>
      <c r="I116" s="3">
        <f>IFERROR(__xludf.DUMMYFUNCTION("""COMPUTED_VALUE"""),2.175232)</f>
        <v>2.175232</v>
      </c>
      <c r="J116" s="3">
        <f>IFERROR(__xludf.DUMMYFUNCTION("""COMPUTED_VALUE"""),1.9129018E7)</f>
        <v>19129018</v>
      </c>
      <c r="K116" s="3">
        <f>IFERROR(__xludf.DUMMYFUNCTION("""COMPUTED_VALUE"""),1.220712971865E8)</f>
        <v>122071297.2</v>
      </c>
      <c r="L116" s="3">
        <f>IFERROR(__xludf.DUMMYFUNCTION("""COMPUTED_VALUE"""),3.49251416704408E8)</f>
        <v>349251416.7</v>
      </c>
      <c r="M116" s="3">
        <f>IFERROR(__xludf.DUMMYFUNCTION("""COMPUTED_VALUE"""),1.3992043840385E7)</f>
        <v>13992043.84</v>
      </c>
      <c r="N116" s="3">
        <f>IFERROR(__xludf.DUMMYFUNCTION("""COMPUTED_VALUE"""),4.56489583401055E8)</f>
        <v>456489583.4</v>
      </c>
      <c r="O116" s="3">
        <f>IFERROR(__xludf.DUMMYFUNCTION("""COMPUTED_VALUE"""),977631.036951)</f>
        <v>977631.037</v>
      </c>
      <c r="P116" s="3">
        <f>IFERROR(__xludf.DUMMYFUNCTION("""COMPUTED_VALUE"""),3.91958099393145E8)</f>
        <v>391958099.4</v>
      </c>
      <c r="Q116" s="3">
        <f>IFERROR(__xludf.DUMMYFUNCTION("""COMPUTED_VALUE"""),5.83765698315816E8)</f>
        <v>583765698.3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IFERROR(__xludf.DUMMYFUNCTION("""COMPUTED_VALUE"""),21368.268756)</f>
        <v>21368.26876</v>
      </c>
      <c r="C117" s="3">
        <f>IFERROR(__xludf.DUMMYFUNCTION("""COMPUTED_VALUE"""),1665.545474)</f>
        <v>1665.545474</v>
      </c>
      <c r="D117" s="3">
        <f>IFERROR(__xludf.DUMMYFUNCTION("""COMPUTED_VALUE"""),35.68074)</f>
        <v>35.68074</v>
      </c>
      <c r="E117" s="3">
        <f>IFERROR(__xludf.DUMMYFUNCTION("""COMPUTED_VALUE"""),89.474443)</f>
        <v>89.474443</v>
      </c>
      <c r="F117" s="3">
        <f>IFERROR(__xludf.DUMMYFUNCTION("""COMPUTED_VALUE"""),7.11976)</f>
        <v>7.11976</v>
      </c>
      <c r="G117" s="3">
        <f>IFERROR(__xludf.DUMMYFUNCTION("""COMPUTED_VALUE"""),856.342904)</f>
        <v>856.342904</v>
      </c>
      <c r="H117" s="3">
        <f>IFERROR(__xludf.DUMMYFUNCTION("""COMPUTED_VALUE"""),1.184126)</f>
        <v>1.184126</v>
      </c>
      <c r="I117" s="3">
        <f>IFERROR(__xludf.DUMMYFUNCTION("""COMPUTED_VALUE"""),2.143544)</f>
        <v>2.143544</v>
      </c>
      <c r="J117" s="3">
        <f>IFERROR(__xludf.DUMMYFUNCTION("""COMPUTED_VALUE"""),1.9130043E7)</f>
        <v>19130043</v>
      </c>
      <c r="K117" s="3">
        <f>IFERROR(__xludf.DUMMYFUNCTION("""COMPUTED_VALUE"""),1.22084696374E8)</f>
        <v>122084696.4</v>
      </c>
      <c r="L117" s="3">
        <f>IFERROR(__xludf.DUMMYFUNCTION("""COMPUTED_VALUE"""),3.49250698303968E8)</f>
        <v>349250698.3</v>
      </c>
      <c r="M117" s="3">
        <f>IFERROR(__xludf.DUMMYFUNCTION("""COMPUTED_VALUE"""),1.3993549108061E7)</f>
        <v>13993549.11</v>
      </c>
      <c r="N117" s="3">
        <f>IFERROR(__xludf.DUMMYFUNCTION("""COMPUTED_VALUE"""),4.56489583401055E8)</f>
        <v>456489583.4</v>
      </c>
      <c r="O117" s="3">
        <f>IFERROR(__xludf.DUMMYFUNCTION("""COMPUTED_VALUE"""),977631.036951)</f>
        <v>977631.037</v>
      </c>
      <c r="P117" s="3">
        <f>IFERROR(__xludf.DUMMYFUNCTION("""COMPUTED_VALUE"""),3.91958099393145E8)</f>
        <v>391958099.4</v>
      </c>
      <c r="Q117" s="3">
        <f>IFERROR(__xludf.DUMMYFUNCTION("""COMPUTED_VALUE"""),5.85779968381721E8)</f>
        <v>585779968.4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IFERROR(__xludf.DUMMYFUNCTION("""COMPUTED_VALUE"""),21559.892958)</f>
        <v>21559.89296</v>
      </c>
      <c r="C118" s="3">
        <f>IFERROR(__xludf.DUMMYFUNCTION("""COMPUTED_VALUE"""),1656.520432)</f>
        <v>1656.520432</v>
      </c>
      <c r="D118" s="3">
        <f>IFERROR(__xludf.DUMMYFUNCTION("""COMPUTED_VALUE"""),34.889693)</f>
        <v>34.889693</v>
      </c>
      <c r="E118" s="3">
        <f>IFERROR(__xludf.DUMMYFUNCTION("""COMPUTED_VALUE"""),88.450553)</f>
        <v>88.450553</v>
      </c>
      <c r="F118" s="3">
        <f>IFERROR(__xludf.DUMMYFUNCTION("""COMPUTED_VALUE"""),7.045186)</f>
        <v>7.045186</v>
      </c>
      <c r="G118" s="3">
        <f>IFERROR(__xludf.DUMMYFUNCTION("""COMPUTED_VALUE"""),854.350231)</f>
        <v>854.350231</v>
      </c>
      <c r="H118" s="3">
        <f>IFERROR(__xludf.DUMMYFUNCTION("""COMPUTED_VALUE"""),1.17799)</f>
        <v>1.17799</v>
      </c>
      <c r="I118" s="3">
        <f>IFERROR(__xludf.DUMMYFUNCTION("""COMPUTED_VALUE"""),2.159265)</f>
        <v>2.159265</v>
      </c>
      <c r="J118" s="3">
        <f>IFERROR(__xludf.DUMMYFUNCTION("""COMPUTED_VALUE"""),1.9131018E7)</f>
        <v>19131018</v>
      </c>
      <c r="K118" s="3">
        <f>IFERROR(__xludf.DUMMYFUNCTION("""COMPUTED_VALUE"""),1.220978149365E8)</f>
        <v>122097814.9</v>
      </c>
      <c r="L118" s="3">
        <f>IFERROR(__xludf.DUMMYFUNCTION("""COMPUTED_VALUE"""),3.49249961187999E8)</f>
        <v>349249961.2</v>
      </c>
      <c r="M118" s="3">
        <f>IFERROR(__xludf.DUMMYFUNCTION("""COMPUTED_VALUE"""),1.3994097500391E7)</f>
        <v>13994097.5</v>
      </c>
      <c r="N118" s="3">
        <f>IFERROR(__xludf.DUMMYFUNCTION("""COMPUTED_VALUE"""),4.56489583401055E8)</f>
        <v>456489583.4</v>
      </c>
      <c r="O118" s="3">
        <f>IFERROR(__xludf.DUMMYFUNCTION("""COMPUTED_VALUE"""),977631.036951)</f>
        <v>977631.037</v>
      </c>
      <c r="P118" s="3">
        <f>IFERROR(__xludf.DUMMYFUNCTION("""COMPUTED_VALUE"""),3.91958099393145E8)</f>
        <v>391958099.4</v>
      </c>
      <c r="Q118" s="3">
        <f>IFERROR(__xludf.DUMMYFUNCTION("""COMPUTED_VALUE"""),5.79311152539725E8)</f>
        <v>579311152.5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IFERROR(__xludf.DUMMYFUNCTION("""COMPUTED_VALUE"""),20239.819987)</f>
        <v>20239.81999</v>
      </c>
      <c r="C119" s="3">
        <f>IFERROR(__xludf.DUMMYFUNCTION("""COMPUTED_VALUE"""),1694.993422)</f>
        <v>1694.993422</v>
      </c>
      <c r="D119" s="3">
        <f>IFERROR(__xludf.DUMMYFUNCTION("""COMPUTED_VALUE"""),35.254346)</f>
        <v>35.254346</v>
      </c>
      <c r="E119" s="3">
        <f>IFERROR(__xludf.DUMMYFUNCTION("""COMPUTED_VALUE"""),93.201105)</f>
        <v>93.201105</v>
      </c>
      <c r="F119" s="3">
        <f>IFERROR(__xludf.DUMMYFUNCTION("""COMPUTED_VALUE"""),7.023473)</f>
        <v>7.023473</v>
      </c>
      <c r="G119" s="3">
        <f>IFERROR(__xludf.DUMMYFUNCTION("""COMPUTED_VALUE"""),845.967673)</f>
        <v>845.967673</v>
      </c>
      <c r="H119" s="3">
        <f>IFERROR(__xludf.DUMMYFUNCTION("""COMPUTED_VALUE"""),1.178195)</f>
        <v>1.178195</v>
      </c>
      <c r="I119" s="3">
        <f>IFERROR(__xludf.DUMMYFUNCTION("""COMPUTED_VALUE"""),2.004526)</f>
        <v>2.004526</v>
      </c>
      <c r="J119" s="3">
        <f>IFERROR(__xludf.DUMMYFUNCTION("""COMPUTED_VALUE"""),1.9131968E7)</f>
        <v>19131968</v>
      </c>
      <c r="K119" s="3">
        <f>IFERROR(__xludf.DUMMYFUNCTION("""COMPUTED_VALUE"""),1.221106884365E8)</f>
        <v>122110688.4</v>
      </c>
      <c r="L119" s="3">
        <f>IFERROR(__xludf.DUMMYFUNCTION("""COMPUTED_VALUE"""),3.49381924822937E8)</f>
        <v>349381924.8</v>
      </c>
      <c r="M119" s="3">
        <f>IFERROR(__xludf.DUMMYFUNCTION("""COMPUTED_VALUE"""),1.3994333080523E7)</f>
        <v>13994333.08</v>
      </c>
      <c r="N119" s="3">
        <f>IFERROR(__xludf.DUMMYFUNCTION("""COMPUTED_VALUE"""),4.56489583401055E8)</f>
        <v>456489583.4</v>
      </c>
      <c r="O119" s="3">
        <f>IFERROR(__xludf.DUMMYFUNCTION("""COMPUTED_VALUE"""),977631.036951)</f>
        <v>977631.037</v>
      </c>
      <c r="P119" s="3">
        <f>IFERROR(__xludf.DUMMYFUNCTION("""COMPUTED_VALUE"""),3.91958099393145E8)</f>
        <v>391958099.4</v>
      </c>
      <c r="Q119" s="3">
        <f>IFERROR(__xludf.DUMMYFUNCTION("""COMPUTED_VALUE"""),5.81411284757613E8)</f>
        <v>581411284.8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IFERROR(__xludf.DUMMYFUNCTION("""COMPUTED_VALUE"""),20037.687199)</f>
        <v>20037.6872</v>
      </c>
      <c r="C120" s="3">
        <f>IFERROR(__xludf.DUMMYFUNCTION("""COMPUTED_VALUE"""),1507.982561)</f>
        <v>1507.982561</v>
      </c>
      <c r="D120" s="3">
        <f>IFERROR(__xludf.DUMMYFUNCTION("""COMPUTED_VALUE"""),31.720964)</f>
        <v>31.720964</v>
      </c>
      <c r="E120" s="3">
        <f>IFERROR(__xludf.DUMMYFUNCTION("""COMPUTED_VALUE"""),82.65821)</f>
        <v>82.65821</v>
      </c>
      <c r="F120" s="3">
        <f>IFERROR(__xludf.DUMMYFUNCTION("""COMPUTED_VALUE"""),6.153411)</f>
        <v>6.153411</v>
      </c>
      <c r="G120" s="3">
        <f>IFERROR(__xludf.DUMMYFUNCTION("""COMPUTED_VALUE"""),761.524045)</f>
        <v>761.524045</v>
      </c>
      <c r="H120" s="3">
        <f>IFERROR(__xludf.DUMMYFUNCTION("""COMPUTED_VALUE"""),1.052734)</f>
        <v>1.052734</v>
      </c>
      <c r="I120" s="3">
        <f>IFERROR(__xludf.DUMMYFUNCTION("""COMPUTED_VALUE"""),1.72086)</f>
        <v>1.72086</v>
      </c>
      <c r="J120" s="3">
        <f>IFERROR(__xludf.DUMMYFUNCTION("""COMPUTED_VALUE"""),1.9133062E7)</f>
        <v>19133062</v>
      </c>
      <c r="K120" s="3">
        <f>IFERROR(__xludf.DUMMYFUNCTION("""COMPUTED_VALUE"""),1.22123849499E8)</f>
        <v>122123849.5</v>
      </c>
      <c r="L120" s="3">
        <f>IFERROR(__xludf.DUMMYFUNCTION("""COMPUTED_VALUE"""),3.49381149296461E8)</f>
        <v>349381149.3</v>
      </c>
      <c r="M120" s="3">
        <f>IFERROR(__xludf.DUMMYFUNCTION("""COMPUTED_VALUE"""),1.399522381859E7)</f>
        <v>13995223.82</v>
      </c>
      <c r="N120" s="3">
        <f>IFERROR(__xludf.DUMMYFUNCTION("""COMPUTED_VALUE"""),4.56489583401055E8)</f>
        <v>456489583.4</v>
      </c>
      <c r="O120" s="3">
        <f>IFERROR(__xludf.DUMMYFUNCTION("""COMPUTED_VALUE"""),977631.036951)</f>
        <v>977631.037</v>
      </c>
      <c r="P120" s="3">
        <f>IFERROR(__xludf.DUMMYFUNCTION("""COMPUTED_VALUE"""),3.91958099393145E8)</f>
        <v>391958099.4</v>
      </c>
      <c r="Q120" s="3">
        <f>IFERROR(__xludf.DUMMYFUNCTION("""COMPUTED_VALUE"""),5.83427444535877E8)</f>
        <v>583427444.5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IFERROR(__xludf.DUMMYFUNCTION("""COMPUTED_VALUE"""),19561.801928)</f>
        <v>19561.80193</v>
      </c>
      <c r="C121" s="3">
        <f>IFERROR(__xludf.DUMMYFUNCTION("""COMPUTED_VALUE"""),1492.311312)</f>
        <v>1492.311312</v>
      </c>
      <c r="D121" s="3">
        <f>IFERROR(__xludf.DUMMYFUNCTION("""COMPUTED_VALUE"""),31.525458)</f>
        <v>31.525458</v>
      </c>
      <c r="E121" s="3">
        <f>IFERROR(__xludf.DUMMYFUNCTION("""COMPUTED_VALUE"""),82.117996)</f>
        <v>82.117996</v>
      </c>
      <c r="F121" s="3">
        <f>IFERROR(__xludf.DUMMYFUNCTION("""COMPUTED_VALUE"""),6.057207)</f>
        <v>6.057207</v>
      </c>
      <c r="G121" s="3">
        <f>IFERROR(__xludf.DUMMYFUNCTION("""COMPUTED_VALUE"""),764.934625)</f>
        <v>764.934625</v>
      </c>
      <c r="H121" s="3">
        <f>IFERROR(__xludf.DUMMYFUNCTION("""COMPUTED_VALUE"""),1.04944)</f>
        <v>1.04944</v>
      </c>
      <c r="I121" s="3">
        <f>IFERROR(__xludf.DUMMYFUNCTION("""COMPUTED_VALUE"""),1.637243)</f>
        <v>1.637243</v>
      </c>
      <c r="J121" s="3">
        <f>IFERROR(__xludf.DUMMYFUNCTION("""COMPUTED_VALUE"""),1.9133993E7)</f>
        <v>19133993</v>
      </c>
      <c r="K121" s="3">
        <f>IFERROR(__xludf.DUMMYFUNCTION("""COMPUTED_VALUE"""),1.22136903999E8)</f>
        <v>122136904</v>
      </c>
      <c r="L121" s="3">
        <f>IFERROR(__xludf.DUMMYFUNCTION("""COMPUTED_VALUE"""),3.49380291519339E8)</f>
        <v>349380291.5</v>
      </c>
      <c r="M121" s="3">
        <f>IFERROR(__xludf.DUMMYFUNCTION("""COMPUTED_VALUE"""),1.3995554568004E7)</f>
        <v>13995554.57</v>
      </c>
      <c r="N121" s="3">
        <f>IFERROR(__xludf.DUMMYFUNCTION("""COMPUTED_VALUE"""),4.56489583401055E8)</f>
        <v>456489583.4</v>
      </c>
      <c r="O121" s="3">
        <f>IFERROR(__xludf.DUMMYFUNCTION("""COMPUTED_VALUE"""),977631.036951)</f>
        <v>977631.037</v>
      </c>
      <c r="P121" s="3">
        <f>IFERROR(__xludf.DUMMYFUNCTION("""COMPUTED_VALUE"""),3.91958099393145E8)</f>
        <v>391958099.4</v>
      </c>
      <c r="Q121" s="3">
        <f>IFERROR(__xludf.DUMMYFUNCTION("""COMPUTED_VALUE"""),5.85441364655049E8)</f>
        <v>585441364.7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IFERROR(__xludf.DUMMYFUNCTION("""COMPUTED_VALUE"""),20287.538918)</f>
        <v>20287.53892</v>
      </c>
      <c r="C122" s="3">
        <f>IFERROR(__xludf.DUMMYFUNCTION("""COMPUTED_VALUE"""),1427.004358)</f>
        <v>1427.004358</v>
      </c>
      <c r="D122" s="3">
        <f>IFERROR(__xludf.DUMMYFUNCTION("""COMPUTED_VALUE"""),30.431159)</f>
        <v>30.431159</v>
      </c>
      <c r="E122" s="3">
        <f>IFERROR(__xludf.DUMMYFUNCTION("""COMPUTED_VALUE"""),78.637305)</f>
        <v>78.637305</v>
      </c>
      <c r="F122" s="3">
        <f>IFERROR(__xludf.DUMMYFUNCTION("""COMPUTED_VALUE"""),5.742847)</f>
        <v>5.742847</v>
      </c>
      <c r="G122" s="3">
        <f>IFERROR(__xludf.DUMMYFUNCTION("""COMPUTED_VALUE"""),737.42424)</f>
        <v>737.42424</v>
      </c>
      <c r="H122" s="3">
        <f>IFERROR(__xludf.DUMMYFUNCTION("""COMPUTED_VALUE"""),0.993683)</f>
        <v>0.993683</v>
      </c>
      <c r="I122" s="3">
        <f>IFERROR(__xludf.DUMMYFUNCTION("""COMPUTED_VALUE"""),1.591317)</f>
        <v>1.591317</v>
      </c>
      <c r="J122" s="3">
        <f>IFERROR(__xludf.DUMMYFUNCTION("""COMPUTED_VALUE"""),1.9134981E7)</f>
        <v>19134981</v>
      </c>
      <c r="K122" s="3">
        <f>IFERROR(__xludf.DUMMYFUNCTION("""COMPUTED_VALUE"""),1.22149970749E8)</f>
        <v>122149970.7</v>
      </c>
      <c r="L122" s="3">
        <f>IFERROR(__xludf.DUMMYFUNCTION("""COMPUTED_VALUE"""),3.49511496281362E8)</f>
        <v>349511496.3</v>
      </c>
      <c r="M122" s="3">
        <f>IFERROR(__xludf.DUMMYFUNCTION("""COMPUTED_VALUE"""),1.399661249055E7)</f>
        <v>13996612.49</v>
      </c>
      <c r="N122" s="3">
        <f>IFERROR(__xludf.DUMMYFUNCTION("""COMPUTED_VALUE"""),4.56489583401055E8)</f>
        <v>456489583.4</v>
      </c>
      <c r="O122" s="3">
        <f>IFERROR(__xludf.DUMMYFUNCTION("""COMPUTED_VALUE"""),977631.036951)</f>
        <v>977631.037</v>
      </c>
      <c r="P122" s="3">
        <f>IFERROR(__xludf.DUMMYFUNCTION("""COMPUTED_VALUE"""),3.91958099393145E8)</f>
        <v>391958099.4</v>
      </c>
      <c r="Q122" s="3">
        <f>IFERROR(__xludf.DUMMYFUNCTION("""COMPUTED_VALUE"""),5.87472432164142E8)</f>
        <v>587472432.2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IFERROR(__xludf.DUMMYFUNCTION("""COMPUTED_VALUE"""),19812.860731)</f>
        <v>19812.86073</v>
      </c>
      <c r="C123" s="3">
        <f>IFERROR(__xludf.DUMMYFUNCTION("""COMPUTED_VALUE"""),1551.822573)</f>
        <v>1551.822573</v>
      </c>
      <c r="D123" s="3">
        <f>IFERROR(__xludf.DUMMYFUNCTION("""COMPUTED_VALUE"""),32.422963)</f>
        <v>32.422963</v>
      </c>
      <c r="E123" s="3">
        <f>IFERROR(__xludf.DUMMYFUNCTION("""COMPUTED_VALUE"""),85.777637)</f>
        <v>85.777637</v>
      </c>
      <c r="F123" s="3">
        <f>IFERROR(__xludf.DUMMYFUNCTION("""COMPUTED_VALUE"""),6.334643)</f>
        <v>6.334643</v>
      </c>
      <c r="G123" s="3">
        <f>IFERROR(__xludf.DUMMYFUNCTION("""COMPUTED_VALUE"""),810.953868)</f>
        <v>810.953868</v>
      </c>
      <c r="H123" s="3">
        <f>IFERROR(__xludf.DUMMYFUNCTION("""COMPUTED_VALUE"""),1.079997)</f>
        <v>1.079997</v>
      </c>
      <c r="I123" s="3">
        <f>IFERROR(__xludf.DUMMYFUNCTION("""COMPUTED_VALUE"""),1.860888)</f>
        <v>1.860888</v>
      </c>
      <c r="J123" s="3">
        <f>IFERROR(__xludf.DUMMYFUNCTION("""COMPUTED_VALUE"""),1.9135981E7)</f>
        <v>19135981</v>
      </c>
      <c r="K123" s="3">
        <f>IFERROR(__xludf.DUMMYFUNCTION("""COMPUTED_VALUE"""),1.221620325615E8)</f>
        <v>122162032.6</v>
      </c>
      <c r="L123" s="3">
        <f>IFERROR(__xludf.DUMMYFUNCTION("""COMPUTED_VALUE"""),3.49510726103285E8)</f>
        <v>349510726.1</v>
      </c>
      <c r="M123" s="3">
        <f>IFERROR(__xludf.DUMMYFUNCTION("""COMPUTED_VALUE"""),1.3997306065618E7)</f>
        <v>13997306.07</v>
      </c>
      <c r="N123" s="3">
        <f>IFERROR(__xludf.DUMMYFUNCTION("""COMPUTED_VALUE"""),4.56489583401055E8)</f>
        <v>456489583.4</v>
      </c>
      <c r="O123" s="3">
        <f>IFERROR(__xludf.DUMMYFUNCTION("""COMPUTED_VALUE"""),977631.036951)</f>
        <v>977631.037</v>
      </c>
      <c r="P123" s="3">
        <f>IFERROR(__xludf.DUMMYFUNCTION("""COMPUTED_VALUE"""),3.91958099393145E8)</f>
        <v>391958099.4</v>
      </c>
      <c r="Q123" s="3">
        <f>IFERROR(__xludf.DUMMYFUNCTION("""COMPUTED_VALUE"""),5.89475480604806E8)</f>
        <v>589475480.6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IFERROR(__xludf.DUMMYFUNCTION("""COMPUTED_VALUE"""),20048.706857)</f>
        <v>20048.70686</v>
      </c>
      <c r="C124" s="3">
        <f>IFERROR(__xludf.DUMMYFUNCTION("""COMPUTED_VALUE"""),1524.773815)</f>
        <v>1524.773815</v>
      </c>
      <c r="D124" s="3">
        <f>IFERROR(__xludf.DUMMYFUNCTION("""COMPUTED_VALUE"""),31.478698)</f>
        <v>31.478698</v>
      </c>
      <c r="E124" s="3">
        <f>IFERROR(__xludf.DUMMYFUNCTION("""COMPUTED_VALUE"""),84.36241)</f>
        <v>84.36241</v>
      </c>
      <c r="F124" s="3">
        <f>IFERROR(__xludf.DUMMYFUNCTION("""COMPUTED_VALUE"""),6.178623)</f>
        <v>6.178623</v>
      </c>
      <c r="G124" s="3">
        <f>IFERROR(__xludf.DUMMYFUNCTION("""COMPUTED_VALUE"""),784.242987)</f>
        <v>784.242987</v>
      </c>
      <c r="H124" s="3">
        <f>IFERROR(__xludf.DUMMYFUNCTION("""COMPUTED_VALUE"""),1.064846)</f>
        <v>1.064846</v>
      </c>
      <c r="I124" s="3">
        <f>IFERROR(__xludf.DUMMYFUNCTION("""COMPUTED_VALUE"""),1.78823)</f>
        <v>1.78823</v>
      </c>
      <c r="J124" s="3">
        <f>IFERROR(__xludf.DUMMYFUNCTION("""COMPUTED_VALUE"""),1.9136956E7)</f>
        <v>19136956</v>
      </c>
      <c r="K124" s="3">
        <f>IFERROR(__xludf.DUMMYFUNCTION("""COMPUTED_VALUE"""),1.22176132374E8)</f>
        <v>122176132.4</v>
      </c>
      <c r="L124" s="3">
        <f>IFERROR(__xludf.DUMMYFUNCTION("""COMPUTED_VALUE"""),3.49509975437165E8)</f>
        <v>349509975.4</v>
      </c>
      <c r="M124" s="3">
        <f>IFERROR(__xludf.DUMMYFUNCTION("""COMPUTED_VALUE"""),1.4008350125591E7)</f>
        <v>14008350.13</v>
      </c>
      <c r="N124" s="3">
        <f>IFERROR(__xludf.DUMMYFUNCTION("""COMPUTED_VALUE"""),4.56489583401055E8)</f>
        <v>456489583.4</v>
      </c>
      <c r="O124" s="3">
        <f>IFERROR(__xludf.DUMMYFUNCTION("""COMPUTED_VALUE"""),977631.036951)</f>
        <v>977631.037</v>
      </c>
      <c r="P124" s="3">
        <f>IFERROR(__xludf.DUMMYFUNCTION("""COMPUTED_VALUE"""),3.91958099393145E8)</f>
        <v>391958099.4</v>
      </c>
      <c r="Q124" s="3">
        <f>IFERROR(__xludf.DUMMYFUNCTION("""COMPUTED_VALUE"""),5.91503748540034E8)</f>
        <v>591503748.5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IFERROR(__xludf.DUMMYFUNCTION("""COMPUTED_VALUE"""),20133.27263)</f>
        <v>20133.27263</v>
      </c>
      <c r="C125" s="3">
        <f>IFERROR(__xludf.DUMMYFUNCTION("""COMPUTED_VALUE"""),1553.983552)</f>
        <v>1553.983552</v>
      </c>
      <c r="D125" s="3">
        <f>IFERROR(__xludf.DUMMYFUNCTION("""COMPUTED_VALUE"""),31.491334)</f>
        <v>31.491334</v>
      </c>
      <c r="E125" s="3">
        <f>IFERROR(__xludf.DUMMYFUNCTION("""COMPUTED_VALUE"""),84.810393)</f>
        <v>84.810393</v>
      </c>
      <c r="F125" s="3">
        <f>IFERROR(__xludf.DUMMYFUNCTION("""COMPUTED_VALUE"""),6.141155)</f>
        <v>6.141155</v>
      </c>
      <c r="G125" s="3">
        <f>IFERROR(__xludf.DUMMYFUNCTION("""COMPUTED_VALUE"""),759.47365)</f>
        <v>759.47365</v>
      </c>
      <c r="H125" s="3">
        <f>IFERROR(__xludf.DUMMYFUNCTION("""COMPUTED_VALUE"""),1.146605)</f>
        <v>1.146605</v>
      </c>
      <c r="I125" s="3">
        <f>IFERROR(__xludf.DUMMYFUNCTION("""COMPUTED_VALUE"""),1.987238)</f>
        <v>1.987238</v>
      </c>
      <c r="J125" s="3">
        <f>IFERROR(__xludf.DUMMYFUNCTION("""COMPUTED_VALUE"""),1.9137887E7)</f>
        <v>19137887</v>
      </c>
      <c r="K125" s="3">
        <f>IFERROR(__xludf.DUMMYFUNCTION("""COMPUTED_VALUE"""),1.22189245374E8)</f>
        <v>122189245.4</v>
      </c>
      <c r="L125" s="3">
        <f>IFERROR(__xludf.DUMMYFUNCTION("""COMPUTED_VALUE"""),3.49710186937185E8)</f>
        <v>349710186.9</v>
      </c>
      <c r="M125" s="3">
        <f>IFERROR(__xludf.DUMMYFUNCTION("""COMPUTED_VALUE"""),1.4009676410361E7)</f>
        <v>14009676.41</v>
      </c>
      <c r="N125" s="3">
        <f>IFERROR(__xludf.DUMMYFUNCTION("""COMPUTED_VALUE"""),4.56489583401055E8)</f>
        <v>456489583.4</v>
      </c>
      <c r="O125" s="3">
        <f>IFERROR(__xludf.DUMMYFUNCTION("""COMPUTED_VALUE"""),977631.036951)</f>
        <v>977631.037</v>
      </c>
      <c r="P125" s="3">
        <f>IFERROR(__xludf.DUMMYFUNCTION("""COMPUTED_VALUE"""),3.91958099393145E8)</f>
        <v>391958099.4</v>
      </c>
      <c r="Q125" s="3">
        <f>IFERROR(__xludf.DUMMYFUNCTION("""COMPUTED_VALUE"""),5.93517971946375E8)</f>
        <v>593517971.9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IFERROR(__xludf.DUMMYFUNCTION("""COMPUTED_VALUE"""),19963.009923)</f>
        <v>19963.00992</v>
      </c>
      <c r="C126" s="3">
        <f>IFERROR(__xludf.DUMMYFUNCTION("""COMPUTED_VALUE"""),1585.902543)</f>
        <v>1585.902543</v>
      </c>
      <c r="D126" s="3">
        <f>IFERROR(__xludf.DUMMYFUNCTION("""COMPUTED_VALUE"""),31.610667)</f>
        <v>31.610667</v>
      </c>
      <c r="E126" s="3">
        <f>IFERROR(__xludf.DUMMYFUNCTION("""COMPUTED_VALUE"""),86.508004)</f>
        <v>86.508004</v>
      </c>
      <c r="F126" s="3">
        <f>IFERROR(__xludf.DUMMYFUNCTION("""COMPUTED_VALUE"""),6.317773)</f>
        <v>6.317773</v>
      </c>
      <c r="G126" s="3">
        <f>IFERROR(__xludf.DUMMYFUNCTION("""COMPUTED_VALUE"""),757.019348)</f>
        <v>757.019348</v>
      </c>
      <c r="H126" s="3">
        <f>IFERROR(__xludf.DUMMYFUNCTION("""COMPUTED_VALUE"""),1.15513)</f>
        <v>1.15513</v>
      </c>
      <c r="I126" s="3">
        <f>IFERROR(__xludf.DUMMYFUNCTION("""COMPUTED_VALUE"""),2.070306)</f>
        <v>2.070306</v>
      </c>
      <c r="J126" s="3">
        <f>IFERROR(__xludf.DUMMYFUNCTION("""COMPUTED_VALUE"""),1.913875E7)</f>
        <v>19138750</v>
      </c>
      <c r="K126" s="3">
        <f>IFERROR(__xludf.DUMMYFUNCTION("""COMPUTED_VALUE"""),1.222023008115E8)</f>
        <v>122202300.8</v>
      </c>
      <c r="L126" s="3">
        <f>IFERROR(__xludf.DUMMYFUNCTION("""COMPUTED_VALUE"""),3.49709496946003E8)</f>
        <v>349709496.9</v>
      </c>
      <c r="M126" s="3">
        <f>IFERROR(__xludf.DUMMYFUNCTION("""COMPUTED_VALUE"""),1.4010194682942E7)</f>
        <v>14010194.68</v>
      </c>
      <c r="N126" s="3">
        <f>IFERROR(__xludf.DUMMYFUNCTION("""COMPUTED_VALUE"""),4.56489583401055E8)</f>
        <v>456489583.4</v>
      </c>
      <c r="O126" s="3">
        <f>IFERROR(__xludf.DUMMYFUNCTION("""COMPUTED_VALUE"""),977631.036951)</f>
        <v>977631.037</v>
      </c>
      <c r="P126" s="3">
        <f>IFERROR(__xludf.DUMMYFUNCTION("""COMPUTED_VALUE"""),3.91958099393145E8)</f>
        <v>391958099.4</v>
      </c>
      <c r="Q126" s="3">
        <f>IFERROR(__xludf.DUMMYFUNCTION("""COMPUTED_VALUE"""),5.9684890856531E8)</f>
        <v>596848908.6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IFERROR(__xludf.DUMMYFUNCTION("""COMPUTED_VALUE"""),19832.543867)</f>
        <v>19832.54387</v>
      </c>
      <c r="C127" s="3">
        <f>IFERROR(__xludf.DUMMYFUNCTION("""COMPUTED_VALUE"""),1575.335525)</f>
        <v>1575.335525</v>
      </c>
      <c r="D127" s="3">
        <f>IFERROR(__xludf.DUMMYFUNCTION("""COMPUTED_VALUE"""),31.236831)</f>
        <v>31.236831</v>
      </c>
      <c r="E127" s="3">
        <f>IFERROR(__xludf.DUMMYFUNCTION("""COMPUTED_VALUE"""),88.377727)</f>
        <v>88.377727</v>
      </c>
      <c r="F127" s="3">
        <f>IFERROR(__xludf.DUMMYFUNCTION("""COMPUTED_VALUE"""),6.406291)</f>
        <v>6.406291</v>
      </c>
      <c r="G127" s="3">
        <f>IFERROR(__xludf.DUMMYFUNCTION("""COMPUTED_VALUE"""),749.08958)</f>
        <v>749.08958</v>
      </c>
      <c r="H127" s="3">
        <f>IFERROR(__xludf.DUMMYFUNCTION("""COMPUTED_VALUE"""),1.093675)</f>
        <v>1.093675</v>
      </c>
      <c r="I127" s="3">
        <f>IFERROR(__xludf.DUMMYFUNCTION("""COMPUTED_VALUE"""),2.17361)</f>
        <v>2.17361</v>
      </c>
      <c r="J127" s="3">
        <f>IFERROR(__xludf.DUMMYFUNCTION("""COMPUTED_VALUE"""),1.9139575E7)</f>
        <v>19139575</v>
      </c>
      <c r="K127" s="3">
        <f>IFERROR(__xludf.DUMMYFUNCTION("""COMPUTED_VALUE"""),1.22215466999E8)</f>
        <v>122215467</v>
      </c>
      <c r="L127" s="3">
        <f>IFERROR(__xludf.DUMMYFUNCTION("""COMPUTED_VALUE"""),3.49708651728436E8)</f>
        <v>349708651.7</v>
      </c>
      <c r="M127" s="3">
        <f>IFERROR(__xludf.DUMMYFUNCTION("""COMPUTED_VALUE"""),1.4010465987198E7)</f>
        <v>14010465.99</v>
      </c>
      <c r="N127" s="3">
        <f>IFERROR(__xludf.DUMMYFUNCTION("""COMPUTED_VALUE"""),4.56489583401055E8)</f>
        <v>456489583.4</v>
      </c>
      <c r="O127" s="3">
        <f>IFERROR(__xludf.DUMMYFUNCTION("""COMPUTED_VALUE"""),977631.036951)</f>
        <v>977631.037</v>
      </c>
      <c r="P127" s="3">
        <f>IFERROR(__xludf.DUMMYFUNCTION("""COMPUTED_VALUE"""),3.91958099393145E8)</f>
        <v>391958099.4</v>
      </c>
      <c r="Q127" s="3">
        <f>IFERROR(__xludf.DUMMYFUNCTION("""COMPUTED_VALUE"""),5.98851513740112E8)</f>
        <v>598851513.7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IFERROR(__xludf.DUMMYFUNCTION("""COMPUTED_VALUE"""),20002.35343)</f>
        <v>20002.35343</v>
      </c>
      <c r="C128" s="3">
        <f>IFERROR(__xludf.DUMMYFUNCTION("""COMPUTED_VALUE"""),1557.439166)</f>
        <v>1557.439166</v>
      </c>
      <c r="D128" s="3">
        <f>IFERROR(__xludf.DUMMYFUNCTION("""COMPUTED_VALUE"""),31.118638)</f>
        <v>31.118638</v>
      </c>
      <c r="E128" s="3">
        <f>IFERROR(__xludf.DUMMYFUNCTION("""COMPUTED_VALUE"""),87.20147)</f>
        <v>87.20147</v>
      </c>
      <c r="F128" s="3">
        <f>IFERROR(__xludf.DUMMYFUNCTION("""COMPUTED_VALUE"""),6.307268)</f>
        <v>6.307268</v>
      </c>
      <c r="G128" s="3">
        <f>IFERROR(__xludf.DUMMYFUNCTION("""COMPUTED_VALUE"""),742.563512)</f>
        <v>742.563512</v>
      </c>
      <c r="H128" s="3">
        <f>IFERROR(__xludf.DUMMYFUNCTION("""COMPUTED_VALUE"""),1.073543)</f>
        <v>1.073543</v>
      </c>
      <c r="I128" s="3">
        <f>IFERROR(__xludf.DUMMYFUNCTION("""COMPUTED_VALUE"""),2.064284)</f>
        <v>2.064284</v>
      </c>
      <c r="J128" s="3">
        <f>IFERROR(__xludf.DUMMYFUNCTION("""COMPUTED_VALUE"""),1.9140468E7)</f>
        <v>19140468</v>
      </c>
      <c r="K128" s="3">
        <f>IFERROR(__xludf.DUMMYFUNCTION("""COMPUTED_VALUE"""),1.222284448115E8)</f>
        <v>122228444.8</v>
      </c>
      <c r="L128" s="3">
        <f>IFERROR(__xludf.DUMMYFUNCTION("""COMPUTED_VALUE"""),3.4983970336158E8)</f>
        <v>349839703.4</v>
      </c>
      <c r="M128" s="3">
        <f>IFERROR(__xludf.DUMMYFUNCTION("""COMPUTED_VALUE"""),1.4010940851499E7)</f>
        <v>14010940.85</v>
      </c>
      <c r="N128" s="3">
        <f>IFERROR(__xludf.DUMMYFUNCTION("""COMPUTED_VALUE"""),4.56489583401055E8)</f>
        <v>456489583.4</v>
      </c>
      <c r="O128" s="3">
        <f>IFERROR(__xludf.DUMMYFUNCTION("""COMPUTED_VALUE"""),977631.036951)</f>
        <v>977631.037</v>
      </c>
      <c r="P128" s="3">
        <f>IFERROR(__xludf.DUMMYFUNCTION("""COMPUTED_VALUE"""),3.91958099393145E8)</f>
        <v>391958099.4</v>
      </c>
      <c r="Q128" s="3">
        <f>IFERROR(__xludf.DUMMYFUNCTION("""COMPUTED_VALUE"""),6.03367883486416E8)</f>
        <v>603367883.5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IFERROR(__xludf.DUMMYFUNCTION("""COMPUTED_VALUE"""),19795.217371)</f>
        <v>19795.21737</v>
      </c>
      <c r="C129" s="3">
        <f>IFERROR(__xludf.DUMMYFUNCTION("""COMPUTED_VALUE"""),1579.110999)</f>
        <v>1579.110999</v>
      </c>
      <c r="D129" s="3">
        <f>IFERROR(__xludf.DUMMYFUNCTION("""COMPUTED_VALUE"""),32.170952)</f>
        <v>32.170952</v>
      </c>
      <c r="E129" s="3">
        <f>IFERROR(__xludf.DUMMYFUNCTION("""COMPUTED_VALUE"""),88.869482)</f>
        <v>88.869482</v>
      </c>
      <c r="F129" s="3">
        <f>IFERROR(__xludf.DUMMYFUNCTION("""COMPUTED_VALUE"""),6.486349)</f>
        <v>6.486349</v>
      </c>
      <c r="G129" s="3">
        <f>IFERROR(__xludf.DUMMYFUNCTION("""COMPUTED_VALUE"""),753.050783)</f>
        <v>753.050783</v>
      </c>
      <c r="H129" s="3">
        <f>IFERROR(__xludf.DUMMYFUNCTION("""COMPUTED_VALUE"""),1.092373)</f>
        <v>1.092373</v>
      </c>
      <c r="I129" s="3">
        <f>IFERROR(__xludf.DUMMYFUNCTION("""COMPUTED_VALUE"""),2.066312)</f>
        <v>2.066312</v>
      </c>
      <c r="J129" s="3">
        <f>IFERROR(__xludf.DUMMYFUNCTION("""COMPUTED_VALUE"""),1.9141543E7)</f>
        <v>19141543</v>
      </c>
      <c r="K129" s="3">
        <f>IFERROR(__xludf.DUMMYFUNCTION("""COMPUTED_VALUE"""),1.222415651865E8)</f>
        <v>122241565.2</v>
      </c>
      <c r="L129" s="3">
        <f>IFERROR(__xludf.DUMMYFUNCTION("""COMPUTED_VALUE"""),3.4983889347738E8)</f>
        <v>349838893.5</v>
      </c>
      <c r="M129" s="3">
        <f>IFERROR(__xludf.DUMMYFUNCTION("""COMPUTED_VALUE"""),1.4011236322944E7)</f>
        <v>14011236.32</v>
      </c>
      <c r="N129" s="3">
        <f>IFERROR(__xludf.DUMMYFUNCTION("""COMPUTED_VALUE"""),4.56489583401055E8)</f>
        <v>456489583.4</v>
      </c>
      <c r="O129" s="3">
        <f>IFERROR(__xludf.DUMMYFUNCTION("""COMPUTED_VALUE"""),977631.036951)</f>
        <v>977631.037</v>
      </c>
      <c r="P129" s="3">
        <f>IFERROR(__xludf.DUMMYFUNCTION("""COMPUTED_VALUE"""),3.91958099393145E8)</f>
        <v>391958099.4</v>
      </c>
      <c r="Q129" s="3">
        <f>IFERROR(__xludf.DUMMYFUNCTION("""COMPUTED_VALUE"""),6.05405619626222E8)</f>
        <v>605405619.6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IFERROR(__xludf.DUMMYFUNCTION("""COMPUTED_VALUE"""),18789.980758)</f>
        <v>18789.98076</v>
      </c>
      <c r="C130" s="3">
        <f>IFERROR(__xludf.DUMMYFUNCTION("""COMPUTED_VALUE"""),1617.890692)</f>
        <v>1617.890692</v>
      </c>
      <c r="D130" s="3">
        <f>IFERROR(__xludf.DUMMYFUNCTION("""COMPUTED_VALUE"""),32.174956)</f>
        <v>32.174956</v>
      </c>
      <c r="E130" s="3">
        <f>IFERROR(__xludf.DUMMYFUNCTION("""COMPUTED_VALUE"""),91.21155)</f>
        <v>91.21155</v>
      </c>
      <c r="F130" s="3">
        <f>IFERROR(__xludf.DUMMYFUNCTION("""COMPUTED_VALUE"""),6.581667)</f>
        <v>6.581667</v>
      </c>
      <c r="G130" s="3">
        <f>IFERROR(__xludf.DUMMYFUNCTION("""COMPUTED_VALUE"""),740.916367)</f>
        <v>740.916367</v>
      </c>
      <c r="H130" s="3">
        <f>IFERROR(__xludf.DUMMYFUNCTION("""COMPUTED_VALUE"""),1.152302)</f>
        <v>1.152302</v>
      </c>
      <c r="I130" s="3">
        <f>IFERROR(__xludf.DUMMYFUNCTION("""COMPUTED_VALUE"""),2.035755)</f>
        <v>2.035755</v>
      </c>
      <c r="J130" s="3">
        <f>IFERROR(__xludf.DUMMYFUNCTION("""COMPUTED_VALUE"""),1.9142493E7)</f>
        <v>19142493</v>
      </c>
      <c r="K130" s="3">
        <f>IFERROR(__xludf.DUMMYFUNCTION("""COMPUTED_VALUE"""),1.22254497999E8)</f>
        <v>122254498</v>
      </c>
      <c r="L130" s="3">
        <f>IFERROR(__xludf.DUMMYFUNCTION("""COMPUTED_VALUE"""),3.49969999195759E8)</f>
        <v>349969999.2</v>
      </c>
      <c r="M130" s="3">
        <f>IFERROR(__xludf.DUMMYFUNCTION("""COMPUTED_VALUE"""),1.4011547569346E7)</f>
        <v>14011547.57</v>
      </c>
      <c r="N130" s="3">
        <f>IFERROR(__xludf.DUMMYFUNCTION("""COMPUTED_VALUE"""),7.53766667E8)</f>
        <v>753766667</v>
      </c>
      <c r="O130" s="3">
        <f>IFERROR(__xludf.DUMMYFUNCTION("""COMPUTED_VALUE"""),977631.036951)</f>
        <v>977631.037</v>
      </c>
      <c r="P130" s="3">
        <f>IFERROR(__xludf.DUMMYFUNCTION("""COMPUTED_VALUE"""),3.91958099393145E8)</f>
        <v>391958099.4</v>
      </c>
      <c r="Q130" s="3">
        <f>IFERROR(__xludf.DUMMYFUNCTION("""COMPUTED_VALUE"""),6.07422969223378E8)</f>
        <v>607422969.2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IFERROR(__xludf.DUMMYFUNCTION("""COMPUTED_VALUE"""),19293.938783)</f>
        <v>19293.93878</v>
      </c>
      <c r="C131" s="3">
        <f>IFERROR(__xludf.DUMMYFUNCTION("""COMPUTED_VALUE"""),1558.804746)</f>
        <v>1558.804746</v>
      </c>
      <c r="D131" s="3">
        <f>IFERROR(__xludf.DUMMYFUNCTION("""COMPUTED_VALUE"""),30.877388)</f>
        <v>30.877388</v>
      </c>
      <c r="E131" s="3">
        <f>IFERROR(__xludf.DUMMYFUNCTION("""COMPUTED_VALUE"""),83.568943)</f>
        <v>83.568943</v>
      </c>
      <c r="F131" s="3">
        <f>IFERROR(__xludf.DUMMYFUNCTION("""COMPUTED_VALUE"""),5.832356)</f>
        <v>5.832356</v>
      </c>
      <c r="G131" s="3">
        <f>IFERROR(__xludf.DUMMYFUNCTION("""COMPUTED_VALUE"""),725.817363)</f>
        <v>725.817363</v>
      </c>
      <c r="H131" s="3">
        <f>IFERROR(__xludf.DUMMYFUNCTION("""COMPUTED_VALUE"""),1.036886)</f>
        <v>1.036886</v>
      </c>
      <c r="I131" s="3">
        <f>IFERROR(__xludf.DUMMYFUNCTION("""COMPUTED_VALUE"""),1.835482)</f>
        <v>1.835482</v>
      </c>
      <c r="J131" s="3">
        <f>IFERROR(__xludf.DUMMYFUNCTION("""COMPUTED_VALUE"""),1.9143381E7)</f>
        <v>19143381</v>
      </c>
      <c r="K131" s="3">
        <f>IFERROR(__xludf.DUMMYFUNCTION("""COMPUTED_VALUE"""),1.222665316865E8)</f>
        <v>122266531.7</v>
      </c>
      <c r="L131" s="3">
        <f>IFERROR(__xludf.DUMMYFUNCTION("""COMPUTED_VALUE"""),3.52987862660599E8)</f>
        <v>352987862.7</v>
      </c>
      <c r="M131" s="3">
        <f>IFERROR(__xludf.DUMMYFUNCTION("""COMPUTED_VALUE"""),1.4012257325205E7)</f>
        <v>14012257.33</v>
      </c>
      <c r="N131" s="3">
        <f>IFERROR(__xludf.DUMMYFUNCTION("""COMPUTED_VALUE"""),7.53766667E8)</f>
        <v>753766667</v>
      </c>
      <c r="O131" s="3">
        <f>IFERROR(__xludf.DUMMYFUNCTION("""COMPUTED_VALUE"""),977631.036951)</f>
        <v>977631.037</v>
      </c>
      <c r="P131" s="3">
        <f>IFERROR(__xludf.DUMMYFUNCTION("""COMPUTED_VALUE"""),3.91958099393145E8)</f>
        <v>391958099.4</v>
      </c>
      <c r="Q131" s="3">
        <f>IFERROR(__xludf.DUMMYFUNCTION("""COMPUTED_VALUE"""),6.09437285948848E8)</f>
        <v>609437285.9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IFERROR(__xludf.DUMMYFUNCTION("""COMPUTED_VALUE"""),19324.607989)</f>
        <v>19324.60799</v>
      </c>
      <c r="C132" s="3">
        <f>IFERROR(__xludf.DUMMYFUNCTION("""COMPUTED_VALUE"""),1629.855355)</f>
        <v>1629.855355</v>
      </c>
      <c r="D132" s="3">
        <f>IFERROR(__xludf.DUMMYFUNCTION("""COMPUTED_VALUE"""),32.698668)</f>
        <v>32.698668</v>
      </c>
      <c r="E132" s="3">
        <f>IFERROR(__xludf.DUMMYFUNCTION("""COMPUTED_VALUE"""),87.532969)</f>
        <v>87.532969</v>
      </c>
      <c r="F132" s="3">
        <f>IFERROR(__xludf.DUMMYFUNCTION("""COMPUTED_VALUE"""),6.117602)</f>
        <v>6.117602</v>
      </c>
      <c r="G132" s="3">
        <f>IFERROR(__xludf.DUMMYFUNCTION("""COMPUTED_VALUE"""),738.950022)</f>
        <v>738.950022</v>
      </c>
      <c r="H132" s="3">
        <f>IFERROR(__xludf.DUMMYFUNCTION("""COMPUTED_VALUE"""),1.167068)</f>
        <v>1.167068</v>
      </c>
      <c r="I132" s="3">
        <f>IFERROR(__xludf.DUMMYFUNCTION("""COMPUTED_VALUE"""),1.962545)</f>
        <v>1.962545</v>
      </c>
      <c r="J132" s="3">
        <f>IFERROR(__xludf.DUMMYFUNCTION("""COMPUTED_VALUE"""),1.9144287E7)</f>
        <v>19144287</v>
      </c>
      <c r="K132" s="3">
        <f>IFERROR(__xludf.DUMMYFUNCTION("""COMPUTED_VALUE"""),1.22280570499E8)</f>
        <v>122280570.5</v>
      </c>
      <c r="L132" s="3">
        <f>IFERROR(__xludf.DUMMYFUNCTION("""COMPUTED_VALUE"""),3.52987089515407E8)</f>
        <v>352987089.5</v>
      </c>
      <c r="M132" s="3">
        <f>IFERROR(__xludf.DUMMYFUNCTION("""COMPUTED_VALUE"""),1.4012398309206E7)</f>
        <v>14012398.31</v>
      </c>
      <c r="N132" s="3">
        <f>IFERROR(__xludf.DUMMYFUNCTION("""COMPUTED_VALUE"""),7.53766667E8)</f>
        <v>753766667</v>
      </c>
      <c r="O132" s="3">
        <f>IFERROR(__xludf.DUMMYFUNCTION("""COMPUTED_VALUE"""),977631.036951)</f>
        <v>977631.037</v>
      </c>
      <c r="P132" s="3">
        <f>IFERROR(__xludf.DUMMYFUNCTION("""COMPUTED_VALUE"""),3.91958099393145E8)</f>
        <v>391958099.4</v>
      </c>
      <c r="Q132" s="3">
        <f>IFERROR(__xludf.DUMMYFUNCTION("""COMPUTED_VALUE"""),6.11552465876259E8)</f>
        <v>611552465.9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IFERROR(__xludf.DUMMYFUNCTION("""COMPUTED_VALUE"""),21365.704256)</f>
        <v>21365.70426</v>
      </c>
      <c r="C133" s="3">
        <f>IFERROR(__xludf.DUMMYFUNCTION("""COMPUTED_VALUE"""),1635.527319)</f>
        <v>1635.527319</v>
      </c>
      <c r="D133" s="3">
        <f>IFERROR(__xludf.DUMMYFUNCTION("""COMPUTED_VALUE"""),33.612793)</f>
        <v>33.612793</v>
      </c>
      <c r="E133" s="3">
        <f>IFERROR(__xludf.DUMMYFUNCTION("""COMPUTED_VALUE"""),88.323727)</f>
        <v>88.323727</v>
      </c>
      <c r="F133" s="3">
        <f>IFERROR(__xludf.DUMMYFUNCTION("""COMPUTED_VALUE"""),6.172375)</f>
        <v>6.172375</v>
      </c>
      <c r="G133" s="3">
        <f>IFERROR(__xludf.DUMMYFUNCTION("""COMPUTED_VALUE"""),726.280545)</f>
        <v>726.280545</v>
      </c>
      <c r="H133" s="3">
        <f>IFERROR(__xludf.DUMMYFUNCTION("""COMPUTED_VALUE"""),1.128826)</f>
        <v>1.128826</v>
      </c>
      <c r="I133" s="3">
        <f>IFERROR(__xludf.DUMMYFUNCTION("""COMPUTED_VALUE"""),1.884401)</f>
        <v>1.884401</v>
      </c>
      <c r="J133" s="3">
        <f>IFERROR(__xludf.DUMMYFUNCTION("""COMPUTED_VALUE"""),1.9145106E7)</f>
        <v>19145106</v>
      </c>
      <c r="K133" s="3">
        <f>IFERROR(__xludf.DUMMYFUNCTION("""COMPUTED_VALUE"""),1.222936475615E8)</f>
        <v>122293647.6</v>
      </c>
      <c r="L133" s="3">
        <f>IFERROR(__xludf.DUMMYFUNCTION("""COMPUTED_VALUE"""),3.53118401501783E8)</f>
        <v>353118401.5</v>
      </c>
      <c r="M133" s="3">
        <f>IFERROR(__xludf.DUMMYFUNCTION("""COMPUTED_VALUE"""),1.4089119601841E7)</f>
        <v>14089119.6</v>
      </c>
      <c r="N133" s="3">
        <f>IFERROR(__xludf.DUMMYFUNCTION("""COMPUTED_VALUE"""),7.53766667E8)</f>
        <v>753766667</v>
      </c>
      <c r="O133" s="3">
        <f>IFERROR(__xludf.DUMMYFUNCTION("""COMPUTED_VALUE"""),977631.036951)</f>
        <v>977631.037</v>
      </c>
      <c r="P133" s="3">
        <f>IFERROR(__xludf.DUMMYFUNCTION("""COMPUTED_VALUE"""),3.91958099393145E8)</f>
        <v>391958099.4</v>
      </c>
      <c r="Q133" s="3">
        <f>IFERROR(__xludf.DUMMYFUNCTION("""COMPUTED_VALUE"""),6.1356976881385E8)</f>
        <v>613569768.8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IFERROR(__xludf.DUMMYFUNCTION("""COMPUTED_VALUE"""),21653.760149)</f>
        <v>21653.76015</v>
      </c>
      <c r="C134" s="3">
        <f>IFERROR(__xludf.DUMMYFUNCTION("""COMPUTED_VALUE"""),1718.862165)</f>
        <v>1718.862165</v>
      </c>
      <c r="D134" s="3">
        <f>IFERROR(__xludf.DUMMYFUNCTION("""COMPUTED_VALUE"""),34.683081)</f>
        <v>34.683081</v>
      </c>
      <c r="E134" s="3">
        <f>IFERROR(__xludf.DUMMYFUNCTION("""COMPUTED_VALUE"""),91.183871)</f>
        <v>91.183871</v>
      </c>
      <c r="F134" s="3">
        <f>IFERROR(__xludf.DUMMYFUNCTION("""COMPUTED_VALUE"""),6.507156)</f>
        <v>6.507156</v>
      </c>
      <c r="G134" s="3">
        <f>IFERROR(__xludf.DUMMYFUNCTION("""COMPUTED_VALUE"""),779.9773)</f>
        <v>779.9773</v>
      </c>
      <c r="H134" s="3">
        <f>IFERROR(__xludf.DUMMYFUNCTION("""COMPUTED_VALUE"""),1.20462)</f>
        <v>1.20462</v>
      </c>
      <c r="I134" s="3">
        <f>IFERROR(__xludf.DUMMYFUNCTION("""COMPUTED_VALUE"""),2.044631)</f>
        <v>2.044631</v>
      </c>
      <c r="J134" s="3">
        <f>IFERROR(__xludf.DUMMYFUNCTION("""COMPUTED_VALUE"""),1.9146012E7)</f>
        <v>19146012</v>
      </c>
      <c r="K134" s="3">
        <f>IFERROR(__xludf.DUMMYFUNCTION("""COMPUTED_VALUE"""),1.223064031865E8)</f>
        <v>122306403.2</v>
      </c>
      <c r="L134" s="3">
        <f>IFERROR(__xludf.DUMMYFUNCTION("""COMPUTED_VALUE"""),3.53117630382696E8)</f>
        <v>353117630.4</v>
      </c>
      <c r="M134" s="3">
        <f>IFERROR(__xludf.DUMMYFUNCTION("""COMPUTED_VALUE"""),1.4089364905908E7)</f>
        <v>14089364.91</v>
      </c>
      <c r="N134" s="3">
        <f>IFERROR(__xludf.DUMMYFUNCTION("""COMPUTED_VALUE"""),7.53766667E8)</f>
        <v>753766667</v>
      </c>
      <c r="O134" s="3">
        <f>IFERROR(__xludf.DUMMYFUNCTION("""COMPUTED_VALUE"""),977631.036951)</f>
        <v>977631.037</v>
      </c>
      <c r="P134" s="3">
        <f>IFERROR(__xludf.DUMMYFUNCTION("""COMPUTED_VALUE"""),3.91958099393145E8)</f>
        <v>391958099.4</v>
      </c>
      <c r="Q134" s="3">
        <f>IFERROR(__xludf.DUMMYFUNCTION("""COMPUTED_VALUE"""),6.15599436536011E8)</f>
        <v>615599436.5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IFERROR(__xludf.DUMMYFUNCTION("""COMPUTED_VALUE"""),21811.996291)</f>
        <v>21811.99629</v>
      </c>
      <c r="C135" s="3">
        <f>IFERROR(__xludf.DUMMYFUNCTION("""COMPUTED_VALUE"""),1774.8769)</f>
        <v>1774.8769</v>
      </c>
      <c r="D135" s="3">
        <f>IFERROR(__xludf.DUMMYFUNCTION("""COMPUTED_VALUE"""),35.05807)</f>
        <v>35.05807</v>
      </c>
      <c r="E135" s="3">
        <f>IFERROR(__xludf.DUMMYFUNCTION("""COMPUTED_VALUE"""),92.74011)</f>
        <v>92.74011</v>
      </c>
      <c r="F135" s="3">
        <f>IFERROR(__xludf.DUMMYFUNCTION("""COMPUTED_VALUE"""),6.679381)</f>
        <v>6.679381</v>
      </c>
      <c r="G135" s="3">
        <f>IFERROR(__xludf.DUMMYFUNCTION("""COMPUTED_VALUE"""),764.980997)</f>
        <v>764.980997</v>
      </c>
      <c r="H135" s="3">
        <f>IFERROR(__xludf.DUMMYFUNCTION("""COMPUTED_VALUE"""),1.244362)</f>
        <v>1.244362</v>
      </c>
      <c r="I135" s="3">
        <f>IFERROR(__xludf.DUMMYFUNCTION("""COMPUTED_VALUE"""),2.119407)</f>
        <v>2.119407</v>
      </c>
      <c r="J135" s="3">
        <f>IFERROR(__xludf.DUMMYFUNCTION("""COMPUTED_VALUE"""),1.9147012E7)</f>
        <v>19147012</v>
      </c>
      <c r="K135" s="3">
        <f>IFERROR(__xludf.DUMMYFUNCTION("""COMPUTED_VALUE"""),1.22319015999E8)</f>
        <v>122319016</v>
      </c>
      <c r="L135" s="3">
        <f>IFERROR(__xludf.DUMMYFUNCTION("""COMPUTED_VALUE"""),3.53283611495146E8)</f>
        <v>353283611.5</v>
      </c>
      <c r="M135" s="3">
        <f>IFERROR(__xludf.DUMMYFUNCTION("""COMPUTED_VALUE"""),1.4090787575286E7)</f>
        <v>14090787.58</v>
      </c>
      <c r="N135" s="3">
        <f>IFERROR(__xludf.DUMMYFUNCTION("""COMPUTED_VALUE"""),7.53766667E8)</f>
        <v>753766667</v>
      </c>
      <c r="O135" s="3">
        <f>IFERROR(__xludf.DUMMYFUNCTION("""COMPUTED_VALUE"""),977631.036951)</f>
        <v>977631.037</v>
      </c>
      <c r="P135" s="3">
        <f>IFERROR(__xludf.DUMMYFUNCTION("""COMPUTED_VALUE"""),3.91958099393145E8)</f>
        <v>391958099.4</v>
      </c>
      <c r="Q135" s="3">
        <f>IFERROR(__xludf.DUMMYFUNCTION("""COMPUTED_VALUE"""),6.17601435136476E8)</f>
        <v>617601435.1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IFERROR(__xludf.DUMMYFUNCTION("""COMPUTED_VALUE"""),22408.398452)</f>
        <v>22408.39845</v>
      </c>
      <c r="C136" s="3">
        <f>IFERROR(__xludf.DUMMYFUNCTION("""COMPUTED_VALUE"""),1766.718859)</f>
        <v>1766.718859</v>
      </c>
      <c r="D136" s="3">
        <f>IFERROR(__xludf.DUMMYFUNCTION("""COMPUTED_VALUE"""),34.996368)</f>
        <v>34.996368</v>
      </c>
      <c r="E136" s="3">
        <f>IFERROR(__xludf.DUMMYFUNCTION("""COMPUTED_VALUE"""),91.542967)</f>
        <v>91.542967</v>
      </c>
      <c r="F136" s="3">
        <f>IFERROR(__xludf.DUMMYFUNCTION("""COMPUTED_VALUE"""),6.490423)</f>
        <v>6.490423</v>
      </c>
      <c r="G136" s="3">
        <f>IFERROR(__xludf.DUMMYFUNCTION("""COMPUTED_VALUE"""),753.805194)</f>
        <v>753.805194</v>
      </c>
      <c r="H136" s="3">
        <f>IFERROR(__xludf.DUMMYFUNCTION("""COMPUTED_VALUE"""),1.182846)</f>
        <v>1.182846</v>
      </c>
      <c r="I136" s="3">
        <f>IFERROR(__xludf.DUMMYFUNCTION("""COMPUTED_VALUE"""),2.088062)</f>
        <v>2.088062</v>
      </c>
      <c r="J136" s="3">
        <f>IFERROR(__xludf.DUMMYFUNCTION("""COMPUTED_VALUE"""),1.9148118E7)</f>
        <v>19148118</v>
      </c>
      <c r="K136" s="3">
        <f>IFERROR(__xludf.DUMMYFUNCTION("""COMPUTED_VALUE"""),1.223316593115E8)</f>
        <v>122331659.3</v>
      </c>
      <c r="L136" s="3">
        <f>IFERROR(__xludf.DUMMYFUNCTION("""COMPUTED_VALUE"""),3.53415323025589E8)</f>
        <v>353415323</v>
      </c>
      <c r="M136" s="3">
        <f>IFERROR(__xludf.DUMMYFUNCTION("""COMPUTED_VALUE"""),1.4092329949595E7)</f>
        <v>14092329.95</v>
      </c>
      <c r="N136" s="3">
        <f>IFERROR(__xludf.DUMMYFUNCTION("""COMPUTED_VALUE"""),7.53766667E8)</f>
        <v>753766667</v>
      </c>
      <c r="O136" s="3">
        <f>IFERROR(__xludf.DUMMYFUNCTION("""COMPUTED_VALUE"""),977631.036951)</f>
        <v>977631.037</v>
      </c>
      <c r="P136" s="3">
        <f>IFERROR(__xludf.DUMMYFUNCTION("""COMPUTED_VALUE"""),3.91958099393145E8)</f>
        <v>391958099.4</v>
      </c>
      <c r="Q136" s="3">
        <f>IFERROR(__xludf.DUMMYFUNCTION("""COMPUTED_VALUE"""),6.19618294808205E8)</f>
        <v>619618294.8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IFERROR(__xludf.DUMMYFUNCTION("""COMPUTED_VALUE"""),20174.420634)</f>
        <v>20174.42063</v>
      </c>
      <c r="C137" s="3">
        <f>IFERROR(__xludf.DUMMYFUNCTION("""COMPUTED_VALUE"""),1716.670272)</f>
        <v>1716.670272</v>
      </c>
      <c r="D137" s="3">
        <f>IFERROR(__xludf.DUMMYFUNCTION("""COMPUTED_VALUE"""),37.446481)</f>
        <v>37.446481</v>
      </c>
      <c r="E137" s="3">
        <f>IFERROR(__xludf.DUMMYFUNCTION("""COMPUTED_VALUE"""),91.050483)</f>
        <v>91.050483</v>
      </c>
      <c r="F137" s="3">
        <f>IFERROR(__xludf.DUMMYFUNCTION("""COMPUTED_VALUE"""),6.659445)</f>
        <v>6.659445</v>
      </c>
      <c r="G137" s="3">
        <f>IFERROR(__xludf.DUMMYFUNCTION("""COMPUTED_VALUE"""),737.184599)</f>
        <v>737.184599</v>
      </c>
      <c r="H137" s="3">
        <f>IFERROR(__xludf.DUMMYFUNCTION("""COMPUTED_VALUE"""),1.143112)</f>
        <v>1.143112</v>
      </c>
      <c r="I137" s="3">
        <f>IFERROR(__xludf.DUMMYFUNCTION("""COMPUTED_VALUE"""),1.981231)</f>
        <v>1.981231</v>
      </c>
      <c r="J137" s="3">
        <f>IFERROR(__xludf.DUMMYFUNCTION("""COMPUTED_VALUE"""),1.91491E7)</f>
        <v>19149100</v>
      </c>
      <c r="K137" s="3">
        <f>IFERROR(__xludf.DUMMYFUNCTION("""COMPUTED_VALUE"""),1.223443974365E8)</f>
        <v>122344397.4</v>
      </c>
      <c r="L137" s="3">
        <f>IFERROR(__xludf.DUMMYFUNCTION("""COMPUTED_VALUE"""),3.53414572917467E8)</f>
        <v>353414572.9</v>
      </c>
      <c r="M137" s="3">
        <f>IFERROR(__xludf.DUMMYFUNCTION("""COMPUTED_VALUE"""),1.409286526279E7)</f>
        <v>14092865.26</v>
      </c>
      <c r="N137" s="3">
        <f>IFERROR(__xludf.DUMMYFUNCTION("""COMPUTED_VALUE"""),7.53766667E8)</f>
        <v>753766667</v>
      </c>
      <c r="O137" s="3">
        <f>IFERROR(__xludf.DUMMYFUNCTION("""COMPUTED_VALUE"""),977631.036951)</f>
        <v>977631.037</v>
      </c>
      <c r="P137" s="3">
        <f>IFERROR(__xludf.DUMMYFUNCTION("""COMPUTED_VALUE"""),3.91958099393145E8)</f>
        <v>391958099.4</v>
      </c>
      <c r="Q137" s="3">
        <f>IFERROR(__xludf.DUMMYFUNCTION("""COMPUTED_VALUE"""),6.20130651831969E8)</f>
        <v>620130651.8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IFERROR(__xludf.DUMMYFUNCTION("""COMPUTED_VALUE"""),20229.930361)</f>
        <v>20229.93036</v>
      </c>
      <c r="C138" s="3">
        <f>IFERROR(__xludf.DUMMYFUNCTION("""COMPUTED_VALUE"""),1574.28213)</f>
        <v>1574.28213</v>
      </c>
      <c r="D138" s="3">
        <f>IFERROR(__xludf.DUMMYFUNCTION("""COMPUTED_VALUE"""),32.992148)</f>
        <v>32.992148</v>
      </c>
      <c r="E138" s="3">
        <f>IFERROR(__xludf.DUMMYFUNCTION("""COMPUTED_VALUE"""),82.947613)</f>
        <v>82.947613</v>
      </c>
      <c r="F138" s="3">
        <f>IFERROR(__xludf.DUMMYFUNCTION("""COMPUTED_VALUE"""),6.035812)</f>
        <v>6.035812</v>
      </c>
      <c r="G138" s="3">
        <f>IFERROR(__xludf.DUMMYFUNCTION("""COMPUTED_VALUE"""),695.321552)</f>
        <v>695.321552</v>
      </c>
      <c r="H138" s="3">
        <f>IFERROR(__xludf.DUMMYFUNCTION("""COMPUTED_VALUE"""),1.052023)</f>
        <v>1.052023</v>
      </c>
      <c r="I138" s="3">
        <f>IFERROR(__xludf.DUMMYFUNCTION("""COMPUTED_VALUE"""),1.790695)</f>
        <v>1.790695</v>
      </c>
      <c r="J138" s="3">
        <f>IFERROR(__xludf.DUMMYFUNCTION("""COMPUTED_VALUE"""),1.9149981E7)</f>
        <v>19149981</v>
      </c>
      <c r="K138" s="3">
        <f>IFERROR(__xludf.DUMMYFUNCTION("""COMPUTED_VALUE"""),1.223570946865E8)</f>
        <v>122357094.7</v>
      </c>
      <c r="L138" s="3">
        <f>IFERROR(__xludf.DUMMYFUNCTION("""COMPUTED_VALUE"""),3.53837253880994E8)</f>
        <v>353837253.9</v>
      </c>
      <c r="M138" s="3">
        <f>IFERROR(__xludf.DUMMYFUNCTION("""COMPUTED_VALUE"""),1.4093158599071E7)</f>
        <v>14093158.6</v>
      </c>
      <c r="N138" s="3">
        <f>IFERROR(__xludf.DUMMYFUNCTION("""COMPUTED_VALUE"""),7.53766667E8)</f>
        <v>753766667</v>
      </c>
      <c r="O138" s="3">
        <f>IFERROR(__xludf.DUMMYFUNCTION("""COMPUTED_VALUE"""),977631.036951)</f>
        <v>977631.037</v>
      </c>
      <c r="P138" s="3">
        <f>IFERROR(__xludf.DUMMYFUNCTION("""COMPUTED_VALUE"""),3.91958099393145E8)</f>
        <v>391958099.4</v>
      </c>
      <c r="Q138" s="3">
        <f>IFERROR(__xludf.DUMMYFUNCTION("""COMPUTED_VALUE"""),6.22147791461086E8)</f>
        <v>622147791.5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IFERROR(__xludf.DUMMYFUNCTION("""COMPUTED_VALUE"""),19699.733299)</f>
        <v>19699.7333</v>
      </c>
      <c r="C139" s="3">
        <f>IFERROR(__xludf.DUMMYFUNCTION("""COMPUTED_VALUE"""),1638.419504)</f>
        <v>1638.419504</v>
      </c>
      <c r="D139" s="3">
        <f>IFERROR(__xludf.DUMMYFUNCTION("""COMPUTED_VALUE"""),34.123853)</f>
        <v>34.123853</v>
      </c>
      <c r="E139" s="3">
        <f>IFERROR(__xludf.DUMMYFUNCTION("""COMPUTED_VALUE"""),83.681054)</f>
        <v>83.681054</v>
      </c>
      <c r="F139" s="3">
        <f>IFERROR(__xludf.DUMMYFUNCTION("""COMPUTED_VALUE"""),6.178736)</f>
        <v>6.178736</v>
      </c>
      <c r="G139" s="3">
        <f>IFERROR(__xludf.DUMMYFUNCTION("""COMPUTED_VALUE"""),701.211482)</f>
        <v>701.211482</v>
      </c>
      <c r="H139" s="3">
        <f>IFERROR(__xludf.DUMMYFUNCTION("""COMPUTED_VALUE"""),1.070252)</f>
        <v>1.070252</v>
      </c>
      <c r="I139" s="3">
        <f>IFERROR(__xludf.DUMMYFUNCTION("""COMPUTED_VALUE"""),1.810638)</f>
        <v>1.810638</v>
      </c>
      <c r="J139" s="3">
        <f>IFERROR(__xludf.DUMMYFUNCTION("""COMPUTED_VALUE"""),1.9150743E7)</f>
        <v>19150743</v>
      </c>
      <c r="K139" s="3">
        <f>IFERROR(__xludf.DUMMYFUNCTION("""COMPUTED_VALUE"""),1.22369526374E8)</f>
        <v>122369526.4</v>
      </c>
      <c r="L139" s="3">
        <f>IFERROR(__xludf.DUMMYFUNCTION("""COMPUTED_VALUE"""),3.53979694592694E8)</f>
        <v>353979694.6</v>
      </c>
      <c r="M139" s="3">
        <f>IFERROR(__xludf.DUMMYFUNCTION("""COMPUTED_VALUE"""),1.4097001994444E7)</f>
        <v>14097001.99</v>
      </c>
      <c r="N139" s="3">
        <f>IFERROR(__xludf.DUMMYFUNCTION("""COMPUTED_VALUE"""),7.53766667E8)</f>
        <v>753766667</v>
      </c>
      <c r="O139" s="3">
        <f>IFERROR(__xludf.DUMMYFUNCTION("""COMPUTED_VALUE"""),977631.036951)</f>
        <v>977631.037</v>
      </c>
      <c r="P139" s="3">
        <f>IFERROR(__xludf.DUMMYFUNCTION("""COMPUTED_VALUE"""),3.91958099393145E8)</f>
        <v>391958099.4</v>
      </c>
      <c r="Q139" s="3">
        <f>IFERROR(__xludf.DUMMYFUNCTION("""COMPUTED_VALUE"""),6.24164581143469E8)</f>
        <v>624164581.1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IFERROR(__xludf.DUMMYFUNCTION("""COMPUTED_VALUE"""),19802.653694)</f>
        <v>19802.65369</v>
      </c>
      <c r="C140" s="3">
        <f>IFERROR(__xludf.DUMMYFUNCTION("""COMPUTED_VALUE"""),1472.746217)</f>
        <v>1472.746217</v>
      </c>
      <c r="D140" s="3">
        <f>IFERROR(__xludf.DUMMYFUNCTION("""COMPUTED_VALUE"""),33.076746)</f>
        <v>33.076746</v>
      </c>
      <c r="E140" s="3">
        <f>IFERROR(__xludf.DUMMYFUNCTION("""COMPUTED_VALUE"""),78.543687)</f>
        <v>78.543687</v>
      </c>
      <c r="F140" s="3">
        <f>IFERROR(__xludf.DUMMYFUNCTION("""COMPUTED_VALUE"""),5.889071)</f>
        <v>5.889071</v>
      </c>
      <c r="G140" s="3">
        <f>IFERROR(__xludf.DUMMYFUNCTION("""COMPUTED_VALUE"""),659.799783)</f>
        <v>659.799783</v>
      </c>
      <c r="H140" s="3">
        <f>IFERROR(__xludf.DUMMYFUNCTION("""COMPUTED_VALUE"""),1.053306)</f>
        <v>1.053306</v>
      </c>
      <c r="I140" s="3">
        <f>IFERROR(__xludf.DUMMYFUNCTION("""COMPUTED_VALUE"""),1.700788)</f>
        <v>1.700788</v>
      </c>
      <c r="J140" s="3">
        <f>IFERROR(__xludf.DUMMYFUNCTION("""COMPUTED_VALUE"""),1.9151681E7)</f>
        <v>19151681</v>
      </c>
      <c r="K140" s="3">
        <f>IFERROR(__xludf.DUMMYFUNCTION("""COMPUTED_VALUE"""),1.22383023499E8)</f>
        <v>122383023.5</v>
      </c>
      <c r="L140" s="3">
        <f>IFERROR(__xludf.DUMMYFUNCTION("""COMPUTED_VALUE"""),3.53979028502667E8)</f>
        <v>353979028.5</v>
      </c>
      <c r="M140" s="3">
        <f>IFERROR(__xludf.DUMMYFUNCTION("""COMPUTED_VALUE"""),1.4097248130859E7)</f>
        <v>14097248.13</v>
      </c>
      <c r="N140" s="3">
        <f>IFERROR(__xludf.DUMMYFUNCTION("""COMPUTED_VALUE"""),7.53766667E8)</f>
        <v>753766667</v>
      </c>
      <c r="O140" s="3">
        <f>IFERROR(__xludf.DUMMYFUNCTION("""COMPUTED_VALUE"""),977631.036951)</f>
        <v>977631.037</v>
      </c>
      <c r="P140" s="3">
        <f>IFERROR(__xludf.DUMMYFUNCTION("""COMPUTED_VALUE"""),3.91958099393145E8)</f>
        <v>391958099.4</v>
      </c>
      <c r="Q140" s="3">
        <f>IFERROR(__xludf.DUMMYFUNCTION("""COMPUTED_VALUE"""),6.2617859458177E8)</f>
        <v>626178594.6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IFERROR(__xludf.DUMMYFUNCTION("""COMPUTED_VALUE"""),20077.097755)</f>
        <v>20077.09776</v>
      </c>
      <c r="C141" s="3">
        <f>IFERROR(__xludf.DUMMYFUNCTION("""COMPUTED_VALUE"""),1433.809024)</f>
        <v>1433.809024</v>
      </c>
      <c r="D141" s="3">
        <f>IFERROR(__xludf.DUMMYFUNCTION("""COMPUTED_VALUE"""),32.246361)</f>
        <v>32.246361</v>
      </c>
      <c r="E141" s="3">
        <f>IFERROR(__xludf.DUMMYFUNCTION("""COMPUTED_VALUE"""),79.371301)</f>
        <v>79.371301</v>
      </c>
      <c r="F141" s="3">
        <f>IFERROR(__xludf.DUMMYFUNCTION("""COMPUTED_VALUE"""),5.82076)</f>
        <v>5.82076</v>
      </c>
      <c r="G141" s="3">
        <f>IFERROR(__xludf.DUMMYFUNCTION("""COMPUTED_VALUE"""),669.338617)</f>
        <v>669.338617</v>
      </c>
      <c r="H141" s="3">
        <f>IFERROR(__xludf.DUMMYFUNCTION("""COMPUTED_VALUE"""),1.058759)</f>
        <v>1.058759</v>
      </c>
      <c r="I141" s="3">
        <f>IFERROR(__xludf.DUMMYFUNCTION("""COMPUTED_VALUE"""),1.778309)</f>
        <v>1.778309</v>
      </c>
      <c r="J141" s="3">
        <f>IFERROR(__xludf.DUMMYFUNCTION("""COMPUTED_VALUE"""),1.9152437E7)</f>
        <v>19152437</v>
      </c>
      <c r="K141" s="3">
        <f>IFERROR(__xludf.DUMMYFUNCTION("""COMPUTED_VALUE"""),1.22396005499E8)</f>
        <v>122396005.5</v>
      </c>
      <c r="L141" s="3">
        <f>IFERROR(__xludf.DUMMYFUNCTION("""COMPUTED_VALUE"""),3.53984474375567E8)</f>
        <v>353984474.4</v>
      </c>
      <c r="M141" s="3">
        <f>IFERROR(__xludf.DUMMYFUNCTION("""COMPUTED_VALUE"""),1.4098083060079E7)</f>
        <v>14098083.06</v>
      </c>
      <c r="N141" s="3">
        <f>IFERROR(__xludf.DUMMYFUNCTION("""COMPUTED_VALUE"""),7.53766667E8)</f>
        <v>753766667</v>
      </c>
      <c r="O141" s="3">
        <f>IFERROR(__xludf.DUMMYFUNCTION("""COMPUTED_VALUE"""),977631.036951)</f>
        <v>977631.037</v>
      </c>
      <c r="P141" s="3">
        <f>IFERROR(__xludf.DUMMYFUNCTION("""COMPUTED_VALUE"""),3.91958099393145E8)</f>
        <v>391958099.4</v>
      </c>
      <c r="Q141" s="3">
        <f>IFERROR(__xludf.DUMMYFUNCTION("""COMPUTED_VALUE"""),6.28225363034288E8)</f>
        <v>628225363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IFERROR(__xludf.DUMMYFUNCTION("""COMPUTED_VALUE"""),19417.642511)</f>
        <v>19417.64251</v>
      </c>
      <c r="C142" s="3">
        <f>IFERROR(__xludf.DUMMYFUNCTION("""COMPUTED_VALUE"""),1469.050335)</f>
        <v>1469.050335</v>
      </c>
      <c r="D142" s="3">
        <f>IFERROR(__xludf.DUMMYFUNCTION("""COMPUTED_VALUE"""),33.700365)</f>
        <v>33.700365</v>
      </c>
      <c r="E142" s="3">
        <f>IFERROR(__xludf.DUMMYFUNCTION("""COMPUTED_VALUE"""),81.403371)</f>
        <v>81.403371</v>
      </c>
      <c r="F142" s="3">
        <f>IFERROR(__xludf.DUMMYFUNCTION("""COMPUTED_VALUE"""),6.016193)</f>
        <v>6.016193</v>
      </c>
      <c r="G142" s="3">
        <f>IFERROR(__xludf.DUMMYFUNCTION("""COMPUTED_VALUE"""),686.441226)</f>
        <v>686.441226</v>
      </c>
      <c r="H142" s="3">
        <f>IFERROR(__xludf.DUMMYFUNCTION("""COMPUTED_VALUE"""),1.083228)</f>
        <v>1.083228</v>
      </c>
      <c r="I142" s="3">
        <f>IFERROR(__xludf.DUMMYFUNCTION("""COMPUTED_VALUE"""),1.900844)</f>
        <v>1.900844</v>
      </c>
      <c r="J142" s="3">
        <f>IFERROR(__xludf.DUMMYFUNCTION("""COMPUTED_VALUE"""),1.9153487E7)</f>
        <v>19153487</v>
      </c>
      <c r="K142" s="3">
        <f>IFERROR(__xludf.DUMMYFUNCTION("""COMPUTED_VALUE"""),1.22411443499E8)</f>
        <v>122411443.5</v>
      </c>
      <c r="L142" s="3">
        <f>IFERROR(__xludf.DUMMYFUNCTION("""COMPUTED_VALUE"""),3.54115733383688E8)</f>
        <v>354115733.4</v>
      </c>
      <c r="M142" s="3">
        <f>IFERROR(__xludf.DUMMYFUNCTION("""COMPUTED_VALUE"""),1.4098372136706E7)</f>
        <v>14098372.14</v>
      </c>
      <c r="N142" s="3">
        <f>IFERROR(__xludf.DUMMYFUNCTION("""COMPUTED_VALUE"""),7.53766667E8)</f>
        <v>753766667</v>
      </c>
      <c r="O142" s="3">
        <f>IFERROR(__xludf.DUMMYFUNCTION("""COMPUTED_VALUE"""),977631.036951)</f>
        <v>977631.037</v>
      </c>
      <c r="P142" s="3">
        <f>IFERROR(__xludf.DUMMYFUNCTION("""COMPUTED_VALUE"""),3.91958099393145E8)</f>
        <v>391958099.4</v>
      </c>
      <c r="Q142" s="3">
        <f>IFERROR(__xludf.DUMMYFUNCTION("""COMPUTED_VALUE"""),6.30223978816332E8)</f>
        <v>630223978.8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IFERROR(__xludf.DUMMYFUNCTION("""COMPUTED_VALUE"""),19539.306484)</f>
        <v>19539.30648</v>
      </c>
      <c r="C143" s="3">
        <f>IFERROR(__xludf.DUMMYFUNCTION("""COMPUTED_VALUE"""),1334.689932)</f>
        <v>1334.689932</v>
      </c>
      <c r="D143" s="3">
        <f>IFERROR(__xludf.DUMMYFUNCTION("""COMPUTED_VALUE"""),31.099861)</f>
        <v>31.099861</v>
      </c>
      <c r="E143" s="3">
        <f>IFERROR(__xludf.DUMMYFUNCTION("""COMPUTED_VALUE"""),73.060545)</f>
        <v>73.060545</v>
      </c>
      <c r="F143" s="3">
        <f>IFERROR(__xludf.DUMMYFUNCTION("""COMPUTED_VALUE"""),5.466205)</f>
        <v>5.466205</v>
      </c>
      <c r="G143" s="3">
        <f>IFERROR(__xludf.DUMMYFUNCTION("""COMPUTED_VALUE"""),632.964893)</f>
        <v>632.964893</v>
      </c>
      <c r="H143" s="3">
        <f>IFERROR(__xludf.DUMMYFUNCTION("""COMPUTED_VALUE"""),0.934896)</f>
        <v>0.934896</v>
      </c>
      <c r="I143" s="3">
        <f>IFERROR(__xludf.DUMMYFUNCTION("""COMPUTED_VALUE"""),1.697008)</f>
        <v>1.697008</v>
      </c>
      <c r="J143" s="3">
        <f>IFERROR(__xludf.DUMMYFUNCTION("""COMPUTED_VALUE"""),1.9154475E7)</f>
        <v>19154475</v>
      </c>
      <c r="K143" s="3">
        <f>IFERROR(__xludf.DUMMYFUNCTION("""COMPUTED_VALUE"""),1.22425707499E8)</f>
        <v>122425707.5</v>
      </c>
      <c r="L143" s="3">
        <f>IFERROR(__xludf.DUMMYFUNCTION("""COMPUTED_VALUE"""),3.53928176343029E8)</f>
        <v>353928176.3</v>
      </c>
      <c r="M143" s="3">
        <f>IFERROR(__xludf.DUMMYFUNCTION("""COMPUTED_VALUE"""),1.4098891982367E7)</f>
        <v>14098891.98</v>
      </c>
      <c r="N143" s="3">
        <f>IFERROR(__xludf.DUMMYFUNCTION("""COMPUTED_VALUE"""),7.53766667E8)</f>
        <v>753766667</v>
      </c>
      <c r="O143" s="3">
        <f>IFERROR(__xludf.DUMMYFUNCTION("""COMPUTED_VALUE"""),977631.036951)</f>
        <v>977631.037</v>
      </c>
      <c r="P143" s="3">
        <f>IFERROR(__xludf.DUMMYFUNCTION("""COMPUTED_VALUE"""),3.91958099393145E8)</f>
        <v>391958099.4</v>
      </c>
      <c r="Q143" s="3">
        <f>IFERROR(__xludf.DUMMYFUNCTION("""COMPUTED_VALUE"""),6.32263703818952E8)</f>
        <v>632263703.8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IFERROR(__xludf.DUMMYFUNCTION("""COMPUTED_VALUE"""),18875.418495)</f>
        <v>18875.4185</v>
      </c>
      <c r="C144" s="3">
        <f>IFERROR(__xludf.DUMMYFUNCTION("""COMPUTED_VALUE"""),1376.130253)</f>
        <v>1376.130253</v>
      </c>
      <c r="D144" s="3">
        <f>IFERROR(__xludf.DUMMYFUNCTION("""COMPUTED_VALUE"""),32.639838)</f>
        <v>32.639838</v>
      </c>
      <c r="E144" s="3">
        <f>IFERROR(__xludf.DUMMYFUNCTION("""COMPUTED_VALUE"""),76.389237)</f>
        <v>76.389237</v>
      </c>
      <c r="F144" s="3">
        <f>IFERROR(__xludf.DUMMYFUNCTION("""COMPUTED_VALUE"""),5.479943)</f>
        <v>5.479943</v>
      </c>
      <c r="G144" s="3">
        <f>IFERROR(__xludf.DUMMYFUNCTION("""COMPUTED_VALUE"""),628.304849)</f>
        <v>628.304849</v>
      </c>
      <c r="H144" s="3">
        <f>IFERROR(__xludf.DUMMYFUNCTION("""COMPUTED_VALUE"""),0.982449)</f>
        <v>0.982449</v>
      </c>
      <c r="I144" s="3">
        <f>IFERROR(__xludf.DUMMYFUNCTION("""COMPUTED_VALUE"""),1.810499)</f>
        <v>1.810499</v>
      </c>
      <c r="J144" s="3">
        <f>IFERROR(__xludf.DUMMYFUNCTION("""COMPUTED_VALUE"""),1.9155293E7)</f>
        <v>19155293</v>
      </c>
      <c r="K144" s="3">
        <f>IFERROR(__xludf.DUMMYFUNCTION("""COMPUTED_VALUE"""),1.22439953499E8)</f>
        <v>122439953.5</v>
      </c>
      <c r="L144" s="3">
        <f>IFERROR(__xludf.DUMMYFUNCTION("""COMPUTED_VALUE"""),3.5392737023719E8)</f>
        <v>353927370.2</v>
      </c>
      <c r="M144" s="3">
        <f>IFERROR(__xludf.DUMMYFUNCTION("""COMPUTED_VALUE"""),1.4099232584558E7)</f>
        <v>14099232.58</v>
      </c>
      <c r="N144" s="3">
        <f>IFERROR(__xludf.DUMMYFUNCTION("""COMPUTED_VALUE"""),7.53766667E8)</f>
        <v>753766667</v>
      </c>
      <c r="O144" s="3">
        <f>IFERROR(__xludf.DUMMYFUNCTION("""COMPUTED_VALUE"""),977631.036951)</f>
        <v>977631.037</v>
      </c>
      <c r="P144" s="3">
        <f>IFERROR(__xludf.DUMMYFUNCTION("""COMPUTED_VALUE"""),3.91958099393145E8)</f>
        <v>391958099.4</v>
      </c>
      <c r="Q144" s="3">
        <f>IFERROR(__xludf.DUMMYFUNCTION("""COMPUTED_VALUE"""),6.34265679089634E8)</f>
        <v>634265679.1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IFERROR(__xludf.DUMMYFUNCTION("""COMPUTED_VALUE"""),18460.623307)</f>
        <v>18460.62331</v>
      </c>
      <c r="C145" s="3">
        <f>IFERROR(__xludf.DUMMYFUNCTION("""COMPUTED_VALUE"""),1323.002436)</f>
        <v>1323.002436</v>
      </c>
      <c r="D145" s="3">
        <f>IFERROR(__xludf.DUMMYFUNCTION("""COMPUTED_VALUE"""),31.431021)</f>
        <v>31.431021</v>
      </c>
      <c r="E145" s="3">
        <f>IFERROR(__xludf.DUMMYFUNCTION("""COMPUTED_VALUE"""),74.035436)</f>
        <v>74.035436</v>
      </c>
      <c r="F145" s="3">
        <f>IFERROR(__xludf.DUMMYFUNCTION("""COMPUTED_VALUE"""),5.296895)</f>
        <v>5.296895</v>
      </c>
      <c r="G145" s="3">
        <f>IFERROR(__xludf.DUMMYFUNCTION("""COMPUTED_VALUE"""),609.543116)</f>
        <v>609.543116</v>
      </c>
      <c r="H145" s="3">
        <f>IFERROR(__xludf.DUMMYFUNCTION("""COMPUTED_VALUE"""),0.944435)</f>
        <v>0.944435</v>
      </c>
      <c r="I145" s="3">
        <f>IFERROR(__xludf.DUMMYFUNCTION("""COMPUTED_VALUE"""),1.79194)</f>
        <v>1.79194</v>
      </c>
      <c r="J145" s="3">
        <f>IFERROR(__xludf.DUMMYFUNCTION("""COMPUTED_VALUE"""),1.9156237E7)</f>
        <v>19156237</v>
      </c>
      <c r="K145" s="3">
        <f>IFERROR(__xludf.DUMMYFUNCTION("""COMPUTED_VALUE"""),1.22454231499E8)</f>
        <v>122454231.5</v>
      </c>
      <c r="L145" s="3">
        <f>IFERROR(__xludf.DUMMYFUNCTION("""COMPUTED_VALUE"""),3.54060839007578E8)</f>
        <v>354060839</v>
      </c>
      <c r="M145" s="3">
        <f>IFERROR(__xludf.DUMMYFUNCTION("""COMPUTED_VALUE"""),1.4099539848541E7)</f>
        <v>14099539.85</v>
      </c>
      <c r="N145" s="3">
        <f>IFERROR(__xludf.DUMMYFUNCTION("""COMPUTED_VALUE"""),7.53766667E8)</f>
        <v>753766667</v>
      </c>
      <c r="O145" s="3">
        <f>IFERROR(__xludf.DUMMYFUNCTION("""COMPUTED_VALUE"""),977631.036951)</f>
        <v>977631.037</v>
      </c>
      <c r="P145" s="3">
        <f>IFERROR(__xludf.DUMMYFUNCTION("""COMPUTED_VALUE"""),3.91958099393145E8)</f>
        <v>391958099.4</v>
      </c>
      <c r="Q145" s="3">
        <f>IFERROR(__xludf.DUMMYFUNCTION("""COMPUTED_VALUE"""),6.36282772059186E8)</f>
        <v>636282772.1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IFERROR(__xludf.DUMMYFUNCTION("""COMPUTED_VALUE"""),19395.519989)</f>
        <v>19395.51999</v>
      </c>
      <c r="C146" s="3">
        <f>IFERROR(__xludf.DUMMYFUNCTION("""COMPUTED_VALUE"""),1245.737138)</f>
        <v>1245.737138</v>
      </c>
      <c r="D146" s="3">
        <f>IFERROR(__xludf.DUMMYFUNCTION("""COMPUTED_VALUE"""),30.656684)</f>
        <v>30.656684</v>
      </c>
      <c r="E146" s="3">
        <f>IFERROR(__xludf.DUMMYFUNCTION("""COMPUTED_VALUE"""),71.602362)</f>
        <v>71.602362</v>
      </c>
      <c r="F146" s="3">
        <f>IFERROR(__xludf.DUMMYFUNCTION("""COMPUTED_VALUE"""),5.336488)</f>
        <v>5.336488</v>
      </c>
      <c r="G146" s="3">
        <f>IFERROR(__xludf.DUMMYFUNCTION("""COMPUTED_VALUE"""),591.040825)</f>
        <v>591.040825</v>
      </c>
      <c r="H146" s="3">
        <f>IFERROR(__xludf.DUMMYFUNCTION("""COMPUTED_VALUE"""),0.862011)</f>
        <v>0.862011</v>
      </c>
      <c r="I146" s="3">
        <f>IFERROR(__xludf.DUMMYFUNCTION("""COMPUTED_VALUE"""),1.819692)</f>
        <v>1.819692</v>
      </c>
      <c r="J146" s="3">
        <f>IFERROR(__xludf.DUMMYFUNCTION("""COMPUTED_VALUE"""),1.9157125E7)</f>
        <v>19157125</v>
      </c>
      <c r="K146" s="3">
        <f>IFERROR(__xludf.DUMMYFUNCTION("""COMPUTED_VALUE"""),1.22468337499E8)</f>
        <v>122468337.5</v>
      </c>
      <c r="L146" s="3">
        <f>IFERROR(__xludf.DUMMYFUNCTION("""COMPUTED_VALUE"""),3.54522097521732E8)</f>
        <v>354522097.5</v>
      </c>
      <c r="M146" s="3">
        <f>IFERROR(__xludf.DUMMYFUNCTION("""COMPUTED_VALUE"""),1.4100474400879E7)</f>
        <v>14100474.4</v>
      </c>
      <c r="N146" s="3">
        <f>IFERROR(__xludf.DUMMYFUNCTION("""COMPUTED_VALUE"""),7.53766667E8)</f>
        <v>753766667</v>
      </c>
      <c r="O146" s="3">
        <f>IFERROR(__xludf.DUMMYFUNCTION("""COMPUTED_VALUE"""),977631.036951)</f>
        <v>977631.037</v>
      </c>
      <c r="P146" s="3">
        <f>IFERROR(__xludf.DUMMYFUNCTION("""COMPUTED_VALUE"""),3.91958099393145E8)</f>
        <v>391958099.4</v>
      </c>
      <c r="Q146" s="3">
        <f>IFERROR(__xludf.DUMMYFUNCTION("""COMPUTED_VALUE"""),6.38298185284419E8)</f>
        <v>638298185.3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IFERROR(__xludf.DUMMYFUNCTION("""COMPUTED_VALUE"""),19290.05845)</f>
        <v>19290.05845</v>
      </c>
      <c r="C147" s="3">
        <f>IFERROR(__xludf.DUMMYFUNCTION("""COMPUTED_VALUE"""),1326.442765)</f>
        <v>1326.442765</v>
      </c>
      <c r="D147" s="3">
        <f>IFERROR(__xludf.DUMMYFUNCTION("""COMPUTED_VALUE"""),32.42101)</f>
        <v>32.42101</v>
      </c>
      <c r="E147" s="3">
        <f>IFERROR(__xludf.DUMMYFUNCTION("""COMPUTED_VALUE"""),76.704591)</f>
        <v>76.704591</v>
      </c>
      <c r="F147" s="3">
        <f>IFERROR(__xludf.DUMMYFUNCTION("""COMPUTED_VALUE"""),5.732318)</f>
        <v>5.732318</v>
      </c>
      <c r="G147" s="3">
        <f>IFERROR(__xludf.DUMMYFUNCTION("""COMPUTED_VALUE"""),649.326139)</f>
        <v>649.326139</v>
      </c>
      <c r="H147" s="3">
        <f>IFERROR(__xludf.DUMMYFUNCTION("""COMPUTED_VALUE"""),0.916354)</f>
        <v>0.916354</v>
      </c>
      <c r="I147" s="3">
        <f>IFERROR(__xludf.DUMMYFUNCTION("""COMPUTED_VALUE"""),1.795037)</f>
        <v>1.795037</v>
      </c>
      <c r="J147" s="3">
        <f>IFERROR(__xludf.DUMMYFUNCTION("""COMPUTED_VALUE"""),1.9157956E7)</f>
        <v>19157956</v>
      </c>
      <c r="K147" s="3">
        <f>IFERROR(__xludf.DUMMYFUNCTION("""COMPUTED_VALUE"""),1.22482635499E8)</f>
        <v>122482635.5</v>
      </c>
      <c r="L147" s="3">
        <f>IFERROR(__xludf.DUMMYFUNCTION("""COMPUTED_VALUE"""),3.54521226531255E8)</f>
        <v>354521226.5</v>
      </c>
      <c r="M147" s="3">
        <f>IFERROR(__xludf.DUMMYFUNCTION("""COMPUTED_VALUE"""),1.4100880536948E7)</f>
        <v>14100880.54</v>
      </c>
      <c r="N147" s="3">
        <f>IFERROR(__xludf.DUMMYFUNCTION("""COMPUTED_VALUE"""),7.53766667E8)</f>
        <v>753766667</v>
      </c>
      <c r="O147" s="3">
        <f>IFERROR(__xludf.DUMMYFUNCTION("""COMPUTED_VALUE"""),977631.036951)</f>
        <v>977631.037</v>
      </c>
      <c r="P147" s="3">
        <f>IFERROR(__xludf.DUMMYFUNCTION("""COMPUTED_VALUE"""),3.91958099393145E8)</f>
        <v>391958099.4</v>
      </c>
      <c r="Q147" s="3">
        <f>IFERROR(__xludf.DUMMYFUNCTION("""COMPUTED_VALUE"""),6.40343553950005E8)</f>
        <v>640343554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IFERROR(__xludf.DUMMYFUNCTION("""COMPUTED_VALUE"""),18924.18215)</f>
        <v>18924.18215</v>
      </c>
      <c r="C148" s="3">
        <f>IFERROR(__xludf.DUMMYFUNCTION("""COMPUTED_VALUE"""),1327.327508)</f>
        <v>1327.327508</v>
      </c>
      <c r="D148" s="3">
        <f>IFERROR(__xludf.DUMMYFUNCTION("""COMPUTED_VALUE"""),33.682108)</f>
        <v>33.682108</v>
      </c>
      <c r="E148" s="3">
        <f>IFERROR(__xludf.DUMMYFUNCTION("""COMPUTED_VALUE"""),77.062006)</f>
        <v>77.062006</v>
      </c>
      <c r="F148" s="3">
        <f>IFERROR(__xludf.DUMMYFUNCTION("""COMPUTED_VALUE"""),5.916344)</f>
        <v>5.916344</v>
      </c>
      <c r="G148" s="3">
        <f>IFERROR(__xludf.DUMMYFUNCTION("""COMPUTED_VALUE"""),671.596707)</f>
        <v>671.596707</v>
      </c>
      <c r="H148" s="3">
        <f>IFERROR(__xludf.DUMMYFUNCTION("""COMPUTED_VALUE"""),0.943261)</f>
        <v>0.943261</v>
      </c>
      <c r="I148" s="3">
        <f>IFERROR(__xludf.DUMMYFUNCTION("""COMPUTED_VALUE"""),1.753455)</f>
        <v>1.753455</v>
      </c>
      <c r="J148" s="3">
        <f>IFERROR(__xludf.DUMMYFUNCTION("""COMPUTED_VALUE"""),1.9158768E7)</f>
        <v>19158768</v>
      </c>
      <c r="K148" s="3">
        <f>IFERROR(__xludf.DUMMYFUNCTION("""COMPUTED_VALUE"""),1.22496965499E8)</f>
        <v>122496965.5</v>
      </c>
      <c r="L148" s="3">
        <f>IFERROR(__xludf.DUMMYFUNCTION("""COMPUTED_VALUE"""),3.54651897522932E8)</f>
        <v>354651897.5</v>
      </c>
      <c r="M148" s="3">
        <f>IFERROR(__xludf.DUMMYFUNCTION("""COMPUTED_VALUE"""),1.4101022454604E7)</f>
        <v>14101022.45</v>
      </c>
      <c r="N148" s="3">
        <f>IFERROR(__xludf.DUMMYFUNCTION("""COMPUTED_VALUE"""),7.53766667E8)</f>
        <v>753766667</v>
      </c>
      <c r="O148" s="3">
        <f>IFERROR(__xludf.DUMMYFUNCTION("""COMPUTED_VALUE"""),977631.036951)</f>
        <v>977631.037</v>
      </c>
      <c r="P148" s="3">
        <f>IFERROR(__xludf.DUMMYFUNCTION("""COMPUTED_VALUE"""),3.91958099393145E8)</f>
        <v>391958099.4</v>
      </c>
      <c r="Q148" s="3">
        <f>IFERROR(__xludf.DUMMYFUNCTION("""COMPUTED_VALUE"""),6.4243097143659E8)</f>
        <v>642430971.4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IFERROR(__xludf.DUMMYFUNCTION("""COMPUTED_VALUE"""),18802.882431)</f>
        <v>18802.88243</v>
      </c>
      <c r="C149" s="3">
        <f>IFERROR(__xludf.DUMMYFUNCTION("""COMPUTED_VALUE"""),1317.342898)</f>
        <v>1317.342898</v>
      </c>
      <c r="D149" s="3">
        <f>IFERROR(__xludf.DUMMYFUNCTION("""COMPUTED_VALUE"""),33.390998)</f>
        <v>33.390998</v>
      </c>
      <c r="E149" s="3">
        <f>IFERROR(__xludf.DUMMYFUNCTION("""COMPUTED_VALUE"""),74.962434)</f>
        <v>74.962434</v>
      </c>
      <c r="F149" s="3">
        <f>IFERROR(__xludf.DUMMYFUNCTION("""COMPUTED_VALUE"""),5.797094)</f>
        <v>5.797094</v>
      </c>
      <c r="G149" s="3">
        <f>IFERROR(__xludf.DUMMYFUNCTION("""COMPUTED_VALUE"""),679.973916)</f>
        <v>679.973916</v>
      </c>
      <c r="H149" s="3">
        <f>IFERROR(__xludf.DUMMYFUNCTION("""COMPUTED_VALUE"""),0.92001)</f>
        <v>0.92001</v>
      </c>
      <c r="I149" s="3">
        <f>IFERROR(__xludf.DUMMYFUNCTION("""COMPUTED_VALUE"""),1.689893)</f>
        <v>1.689893</v>
      </c>
      <c r="J149" s="3">
        <f>IFERROR(__xludf.DUMMYFUNCTION("""COMPUTED_VALUE"""),1.915965E7)</f>
        <v>19159650</v>
      </c>
      <c r="K149" s="3">
        <f>IFERROR(__xludf.DUMMYFUNCTION("""COMPUTED_VALUE"""),1.22511307499E8)</f>
        <v>122511307.5</v>
      </c>
      <c r="L149" s="3">
        <f>IFERROR(__xludf.DUMMYFUNCTION("""COMPUTED_VALUE"""),3.54651005560326E8)</f>
        <v>354651005.6</v>
      </c>
      <c r="M149" s="3">
        <f>IFERROR(__xludf.DUMMYFUNCTION("""COMPUTED_VALUE"""),1.4101300353004E7)</f>
        <v>14101300.35</v>
      </c>
      <c r="N149" s="3">
        <f>IFERROR(__xludf.DUMMYFUNCTION("""COMPUTED_VALUE"""),7.53766667E8)</f>
        <v>753766667</v>
      </c>
      <c r="O149" s="3">
        <f>IFERROR(__xludf.DUMMYFUNCTION("""COMPUTED_VALUE"""),977631.036951)</f>
        <v>977631.037</v>
      </c>
      <c r="P149" s="3">
        <f>IFERROR(__xludf.DUMMYFUNCTION("""COMPUTED_VALUE"""),3.91958099393145E8)</f>
        <v>391958099.4</v>
      </c>
      <c r="Q149" s="3">
        <f>IFERROR(__xludf.DUMMYFUNCTION("""COMPUTED_VALUE"""),6.44445264832277E8)</f>
        <v>644445264.8</v>
      </c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>
        <f>IFERROR(__xludf.DUMMYFUNCTION("""COMPUTED_VALUE"""),1.9160593E7)</f>
        <v>19160593</v>
      </c>
      <c r="K150" s="3">
        <f>IFERROR(__xludf.DUMMYFUNCTION("""COMPUTED_VALUE"""),1.22525641499E8)</f>
        <v>122525641.5</v>
      </c>
      <c r="L150" s="3">
        <f>IFERROR(__xludf.DUMMYFUNCTION("""COMPUTED_VALUE"""),3.54650881249774E8)</f>
        <v>354650881.2</v>
      </c>
      <c r="M150" s="3">
        <f>IFERROR(__xludf.DUMMYFUNCTION("""COMPUTED_VALUE"""),1.4101310991226E7)</f>
        <v>14101310.99</v>
      </c>
      <c r="N150" s="3">
        <f>IFERROR(__xludf.DUMMYFUNCTION("""COMPUTED_VALUE"""),7.53766667E8)</f>
        <v>753766667</v>
      </c>
      <c r="O150" s="3">
        <f>IFERROR(__xludf.DUMMYFUNCTION("""COMPUTED_VALUE"""),977631.036951)</f>
        <v>977631.037</v>
      </c>
      <c r="P150" s="3">
        <f>IFERROR(__xludf.DUMMYFUNCTION("""COMPUTED_VALUE"""),3.91958099393145E8)</f>
        <v>391958099.4</v>
      </c>
      <c r="Q150" s="3">
        <f>IFERROR(__xludf.DUMMYFUNCTION("""COMPUTED_VALUE"""),6.44781213696047E8)</f>
        <v>644781213.7</v>
      </c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</row>
    <row r="2">
      <c r="A2" s="1" t="s">
        <v>25</v>
      </c>
      <c r="B2" s="1">
        <v>56.941065</v>
      </c>
      <c r="C2" s="1">
        <v>58.769572</v>
      </c>
    </row>
    <row r="3">
      <c r="A3" s="1" t="s">
        <v>26</v>
      </c>
      <c r="B3" s="1">
        <v>58.757096</v>
      </c>
      <c r="C3" s="1">
        <v>60.349285</v>
      </c>
    </row>
    <row r="4">
      <c r="A4" s="1" t="s">
        <v>27</v>
      </c>
      <c r="B4" s="1">
        <v>60.336466</v>
      </c>
      <c r="C4" s="1">
        <v>59.617977</v>
      </c>
    </row>
    <row r="5">
      <c r="A5" s="1" t="s">
        <v>28</v>
      </c>
      <c r="B5" s="1">
        <v>59.616967</v>
      </c>
      <c r="C5" s="1">
        <v>67.255123</v>
      </c>
    </row>
    <row r="6">
      <c r="A6" s="1" t="s">
        <v>29</v>
      </c>
      <c r="B6" s="1">
        <v>67.264816</v>
      </c>
      <c r="C6" s="1">
        <v>59.028715</v>
      </c>
    </row>
    <row r="7">
      <c r="A7" s="1" t="s">
        <v>30</v>
      </c>
      <c r="B7" s="1">
        <v>59.033554</v>
      </c>
      <c r="C7" s="1">
        <v>56.978157</v>
      </c>
    </row>
    <row r="8">
      <c r="A8" s="1" t="s">
        <v>31</v>
      </c>
      <c r="B8" s="1">
        <v>56.977128</v>
      </c>
      <c r="C8" s="1">
        <v>55.039859</v>
      </c>
    </row>
    <row r="9">
      <c r="A9" s="1" t="s">
        <v>32</v>
      </c>
      <c r="B9" s="1">
        <v>55.030184</v>
      </c>
      <c r="C9" s="1">
        <v>51.589687</v>
      </c>
    </row>
    <row r="10">
      <c r="A10" s="1" t="s">
        <v>33</v>
      </c>
      <c r="B10" s="1">
        <v>51.633207</v>
      </c>
      <c r="C10" s="1">
        <v>41.221524</v>
      </c>
    </row>
    <row r="11">
      <c r="A11" s="1" t="s">
        <v>34</v>
      </c>
      <c r="B11" s="1">
        <v>41.183864</v>
      </c>
      <c r="C11" s="1">
        <v>44.552725</v>
      </c>
    </row>
    <row r="12">
      <c r="A12" s="1" t="s">
        <v>35</v>
      </c>
      <c r="B12" s="1">
        <v>44.564502</v>
      </c>
      <c r="C12" s="1">
        <v>31.053399</v>
      </c>
    </row>
    <row r="13">
      <c r="A13" s="1" t="s">
        <v>36</v>
      </c>
      <c r="B13" s="1">
        <v>31.073369</v>
      </c>
      <c r="C13" s="1">
        <v>30.187738</v>
      </c>
    </row>
    <row r="14">
      <c r="A14" s="1" t="s">
        <v>37</v>
      </c>
      <c r="B14" s="1">
        <v>30.211758</v>
      </c>
      <c r="C14" s="1">
        <v>32.16652</v>
      </c>
    </row>
    <row r="15">
      <c r="A15" s="1" t="s">
        <v>38</v>
      </c>
      <c r="B15" s="1">
        <v>32.176331</v>
      </c>
      <c r="C15" s="1">
        <v>33.891639</v>
      </c>
    </row>
    <row r="16">
      <c r="A16" s="1" t="s">
        <v>39</v>
      </c>
      <c r="B16" s="1">
        <v>33.890399</v>
      </c>
      <c r="C16" s="1">
        <v>36.530561</v>
      </c>
    </row>
    <row r="17">
      <c r="A17" s="1" t="s">
        <v>40</v>
      </c>
      <c r="B17" s="1">
        <v>36.497746</v>
      </c>
      <c r="C17" s="1">
        <v>32.500224</v>
      </c>
    </row>
    <row r="18">
      <c r="A18" s="1" t="s">
        <v>41</v>
      </c>
      <c r="B18" s="1">
        <v>32.530583</v>
      </c>
      <c r="C18" s="1">
        <v>34.355808</v>
      </c>
    </row>
    <row r="19">
      <c r="A19" s="1" t="s">
        <v>42</v>
      </c>
      <c r="B19" s="1">
        <v>34.346256</v>
      </c>
      <c r="C19" s="1">
        <v>29.54128</v>
      </c>
    </row>
    <row r="20">
      <c r="A20" s="1" t="s">
        <v>43</v>
      </c>
      <c r="B20" s="1">
        <v>29.557985</v>
      </c>
      <c r="C20" s="1">
        <v>30.357056</v>
      </c>
    </row>
    <row r="21">
      <c r="A21" s="1" t="s">
        <v>44</v>
      </c>
      <c r="B21" s="1">
        <v>30.354531</v>
      </c>
      <c r="C21" s="1">
        <v>28.764497</v>
      </c>
    </row>
    <row r="22">
      <c r="A22" s="1" t="s">
        <v>45</v>
      </c>
      <c r="B22" s="1">
        <v>28.756221</v>
      </c>
      <c r="C22" s="1">
        <v>29.879831</v>
      </c>
    </row>
    <row r="23">
      <c r="A23" s="1" t="s">
        <v>46</v>
      </c>
      <c r="B23" s="1">
        <v>29.856778</v>
      </c>
      <c r="C23" s="1">
        <v>31.685169</v>
      </c>
    </row>
    <row r="24">
      <c r="A24" s="1" t="s">
        <v>47</v>
      </c>
      <c r="B24" s="1">
        <v>31.657938</v>
      </c>
      <c r="C24" s="1">
        <v>29.028002</v>
      </c>
    </row>
    <row r="25">
      <c r="A25" s="1" t="s">
        <v>48</v>
      </c>
      <c r="B25" s="1">
        <v>29.0286</v>
      </c>
      <c r="C25" s="1">
        <v>29.038233</v>
      </c>
    </row>
    <row r="26">
      <c r="A26" s="1" t="s">
        <v>49</v>
      </c>
      <c r="B26" s="1">
        <v>29.028598</v>
      </c>
      <c r="C26" s="1">
        <v>27.213594</v>
      </c>
    </row>
    <row r="27">
      <c r="A27" s="1" t="s">
        <v>50</v>
      </c>
      <c r="B27" s="1">
        <v>27.216433</v>
      </c>
      <c r="C27" s="1">
        <v>23.406408</v>
      </c>
    </row>
    <row r="28">
      <c r="A28" s="1" t="s">
        <v>51</v>
      </c>
      <c r="B28" s="1">
        <v>23.403581</v>
      </c>
      <c r="C28" s="1">
        <v>22.547511</v>
      </c>
    </row>
    <row r="29">
      <c r="A29" s="1" t="s">
        <v>52</v>
      </c>
      <c r="B29" s="1">
        <v>22.568763</v>
      </c>
      <c r="C29" s="1">
        <v>24.737662</v>
      </c>
    </row>
    <row r="30">
      <c r="A30" s="1" t="s">
        <v>53</v>
      </c>
      <c r="B30" s="1">
        <v>24.745245</v>
      </c>
      <c r="C30" s="1">
        <v>26.142291</v>
      </c>
    </row>
    <row r="31">
      <c r="A31" s="1" t="s">
        <v>54</v>
      </c>
      <c r="B31" s="1">
        <v>26.1629</v>
      </c>
      <c r="C31" s="1">
        <v>27.668753</v>
      </c>
    </row>
    <row r="32">
      <c r="A32" s="1" t="s">
        <v>55</v>
      </c>
      <c r="B32" s="1">
        <v>27.664586</v>
      </c>
      <c r="C32" s="1">
        <v>26.395217</v>
      </c>
    </row>
    <row r="33">
      <c r="A33" s="1" t="s">
        <v>56</v>
      </c>
      <c r="B33" s="1">
        <v>26.409517</v>
      </c>
      <c r="C33" s="1">
        <v>23.665715</v>
      </c>
    </row>
    <row r="34">
      <c r="A34" s="1" t="s">
        <v>57</v>
      </c>
      <c r="B34" s="1">
        <v>23.721279</v>
      </c>
      <c r="C34" s="1">
        <v>24.621519</v>
      </c>
    </row>
    <row r="35">
      <c r="A35" s="1" t="s">
        <v>58</v>
      </c>
      <c r="B35" s="1">
        <v>24.616337</v>
      </c>
      <c r="C35" s="1">
        <v>22.979878</v>
      </c>
    </row>
    <row r="36">
      <c r="A36" s="1" t="s">
        <v>59</v>
      </c>
      <c r="B36" s="1">
        <v>22.975042</v>
      </c>
      <c r="C36" s="1">
        <v>24.560332</v>
      </c>
    </row>
    <row r="37">
      <c r="A37" s="1" t="s">
        <v>60</v>
      </c>
      <c r="B37" s="1">
        <v>24.56346</v>
      </c>
      <c r="C37" s="1">
        <v>24.157432</v>
      </c>
    </row>
    <row r="38">
      <c r="A38" s="1" t="s">
        <v>61</v>
      </c>
      <c r="B38" s="1">
        <v>24.158524</v>
      </c>
      <c r="C38" s="1">
        <v>25.980366</v>
      </c>
    </row>
    <row r="39">
      <c r="A39" s="1" t="s">
        <v>62</v>
      </c>
      <c r="B39" s="1">
        <v>25.980069</v>
      </c>
      <c r="C39" s="1">
        <v>24.574125</v>
      </c>
    </row>
    <row r="40">
      <c r="A40" s="1" t="s">
        <v>63</v>
      </c>
      <c r="B40" s="1">
        <v>24.576673</v>
      </c>
      <c r="C40" s="1">
        <v>24.486859</v>
      </c>
    </row>
    <row r="41">
      <c r="A41" s="1" t="s">
        <v>64</v>
      </c>
      <c r="B41" s="1">
        <v>24.492165</v>
      </c>
      <c r="C41" s="1">
        <v>24.390756</v>
      </c>
    </row>
    <row r="42">
      <c r="A42" s="1" t="s">
        <v>65</v>
      </c>
      <c r="B42" s="1">
        <v>24.393867</v>
      </c>
      <c r="C42" s="1">
        <v>22.051093</v>
      </c>
    </row>
    <row r="43">
      <c r="A43" s="1" t="s">
        <v>66</v>
      </c>
      <c r="B43" s="1">
        <v>22.054148</v>
      </c>
      <c r="C43" s="1">
        <v>19.889293</v>
      </c>
    </row>
    <row r="44">
      <c r="A44" s="1" t="s">
        <v>67</v>
      </c>
      <c r="B44" s="1">
        <v>19.883947</v>
      </c>
      <c r="C44" s="1">
        <v>17.273795</v>
      </c>
    </row>
    <row r="45">
      <c r="A45" s="1" t="s">
        <v>68</v>
      </c>
      <c r="B45" s="1">
        <v>17.264363</v>
      </c>
      <c r="C45" s="1">
        <v>16.094806</v>
      </c>
    </row>
    <row r="46">
      <c r="A46" s="1" t="s">
        <v>69</v>
      </c>
      <c r="B46" s="1">
        <v>16.075291</v>
      </c>
      <c r="C46" s="1">
        <v>16.53493</v>
      </c>
    </row>
    <row r="47">
      <c r="A47" s="1" t="s">
        <v>70</v>
      </c>
      <c r="B47" s="1">
        <v>16.55134</v>
      </c>
      <c r="C47" s="1">
        <v>18.291092</v>
      </c>
    </row>
    <row r="48">
      <c r="A48" s="1" t="s">
        <v>71</v>
      </c>
      <c r="B48" s="1">
        <v>18.291265</v>
      </c>
      <c r="C48" s="1">
        <v>15.775665</v>
      </c>
    </row>
    <row r="49">
      <c r="A49" s="1" t="s">
        <v>72</v>
      </c>
      <c r="B49" s="1">
        <v>15.777156</v>
      </c>
      <c r="C49" s="1">
        <v>15.954594</v>
      </c>
    </row>
    <row r="50">
      <c r="A50" s="1" t="s">
        <v>73</v>
      </c>
      <c r="B50" s="1">
        <v>15.973566</v>
      </c>
      <c r="C50" s="1">
        <v>14.805962</v>
      </c>
    </row>
    <row r="51">
      <c r="A51" s="1" t="s">
        <v>74</v>
      </c>
      <c r="B51" s="1">
        <v>14.819876</v>
      </c>
      <c r="C51" s="1">
        <v>16.142167</v>
      </c>
    </row>
    <row r="52">
      <c r="A52" s="1" t="s">
        <v>75</v>
      </c>
      <c r="B52" s="1">
        <v>16.144077</v>
      </c>
      <c r="C52" s="1">
        <v>17.079374</v>
      </c>
    </row>
    <row r="53">
      <c r="A53" s="1" t="s">
        <v>76</v>
      </c>
      <c r="B53" s="1">
        <v>17.076136</v>
      </c>
      <c r="C53" s="1">
        <v>16.886846</v>
      </c>
    </row>
    <row r="54">
      <c r="A54" s="1" t="s">
        <v>77</v>
      </c>
      <c r="B54" s="1">
        <v>16.894963</v>
      </c>
      <c r="C54" s="1">
        <v>16.052192</v>
      </c>
    </row>
    <row r="55">
      <c r="A55" s="1" t="s">
        <v>78</v>
      </c>
      <c r="B55" s="1">
        <v>16.069867</v>
      </c>
      <c r="C55" s="1">
        <v>18.27487</v>
      </c>
    </row>
    <row r="56">
      <c r="A56" s="1" t="s">
        <v>79</v>
      </c>
      <c r="B56" s="1">
        <v>18.271539</v>
      </c>
      <c r="C56" s="1">
        <v>20.357311</v>
      </c>
    </row>
    <row r="57">
      <c r="A57" s="1" t="s">
        <v>80</v>
      </c>
      <c r="B57" s="1">
        <v>20.179812</v>
      </c>
      <c r="C57" s="1">
        <v>21.338626</v>
      </c>
    </row>
    <row r="58">
      <c r="A58" s="1" t="s">
        <v>81</v>
      </c>
      <c r="B58" s="1">
        <v>21.359284</v>
      </c>
      <c r="C58" s="1">
        <v>19.718908</v>
      </c>
    </row>
    <row r="59">
      <c r="A59" s="1" t="s">
        <v>82</v>
      </c>
      <c r="B59" s="1">
        <v>19.70914</v>
      </c>
      <c r="C59" s="1">
        <v>19.292453</v>
      </c>
    </row>
    <row r="60">
      <c r="A60" s="1" t="s">
        <v>83</v>
      </c>
      <c r="B60" s="1">
        <v>19.312528</v>
      </c>
      <c r="C60" s="1">
        <v>18.089403</v>
      </c>
    </row>
    <row r="61">
      <c r="A61" s="1" t="s">
        <v>84</v>
      </c>
      <c r="B61" s="1">
        <v>18.081175</v>
      </c>
      <c r="C61" s="1">
        <v>17.767912</v>
      </c>
    </row>
    <row r="62">
      <c r="A62" s="1" t="s">
        <v>85</v>
      </c>
      <c r="B62" s="1">
        <v>17.777767</v>
      </c>
      <c r="C62" s="1">
        <v>16.966402</v>
      </c>
    </row>
    <row r="63">
      <c r="A63" s="1" t="s">
        <v>86</v>
      </c>
      <c r="B63" s="1">
        <v>16.961424</v>
      </c>
      <c r="C63" s="1">
        <v>16.095663</v>
      </c>
    </row>
    <row r="64">
      <c r="A64" s="1" t="s">
        <v>87</v>
      </c>
      <c r="B64" s="1">
        <v>16.101998</v>
      </c>
      <c r="C64" s="1">
        <v>16.298605</v>
      </c>
    </row>
    <row r="65">
      <c r="A65" s="1" t="s">
        <v>88</v>
      </c>
      <c r="B65" s="1">
        <v>16.309646</v>
      </c>
      <c r="C65" s="1">
        <v>16.632958</v>
      </c>
    </row>
    <row r="66">
      <c r="A66" s="1" t="s">
        <v>89</v>
      </c>
      <c r="B66" s="1">
        <v>16.629297</v>
      </c>
      <c r="C66" s="1">
        <v>17.89236</v>
      </c>
    </row>
    <row r="67">
      <c r="A67" s="1" t="s">
        <v>90</v>
      </c>
      <c r="B67" s="1">
        <v>17.902831</v>
      </c>
      <c r="C67" s="1">
        <v>18.040005</v>
      </c>
    </row>
    <row r="68">
      <c r="A68" s="1" t="s">
        <v>91</v>
      </c>
      <c r="B68" s="1">
        <v>18.023312</v>
      </c>
      <c r="C68" s="1">
        <v>19.149615</v>
      </c>
    </row>
    <row r="69">
      <c r="A69" s="1" t="s">
        <v>92</v>
      </c>
      <c r="B69" s="1">
        <v>19.158511</v>
      </c>
      <c r="C69" s="1">
        <v>20.174779</v>
      </c>
    </row>
    <row r="70">
      <c r="A70" s="1" t="s">
        <v>93</v>
      </c>
      <c r="B70" s="1">
        <v>20.180845</v>
      </c>
      <c r="C70" s="1">
        <v>19.709131</v>
      </c>
    </row>
    <row r="71">
      <c r="A71" s="1" t="s">
        <v>94</v>
      </c>
      <c r="B71" s="1">
        <v>19.710246</v>
      </c>
      <c r="C71" s="1">
        <v>19.896131</v>
      </c>
    </row>
    <row r="72">
      <c r="A72" s="1" t="s">
        <v>95</v>
      </c>
      <c r="B72" s="1">
        <v>19.889906</v>
      </c>
      <c r="C72" s="1">
        <v>19.147684</v>
      </c>
    </row>
    <row r="73">
      <c r="A73" s="1" t="s">
        <v>96</v>
      </c>
      <c r="B73" s="1">
        <v>19.157698</v>
      </c>
      <c r="C73" s="1">
        <v>17.325727</v>
      </c>
    </row>
    <row r="74">
      <c r="A74" s="1" t="s">
        <v>97</v>
      </c>
      <c r="B74" s="1">
        <v>17.314704</v>
      </c>
      <c r="C74" s="1">
        <v>16.726783</v>
      </c>
    </row>
    <row r="75">
      <c r="A75" s="1" t="s">
        <v>98</v>
      </c>
      <c r="B75" s="1">
        <v>16.730529</v>
      </c>
      <c r="C75" s="1">
        <v>18.814853</v>
      </c>
    </row>
    <row r="76">
      <c r="A76" s="1" t="s">
        <v>99</v>
      </c>
      <c r="B76" s="1">
        <v>18.811775</v>
      </c>
      <c r="C76" s="1">
        <v>19.744766</v>
      </c>
    </row>
    <row r="77">
      <c r="A77" s="1" t="s">
        <v>100</v>
      </c>
      <c r="B77" s="1">
        <v>19.74532</v>
      </c>
      <c r="C77" s="1">
        <v>19.26238</v>
      </c>
    </row>
    <row r="78">
      <c r="A78" s="1" t="s">
        <v>101</v>
      </c>
      <c r="B78" s="1">
        <v>19.364371</v>
      </c>
      <c r="C78" s="1">
        <v>21.241773</v>
      </c>
    </row>
    <row r="79">
      <c r="A79" s="1" t="s">
        <v>102</v>
      </c>
      <c r="B79" s="1">
        <v>21.240712</v>
      </c>
      <c r="C79" s="1">
        <v>20.614601</v>
      </c>
    </row>
    <row r="80">
      <c r="A80" s="1" t="s">
        <v>103</v>
      </c>
      <c r="B80" s="1">
        <v>20.617041</v>
      </c>
      <c r="C80" s="1">
        <v>23.962282</v>
      </c>
    </row>
    <row r="81">
      <c r="A81" s="1" t="s">
        <v>104</v>
      </c>
      <c r="B81" s="1">
        <v>23.951779</v>
      </c>
      <c r="C81" s="1">
        <v>24.743644</v>
      </c>
    </row>
    <row r="82">
      <c r="A82" s="1" t="s">
        <v>105</v>
      </c>
      <c r="B82" s="1">
        <v>24.71253</v>
      </c>
      <c r="C82" s="1">
        <v>23.58978</v>
      </c>
    </row>
    <row r="83">
      <c r="A83" s="1" t="s">
        <v>106</v>
      </c>
      <c r="B83" s="1">
        <v>23.584925</v>
      </c>
      <c r="C83" s="1">
        <v>25.005085</v>
      </c>
    </row>
    <row r="84">
      <c r="A84" s="1" t="s">
        <v>107</v>
      </c>
      <c r="B84" s="1">
        <v>24.987522</v>
      </c>
      <c r="C84" s="1">
        <v>23.633722</v>
      </c>
    </row>
    <row r="85">
      <c r="A85" s="1" t="s">
        <v>108</v>
      </c>
      <c r="B85" s="1">
        <v>23.607178</v>
      </c>
      <c r="C85" s="1">
        <v>23.612728</v>
      </c>
    </row>
    <row r="86">
      <c r="A86" s="1" t="s">
        <v>109</v>
      </c>
      <c r="B86" s="1">
        <v>23.596442</v>
      </c>
      <c r="C86" s="1">
        <v>23.806215</v>
      </c>
    </row>
    <row r="87">
      <c r="A87" s="1" t="s">
        <v>110</v>
      </c>
      <c r="B87" s="1">
        <v>23.797924</v>
      </c>
      <c r="C87" s="1">
        <v>20.916894</v>
      </c>
    </row>
    <row r="88">
      <c r="A88" s="1" t="s">
        <v>111</v>
      </c>
      <c r="B88" s="1">
        <v>20.922223</v>
      </c>
      <c r="C88" s="1">
        <v>20.710512</v>
      </c>
    </row>
    <row r="89">
      <c r="A89" s="1" t="s">
        <v>112</v>
      </c>
      <c r="B89" s="1">
        <v>20.720398</v>
      </c>
      <c r="C89" s="1">
        <v>23.441953</v>
      </c>
    </row>
    <row r="90">
      <c r="A90" s="1" t="s">
        <v>113</v>
      </c>
      <c r="B90" s="1">
        <v>23.44806</v>
      </c>
      <c r="C90" s="1">
        <v>24.212016</v>
      </c>
    </row>
    <row r="91">
      <c r="A91" s="1" t="s">
        <v>114</v>
      </c>
      <c r="B91" s="1">
        <v>24.252185</v>
      </c>
      <c r="C91" s="1">
        <v>24.493373</v>
      </c>
    </row>
    <row r="92">
      <c r="A92" s="1" t="s">
        <v>115</v>
      </c>
      <c r="B92" s="1">
        <v>24.509323</v>
      </c>
      <c r="C92" s="1">
        <v>24.236113</v>
      </c>
    </row>
    <row r="93">
      <c r="A93" s="1" t="s">
        <v>116</v>
      </c>
      <c r="B93" s="1">
        <v>24.241983</v>
      </c>
      <c r="C93" s="1">
        <v>23.736883</v>
      </c>
    </row>
    <row r="94">
      <c r="A94" s="1" t="s">
        <v>117</v>
      </c>
      <c r="B94" s="1">
        <v>23.732635</v>
      </c>
      <c r="C94" s="1">
        <v>23.558791</v>
      </c>
    </row>
    <row r="95">
      <c r="A95" s="1" t="s">
        <v>118</v>
      </c>
      <c r="B95" s="1">
        <v>23.590889</v>
      </c>
      <c r="C95" s="1">
        <v>22.85255</v>
      </c>
    </row>
    <row r="96">
      <c r="A96" s="1" t="s">
        <v>119</v>
      </c>
      <c r="B96" s="1">
        <v>22.855865</v>
      </c>
      <c r="C96" s="1">
        <v>23.064744</v>
      </c>
    </row>
    <row r="97">
      <c r="A97" s="1" t="s">
        <v>120</v>
      </c>
      <c r="B97" s="1">
        <v>23.045197</v>
      </c>
      <c r="C97" s="1">
        <v>23.385718</v>
      </c>
    </row>
    <row r="98">
      <c r="A98" s="1" t="s">
        <v>121</v>
      </c>
      <c r="B98" s="1">
        <v>23.363659</v>
      </c>
      <c r="C98" s="1">
        <v>24.967126</v>
      </c>
    </row>
    <row r="99">
      <c r="A99" s="1" t="s">
        <v>122</v>
      </c>
      <c r="B99" s="1">
        <v>24.999777</v>
      </c>
      <c r="C99" s="1">
        <v>26.651957</v>
      </c>
    </row>
    <row r="100">
      <c r="A100" s="1" t="s">
        <v>123</v>
      </c>
      <c r="B100" s="1">
        <v>26.639017</v>
      </c>
      <c r="C100" s="1">
        <v>27.891821</v>
      </c>
    </row>
    <row r="101">
      <c r="A101" s="1" t="s">
        <v>124</v>
      </c>
      <c r="B101" s="1">
        <v>27.895884</v>
      </c>
      <c r="C101" s="1">
        <v>27.960851</v>
      </c>
    </row>
    <row r="102">
      <c r="A102" s="1" t="s">
        <v>125</v>
      </c>
      <c r="B102" s="1">
        <v>27.908204</v>
      </c>
      <c r="C102" s="1">
        <v>27.42158</v>
      </c>
    </row>
    <row r="103">
      <c r="A103" s="1" t="s">
        <v>126</v>
      </c>
      <c r="B103" s="1">
        <v>27.405902</v>
      </c>
      <c r="C103" s="1">
        <v>29.202708</v>
      </c>
    </row>
    <row r="104">
      <c r="A104" s="1" t="s">
        <v>127</v>
      </c>
      <c r="B104" s="1">
        <v>29.175582</v>
      </c>
      <c r="C104" s="1">
        <v>28.541443</v>
      </c>
    </row>
    <row r="105">
      <c r="A105" s="1" t="s">
        <v>128</v>
      </c>
      <c r="B105" s="1">
        <v>28.545856</v>
      </c>
      <c r="C105" s="1">
        <v>29.396383</v>
      </c>
    </row>
    <row r="106">
      <c r="A106" s="1" t="s">
        <v>129</v>
      </c>
      <c r="B106" s="1">
        <v>29.347312</v>
      </c>
      <c r="C106" s="1">
        <v>29.171212</v>
      </c>
    </row>
    <row r="107">
      <c r="A107" s="1" t="s">
        <v>130</v>
      </c>
      <c r="B107" s="1">
        <v>29.178951</v>
      </c>
      <c r="C107" s="1">
        <v>28.181573</v>
      </c>
    </row>
    <row r="108">
      <c r="A108" s="1" t="s">
        <v>131</v>
      </c>
      <c r="B108" s="1">
        <v>28.195056</v>
      </c>
      <c r="C108" s="1">
        <v>27.891008</v>
      </c>
    </row>
    <row r="109">
      <c r="A109" s="1" t="s">
        <v>132</v>
      </c>
      <c r="B109" s="1">
        <v>27.877038</v>
      </c>
      <c r="C109" s="1">
        <v>27.082787</v>
      </c>
    </row>
    <row r="110">
      <c r="A110" s="1" t="s">
        <v>133</v>
      </c>
      <c r="B110" s="1">
        <v>27.117121</v>
      </c>
      <c r="C110" s="1">
        <v>25.554677</v>
      </c>
    </row>
    <row r="111">
      <c r="A111" s="1" t="s">
        <v>134</v>
      </c>
      <c r="B111" s="1">
        <v>25.563838</v>
      </c>
      <c r="C111" s="1">
        <v>24.207816</v>
      </c>
    </row>
    <row r="112">
      <c r="A112" s="1" t="s">
        <v>135</v>
      </c>
      <c r="B112" s="1">
        <v>24.20345</v>
      </c>
      <c r="C112" s="1">
        <v>22.443036</v>
      </c>
    </row>
    <row r="113">
      <c r="A113" s="1" t="s">
        <v>136</v>
      </c>
      <c r="B113" s="1">
        <v>22.447271</v>
      </c>
      <c r="C113" s="1">
        <v>22.299133</v>
      </c>
    </row>
    <row r="114">
      <c r="A114" s="1" t="s">
        <v>137</v>
      </c>
      <c r="B114" s="1">
        <v>22.309797</v>
      </c>
      <c r="C114" s="1">
        <v>22.968476</v>
      </c>
    </row>
    <row r="115">
      <c r="A115" s="1" t="s">
        <v>138</v>
      </c>
      <c r="B115" s="1">
        <v>22.980526</v>
      </c>
      <c r="C115" s="1">
        <v>22.557049</v>
      </c>
    </row>
    <row r="116">
      <c r="A116" s="1" t="s">
        <v>139</v>
      </c>
      <c r="B116" s="1">
        <v>22.562349</v>
      </c>
      <c r="C116" s="1">
        <v>23.504066</v>
      </c>
    </row>
    <row r="117">
      <c r="A117" s="1" t="s">
        <v>140</v>
      </c>
      <c r="B117" s="1">
        <v>23.520357</v>
      </c>
      <c r="C117" s="1">
        <v>23.008819</v>
      </c>
    </row>
    <row r="118">
      <c r="A118" s="1" t="s">
        <v>141</v>
      </c>
      <c r="B118" s="1">
        <v>23.005865</v>
      </c>
      <c r="C118" s="1">
        <v>22.988136</v>
      </c>
    </row>
    <row r="119">
      <c r="A119" s="1" t="s">
        <v>142</v>
      </c>
      <c r="B119" s="1">
        <v>22.986977</v>
      </c>
      <c r="C119" s="1">
        <v>20.665675</v>
      </c>
    </row>
    <row r="120">
      <c r="A120" s="1" t="s">
        <v>143</v>
      </c>
      <c r="B120" s="1">
        <v>20.655555</v>
      </c>
      <c r="C120" s="1">
        <v>20.03147</v>
      </c>
    </row>
    <row r="121">
      <c r="A121" s="1" t="s">
        <v>144</v>
      </c>
      <c r="B121" s="1">
        <v>20.066664</v>
      </c>
      <c r="C121" s="1">
        <v>18.531691</v>
      </c>
    </row>
    <row r="122">
      <c r="A122" s="1" t="s">
        <v>145</v>
      </c>
      <c r="B122" s="1">
        <v>18.531719</v>
      </c>
      <c r="C122" s="1">
        <v>19.322205</v>
      </c>
    </row>
    <row r="123">
      <c r="A123" s="1" t="s">
        <v>146</v>
      </c>
      <c r="B123" s="1">
        <v>19.323519</v>
      </c>
      <c r="C123" s="1">
        <v>19.387423</v>
      </c>
    </row>
    <row r="124">
      <c r="A124" s="1" t="s">
        <v>147</v>
      </c>
      <c r="B124" s="1">
        <v>19.402014</v>
      </c>
      <c r="C124" s="1">
        <v>19.138475</v>
      </c>
    </row>
    <row r="125">
      <c r="A125" s="1" t="s">
        <v>148</v>
      </c>
      <c r="B125" s="1">
        <v>19.137109</v>
      </c>
      <c r="C125" s="1">
        <v>19.320073</v>
      </c>
    </row>
    <row r="126">
      <c r="A126" s="1" t="s">
        <v>149</v>
      </c>
      <c r="B126" s="1">
        <v>19.323803</v>
      </c>
      <c r="C126" s="1">
        <v>18.87556</v>
      </c>
    </row>
    <row r="127">
      <c r="A127" s="1" t="s">
        <v>150</v>
      </c>
      <c r="B127" s="1">
        <v>18.862589</v>
      </c>
      <c r="C127" s="1">
        <v>18.890974</v>
      </c>
    </row>
    <row r="128">
      <c r="A128" s="1" t="s">
        <v>151</v>
      </c>
      <c r="B128" s="1">
        <v>18.888687</v>
      </c>
      <c r="C128" s="1">
        <v>19.010447</v>
      </c>
    </row>
    <row r="129">
      <c r="A129" s="1" t="s">
        <v>152</v>
      </c>
      <c r="B129" s="1">
        <v>19.024016</v>
      </c>
      <c r="C129" s="1">
        <v>19.440163</v>
      </c>
    </row>
    <row r="130">
      <c r="A130" s="1" t="s">
        <v>153</v>
      </c>
      <c r="B130" s="1">
        <v>19.452503</v>
      </c>
      <c r="C130" s="1">
        <v>18.206841</v>
      </c>
    </row>
    <row r="131">
      <c r="A131" s="1" t="s">
        <v>154</v>
      </c>
      <c r="B131" s="1">
        <v>18.208902</v>
      </c>
      <c r="C131" s="1">
        <v>19.005778</v>
      </c>
    </row>
    <row r="132">
      <c r="A132" s="1" t="s">
        <v>155</v>
      </c>
      <c r="B132" s="1">
        <v>18.998738</v>
      </c>
      <c r="C132" s="1">
        <v>19.136931</v>
      </c>
    </row>
    <row r="133">
      <c r="A133" s="1" t="s">
        <v>156</v>
      </c>
      <c r="B133" s="1">
        <v>19.139017</v>
      </c>
      <c r="C133" s="1">
        <v>20.395314</v>
      </c>
    </row>
    <row r="134">
      <c r="A134" s="1" t="s">
        <v>157</v>
      </c>
      <c r="B134" s="1">
        <v>20.39888</v>
      </c>
      <c r="C134" s="1">
        <v>20.4509</v>
      </c>
    </row>
    <row r="135">
      <c r="A135" s="1" t="s">
        <v>158</v>
      </c>
      <c r="B135" s="1">
        <v>20.454861</v>
      </c>
      <c r="C135" s="1">
        <v>20.674826</v>
      </c>
    </row>
    <row r="136">
      <c r="A136" s="1" t="s">
        <v>159</v>
      </c>
      <c r="B136" s="1">
        <v>20.680922</v>
      </c>
      <c r="C136" s="1">
        <v>21.388076</v>
      </c>
    </row>
    <row r="137">
      <c r="A137" s="1" t="s">
        <v>160</v>
      </c>
      <c r="B137" s="1">
        <v>21.383722</v>
      </c>
      <c r="C137" s="1">
        <v>18.869197</v>
      </c>
    </row>
    <row r="138">
      <c r="A138" s="1" t="s">
        <v>161</v>
      </c>
      <c r="B138" s="1">
        <v>18.866133</v>
      </c>
      <c r="C138" s="1">
        <v>19.123534</v>
      </c>
    </row>
    <row r="139">
      <c r="A139" s="1" t="s">
        <v>162</v>
      </c>
      <c r="B139" s="1">
        <v>19.118054</v>
      </c>
      <c r="C139" s="1">
        <v>18.203241</v>
      </c>
    </row>
    <row r="140">
      <c r="A140" s="1" t="s">
        <v>163</v>
      </c>
      <c r="B140" s="1">
        <v>18.204834</v>
      </c>
      <c r="C140" s="1">
        <v>18.053415</v>
      </c>
    </row>
    <row r="141">
      <c r="A141" s="1" t="s">
        <v>164</v>
      </c>
      <c r="B141" s="1">
        <v>18.050851</v>
      </c>
      <c r="C141" s="1">
        <v>18.44647</v>
      </c>
    </row>
    <row r="142">
      <c r="A142" s="1" t="s">
        <v>165</v>
      </c>
      <c r="B142" s="1">
        <v>18.479515</v>
      </c>
      <c r="C142" s="1">
        <v>16.702887</v>
      </c>
    </row>
    <row r="143">
      <c r="A143" s="1" t="s">
        <v>166</v>
      </c>
      <c r="B143" s="1">
        <v>16.707328</v>
      </c>
      <c r="C143" s="1">
        <v>17.293431</v>
      </c>
    </row>
    <row r="144">
      <c r="A144" s="1" t="s">
        <v>167</v>
      </c>
      <c r="B144" s="1">
        <v>17.283267</v>
      </c>
      <c r="C144" s="1">
        <v>16.658842</v>
      </c>
    </row>
    <row r="145">
      <c r="A145" s="1" t="s">
        <v>168</v>
      </c>
      <c r="B145" s="1">
        <v>16.650762</v>
      </c>
      <c r="C145" s="1">
        <v>16.545439</v>
      </c>
    </row>
    <row r="146">
      <c r="A146" s="1" t="s">
        <v>169</v>
      </c>
      <c r="B146" s="1">
        <v>16.540644</v>
      </c>
      <c r="C146" s="1">
        <v>17.682482</v>
      </c>
    </row>
    <row r="147">
      <c r="A147" s="1" t="s">
        <v>170</v>
      </c>
      <c r="B147" s="1">
        <v>17.684581</v>
      </c>
      <c r="C147" s="1">
        <v>17.966704</v>
      </c>
    </row>
    <row r="148">
      <c r="A148" s="1" t="s">
        <v>171</v>
      </c>
      <c r="B148" s="1">
        <v>17.972192</v>
      </c>
      <c r="C148" s="1">
        <v>17.602071</v>
      </c>
    </row>
    <row r="149">
      <c r="A149" s="1" t="s">
        <v>172</v>
      </c>
      <c r="B149" s="1">
        <v>17.606335</v>
      </c>
      <c r="C149" s="1">
        <v>17.32221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2.68627128404892E8</v>
      </c>
    </row>
    <row r="3">
      <c r="A3" s="1" t="s">
        <v>26</v>
      </c>
      <c r="B3" s="1">
        <v>2.68623914966897E8</v>
      </c>
    </row>
    <row r="4">
      <c r="A4" s="1" t="s">
        <v>27</v>
      </c>
      <c r="B4" s="1">
        <v>2.68623016892993E8</v>
      </c>
    </row>
    <row r="5">
      <c r="A5" s="1" t="s">
        <v>28</v>
      </c>
      <c r="B5" s="1">
        <v>2.68793826905417E8</v>
      </c>
    </row>
    <row r="6">
      <c r="A6" s="1" t="s">
        <v>29</v>
      </c>
      <c r="B6" s="1">
        <v>2.68783959649463E8</v>
      </c>
    </row>
    <row r="7">
      <c r="A7" s="1" t="s">
        <v>30</v>
      </c>
      <c r="B7" s="1">
        <v>2.68936889169057E8</v>
      </c>
    </row>
    <row r="8">
      <c r="A8" s="1" t="s">
        <v>31</v>
      </c>
      <c r="B8" s="1">
        <v>2.68954393114351E8</v>
      </c>
    </row>
    <row r="9">
      <c r="A9" s="1" t="s">
        <v>32</v>
      </c>
      <c r="B9" s="1">
        <v>2.6895160259934E8</v>
      </c>
    </row>
    <row r="10">
      <c r="A10" s="1" t="s">
        <v>33</v>
      </c>
      <c r="B10" s="1">
        <v>2.68976332293419E8</v>
      </c>
    </row>
    <row r="11">
      <c r="A11" s="1" t="s">
        <v>34</v>
      </c>
      <c r="B11" s="1">
        <v>2.68968457113569E8</v>
      </c>
    </row>
    <row r="12">
      <c r="A12" s="1" t="s">
        <v>35</v>
      </c>
      <c r="B12" s="1">
        <v>2.68947954013449E8</v>
      </c>
    </row>
    <row r="13">
      <c r="A13" s="1" t="s">
        <v>36</v>
      </c>
      <c r="B13" s="1">
        <v>2.68929095820024E8</v>
      </c>
    </row>
    <row r="14">
      <c r="A14" s="1" t="s">
        <v>37</v>
      </c>
      <c r="B14" s="1">
        <v>2.68931907541479E8</v>
      </c>
    </row>
    <row r="15">
      <c r="A15" s="1" t="s">
        <v>38</v>
      </c>
      <c r="B15" s="1">
        <v>2.68945820341468E8</v>
      </c>
    </row>
    <row r="16">
      <c r="A16" s="1" t="s">
        <v>39</v>
      </c>
      <c r="B16" s="1">
        <v>2.69103397061479E8</v>
      </c>
    </row>
    <row r="17">
      <c r="A17" s="1" t="s">
        <v>40</v>
      </c>
      <c r="B17" s="1">
        <v>2.69112211327227E8</v>
      </c>
    </row>
    <row r="18">
      <c r="A18" s="1" t="s">
        <v>41</v>
      </c>
      <c r="B18" s="1">
        <v>2.69113069320703E8</v>
      </c>
    </row>
    <row r="19">
      <c r="A19" s="1" t="s">
        <v>42</v>
      </c>
      <c r="B19" s="1">
        <v>2.69113150669948E8</v>
      </c>
    </row>
    <row r="20">
      <c r="A20" s="1" t="s">
        <v>43</v>
      </c>
      <c r="B20" s="1">
        <v>2.69113027620529E8</v>
      </c>
    </row>
    <row r="21">
      <c r="A21" s="1" t="s">
        <v>44</v>
      </c>
      <c r="B21" s="1">
        <v>2.69119627119384E8</v>
      </c>
    </row>
    <row r="22">
      <c r="A22" s="1" t="s">
        <v>45</v>
      </c>
      <c r="B22" s="1">
        <v>2.69119447848031E8</v>
      </c>
    </row>
    <row r="23">
      <c r="A23" s="1" t="s">
        <v>46</v>
      </c>
      <c r="B23" s="1">
        <v>2.6933112631268E8</v>
      </c>
    </row>
    <row r="24">
      <c r="A24" s="1" t="s">
        <v>47</v>
      </c>
      <c r="B24" s="1">
        <v>2.69341150523917E8</v>
      </c>
    </row>
    <row r="25">
      <c r="A25" s="1" t="s">
        <v>48</v>
      </c>
      <c r="B25" s="1">
        <v>2.70791540969178E8</v>
      </c>
    </row>
    <row r="26">
      <c r="A26" s="1" t="s">
        <v>49</v>
      </c>
      <c r="B26" s="1">
        <v>2.70795742302213E8</v>
      </c>
    </row>
    <row r="27">
      <c r="A27" s="1" t="s">
        <v>50</v>
      </c>
      <c r="B27" s="1">
        <v>2.70802215725872E8</v>
      </c>
    </row>
    <row r="28">
      <c r="A28" s="1" t="s">
        <v>51</v>
      </c>
      <c r="B28" s="1">
        <v>2.70806872930745E8</v>
      </c>
    </row>
    <row r="29">
      <c r="A29" s="1" t="s">
        <v>52</v>
      </c>
      <c r="B29" s="1">
        <v>2.71375213897582E8</v>
      </c>
    </row>
    <row r="30">
      <c r="A30" s="1" t="s">
        <v>53</v>
      </c>
      <c r="B30" s="1">
        <v>2.71376393325005E8</v>
      </c>
    </row>
    <row r="31">
      <c r="A31" s="1" t="s">
        <v>54</v>
      </c>
      <c r="B31" s="1">
        <v>2.71383996033269E8</v>
      </c>
    </row>
    <row r="32">
      <c r="A32" s="1" t="s">
        <v>55</v>
      </c>
      <c r="B32" s="1">
        <v>2.71400401420527E8</v>
      </c>
    </row>
    <row r="33">
      <c r="A33" s="1" t="s">
        <v>56</v>
      </c>
      <c r="B33" s="1">
        <v>2.71408046751526E8</v>
      </c>
    </row>
    <row r="34">
      <c r="A34" s="1" t="s">
        <v>57</v>
      </c>
      <c r="B34" s="1">
        <v>2.80766753151298E8</v>
      </c>
    </row>
    <row r="35">
      <c r="A35" s="1" t="s">
        <v>58</v>
      </c>
      <c r="B35" s="1">
        <v>2.80770973820404E8</v>
      </c>
    </row>
    <row r="36">
      <c r="A36" s="1" t="s">
        <v>59</v>
      </c>
      <c r="B36" s="1">
        <v>2.80808944448041E8</v>
      </c>
    </row>
    <row r="37">
      <c r="A37" s="1" t="s">
        <v>60</v>
      </c>
      <c r="B37" s="1">
        <v>2.80823930604573E8</v>
      </c>
    </row>
    <row r="38">
      <c r="A38" s="1" t="s">
        <v>61</v>
      </c>
      <c r="B38" s="1">
        <v>2.80832160265884E8</v>
      </c>
    </row>
    <row r="39">
      <c r="A39" s="1" t="s">
        <v>62</v>
      </c>
      <c r="B39" s="1">
        <v>2.80929443772301E8</v>
      </c>
    </row>
    <row r="40">
      <c r="A40" s="1" t="s">
        <v>63</v>
      </c>
      <c r="B40" s="1">
        <v>2.80935705757848E8</v>
      </c>
    </row>
    <row r="41">
      <c r="A41" s="1" t="s">
        <v>64</v>
      </c>
      <c r="B41" s="1">
        <v>2.80949960271285E8</v>
      </c>
    </row>
    <row r="42">
      <c r="A42" s="1" t="s">
        <v>65</v>
      </c>
      <c r="B42" s="1">
        <v>2.80971596977603E8</v>
      </c>
    </row>
    <row r="43">
      <c r="A43" s="1" t="s">
        <v>66</v>
      </c>
      <c r="B43" s="1">
        <v>2.80978229751759E8</v>
      </c>
    </row>
    <row r="44">
      <c r="A44" s="1" t="s">
        <v>67</v>
      </c>
      <c r="B44" s="1">
        <v>2.80980345694292E8</v>
      </c>
    </row>
    <row r="45">
      <c r="A45" s="1" t="s">
        <v>68</v>
      </c>
      <c r="B45" s="1">
        <v>2.80982716072991E8</v>
      </c>
    </row>
    <row r="46">
      <c r="A46" s="1" t="s">
        <v>69</v>
      </c>
      <c r="B46" s="1">
        <v>2.80991851341308E8</v>
      </c>
    </row>
    <row r="47">
      <c r="A47" s="1" t="s">
        <v>70</v>
      </c>
      <c r="B47" s="1">
        <v>2.80993230176532E8</v>
      </c>
    </row>
    <row r="48">
      <c r="A48" s="1" t="s">
        <v>71</v>
      </c>
      <c r="B48" s="1">
        <v>2.81012028648612E8</v>
      </c>
    </row>
    <row r="49">
      <c r="A49" s="1" t="s">
        <v>72</v>
      </c>
      <c r="B49" s="1">
        <v>2.81013153453492E8</v>
      </c>
    </row>
    <row r="50">
      <c r="A50" s="1" t="s">
        <v>73</v>
      </c>
      <c r="B50" s="1">
        <v>2.81011091003218E8</v>
      </c>
    </row>
    <row r="51">
      <c r="A51" s="1" t="s">
        <v>74</v>
      </c>
      <c r="B51" s="1">
        <v>2.81031218244532E8</v>
      </c>
    </row>
    <row r="52">
      <c r="A52" s="1" t="s">
        <v>75</v>
      </c>
      <c r="B52" s="1">
        <v>2.81044415376601E8</v>
      </c>
    </row>
    <row r="53">
      <c r="A53" s="1" t="s">
        <v>76</v>
      </c>
      <c r="B53" s="1">
        <v>2.81077769403529E8</v>
      </c>
    </row>
    <row r="54">
      <c r="A54" s="1" t="s">
        <v>77</v>
      </c>
      <c r="B54" s="1">
        <v>2.81199802954451E8</v>
      </c>
    </row>
    <row r="55">
      <c r="A55" s="1" t="s">
        <v>78</v>
      </c>
      <c r="B55" s="1">
        <v>2.8136707118576E8</v>
      </c>
    </row>
    <row r="56">
      <c r="A56" s="1" t="s">
        <v>79</v>
      </c>
      <c r="B56" s="1">
        <v>2.81534864536761E8</v>
      </c>
    </row>
    <row r="57">
      <c r="A57" s="1" t="s">
        <v>80</v>
      </c>
      <c r="B57" s="1">
        <v>2.81670708159019E8</v>
      </c>
    </row>
    <row r="58">
      <c r="A58" s="1" t="s">
        <v>81</v>
      </c>
      <c r="B58" s="1">
        <v>2.81831368352135E8</v>
      </c>
    </row>
    <row r="59">
      <c r="A59" s="1" t="s">
        <v>82</v>
      </c>
      <c r="B59" s="1">
        <v>2.81999094574317E8</v>
      </c>
    </row>
    <row r="60">
      <c r="A60" s="1" t="s">
        <v>83</v>
      </c>
      <c r="B60" s="1">
        <v>2.82155185123696E8</v>
      </c>
    </row>
    <row r="61">
      <c r="A61" s="1" t="s">
        <v>84</v>
      </c>
      <c r="B61" s="1">
        <v>2.82302525502339E8</v>
      </c>
    </row>
    <row r="62">
      <c r="A62" s="1" t="s">
        <v>85</v>
      </c>
      <c r="B62" s="1">
        <v>2.82366821172595E8</v>
      </c>
    </row>
    <row r="63">
      <c r="A63" s="1" t="s">
        <v>86</v>
      </c>
      <c r="B63" s="1">
        <v>2.82417305330826E8</v>
      </c>
    </row>
    <row r="64">
      <c r="A64" s="1" t="s">
        <v>87</v>
      </c>
      <c r="B64" s="1">
        <v>2.82469345255986E8</v>
      </c>
    </row>
    <row r="65">
      <c r="A65" s="1" t="s">
        <v>88</v>
      </c>
      <c r="B65" s="1">
        <v>2.82573057720252E8</v>
      </c>
    </row>
    <row r="66">
      <c r="A66" s="1" t="s">
        <v>89</v>
      </c>
      <c r="B66" s="1">
        <v>2.82651184443657E8</v>
      </c>
    </row>
    <row r="67">
      <c r="A67" s="1" t="s">
        <v>90</v>
      </c>
      <c r="B67" s="1">
        <v>2.82882857195296E8</v>
      </c>
    </row>
    <row r="68">
      <c r="A68" s="1" t="s">
        <v>91</v>
      </c>
      <c r="B68" s="1">
        <v>2.82965131597024E8</v>
      </c>
    </row>
    <row r="69">
      <c r="A69" s="1" t="s">
        <v>92</v>
      </c>
      <c r="B69" s="1">
        <v>2.83037898990242E8</v>
      </c>
    </row>
    <row r="70">
      <c r="A70" s="1" t="s">
        <v>93</v>
      </c>
      <c r="B70" s="1">
        <v>2.83131672677295E8</v>
      </c>
    </row>
    <row r="71">
      <c r="A71" s="1" t="s">
        <v>94</v>
      </c>
      <c r="B71" s="1">
        <v>2.83229016247874E8</v>
      </c>
    </row>
    <row r="72">
      <c r="A72" s="1" t="s">
        <v>95</v>
      </c>
      <c r="B72" s="1">
        <v>2.83315157315312E8</v>
      </c>
    </row>
    <row r="73">
      <c r="A73" s="1" t="s">
        <v>96</v>
      </c>
      <c r="B73" s="1">
        <v>2.8337613045985E8</v>
      </c>
    </row>
    <row r="74">
      <c r="A74" s="1" t="s">
        <v>97</v>
      </c>
      <c r="B74" s="1">
        <v>2.83452828663794E8</v>
      </c>
    </row>
    <row r="75">
      <c r="A75" s="1" t="s">
        <v>98</v>
      </c>
      <c r="B75" s="1">
        <v>2.83538565223786E8</v>
      </c>
    </row>
    <row r="76">
      <c r="A76" s="1" t="s">
        <v>99</v>
      </c>
      <c r="B76" s="1">
        <v>2.8362960077586E8</v>
      </c>
    </row>
    <row r="77">
      <c r="A77" s="1" t="s">
        <v>100</v>
      </c>
      <c r="B77" s="1">
        <v>2.83720446866376E8</v>
      </c>
    </row>
    <row r="78">
      <c r="A78" s="1" t="s">
        <v>101</v>
      </c>
      <c r="B78" s="1">
        <v>2.83839215123174E8</v>
      </c>
    </row>
    <row r="79">
      <c r="A79" s="1" t="s">
        <v>102</v>
      </c>
      <c r="B79" s="1">
        <v>2.83842803573867E8</v>
      </c>
    </row>
    <row r="80">
      <c r="A80" s="1" t="s">
        <v>103</v>
      </c>
      <c r="B80" s="1">
        <v>2.83854148057464E8</v>
      </c>
    </row>
    <row r="81">
      <c r="A81" s="1" t="s">
        <v>104</v>
      </c>
      <c r="B81" s="1">
        <v>2.83857595515193E8</v>
      </c>
    </row>
    <row r="82">
      <c r="A82" s="1" t="s">
        <v>105</v>
      </c>
      <c r="B82" s="1">
        <v>2.8387362335558E8</v>
      </c>
    </row>
    <row r="83">
      <c r="A83" s="1" t="s">
        <v>106</v>
      </c>
      <c r="B83" s="1">
        <v>2.838770620183E8</v>
      </c>
    </row>
    <row r="84">
      <c r="A84" s="1" t="s">
        <v>107</v>
      </c>
      <c r="B84" s="1">
        <v>2.83905767535898E8</v>
      </c>
    </row>
    <row r="85">
      <c r="A85" s="1" t="s">
        <v>108</v>
      </c>
      <c r="B85" s="1">
        <v>2.83909498992937E8</v>
      </c>
    </row>
    <row r="86">
      <c r="A86" s="1" t="s">
        <v>109</v>
      </c>
      <c r="B86" s="1">
        <v>2.8390957239145E8</v>
      </c>
    </row>
    <row r="87">
      <c r="A87" s="1" t="s">
        <v>110</v>
      </c>
      <c r="B87" s="1">
        <v>2.83914843227659E8</v>
      </c>
    </row>
    <row r="88">
      <c r="A88" s="1" t="s">
        <v>111</v>
      </c>
      <c r="B88" s="1">
        <v>2.83971695506935E8</v>
      </c>
    </row>
    <row r="89">
      <c r="A89" s="1" t="s">
        <v>112</v>
      </c>
      <c r="B89" s="1">
        <v>2.83972790827875E8</v>
      </c>
    </row>
    <row r="90">
      <c r="A90" s="1" t="s">
        <v>113</v>
      </c>
      <c r="B90" s="1">
        <v>2.84016940076875E8</v>
      </c>
    </row>
    <row r="91">
      <c r="A91" s="1" t="s">
        <v>114</v>
      </c>
      <c r="B91" s="1">
        <v>2.84320581594565E8</v>
      </c>
    </row>
    <row r="92">
      <c r="A92" s="1" t="s">
        <v>115</v>
      </c>
      <c r="B92" s="1">
        <v>2.84322628158279E8</v>
      </c>
    </row>
    <row r="93">
      <c r="A93" s="1" t="s">
        <v>116</v>
      </c>
      <c r="B93" s="1">
        <v>2.84343056445058E8</v>
      </c>
    </row>
    <row r="94">
      <c r="A94" s="1" t="s">
        <v>117</v>
      </c>
      <c r="B94" s="1">
        <v>2.84352923352969E8</v>
      </c>
    </row>
    <row r="95">
      <c r="A95" s="1" t="s">
        <v>118</v>
      </c>
      <c r="B95" s="1">
        <v>2.84389608292323E8</v>
      </c>
    </row>
    <row r="96">
      <c r="A96" s="1" t="s">
        <v>119</v>
      </c>
      <c r="B96" s="1">
        <v>2.84397457724775E8</v>
      </c>
    </row>
    <row r="97">
      <c r="A97" s="1" t="s">
        <v>120</v>
      </c>
      <c r="B97" s="1">
        <v>2.84428379914703E8</v>
      </c>
    </row>
    <row r="98">
      <c r="A98" s="1" t="s">
        <v>121</v>
      </c>
      <c r="B98" s="1">
        <v>2.84440611297775E8</v>
      </c>
    </row>
    <row r="99">
      <c r="A99" s="1" t="s">
        <v>122</v>
      </c>
      <c r="B99" s="1">
        <v>2.84449584371769E8</v>
      </c>
    </row>
    <row r="100">
      <c r="A100" s="1" t="s">
        <v>123</v>
      </c>
      <c r="B100" s="1">
        <v>2.84470937823405E8</v>
      </c>
    </row>
    <row r="101">
      <c r="A101" s="1" t="s">
        <v>124</v>
      </c>
      <c r="B101" s="1">
        <v>2.84483306073272E8</v>
      </c>
    </row>
    <row r="102">
      <c r="A102" s="1" t="s">
        <v>125</v>
      </c>
      <c r="B102" s="1">
        <v>2.84927551808713E8</v>
      </c>
    </row>
    <row r="103">
      <c r="A103" s="1" t="s">
        <v>126</v>
      </c>
      <c r="B103" s="1">
        <v>2.84930548934146E8</v>
      </c>
    </row>
    <row r="104">
      <c r="A104" s="1" t="s">
        <v>127</v>
      </c>
      <c r="B104" s="1">
        <v>2.8493047435398E8</v>
      </c>
    </row>
    <row r="105">
      <c r="A105" s="1" t="s">
        <v>128</v>
      </c>
      <c r="B105" s="1">
        <v>2.84938145569407E8</v>
      </c>
    </row>
    <row r="106">
      <c r="A106" s="1" t="s">
        <v>129</v>
      </c>
      <c r="B106" s="1">
        <v>2.84940041689509E8</v>
      </c>
    </row>
    <row r="107">
      <c r="A107" s="1" t="s">
        <v>130</v>
      </c>
      <c r="B107" s="1">
        <v>2.84942622192795E8</v>
      </c>
    </row>
    <row r="108">
      <c r="A108" s="1" t="s">
        <v>131</v>
      </c>
      <c r="B108" s="1">
        <v>2.86861278678361E8</v>
      </c>
    </row>
    <row r="109">
      <c r="A109" s="1" t="s">
        <v>132</v>
      </c>
      <c r="B109" s="1">
        <v>2.84944532200581E8</v>
      </c>
    </row>
    <row r="110">
      <c r="A110" s="1" t="s">
        <v>133</v>
      </c>
      <c r="B110" s="1">
        <v>2.8495643593604E8</v>
      </c>
    </row>
    <row r="111">
      <c r="A111" s="1" t="s">
        <v>134</v>
      </c>
      <c r="B111" s="1">
        <v>2.84960643329337E8</v>
      </c>
    </row>
    <row r="112">
      <c r="A112" s="1" t="s">
        <v>135</v>
      </c>
      <c r="B112" s="1">
        <v>2.8497089017821E8</v>
      </c>
    </row>
    <row r="113">
      <c r="A113" s="1" t="s">
        <v>136</v>
      </c>
      <c r="B113" s="1">
        <v>2.84987457730397E8</v>
      </c>
    </row>
    <row r="114">
      <c r="A114" s="1" t="s">
        <v>137</v>
      </c>
      <c r="B114" s="1">
        <v>2.84990406383151E8</v>
      </c>
    </row>
    <row r="115">
      <c r="A115" s="1" t="s">
        <v>138</v>
      </c>
      <c r="B115" s="1">
        <v>2.85014681688343E8</v>
      </c>
    </row>
    <row r="116">
      <c r="A116" s="1" t="s">
        <v>139</v>
      </c>
      <c r="B116" s="1">
        <v>2.85024481005929E8</v>
      </c>
    </row>
    <row r="117">
      <c r="A117" s="1" t="s">
        <v>140</v>
      </c>
      <c r="B117" s="1">
        <v>2.85031163960546E8</v>
      </c>
    </row>
    <row r="118">
      <c r="A118" s="1" t="s">
        <v>141</v>
      </c>
      <c r="B118" s="1">
        <v>2.85032621496812E8</v>
      </c>
    </row>
    <row r="119">
      <c r="A119" s="1" t="s">
        <v>142</v>
      </c>
      <c r="B119" s="1">
        <v>2.850367653808E8</v>
      </c>
    </row>
    <row r="120">
      <c r="A120" s="1" t="s">
        <v>143</v>
      </c>
      <c r="B120" s="1">
        <v>2.85038192992963E8</v>
      </c>
    </row>
    <row r="121">
      <c r="A121" s="1" t="s">
        <v>144</v>
      </c>
      <c r="B121" s="1">
        <v>2.85065770894713E8</v>
      </c>
    </row>
    <row r="122">
      <c r="A122" s="1" t="s">
        <v>145</v>
      </c>
      <c r="B122" s="1">
        <v>2.85072539282861E8</v>
      </c>
    </row>
    <row r="123">
      <c r="A123" s="1" t="s">
        <v>146</v>
      </c>
      <c r="B123" s="1">
        <v>2.85073777808137E8</v>
      </c>
    </row>
    <row r="124">
      <c r="A124" s="1" t="s">
        <v>147</v>
      </c>
      <c r="B124" s="1">
        <v>2.9443358685391E8</v>
      </c>
    </row>
    <row r="125">
      <c r="A125" s="1" t="s">
        <v>148</v>
      </c>
      <c r="B125" s="1">
        <v>2.94466929390292E8</v>
      </c>
    </row>
    <row r="126">
      <c r="A126" s="1" t="s">
        <v>149</v>
      </c>
      <c r="B126" s="1">
        <v>2.94469028819008E8</v>
      </c>
    </row>
    <row r="127">
      <c r="A127" s="1" t="s">
        <v>150</v>
      </c>
      <c r="B127" s="1">
        <v>2.94485393156821E8</v>
      </c>
    </row>
    <row r="128">
      <c r="A128" s="1" t="s">
        <v>151</v>
      </c>
      <c r="B128" s="1">
        <v>2.94497841575414E8</v>
      </c>
    </row>
    <row r="129">
      <c r="A129" s="1" t="s">
        <v>152</v>
      </c>
      <c r="B129" s="1">
        <v>2.94514217746805E8</v>
      </c>
    </row>
    <row r="130">
      <c r="A130" s="1" t="s">
        <v>153</v>
      </c>
      <c r="B130" s="1">
        <v>2.94710331169196E8</v>
      </c>
    </row>
    <row r="131">
      <c r="A131" s="1" t="s">
        <v>154</v>
      </c>
      <c r="B131" s="1">
        <v>2.94792547250921E8</v>
      </c>
    </row>
    <row r="132">
      <c r="A132" s="1" t="s">
        <v>155</v>
      </c>
      <c r="B132" s="1">
        <v>2.95331534571332E8</v>
      </c>
    </row>
    <row r="133">
      <c r="A133" s="1" t="s">
        <v>156</v>
      </c>
      <c r="B133" s="1">
        <v>2.9565564615322E8</v>
      </c>
    </row>
    <row r="134">
      <c r="A134" s="1" t="s">
        <v>157</v>
      </c>
      <c r="B134" s="1">
        <v>2.95658820619495E8</v>
      </c>
    </row>
    <row r="135">
      <c r="A135" s="1" t="s">
        <v>158</v>
      </c>
      <c r="B135" s="1">
        <v>2.95663121996459E8</v>
      </c>
    </row>
    <row r="136">
      <c r="A136" s="1" t="s">
        <v>159</v>
      </c>
      <c r="B136" s="1">
        <v>2.95669129756622E8</v>
      </c>
    </row>
    <row r="137">
      <c r="A137" s="1" t="s">
        <v>160</v>
      </c>
      <c r="B137" s="1">
        <v>2.95674882326404E8</v>
      </c>
    </row>
    <row r="138">
      <c r="A138" s="1" t="s">
        <v>161</v>
      </c>
      <c r="B138" s="1">
        <v>2.95692204937408E8</v>
      </c>
    </row>
    <row r="139">
      <c r="A139" s="1" t="s">
        <v>162</v>
      </c>
      <c r="B139" s="1">
        <v>2.9570658997196E8</v>
      </c>
    </row>
    <row r="140">
      <c r="A140" s="1" t="s">
        <v>163</v>
      </c>
      <c r="B140" s="1">
        <v>2.95714987890652E8</v>
      </c>
    </row>
    <row r="141">
      <c r="A141" s="1" t="s">
        <v>164</v>
      </c>
      <c r="B141" s="1">
        <v>2.95726215248525E8</v>
      </c>
    </row>
    <row r="142">
      <c r="A142" s="1" t="s">
        <v>165</v>
      </c>
      <c r="B142" s="1">
        <v>2.95729243551402E8</v>
      </c>
    </row>
    <row r="143">
      <c r="A143" s="1" t="s">
        <v>166</v>
      </c>
      <c r="B143" s="1">
        <v>2.9575067254789E8</v>
      </c>
    </row>
    <row r="144">
      <c r="A144" s="1" t="s">
        <v>167</v>
      </c>
      <c r="B144" s="1">
        <v>2.95768410611556E8</v>
      </c>
    </row>
    <row r="145">
      <c r="A145" s="1" t="s">
        <v>168</v>
      </c>
      <c r="B145" s="1">
        <v>2.95829968224493E8</v>
      </c>
    </row>
    <row r="146">
      <c r="A146" s="1" t="s">
        <v>169</v>
      </c>
      <c r="B146" s="1">
        <v>2.95863687218282E8</v>
      </c>
    </row>
    <row r="147">
      <c r="A147" s="1" t="s">
        <v>170</v>
      </c>
      <c r="B147" s="1">
        <v>2.95870213964861E8</v>
      </c>
    </row>
    <row r="148">
      <c r="A148" s="1" t="s">
        <v>171</v>
      </c>
      <c r="B148" s="1">
        <v>2.95879429900028E8</v>
      </c>
    </row>
    <row r="149">
      <c r="A149" s="1" t="s">
        <v>172</v>
      </c>
      <c r="B149" s="1">
        <v>2.95884246255808E8</v>
      </c>
    </row>
    <row r="150">
      <c r="A150" s="1" t="s">
        <v>174</v>
      </c>
      <c r="B150" s="1">
        <v>2.95885713054769E8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2.5" customHeight="1">
      <c r="A1" s="1" t="s">
        <v>22</v>
      </c>
      <c r="B1" s="1" t="s">
        <v>23</v>
      </c>
      <c r="C1" s="1" t="s">
        <v>24</v>
      </c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</row>
    <row r="2">
      <c r="A2" s="1" t="s">
        <v>25</v>
      </c>
      <c r="B2" s="1">
        <v>142.232089</v>
      </c>
      <c r="C2" s="1">
        <v>146.575174</v>
      </c>
    </row>
    <row r="3">
      <c r="A3" s="1" t="s">
        <v>26</v>
      </c>
      <c r="B3" s="1">
        <v>146.5505</v>
      </c>
      <c r="C3" s="1">
        <v>144.185442</v>
      </c>
    </row>
    <row r="4">
      <c r="A4" s="1" t="s">
        <v>27</v>
      </c>
      <c r="B4" s="1">
        <v>144.167525</v>
      </c>
      <c r="C4" s="1">
        <v>141.057313</v>
      </c>
    </row>
    <row r="5">
      <c r="A5" s="1" t="s">
        <v>28</v>
      </c>
      <c r="B5" s="1">
        <v>141.11723</v>
      </c>
      <c r="C5" s="1">
        <v>159.43178</v>
      </c>
    </row>
    <row r="6">
      <c r="A6" s="1" t="s">
        <v>29</v>
      </c>
      <c r="B6" s="1">
        <v>159.568297</v>
      </c>
      <c r="C6" s="1">
        <v>141.406896</v>
      </c>
    </row>
    <row r="7">
      <c r="A7" s="1" t="s">
        <v>30</v>
      </c>
      <c r="B7" s="1">
        <v>141.347477</v>
      </c>
      <c r="C7" s="1">
        <v>138.273804</v>
      </c>
    </row>
    <row r="8">
      <c r="A8" s="1" t="s">
        <v>31</v>
      </c>
      <c r="B8" s="1">
        <v>138.374756</v>
      </c>
      <c r="C8" s="1">
        <v>132.04716</v>
      </c>
    </row>
    <row r="9">
      <c r="A9" s="1" t="s">
        <v>32</v>
      </c>
      <c r="B9" s="1">
        <v>132.18587</v>
      </c>
      <c r="C9" s="1">
        <v>125.973904</v>
      </c>
    </row>
    <row r="10">
      <c r="A10" s="1" t="s">
        <v>33</v>
      </c>
      <c r="B10" s="1">
        <v>125.988821</v>
      </c>
      <c r="C10" s="1">
        <v>99.288862</v>
      </c>
    </row>
    <row r="11">
      <c r="A11" s="1" t="s">
        <v>34</v>
      </c>
      <c r="B11" s="1">
        <v>99.348682</v>
      </c>
      <c r="C11" s="1">
        <v>105.216179</v>
      </c>
    </row>
    <row r="12">
      <c r="A12" s="1" t="s">
        <v>35</v>
      </c>
      <c r="B12" s="1">
        <v>105.141455</v>
      </c>
      <c r="C12" s="1">
        <v>82.138283</v>
      </c>
    </row>
    <row r="13">
      <c r="A13" s="1" t="s">
        <v>36</v>
      </c>
      <c r="B13" s="1">
        <v>82.203149</v>
      </c>
      <c r="C13" s="1">
        <v>76.837261</v>
      </c>
    </row>
    <row r="14">
      <c r="A14" s="1" t="s">
        <v>37</v>
      </c>
      <c r="B14" s="1">
        <v>76.900714</v>
      </c>
      <c r="C14" s="1">
        <v>82.387763</v>
      </c>
    </row>
    <row r="15">
      <c r="A15" s="1" t="s">
        <v>38</v>
      </c>
      <c r="B15" s="1">
        <v>82.341252</v>
      </c>
      <c r="C15" s="1">
        <v>86.554008</v>
      </c>
    </row>
    <row r="16">
      <c r="A16" s="1" t="s">
        <v>39</v>
      </c>
      <c r="B16" s="1">
        <v>86.515951</v>
      </c>
      <c r="C16" s="1">
        <v>92.023955</v>
      </c>
    </row>
    <row r="17">
      <c r="A17" s="1" t="s">
        <v>40</v>
      </c>
      <c r="B17" s="1">
        <v>91.982302</v>
      </c>
      <c r="C17" s="1">
        <v>83.777402</v>
      </c>
    </row>
    <row r="18">
      <c r="A18" s="1" t="s">
        <v>41</v>
      </c>
      <c r="B18" s="1">
        <v>83.895907</v>
      </c>
      <c r="C18" s="1">
        <v>92.582993</v>
      </c>
    </row>
    <row r="19">
      <c r="A19" s="1" t="s">
        <v>42</v>
      </c>
      <c r="B19" s="1">
        <v>92.560855</v>
      </c>
      <c r="C19" s="1">
        <v>81.751776</v>
      </c>
    </row>
    <row r="20">
      <c r="A20" s="1" t="s">
        <v>43</v>
      </c>
      <c r="B20" s="1">
        <v>81.870482</v>
      </c>
      <c r="C20" s="1">
        <v>91.550303</v>
      </c>
    </row>
    <row r="21">
      <c r="A21" s="1" t="s">
        <v>44</v>
      </c>
      <c r="B21" s="1">
        <v>91.710091</v>
      </c>
      <c r="C21" s="1">
        <v>90.061122</v>
      </c>
    </row>
    <row r="22">
      <c r="A22" s="1" t="s">
        <v>45</v>
      </c>
      <c r="B22" s="1">
        <v>90.133435</v>
      </c>
      <c r="C22" s="1">
        <v>91.269709</v>
      </c>
    </row>
    <row r="23">
      <c r="A23" s="1" t="s">
        <v>46</v>
      </c>
      <c r="B23" s="1">
        <v>91.162551</v>
      </c>
      <c r="C23" s="1">
        <v>94.082011</v>
      </c>
    </row>
    <row r="24">
      <c r="A24" s="1" t="s">
        <v>47</v>
      </c>
      <c r="B24" s="1">
        <v>93.996349</v>
      </c>
      <c r="C24" s="1">
        <v>99.223234</v>
      </c>
    </row>
    <row r="25">
      <c r="A25" s="1" t="s">
        <v>48</v>
      </c>
      <c r="B25" s="1">
        <v>99.176523</v>
      </c>
      <c r="C25" s="1">
        <v>106.510059</v>
      </c>
    </row>
    <row r="26">
      <c r="A26" s="1" t="s">
        <v>49</v>
      </c>
      <c r="B26" s="1">
        <v>106.403542</v>
      </c>
      <c r="C26" s="1">
        <v>101.946918</v>
      </c>
    </row>
    <row r="27">
      <c r="A27" s="1" t="s">
        <v>50</v>
      </c>
      <c r="B27" s="1">
        <v>101.925442</v>
      </c>
      <c r="C27" s="1">
        <v>100.894969</v>
      </c>
    </row>
    <row r="28">
      <c r="A28" s="1" t="s">
        <v>51</v>
      </c>
      <c r="B28" s="1">
        <v>100.896645</v>
      </c>
      <c r="C28" s="1">
        <v>92.213247</v>
      </c>
    </row>
    <row r="29">
      <c r="A29" s="1" t="s">
        <v>52</v>
      </c>
      <c r="B29" s="1">
        <v>92.320174</v>
      </c>
      <c r="C29" s="1">
        <v>95.449828</v>
      </c>
    </row>
    <row r="30">
      <c r="A30" s="1" t="s">
        <v>53</v>
      </c>
      <c r="B30" s="1">
        <v>95.399369</v>
      </c>
      <c r="C30" s="1">
        <v>95.414421</v>
      </c>
    </row>
    <row r="31">
      <c r="A31" s="1" t="s">
        <v>54</v>
      </c>
      <c r="B31" s="1">
        <v>95.413491</v>
      </c>
      <c r="C31" s="1">
        <v>117.247941</v>
      </c>
    </row>
    <row r="32">
      <c r="A32" s="1" t="s">
        <v>55</v>
      </c>
      <c r="B32" s="1">
        <v>117.207908</v>
      </c>
      <c r="C32" s="1">
        <v>112.786948</v>
      </c>
    </row>
    <row r="33">
      <c r="A33" s="1" t="s">
        <v>56</v>
      </c>
      <c r="B33" s="1">
        <v>112.828191</v>
      </c>
      <c r="C33" s="1">
        <v>106.158879</v>
      </c>
    </row>
    <row r="34">
      <c r="A34" s="1" t="s">
        <v>57</v>
      </c>
      <c r="B34" s="1">
        <v>106.318607</v>
      </c>
      <c r="C34" s="1">
        <v>110.831536</v>
      </c>
    </row>
    <row r="35">
      <c r="A35" s="1" t="s">
        <v>58</v>
      </c>
      <c r="B35" s="1">
        <v>110.963515</v>
      </c>
      <c r="C35" s="1">
        <v>106.931758</v>
      </c>
    </row>
    <row r="36">
      <c r="A36" s="1" t="s">
        <v>59</v>
      </c>
      <c r="B36" s="1">
        <v>106.888531</v>
      </c>
      <c r="C36" s="1">
        <v>106.814546</v>
      </c>
    </row>
    <row r="37">
      <c r="A37" s="1" t="s">
        <v>60</v>
      </c>
      <c r="B37" s="1">
        <v>106.904204</v>
      </c>
      <c r="C37" s="1">
        <v>103.616348</v>
      </c>
    </row>
    <row r="38">
      <c r="A38" s="1" t="s">
        <v>61</v>
      </c>
      <c r="B38" s="1">
        <v>103.559044</v>
      </c>
      <c r="C38" s="1">
        <v>105.900327</v>
      </c>
    </row>
    <row r="39">
      <c r="A39" s="1" t="s">
        <v>62</v>
      </c>
      <c r="B39" s="1">
        <v>105.896453</v>
      </c>
      <c r="C39" s="1">
        <v>99.211782</v>
      </c>
    </row>
    <row r="40">
      <c r="A40" s="1" t="s">
        <v>63</v>
      </c>
      <c r="B40" s="1">
        <v>99.179132</v>
      </c>
      <c r="C40" s="1">
        <v>96.409479</v>
      </c>
    </row>
    <row r="41">
      <c r="A41" s="1" t="s">
        <v>64</v>
      </c>
      <c r="B41" s="1">
        <v>96.458873</v>
      </c>
      <c r="C41" s="1">
        <v>95.701381</v>
      </c>
    </row>
    <row r="42">
      <c r="A42" s="1" t="s">
        <v>65</v>
      </c>
      <c r="B42" s="1">
        <v>95.631085</v>
      </c>
      <c r="C42" s="1">
        <v>88.003893</v>
      </c>
    </row>
    <row r="43">
      <c r="A43" s="1" t="s">
        <v>66</v>
      </c>
      <c r="B43" s="1">
        <v>88.053995</v>
      </c>
      <c r="C43" s="1">
        <v>77.042748</v>
      </c>
    </row>
    <row r="44">
      <c r="A44" s="1" t="s">
        <v>67</v>
      </c>
      <c r="B44" s="1">
        <v>77.181857</v>
      </c>
      <c r="C44" s="1">
        <v>70.276135</v>
      </c>
    </row>
    <row r="45">
      <c r="A45" s="1" t="s">
        <v>68</v>
      </c>
      <c r="B45" s="1">
        <v>70.333355</v>
      </c>
      <c r="C45" s="1">
        <v>59.685699</v>
      </c>
    </row>
    <row r="46">
      <c r="A46" s="1" t="s">
        <v>69</v>
      </c>
      <c r="B46" s="1">
        <v>59.655845</v>
      </c>
      <c r="C46" s="1">
        <v>62.073927</v>
      </c>
    </row>
    <row r="47">
      <c r="A47" s="1" t="s">
        <v>70</v>
      </c>
      <c r="B47" s="1">
        <v>62.114023</v>
      </c>
      <c r="C47" s="1">
        <v>66.5621</v>
      </c>
    </row>
    <row r="48">
      <c r="A48" s="1" t="s">
        <v>71</v>
      </c>
      <c r="B48" s="1">
        <v>66.547277</v>
      </c>
      <c r="C48" s="1">
        <v>56.521371</v>
      </c>
    </row>
    <row r="49">
      <c r="A49" s="1" t="s">
        <v>72</v>
      </c>
      <c r="B49" s="1">
        <v>56.569649</v>
      </c>
      <c r="C49" s="1">
        <v>57.246436</v>
      </c>
    </row>
    <row r="50">
      <c r="A50" s="1" t="s">
        <v>73</v>
      </c>
      <c r="B50" s="1">
        <v>57.303359</v>
      </c>
      <c r="C50" s="1">
        <v>49.517552</v>
      </c>
    </row>
    <row r="51">
      <c r="A51" s="1" t="s">
        <v>74</v>
      </c>
      <c r="B51" s="1">
        <v>49.579584</v>
      </c>
      <c r="C51" s="1">
        <v>54.017143</v>
      </c>
    </row>
    <row r="52">
      <c r="A52" s="1" t="s">
        <v>75</v>
      </c>
      <c r="B52" s="1">
        <v>53.989446</v>
      </c>
      <c r="C52" s="1">
        <v>61.563174</v>
      </c>
    </row>
    <row r="53">
      <c r="A53" s="1" t="s">
        <v>76</v>
      </c>
      <c r="B53" s="1">
        <v>61.513371</v>
      </c>
      <c r="C53" s="1">
        <v>66.306558</v>
      </c>
    </row>
    <row r="54">
      <c r="A54" s="1" t="s">
        <v>77</v>
      </c>
      <c r="B54" s="1">
        <v>66.324997</v>
      </c>
      <c r="C54" s="1">
        <v>61.849124</v>
      </c>
    </row>
    <row r="55">
      <c r="A55" s="1" t="s">
        <v>78</v>
      </c>
      <c r="B55" s="1">
        <v>61.898415</v>
      </c>
      <c r="C55" s="1">
        <v>67.870434</v>
      </c>
    </row>
    <row r="56">
      <c r="A56" s="1" t="s">
        <v>79</v>
      </c>
      <c r="B56" s="1">
        <v>67.949347</v>
      </c>
      <c r="C56" s="1">
        <v>69.681557</v>
      </c>
    </row>
    <row r="57">
      <c r="A57" s="1" t="s">
        <v>80</v>
      </c>
      <c r="B57" s="1">
        <v>70.911279</v>
      </c>
      <c r="C57" s="1">
        <v>69.888</v>
      </c>
    </row>
    <row r="58">
      <c r="A58" s="1" t="s">
        <v>81</v>
      </c>
      <c r="B58" s="1">
        <v>69.950212</v>
      </c>
      <c r="C58" s="1">
        <v>65.435621</v>
      </c>
    </row>
    <row r="59">
      <c r="A59" s="1" t="s">
        <v>82</v>
      </c>
      <c r="B59" s="1">
        <v>65.356454</v>
      </c>
      <c r="C59" s="1">
        <v>65.450439</v>
      </c>
    </row>
    <row r="60">
      <c r="A60" s="1" t="s">
        <v>83</v>
      </c>
      <c r="B60" s="1">
        <v>65.52729</v>
      </c>
      <c r="C60" s="1">
        <v>60.084269</v>
      </c>
    </row>
    <row r="61">
      <c r="A61" s="1" t="s">
        <v>84</v>
      </c>
      <c r="B61" s="1">
        <v>60.006214</v>
      </c>
      <c r="C61" s="1">
        <v>59.80786</v>
      </c>
    </row>
    <row r="62">
      <c r="A62" s="1" t="s">
        <v>85</v>
      </c>
      <c r="B62" s="1">
        <v>59.820593</v>
      </c>
      <c r="C62" s="1">
        <v>57.008802</v>
      </c>
    </row>
    <row r="63">
      <c r="A63" s="1" t="s">
        <v>86</v>
      </c>
      <c r="B63" s="1">
        <v>56.972626</v>
      </c>
      <c r="C63" s="1">
        <v>56.215456</v>
      </c>
    </row>
    <row r="64">
      <c r="A64" s="1" t="s">
        <v>87</v>
      </c>
      <c r="B64" s="1">
        <v>56.308116</v>
      </c>
      <c r="C64" s="1">
        <v>57.826214</v>
      </c>
    </row>
    <row r="65">
      <c r="A65" s="1" t="s">
        <v>88</v>
      </c>
      <c r="B65" s="1">
        <v>57.821796</v>
      </c>
      <c r="C65" s="1">
        <v>57.587229</v>
      </c>
    </row>
    <row r="66">
      <c r="A66" s="1" t="s">
        <v>89</v>
      </c>
      <c r="B66" s="1">
        <v>57.573546</v>
      </c>
      <c r="C66" s="1">
        <v>63.021535</v>
      </c>
    </row>
    <row r="67">
      <c r="A67" s="1" t="s">
        <v>90</v>
      </c>
      <c r="B67" s="1">
        <v>63.051996</v>
      </c>
      <c r="C67" s="1">
        <v>60.576681</v>
      </c>
    </row>
    <row r="68">
      <c r="A68" s="1" t="s">
        <v>91</v>
      </c>
      <c r="B68" s="1">
        <v>60.559089</v>
      </c>
      <c r="C68" s="1">
        <v>62.962285</v>
      </c>
    </row>
    <row r="69">
      <c r="A69" s="1" t="s">
        <v>92</v>
      </c>
      <c r="B69" s="1">
        <v>62.943331</v>
      </c>
      <c r="C69" s="1">
        <v>71.123242</v>
      </c>
    </row>
    <row r="70">
      <c r="A70" s="1" t="s">
        <v>93</v>
      </c>
      <c r="B70" s="1">
        <v>71.152454</v>
      </c>
      <c r="C70" s="1">
        <v>71.645352</v>
      </c>
    </row>
    <row r="71">
      <c r="A71" s="1" t="s">
        <v>94</v>
      </c>
      <c r="B71" s="1">
        <v>71.585682</v>
      </c>
      <c r="C71" s="1">
        <v>81.931099</v>
      </c>
    </row>
    <row r="72">
      <c r="A72" s="1" t="s">
        <v>95</v>
      </c>
      <c r="B72" s="1">
        <v>81.925378</v>
      </c>
      <c r="C72" s="1">
        <v>77.713574</v>
      </c>
    </row>
    <row r="73">
      <c r="A73" s="1" t="s">
        <v>96</v>
      </c>
      <c r="B73" s="1">
        <v>77.75512</v>
      </c>
      <c r="C73" s="1">
        <v>69.826536</v>
      </c>
    </row>
    <row r="74">
      <c r="A74" s="1" t="s">
        <v>97</v>
      </c>
      <c r="B74" s="1">
        <v>69.812984</v>
      </c>
      <c r="C74" s="1">
        <v>68.316943</v>
      </c>
    </row>
    <row r="75">
      <c r="A75" s="1" t="s">
        <v>98</v>
      </c>
      <c r="B75" s="1">
        <v>68.318888</v>
      </c>
      <c r="C75" s="1">
        <v>79.715255</v>
      </c>
    </row>
    <row r="76">
      <c r="A76" s="1" t="s">
        <v>99</v>
      </c>
      <c r="B76" s="1">
        <v>79.725446</v>
      </c>
      <c r="C76" s="1">
        <v>91.201488</v>
      </c>
    </row>
    <row r="77">
      <c r="A77" s="1" t="s">
        <v>100</v>
      </c>
      <c r="B77" s="1">
        <v>91.189318</v>
      </c>
      <c r="C77" s="1">
        <v>89.838472</v>
      </c>
    </row>
    <row r="78">
      <c r="A78" s="1" t="s">
        <v>101</v>
      </c>
      <c r="B78" s="1">
        <v>90.390505</v>
      </c>
      <c r="C78" s="1">
        <v>92.853958</v>
      </c>
    </row>
    <row r="79">
      <c r="A79" s="1" t="s">
        <v>102</v>
      </c>
      <c r="B79" s="1">
        <v>92.851955</v>
      </c>
      <c r="C79" s="1">
        <v>88.259193</v>
      </c>
    </row>
    <row r="80">
      <c r="A80" s="1" t="s">
        <v>103</v>
      </c>
      <c r="B80" s="1">
        <v>88.260836</v>
      </c>
      <c r="C80" s="1">
        <v>96.287926</v>
      </c>
    </row>
    <row r="81">
      <c r="A81" s="1" t="s">
        <v>104</v>
      </c>
      <c r="B81" s="1">
        <v>96.180348</v>
      </c>
      <c r="C81" s="1">
        <v>95.695069</v>
      </c>
    </row>
    <row r="82">
      <c r="A82" s="1" t="s">
        <v>105</v>
      </c>
      <c r="B82" s="1">
        <v>95.774096</v>
      </c>
      <c r="C82" s="1">
        <v>90.837307</v>
      </c>
    </row>
    <row r="83">
      <c r="A83" s="1" t="s">
        <v>106</v>
      </c>
      <c r="B83" s="1">
        <v>90.820371</v>
      </c>
      <c r="C83" s="1">
        <v>95.375094</v>
      </c>
    </row>
    <row r="84">
      <c r="A84" s="1" t="s">
        <v>107</v>
      </c>
      <c r="B84" s="1">
        <v>95.388771</v>
      </c>
      <c r="C84" s="1">
        <v>89.497972</v>
      </c>
    </row>
    <row r="85">
      <c r="A85" s="1" t="s">
        <v>108</v>
      </c>
      <c r="B85" s="1">
        <v>89.511739</v>
      </c>
      <c r="C85" s="1">
        <v>89.372618</v>
      </c>
    </row>
    <row r="86">
      <c r="A86" s="1" t="s">
        <v>109</v>
      </c>
      <c r="B86" s="1">
        <v>89.224045</v>
      </c>
      <c r="C86" s="1">
        <v>90.634716</v>
      </c>
    </row>
    <row r="87">
      <c r="A87" s="1" t="s">
        <v>110</v>
      </c>
      <c r="B87" s="1">
        <v>90.574826</v>
      </c>
      <c r="C87" s="1">
        <v>81.311818</v>
      </c>
    </row>
    <row r="88">
      <c r="A88" s="1" t="s">
        <v>111</v>
      </c>
      <c r="B88" s="1">
        <v>81.367184</v>
      </c>
      <c r="C88" s="1">
        <v>81.201574</v>
      </c>
    </row>
    <row r="89">
      <c r="A89" s="1" t="s">
        <v>112</v>
      </c>
      <c r="B89" s="1">
        <v>81.202389</v>
      </c>
      <c r="C89" s="1">
        <v>94.926287</v>
      </c>
    </row>
    <row r="90">
      <c r="A90" s="1" t="s">
        <v>113</v>
      </c>
      <c r="B90" s="1">
        <v>94.953621</v>
      </c>
      <c r="C90" s="1">
        <v>100.498579</v>
      </c>
    </row>
    <row r="91">
      <c r="A91" s="1" t="s">
        <v>114</v>
      </c>
      <c r="B91" s="1">
        <v>100.588593</v>
      </c>
      <c r="C91" s="1">
        <v>95.579583</v>
      </c>
    </row>
    <row r="92">
      <c r="A92" s="1" t="s">
        <v>115</v>
      </c>
      <c r="B92" s="1">
        <v>95.679284</v>
      </c>
      <c r="C92" s="1">
        <v>95.222142</v>
      </c>
    </row>
    <row r="93">
      <c r="A93" s="1" t="s">
        <v>116</v>
      </c>
      <c r="B93" s="1">
        <v>95.34354</v>
      </c>
      <c r="C93" s="1">
        <v>97.708744</v>
      </c>
    </row>
    <row r="94">
      <c r="A94" s="1" t="s">
        <v>117</v>
      </c>
      <c r="B94" s="1">
        <v>97.59643</v>
      </c>
      <c r="C94" s="1">
        <v>96.464371</v>
      </c>
    </row>
    <row r="95">
      <c r="A95" s="1" t="s">
        <v>118</v>
      </c>
      <c r="B95" s="1">
        <v>96.595081</v>
      </c>
      <c r="C95" s="1">
        <v>93.490848</v>
      </c>
    </row>
    <row r="96">
      <c r="A96" s="1" t="s">
        <v>119</v>
      </c>
      <c r="B96" s="1">
        <v>93.492857</v>
      </c>
      <c r="C96" s="1">
        <v>95.118021</v>
      </c>
    </row>
    <row r="97">
      <c r="A97" s="1" t="s">
        <v>120</v>
      </c>
      <c r="B97" s="1">
        <v>94.92456</v>
      </c>
      <c r="C97" s="1">
        <v>96.495283</v>
      </c>
    </row>
    <row r="98">
      <c r="A98" s="1" t="s">
        <v>121</v>
      </c>
      <c r="B98" s="1">
        <v>96.40166</v>
      </c>
      <c r="C98" s="1">
        <v>103.05989</v>
      </c>
    </row>
    <row r="99">
      <c r="A99" s="1" t="s">
        <v>122</v>
      </c>
      <c r="B99" s="1">
        <v>102.823614</v>
      </c>
      <c r="C99" s="1">
        <v>99.104646</v>
      </c>
    </row>
    <row r="100">
      <c r="A100" s="1" t="s">
        <v>123</v>
      </c>
      <c r="B100" s="1">
        <v>99.045797</v>
      </c>
      <c r="C100" s="1">
        <v>101.351875</v>
      </c>
    </row>
    <row r="101">
      <c r="A101" s="1" t="s">
        <v>124</v>
      </c>
      <c r="B101" s="1">
        <v>101.314926</v>
      </c>
      <c r="C101" s="1">
        <v>102.62217</v>
      </c>
    </row>
    <row r="102">
      <c r="A102" s="1" t="s">
        <v>125</v>
      </c>
      <c r="B102" s="1">
        <v>102.513976</v>
      </c>
      <c r="C102" s="1">
        <v>97.865089</v>
      </c>
    </row>
    <row r="103">
      <c r="A103" s="1" t="s">
        <v>126</v>
      </c>
      <c r="B103" s="1">
        <v>97.861442</v>
      </c>
      <c r="C103" s="1">
        <v>111.208353</v>
      </c>
    </row>
    <row r="104">
      <c r="A104" s="1" t="s">
        <v>127</v>
      </c>
      <c r="B104" s="1">
        <v>111.121577</v>
      </c>
      <c r="C104" s="1">
        <v>107.583415</v>
      </c>
    </row>
    <row r="105">
      <c r="A105" s="1" t="s">
        <v>128</v>
      </c>
      <c r="B105" s="1">
        <v>107.609485</v>
      </c>
      <c r="C105" s="1">
        <v>114.784193</v>
      </c>
    </row>
    <row r="106">
      <c r="A106" s="1" t="s">
        <v>129</v>
      </c>
      <c r="B106" s="1">
        <v>114.777628</v>
      </c>
      <c r="C106" s="1">
        <v>110.599778</v>
      </c>
    </row>
    <row r="107">
      <c r="A107" s="1" t="s">
        <v>130</v>
      </c>
      <c r="B107" s="1">
        <v>110.571893</v>
      </c>
      <c r="C107" s="1">
        <v>107.478223</v>
      </c>
    </row>
    <row r="108">
      <c r="A108" s="1" t="s">
        <v>131</v>
      </c>
      <c r="B108" s="1">
        <v>107.470623</v>
      </c>
      <c r="C108" s="1">
        <v>107.151194</v>
      </c>
    </row>
    <row r="109">
      <c r="A109" s="1" t="s">
        <v>132</v>
      </c>
      <c r="B109" s="1">
        <v>107.070623</v>
      </c>
      <c r="C109" s="1">
        <v>109.621745</v>
      </c>
    </row>
    <row r="110">
      <c r="A110" s="1" t="s">
        <v>133</v>
      </c>
      <c r="B110" s="1">
        <v>109.81409</v>
      </c>
      <c r="C110" s="1">
        <v>100.196568</v>
      </c>
    </row>
    <row r="111">
      <c r="A111" s="1" t="s">
        <v>134</v>
      </c>
      <c r="B111" s="1">
        <v>100.236673</v>
      </c>
      <c r="C111" s="1">
        <v>94.913819</v>
      </c>
    </row>
    <row r="112">
      <c r="A112" s="1" t="s">
        <v>135</v>
      </c>
      <c r="B112" s="1">
        <v>94.896121</v>
      </c>
      <c r="C112" s="1">
        <v>83.479712</v>
      </c>
    </row>
    <row r="113">
      <c r="A113" s="1" t="s">
        <v>136</v>
      </c>
      <c r="B113" s="1">
        <v>83.428304</v>
      </c>
      <c r="C113" s="1">
        <v>82.845029</v>
      </c>
    </row>
    <row r="114">
      <c r="A114" s="1" t="s">
        <v>137</v>
      </c>
      <c r="B114" s="1">
        <v>82.875698</v>
      </c>
      <c r="C114" s="1">
        <v>85.930126</v>
      </c>
    </row>
    <row r="115">
      <c r="A115" s="1" t="s">
        <v>138</v>
      </c>
      <c r="B115" s="1">
        <v>85.930625</v>
      </c>
      <c r="C115" s="1">
        <v>88.448485</v>
      </c>
    </row>
    <row r="116">
      <c r="A116" s="1" t="s">
        <v>139</v>
      </c>
      <c r="B116" s="1">
        <v>88.496144</v>
      </c>
      <c r="C116" s="1">
        <v>89.42183</v>
      </c>
    </row>
    <row r="117">
      <c r="A117" s="1" t="s">
        <v>140</v>
      </c>
      <c r="B117" s="1">
        <v>89.474443</v>
      </c>
      <c r="C117" s="1">
        <v>88.453338</v>
      </c>
    </row>
    <row r="118">
      <c r="A118" s="1" t="s">
        <v>141</v>
      </c>
      <c r="B118" s="1">
        <v>88.450553</v>
      </c>
      <c r="C118" s="1">
        <v>93.270984</v>
      </c>
    </row>
    <row r="119">
      <c r="A119" s="1" t="s">
        <v>142</v>
      </c>
      <c r="B119" s="1">
        <v>93.201105</v>
      </c>
      <c r="C119" s="1">
        <v>82.760774</v>
      </c>
    </row>
    <row r="120">
      <c r="A120" s="1" t="s">
        <v>143</v>
      </c>
      <c r="B120" s="1">
        <v>82.65821</v>
      </c>
      <c r="C120" s="1">
        <v>82.080122</v>
      </c>
    </row>
    <row r="121">
      <c r="A121" s="1" t="s">
        <v>144</v>
      </c>
      <c r="B121" s="1">
        <v>82.117996</v>
      </c>
      <c r="C121" s="1">
        <v>78.626597</v>
      </c>
    </row>
    <row r="122">
      <c r="A122" s="1" t="s">
        <v>145</v>
      </c>
      <c r="B122" s="1">
        <v>78.637305</v>
      </c>
      <c r="C122" s="1">
        <v>85.772295</v>
      </c>
    </row>
    <row r="123">
      <c r="A123" s="1" t="s">
        <v>146</v>
      </c>
      <c r="B123" s="1">
        <v>85.777637</v>
      </c>
      <c r="C123" s="1">
        <v>84.472638</v>
      </c>
    </row>
    <row r="124">
      <c r="A124" s="1" t="s">
        <v>147</v>
      </c>
      <c r="B124" s="1">
        <v>84.36241</v>
      </c>
      <c r="C124" s="1">
        <v>84.888144</v>
      </c>
    </row>
    <row r="125">
      <c r="A125" s="1" t="s">
        <v>148</v>
      </c>
      <c r="B125" s="1">
        <v>84.810393</v>
      </c>
      <c r="C125" s="1">
        <v>86.462098</v>
      </c>
    </row>
    <row r="126">
      <c r="A126" s="1" t="s">
        <v>149</v>
      </c>
      <c r="B126" s="1">
        <v>86.508004</v>
      </c>
      <c r="C126" s="1">
        <v>88.468186</v>
      </c>
    </row>
    <row r="127">
      <c r="A127" s="1" t="s">
        <v>150</v>
      </c>
      <c r="B127" s="1">
        <v>88.377727</v>
      </c>
      <c r="C127" s="1">
        <v>87.148294</v>
      </c>
    </row>
    <row r="128">
      <c r="A128" s="1" t="s">
        <v>151</v>
      </c>
      <c r="B128" s="1">
        <v>87.20147</v>
      </c>
      <c r="C128" s="1">
        <v>88.840419</v>
      </c>
    </row>
    <row r="129">
      <c r="A129" s="1" t="s">
        <v>152</v>
      </c>
      <c r="B129" s="1">
        <v>88.869482</v>
      </c>
      <c r="C129" s="1">
        <v>91.162374</v>
      </c>
    </row>
    <row r="130">
      <c r="A130" s="1" t="s">
        <v>153</v>
      </c>
      <c r="B130" s="1">
        <v>91.21155</v>
      </c>
      <c r="C130" s="1">
        <v>83.545363</v>
      </c>
    </row>
    <row r="131">
      <c r="A131" s="1" t="s">
        <v>154</v>
      </c>
      <c r="B131" s="1">
        <v>83.568943</v>
      </c>
      <c r="C131" s="1">
        <v>87.519253</v>
      </c>
    </row>
    <row r="132">
      <c r="A132" s="1" t="s">
        <v>155</v>
      </c>
      <c r="B132" s="1">
        <v>87.532969</v>
      </c>
      <c r="C132" s="1">
        <v>88.268983</v>
      </c>
    </row>
    <row r="133">
      <c r="A133" s="1" t="s">
        <v>156</v>
      </c>
      <c r="B133" s="1">
        <v>88.323727</v>
      </c>
      <c r="C133" s="1">
        <v>91.172119</v>
      </c>
    </row>
    <row r="134">
      <c r="A134" s="1" t="s">
        <v>157</v>
      </c>
      <c r="B134" s="1">
        <v>91.183871</v>
      </c>
      <c r="C134" s="1">
        <v>92.733054</v>
      </c>
    </row>
    <row r="135">
      <c r="A135" s="1" t="s">
        <v>158</v>
      </c>
      <c r="B135" s="1">
        <v>92.74011</v>
      </c>
      <c r="C135" s="1">
        <v>91.537823</v>
      </c>
    </row>
    <row r="136">
      <c r="A136" s="1" t="s">
        <v>159</v>
      </c>
      <c r="B136" s="1">
        <v>91.542967</v>
      </c>
      <c r="C136" s="1">
        <v>91.060477</v>
      </c>
    </row>
    <row r="137">
      <c r="A137" s="1" t="s">
        <v>160</v>
      </c>
      <c r="B137" s="1">
        <v>91.050483</v>
      </c>
      <c r="C137" s="1">
        <v>83.003461</v>
      </c>
    </row>
    <row r="138">
      <c r="A138" s="1" t="s">
        <v>161</v>
      </c>
      <c r="B138" s="1">
        <v>82.947613</v>
      </c>
      <c r="C138" s="1">
        <v>83.703912</v>
      </c>
    </row>
    <row r="139">
      <c r="A139" s="1" t="s">
        <v>162</v>
      </c>
      <c r="B139" s="1">
        <v>83.681054</v>
      </c>
      <c r="C139" s="1">
        <v>78.552063</v>
      </c>
    </row>
    <row r="140">
      <c r="A140" s="1" t="s">
        <v>163</v>
      </c>
      <c r="B140" s="1">
        <v>78.543687</v>
      </c>
      <c r="C140" s="1">
        <v>79.405252</v>
      </c>
    </row>
    <row r="141">
      <c r="A141" s="1" t="s">
        <v>164</v>
      </c>
      <c r="B141" s="1">
        <v>79.371301</v>
      </c>
      <c r="C141" s="1">
        <v>81.27972</v>
      </c>
    </row>
    <row r="142">
      <c r="A142" s="1" t="s">
        <v>165</v>
      </c>
      <c r="B142" s="1">
        <v>81.403371</v>
      </c>
      <c r="C142" s="1">
        <v>73.077949</v>
      </c>
    </row>
    <row r="143">
      <c r="A143" s="1" t="s">
        <v>166</v>
      </c>
      <c r="B143" s="1">
        <v>73.060545</v>
      </c>
      <c r="C143" s="1">
        <v>76.383155</v>
      </c>
    </row>
    <row r="144">
      <c r="A144" s="1" t="s">
        <v>167</v>
      </c>
      <c r="B144" s="1">
        <v>76.389237</v>
      </c>
      <c r="C144" s="1">
        <v>74.057939</v>
      </c>
    </row>
    <row r="145">
      <c r="A145" s="1" t="s">
        <v>168</v>
      </c>
      <c r="B145" s="1">
        <v>74.035436</v>
      </c>
      <c r="C145" s="1">
        <v>71.616442</v>
      </c>
    </row>
    <row r="146">
      <c r="A146" s="1" t="s">
        <v>169</v>
      </c>
      <c r="B146" s="1">
        <v>71.602362</v>
      </c>
      <c r="C146" s="1">
        <v>76.655136</v>
      </c>
    </row>
    <row r="147">
      <c r="A147" s="1" t="s">
        <v>170</v>
      </c>
      <c r="B147" s="1">
        <v>76.704591</v>
      </c>
      <c r="C147" s="1">
        <v>77.076206</v>
      </c>
    </row>
    <row r="148">
      <c r="A148" s="1" t="s">
        <v>171</v>
      </c>
      <c r="B148" s="1">
        <v>77.062006</v>
      </c>
      <c r="C148" s="1">
        <v>74.981736</v>
      </c>
    </row>
    <row r="149">
      <c r="A149" s="1" t="s">
        <v>172</v>
      </c>
      <c r="B149" s="1">
        <v>74.962434</v>
      </c>
      <c r="C149" s="1">
        <v>73.668663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1.3699944191652E7</v>
      </c>
    </row>
    <row r="3">
      <c r="A3" s="1" t="s">
        <v>26</v>
      </c>
      <c r="B3" s="1">
        <v>1.3702598419827E7</v>
      </c>
    </row>
    <row r="4">
      <c r="A4" s="1" t="s">
        <v>27</v>
      </c>
      <c r="B4" s="1">
        <v>1.3703063093253E7</v>
      </c>
    </row>
    <row r="5">
      <c r="A5" s="1" t="s">
        <v>28</v>
      </c>
      <c r="B5" s="1">
        <v>1.3703543949879E7</v>
      </c>
    </row>
    <row r="6">
      <c r="A6" s="1" t="s">
        <v>29</v>
      </c>
      <c r="B6" s="1">
        <v>1.3703786958541E7</v>
      </c>
    </row>
    <row r="7">
      <c r="A7" s="1" t="s">
        <v>30</v>
      </c>
      <c r="B7" s="1">
        <v>1.3703982686233E7</v>
      </c>
    </row>
    <row r="8">
      <c r="A8" s="1" t="s">
        <v>31</v>
      </c>
      <c r="B8" s="1">
        <v>1.3712569481324E7</v>
      </c>
    </row>
    <row r="9">
      <c r="A9" s="1" t="s">
        <v>32</v>
      </c>
      <c r="B9" s="1">
        <v>1.3713001881858E7</v>
      </c>
    </row>
    <row r="10">
      <c r="A10" s="1" t="s">
        <v>33</v>
      </c>
      <c r="B10" s="1">
        <v>1.3713208650376E7</v>
      </c>
    </row>
    <row r="11">
      <c r="A11" s="1" t="s">
        <v>34</v>
      </c>
      <c r="B11" s="1">
        <v>1.371334374639E7</v>
      </c>
    </row>
    <row r="12">
      <c r="A12" s="1" t="s">
        <v>35</v>
      </c>
      <c r="B12" s="1">
        <v>1.3714930715086E7</v>
      </c>
    </row>
    <row r="13">
      <c r="A13" s="1" t="s">
        <v>36</v>
      </c>
      <c r="B13" s="1">
        <v>1.3715328309443E7</v>
      </c>
    </row>
    <row r="14">
      <c r="A14" s="1" t="s">
        <v>37</v>
      </c>
      <c r="B14" s="1">
        <v>1.3715598184228E7</v>
      </c>
    </row>
    <row r="15">
      <c r="A15" s="1" t="s">
        <v>38</v>
      </c>
      <c r="B15" s="1">
        <v>1.3715737491974E7</v>
      </c>
    </row>
    <row r="16">
      <c r="A16" s="1" t="s">
        <v>39</v>
      </c>
      <c r="B16" s="1">
        <v>1.3715854964589E7</v>
      </c>
    </row>
    <row r="17">
      <c r="A17" s="1" t="s">
        <v>40</v>
      </c>
      <c r="B17" s="1">
        <v>1.3738607957077E7</v>
      </c>
    </row>
    <row r="18">
      <c r="A18" s="1" t="s">
        <v>41</v>
      </c>
      <c r="B18" s="1">
        <v>1.3739134444061E7</v>
      </c>
    </row>
    <row r="19">
      <c r="A19" s="1" t="s">
        <v>42</v>
      </c>
      <c r="B19" s="1">
        <v>1.3739430663771E7</v>
      </c>
    </row>
    <row r="20">
      <c r="A20" s="1" t="s">
        <v>43</v>
      </c>
      <c r="B20" s="1">
        <v>1.3739777975918E7</v>
      </c>
    </row>
    <row r="21">
      <c r="A21" s="1" t="s">
        <v>44</v>
      </c>
      <c r="B21" s="1">
        <v>1.3740264570167E7</v>
      </c>
    </row>
    <row r="22">
      <c r="A22" s="1" t="s">
        <v>45</v>
      </c>
      <c r="B22" s="1">
        <v>1.3740382806348E7</v>
      </c>
    </row>
    <row r="23">
      <c r="A23" s="1" t="s">
        <v>46</v>
      </c>
      <c r="B23" s="1">
        <v>1.374057886971E7</v>
      </c>
    </row>
    <row r="24">
      <c r="A24" s="1" t="s">
        <v>47</v>
      </c>
      <c r="B24" s="1">
        <v>1.3741188314339E7</v>
      </c>
    </row>
    <row r="25">
      <c r="A25" s="1" t="s">
        <v>48</v>
      </c>
      <c r="B25" s="1">
        <v>1.3741518392489E7</v>
      </c>
    </row>
    <row r="26">
      <c r="A26" s="1" t="s">
        <v>49</v>
      </c>
      <c r="B26" s="1">
        <v>1.38678387261E7</v>
      </c>
    </row>
    <row r="27">
      <c r="A27" s="1" t="s">
        <v>50</v>
      </c>
      <c r="B27" s="1">
        <v>1.3868266051267E7</v>
      </c>
    </row>
    <row r="28">
      <c r="A28" s="1" t="s">
        <v>51</v>
      </c>
      <c r="B28" s="1">
        <v>1.3868450653964E7</v>
      </c>
    </row>
    <row r="29">
      <c r="A29" s="1" t="s">
        <v>52</v>
      </c>
      <c r="B29" s="1">
        <v>1.3868571145333E7</v>
      </c>
    </row>
    <row r="30">
      <c r="A30" s="1" t="s">
        <v>53</v>
      </c>
      <c r="B30" s="1">
        <v>1.3868703616022E7</v>
      </c>
    </row>
    <row r="31">
      <c r="A31" s="1" t="s">
        <v>54</v>
      </c>
      <c r="B31" s="1">
        <v>1.3869745501634E7</v>
      </c>
    </row>
    <row r="32">
      <c r="A32" s="1" t="s">
        <v>55</v>
      </c>
      <c r="B32" s="1">
        <v>1.388106468028E7</v>
      </c>
    </row>
    <row r="33">
      <c r="A33" s="1" t="s">
        <v>56</v>
      </c>
      <c r="B33" s="1">
        <v>1.388131789986E7</v>
      </c>
    </row>
    <row r="34">
      <c r="A34" s="1" t="s">
        <v>57</v>
      </c>
      <c r="B34" s="1">
        <v>1.3882130317065E7</v>
      </c>
    </row>
    <row r="35">
      <c r="A35" s="1" t="s">
        <v>58</v>
      </c>
      <c r="B35" s="1">
        <v>1.3882270073301E7</v>
      </c>
    </row>
    <row r="36">
      <c r="A36" s="1" t="s">
        <v>59</v>
      </c>
      <c r="B36" s="1">
        <v>1.3882311792519E7</v>
      </c>
    </row>
    <row r="37">
      <c r="A37" s="1" t="s">
        <v>60</v>
      </c>
      <c r="B37" s="1">
        <v>1.3882529140867E7</v>
      </c>
    </row>
    <row r="38">
      <c r="A38" s="1" t="s">
        <v>61</v>
      </c>
      <c r="B38" s="1">
        <v>1.3882811051638E7</v>
      </c>
    </row>
    <row r="39">
      <c r="A39" s="1" t="s">
        <v>62</v>
      </c>
      <c r="B39" s="1">
        <v>1.388291972502E7</v>
      </c>
    </row>
    <row r="40">
      <c r="A40" s="1" t="s">
        <v>63</v>
      </c>
      <c r="B40" s="1">
        <v>1.3882989913355E7</v>
      </c>
    </row>
    <row r="41">
      <c r="A41" s="1" t="s">
        <v>64</v>
      </c>
      <c r="B41" s="1">
        <v>1.3883056283663E7</v>
      </c>
    </row>
    <row r="42">
      <c r="A42" s="1" t="s">
        <v>65</v>
      </c>
      <c r="B42" s="1">
        <v>1.3883915936695E7</v>
      </c>
    </row>
    <row r="43">
      <c r="A43" s="1" t="s">
        <v>66</v>
      </c>
      <c r="B43" s="1">
        <v>1.3884614839317E7</v>
      </c>
    </row>
    <row r="44">
      <c r="A44" s="1" t="s">
        <v>67</v>
      </c>
      <c r="B44" s="1">
        <v>1.3885058104627E7</v>
      </c>
    </row>
    <row r="45">
      <c r="A45" s="1" t="s">
        <v>68</v>
      </c>
      <c r="B45" s="1">
        <v>1.3885466334848E7</v>
      </c>
    </row>
    <row r="46">
      <c r="A46" s="1" t="s">
        <v>69</v>
      </c>
      <c r="B46" s="1">
        <v>1.388580839075E7</v>
      </c>
    </row>
    <row r="47">
      <c r="A47" s="1" t="s">
        <v>70</v>
      </c>
      <c r="B47" s="1">
        <v>1.3886053937994E7</v>
      </c>
    </row>
    <row r="48">
      <c r="A48" s="1" t="s">
        <v>71</v>
      </c>
      <c r="B48" s="1">
        <v>1.3889091434545E7</v>
      </c>
    </row>
    <row r="49">
      <c r="A49" s="1" t="s">
        <v>72</v>
      </c>
      <c r="B49" s="1">
        <v>1.3889417595406E7</v>
      </c>
    </row>
    <row r="50">
      <c r="A50" s="1" t="s">
        <v>73</v>
      </c>
      <c r="B50" s="1">
        <v>1.3889592206744E7</v>
      </c>
    </row>
    <row r="51">
      <c r="A51" s="1" t="s">
        <v>74</v>
      </c>
      <c r="B51" s="1">
        <v>1.3890139150933E7</v>
      </c>
    </row>
    <row r="52">
      <c r="A52" s="1" t="s">
        <v>75</v>
      </c>
      <c r="B52" s="1">
        <v>1.3896884734533E7</v>
      </c>
    </row>
    <row r="53">
      <c r="A53" s="1" t="s">
        <v>76</v>
      </c>
      <c r="B53" s="1">
        <v>1.3897329082054E7</v>
      </c>
    </row>
    <row r="54">
      <c r="A54" s="1" t="s">
        <v>77</v>
      </c>
      <c r="B54" s="1">
        <v>1.3898117592803E7</v>
      </c>
    </row>
    <row r="55">
      <c r="A55" s="1" t="s">
        <v>78</v>
      </c>
      <c r="B55" s="1">
        <v>1.389826379441E7</v>
      </c>
    </row>
    <row r="56">
      <c r="A56" s="1" t="s">
        <v>79</v>
      </c>
      <c r="B56" s="1">
        <v>1.3898463061216E7</v>
      </c>
    </row>
    <row r="57">
      <c r="A57" s="1" t="s">
        <v>80</v>
      </c>
      <c r="B57" s="1">
        <v>1.3899035201451E7</v>
      </c>
    </row>
    <row r="58">
      <c r="A58" s="1" t="s">
        <v>81</v>
      </c>
      <c r="B58" s="1">
        <v>1.3899456645666E7</v>
      </c>
    </row>
    <row r="59">
      <c r="A59" s="1" t="s">
        <v>82</v>
      </c>
      <c r="B59" s="1">
        <v>1.3899626193E7</v>
      </c>
    </row>
    <row r="60">
      <c r="A60" s="1" t="s">
        <v>83</v>
      </c>
      <c r="B60" s="1">
        <v>1.3900908443032E7</v>
      </c>
    </row>
    <row r="61">
      <c r="A61" s="1" t="s">
        <v>84</v>
      </c>
      <c r="B61" s="1">
        <v>1.3901055822138E7</v>
      </c>
    </row>
    <row r="62">
      <c r="A62" s="1" t="s">
        <v>85</v>
      </c>
      <c r="B62" s="1">
        <v>1.3916738547813E7</v>
      </c>
    </row>
    <row r="63">
      <c r="A63" s="1" t="s">
        <v>86</v>
      </c>
      <c r="B63" s="1">
        <v>1.3916977627046E7</v>
      </c>
    </row>
    <row r="64">
      <c r="A64" s="1" t="s">
        <v>87</v>
      </c>
      <c r="B64" s="1">
        <v>1.3919520801604E7</v>
      </c>
    </row>
    <row r="65">
      <c r="A65" s="1" t="s">
        <v>88</v>
      </c>
      <c r="B65" s="1">
        <v>1.3920097321374E7</v>
      </c>
    </row>
    <row r="66">
      <c r="A66" s="1" t="s">
        <v>89</v>
      </c>
      <c r="B66" s="1">
        <v>1.3920237281877E7</v>
      </c>
    </row>
    <row r="67">
      <c r="A67" s="1" t="s">
        <v>90</v>
      </c>
      <c r="B67" s="1">
        <v>1.3935294532885E7</v>
      </c>
    </row>
    <row r="68">
      <c r="A68" s="1" t="s">
        <v>91</v>
      </c>
      <c r="B68" s="1">
        <v>1.3935543494584E7</v>
      </c>
    </row>
    <row r="69">
      <c r="A69" s="1" t="s">
        <v>92</v>
      </c>
      <c r="B69" s="1">
        <v>1.3936168559492E7</v>
      </c>
    </row>
    <row r="70">
      <c r="A70" s="1" t="s">
        <v>93</v>
      </c>
      <c r="B70" s="1">
        <v>1.393737922517E7</v>
      </c>
    </row>
    <row r="71">
      <c r="A71" s="1" t="s">
        <v>94</v>
      </c>
      <c r="B71" s="1">
        <v>1.3938807236841E7</v>
      </c>
    </row>
    <row r="72">
      <c r="A72" s="1" t="s">
        <v>95</v>
      </c>
      <c r="B72" s="1">
        <v>1.3939449655278E7</v>
      </c>
    </row>
    <row r="73">
      <c r="A73" s="1" t="s">
        <v>96</v>
      </c>
      <c r="B73" s="1">
        <v>1.3939960450084E7</v>
      </c>
    </row>
    <row r="74">
      <c r="A74" s="1" t="s">
        <v>97</v>
      </c>
      <c r="B74" s="1">
        <v>1.394059370686E7</v>
      </c>
    </row>
    <row r="75">
      <c r="A75" s="1" t="s">
        <v>98</v>
      </c>
      <c r="B75" s="1">
        <v>1.3940983739218E7</v>
      </c>
    </row>
    <row r="76">
      <c r="A76" s="1" t="s">
        <v>99</v>
      </c>
      <c r="B76" s="1">
        <v>1.3941382602635E7</v>
      </c>
    </row>
    <row r="77">
      <c r="A77" s="1" t="s">
        <v>100</v>
      </c>
      <c r="B77" s="1">
        <v>1.3947716238479E7</v>
      </c>
    </row>
    <row r="78">
      <c r="A78" s="1" t="s">
        <v>101</v>
      </c>
      <c r="B78" s="1">
        <v>1.3948032327888E7</v>
      </c>
    </row>
    <row r="79">
      <c r="A79" s="1" t="s">
        <v>102</v>
      </c>
      <c r="B79" s="1">
        <v>1.3948351936471E7</v>
      </c>
    </row>
    <row r="80">
      <c r="A80" s="1" t="s">
        <v>103</v>
      </c>
      <c r="B80" s="1">
        <v>1.3948605151412E7</v>
      </c>
    </row>
    <row r="81">
      <c r="A81" s="1" t="s">
        <v>104</v>
      </c>
      <c r="B81" s="1">
        <v>1.39657753517E7</v>
      </c>
    </row>
    <row r="82">
      <c r="A82" s="1" t="s">
        <v>105</v>
      </c>
      <c r="B82" s="1">
        <v>1.396596177834E7</v>
      </c>
    </row>
    <row r="83">
      <c r="A83" s="1" t="s">
        <v>106</v>
      </c>
      <c r="B83" s="1">
        <v>1.396620323491E7</v>
      </c>
    </row>
    <row r="84">
      <c r="A84" s="1" t="s">
        <v>107</v>
      </c>
      <c r="B84" s="1">
        <v>1.3967238845596E7</v>
      </c>
    </row>
    <row r="85">
      <c r="A85" s="1" t="s">
        <v>108</v>
      </c>
      <c r="B85" s="1">
        <v>1.396748868251E7</v>
      </c>
    </row>
    <row r="86">
      <c r="A86" s="1" t="s">
        <v>109</v>
      </c>
      <c r="B86" s="1">
        <v>1.3967630476793E7</v>
      </c>
    </row>
    <row r="87">
      <c r="A87" s="1" t="s">
        <v>110</v>
      </c>
      <c r="B87" s="1">
        <v>1.3967845849607E7</v>
      </c>
    </row>
    <row r="88">
      <c r="A88" s="1" t="s">
        <v>111</v>
      </c>
      <c r="B88" s="1">
        <v>1.3968093794384E7</v>
      </c>
    </row>
    <row r="89">
      <c r="A89" s="1" t="s">
        <v>112</v>
      </c>
      <c r="B89" s="1">
        <v>1.3969492334459E7</v>
      </c>
    </row>
    <row r="90">
      <c r="A90" s="1" t="s">
        <v>113</v>
      </c>
      <c r="B90" s="1">
        <v>1.3969987657148E7</v>
      </c>
    </row>
    <row r="91">
      <c r="A91" s="1" t="s">
        <v>114</v>
      </c>
      <c r="B91" s="1">
        <v>1.3970457623399E7</v>
      </c>
    </row>
    <row r="92">
      <c r="A92" s="1" t="s">
        <v>115</v>
      </c>
      <c r="B92" s="1">
        <v>1.3970634233726E7</v>
      </c>
    </row>
    <row r="93">
      <c r="A93" s="1" t="s">
        <v>116</v>
      </c>
      <c r="B93" s="1">
        <v>1.3971684612636E7</v>
      </c>
    </row>
    <row r="94">
      <c r="A94" s="1" t="s">
        <v>117</v>
      </c>
      <c r="B94" s="1">
        <v>1.3979116401164E7</v>
      </c>
    </row>
    <row r="95">
      <c r="A95" s="1" t="s">
        <v>118</v>
      </c>
      <c r="B95" s="1">
        <v>1.3979201451471E7</v>
      </c>
    </row>
    <row r="96">
      <c r="A96" s="1" t="s">
        <v>119</v>
      </c>
      <c r="B96" s="1">
        <v>1.397965521628E7</v>
      </c>
    </row>
    <row r="97">
      <c r="A97" s="1" t="s">
        <v>120</v>
      </c>
      <c r="B97" s="1">
        <v>1.3981273942187E7</v>
      </c>
    </row>
    <row r="98">
      <c r="A98" s="1" t="s">
        <v>121</v>
      </c>
      <c r="B98" s="1">
        <v>1.3981879010132E7</v>
      </c>
    </row>
    <row r="99">
      <c r="A99" s="1" t="s">
        <v>122</v>
      </c>
      <c r="B99" s="1">
        <v>1.3982062159139E7</v>
      </c>
    </row>
    <row r="100">
      <c r="A100" s="1" t="s">
        <v>123</v>
      </c>
      <c r="B100" s="1">
        <v>1.3982526729287E7</v>
      </c>
    </row>
    <row r="101">
      <c r="A101" s="1" t="s">
        <v>124</v>
      </c>
      <c r="B101" s="1">
        <v>1.3983251850727E7</v>
      </c>
    </row>
    <row r="102">
      <c r="A102" s="1" t="s">
        <v>125</v>
      </c>
      <c r="B102" s="1">
        <v>1.3984389853509E7</v>
      </c>
    </row>
    <row r="103">
      <c r="A103" s="1" t="s">
        <v>126</v>
      </c>
      <c r="B103" s="1">
        <v>1.3985115713716E7</v>
      </c>
    </row>
    <row r="104">
      <c r="A104" s="1" t="s">
        <v>127</v>
      </c>
      <c r="B104" s="1">
        <v>1.3985739718079E7</v>
      </c>
    </row>
    <row r="105">
      <c r="A105" s="1" t="s">
        <v>128</v>
      </c>
      <c r="B105" s="1">
        <v>1.3986421258289E7</v>
      </c>
    </row>
    <row r="106">
      <c r="A106" s="1" t="s">
        <v>129</v>
      </c>
      <c r="B106" s="1">
        <v>1.398712499968E7</v>
      </c>
    </row>
    <row r="107">
      <c r="A107" s="1" t="s">
        <v>130</v>
      </c>
      <c r="B107" s="1">
        <v>1.3987700923547E7</v>
      </c>
    </row>
    <row r="108">
      <c r="A108" s="1" t="s">
        <v>131</v>
      </c>
      <c r="B108" s="1">
        <v>1.3987862289871E7</v>
      </c>
    </row>
    <row r="109">
      <c r="A109" s="1" t="s">
        <v>132</v>
      </c>
      <c r="B109" s="1">
        <v>1.3988088977518E7</v>
      </c>
    </row>
    <row r="110">
      <c r="A110" s="1" t="s">
        <v>133</v>
      </c>
      <c r="B110" s="1">
        <v>1.3988486504207E7</v>
      </c>
    </row>
    <row r="111">
      <c r="A111" s="1" t="s">
        <v>134</v>
      </c>
      <c r="B111" s="1">
        <v>1.3989189081466E7</v>
      </c>
    </row>
    <row r="112">
      <c r="A112" s="1" t="s">
        <v>135</v>
      </c>
      <c r="B112" s="1">
        <v>1.3990342556468E7</v>
      </c>
    </row>
    <row r="113">
      <c r="A113" s="1" t="s">
        <v>136</v>
      </c>
      <c r="B113" s="1">
        <v>1.3990484496281E7</v>
      </c>
    </row>
    <row r="114">
      <c r="A114" s="1" t="s">
        <v>137</v>
      </c>
      <c r="B114" s="1">
        <v>1.3991017734324E7</v>
      </c>
    </row>
    <row r="115">
      <c r="A115" s="1" t="s">
        <v>138</v>
      </c>
      <c r="B115" s="1">
        <v>1.3991275888879E7</v>
      </c>
    </row>
    <row r="116">
      <c r="A116" s="1" t="s">
        <v>139</v>
      </c>
      <c r="B116" s="1">
        <v>1.3992043840385E7</v>
      </c>
    </row>
    <row r="117">
      <c r="A117" s="1" t="s">
        <v>140</v>
      </c>
      <c r="B117" s="1">
        <v>1.3993549108061E7</v>
      </c>
    </row>
    <row r="118">
      <c r="A118" s="1" t="s">
        <v>141</v>
      </c>
      <c r="B118" s="1">
        <v>1.3994097500391E7</v>
      </c>
    </row>
    <row r="119">
      <c r="A119" s="1" t="s">
        <v>142</v>
      </c>
      <c r="B119" s="1">
        <v>1.3994333080523E7</v>
      </c>
    </row>
    <row r="120">
      <c r="A120" s="1" t="s">
        <v>143</v>
      </c>
      <c r="B120" s="1">
        <v>1.399522381859E7</v>
      </c>
    </row>
    <row r="121">
      <c r="A121" s="1" t="s">
        <v>144</v>
      </c>
      <c r="B121" s="1">
        <v>1.3995554568004E7</v>
      </c>
    </row>
    <row r="122">
      <c r="A122" s="1" t="s">
        <v>145</v>
      </c>
      <c r="B122" s="1">
        <v>1.399661249055E7</v>
      </c>
    </row>
    <row r="123">
      <c r="A123" s="1" t="s">
        <v>146</v>
      </c>
      <c r="B123" s="1">
        <v>1.3997306065618E7</v>
      </c>
    </row>
    <row r="124">
      <c r="A124" s="1" t="s">
        <v>147</v>
      </c>
      <c r="B124" s="1">
        <v>1.4008350125591E7</v>
      </c>
    </row>
    <row r="125">
      <c r="A125" s="1" t="s">
        <v>148</v>
      </c>
      <c r="B125" s="1">
        <v>1.4009676410361E7</v>
      </c>
    </row>
    <row r="126">
      <c r="A126" s="1" t="s">
        <v>149</v>
      </c>
      <c r="B126" s="1">
        <v>1.4010194682942E7</v>
      </c>
    </row>
    <row r="127">
      <c r="A127" s="1" t="s">
        <v>150</v>
      </c>
      <c r="B127" s="1">
        <v>1.4010465987198E7</v>
      </c>
    </row>
    <row r="128">
      <c r="A128" s="1" t="s">
        <v>151</v>
      </c>
      <c r="B128" s="1">
        <v>1.4010940851499E7</v>
      </c>
    </row>
    <row r="129">
      <c r="A129" s="1" t="s">
        <v>152</v>
      </c>
      <c r="B129" s="1">
        <v>1.4011236322944E7</v>
      </c>
    </row>
    <row r="130">
      <c r="A130" s="1" t="s">
        <v>153</v>
      </c>
      <c r="B130" s="1">
        <v>1.4011547569346E7</v>
      </c>
    </row>
    <row r="131">
      <c r="A131" s="1" t="s">
        <v>154</v>
      </c>
      <c r="B131" s="1">
        <v>1.4012257325205E7</v>
      </c>
    </row>
    <row r="132">
      <c r="A132" s="1" t="s">
        <v>155</v>
      </c>
      <c r="B132" s="1">
        <v>1.4012398309206E7</v>
      </c>
    </row>
    <row r="133">
      <c r="A133" s="1" t="s">
        <v>156</v>
      </c>
      <c r="B133" s="1">
        <v>1.4089119601841E7</v>
      </c>
    </row>
    <row r="134">
      <c r="A134" s="1" t="s">
        <v>157</v>
      </c>
      <c r="B134" s="1">
        <v>1.4089364905908E7</v>
      </c>
    </row>
    <row r="135">
      <c r="A135" s="1" t="s">
        <v>158</v>
      </c>
      <c r="B135" s="1">
        <v>1.4090787575286E7</v>
      </c>
    </row>
    <row r="136">
      <c r="A136" s="1" t="s">
        <v>159</v>
      </c>
      <c r="B136" s="1">
        <v>1.4092329949595E7</v>
      </c>
    </row>
    <row r="137">
      <c r="A137" s="1" t="s">
        <v>160</v>
      </c>
      <c r="B137" s="1">
        <v>1.409286526279E7</v>
      </c>
    </row>
    <row r="138">
      <c r="A138" s="1" t="s">
        <v>161</v>
      </c>
      <c r="B138" s="1">
        <v>1.4093158599071E7</v>
      </c>
    </row>
    <row r="139">
      <c r="A139" s="1" t="s">
        <v>162</v>
      </c>
      <c r="B139" s="1">
        <v>1.4097001994444E7</v>
      </c>
    </row>
    <row r="140">
      <c r="A140" s="1" t="s">
        <v>163</v>
      </c>
      <c r="B140" s="1">
        <v>1.4097248130859E7</v>
      </c>
    </row>
    <row r="141">
      <c r="A141" s="1" t="s">
        <v>164</v>
      </c>
      <c r="B141" s="1">
        <v>1.4098083060079E7</v>
      </c>
    </row>
    <row r="142">
      <c r="A142" s="1" t="s">
        <v>165</v>
      </c>
      <c r="B142" s="1">
        <v>1.4098372136706E7</v>
      </c>
    </row>
    <row r="143">
      <c r="A143" s="1" t="s">
        <v>166</v>
      </c>
      <c r="B143" s="1">
        <v>1.4098891982367E7</v>
      </c>
    </row>
    <row r="144">
      <c r="A144" s="1" t="s">
        <v>167</v>
      </c>
      <c r="B144" s="1">
        <v>1.4099232584558E7</v>
      </c>
    </row>
    <row r="145">
      <c r="A145" s="1" t="s">
        <v>168</v>
      </c>
      <c r="B145" s="1">
        <v>1.4099539848541E7</v>
      </c>
    </row>
    <row r="146">
      <c r="A146" s="1" t="s">
        <v>169</v>
      </c>
      <c r="B146" s="1">
        <v>1.4100474400879E7</v>
      </c>
    </row>
    <row r="147">
      <c r="A147" s="1" t="s">
        <v>170</v>
      </c>
      <c r="B147" s="1">
        <v>1.4100880536948E7</v>
      </c>
    </row>
    <row r="148">
      <c r="A148" s="1" t="s">
        <v>171</v>
      </c>
      <c r="B148" s="1">
        <v>1.4101022454604E7</v>
      </c>
    </row>
    <row r="149">
      <c r="A149" s="1" t="s">
        <v>172</v>
      </c>
      <c r="B149" s="1">
        <v>1.4101300353004E7</v>
      </c>
    </row>
    <row r="150">
      <c r="A150" s="1" t="s">
        <v>174</v>
      </c>
      <c r="B150" s="1">
        <v>1.4101310991226E7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</row>
    <row r="2">
      <c r="A2" s="1" t="s">
        <v>25</v>
      </c>
      <c r="B2" s="1">
        <v>6.752732</v>
      </c>
      <c r="C2" s="1">
        <v>7.115622</v>
      </c>
    </row>
    <row r="3">
      <c r="A3" s="1" t="s">
        <v>26</v>
      </c>
      <c r="B3" s="1">
        <v>7.114579</v>
      </c>
      <c r="C3" s="1">
        <v>6.929922</v>
      </c>
    </row>
    <row r="4">
      <c r="A4" s="1" t="s">
        <v>27</v>
      </c>
      <c r="B4" s="1">
        <v>6.929338</v>
      </c>
      <c r="C4" s="1">
        <v>6.855199</v>
      </c>
    </row>
    <row r="5">
      <c r="A5" s="1" t="s">
        <v>28</v>
      </c>
      <c r="B5" s="1">
        <v>6.856312</v>
      </c>
      <c r="C5" s="1">
        <v>7.93688</v>
      </c>
    </row>
    <row r="6">
      <c r="A6" s="1" t="s">
        <v>29</v>
      </c>
      <c r="B6" s="1">
        <v>7.936684</v>
      </c>
      <c r="C6" s="1">
        <v>7.345036</v>
      </c>
    </row>
    <row r="7">
      <c r="A7" s="1" t="s">
        <v>30</v>
      </c>
      <c r="B7" s="1">
        <v>7.347492</v>
      </c>
      <c r="C7" s="1">
        <v>7.580028</v>
      </c>
    </row>
    <row r="8">
      <c r="A8" s="1" t="s">
        <v>31</v>
      </c>
      <c r="B8" s="1">
        <v>7.584601</v>
      </c>
      <c r="C8" s="1">
        <v>7.167439</v>
      </c>
    </row>
    <row r="9">
      <c r="A9" s="1" t="s">
        <v>32</v>
      </c>
      <c r="B9" s="1">
        <v>7.171079</v>
      </c>
      <c r="C9" s="1">
        <v>7.097921</v>
      </c>
    </row>
    <row r="10">
      <c r="A10" s="1" t="s">
        <v>33</v>
      </c>
      <c r="B10" s="1">
        <v>7.098135</v>
      </c>
      <c r="C10" s="1">
        <v>5.948848</v>
      </c>
    </row>
    <row r="11">
      <c r="A11" s="1" t="s">
        <v>34</v>
      </c>
      <c r="B11" s="1">
        <v>5.954821</v>
      </c>
      <c r="C11" s="1">
        <v>6.070186</v>
      </c>
    </row>
    <row r="12">
      <c r="A12" s="1" t="s">
        <v>35</v>
      </c>
      <c r="B12" s="1">
        <v>6.069774</v>
      </c>
      <c r="C12" s="1">
        <v>4.892069</v>
      </c>
    </row>
    <row r="13">
      <c r="A13" s="1" t="s">
        <v>36</v>
      </c>
      <c r="B13" s="1">
        <v>4.892984</v>
      </c>
      <c r="C13" s="1">
        <v>4.655682</v>
      </c>
    </row>
    <row r="14">
      <c r="A14" s="1" t="s">
        <v>37</v>
      </c>
      <c r="B14" s="1">
        <v>4.656379</v>
      </c>
      <c r="C14" s="1">
        <v>5.128092</v>
      </c>
    </row>
    <row r="15">
      <c r="A15" s="1" t="s">
        <v>38</v>
      </c>
      <c r="B15" s="1">
        <v>5.127297</v>
      </c>
      <c r="C15" s="1">
        <v>5.169466</v>
      </c>
    </row>
    <row r="16">
      <c r="A16" s="1" t="s">
        <v>39</v>
      </c>
      <c r="B16" s="1">
        <v>5.169285</v>
      </c>
      <c r="C16" s="1">
        <v>5.446445</v>
      </c>
    </row>
    <row r="17">
      <c r="A17" s="1" t="s">
        <v>40</v>
      </c>
      <c r="B17" s="1">
        <v>5.443996</v>
      </c>
      <c r="C17" s="1">
        <v>5.046822</v>
      </c>
    </row>
    <row r="18">
      <c r="A18" s="1" t="s">
        <v>41</v>
      </c>
      <c r="B18" s="1">
        <v>5.052133</v>
      </c>
      <c r="C18" s="1">
        <v>5.462139</v>
      </c>
    </row>
    <row r="19">
      <c r="A19" s="1" t="s">
        <v>42</v>
      </c>
      <c r="B19" s="1">
        <v>5.459629</v>
      </c>
      <c r="C19" s="1">
        <v>4.88466</v>
      </c>
    </row>
    <row r="20">
      <c r="A20" s="1" t="s">
        <v>43</v>
      </c>
      <c r="B20" s="1">
        <v>4.922264</v>
      </c>
      <c r="C20" s="1">
        <v>5.187412</v>
      </c>
    </row>
    <row r="21">
      <c r="A21" s="1" t="s">
        <v>44</v>
      </c>
      <c r="B21" s="1">
        <v>5.185391</v>
      </c>
      <c r="C21" s="1">
        <v>5.090143</v>
      </c>
    </row>
    <row r="22">
      <c r="A22" s="1" t="s">
        <v>45</v>
      </c>
      <c r="B22" s="1">
        <v>5.088243</v>
      </c>
      <c r="C22" s="1">
        <v>5.233334</v>
      </c>
    </row>
    <row r="23">
      <c r="A23" s="1" t="s">
        <v>46</v>
      </c>
      <c r="B23" s="1">
        <v>5.22356</v>
      </c>
      <c r="C23" s="1">
        <v>5.483621</v>
      </c>
    </row>
    <row r="24">
      <c r="A24" s="1" t="s">
        <v>47</v>
      </c>
      <c r="B24" s="1">
        <v>5.47627</v>
      </c>
      <c r="C24" s="1">
        <v>5.621875</v>
      </c>
    </row>
    <row r="25">
      <c r="A25" s="1" t="s">
        <v>48</v>
      </c>
      <c r="B25" s="1">
        <v>5.625066</v>
      </c>
      <c r="C25" s="1">
        <v>5.597263</v>
      </c>
    </row>
    <row r="26">
      <c r="A26" s="1" t="s">
        <v>49</v>
      </c>
      <c r="B26" s="1">
        <v>5.590588</v>
      </c>
      <c r="C26" s="1">
        <v>5.617339</v>
      </c>
    </row>
    <row r="27">
      <c r="A27" s="1" t="s">
        <v>50</v>
      </c>
      <c r="B27" s="1">
        <v>5.618831</v>
      </c>
      <c r="C27" s="1">
        <v>4.938617</v>
      </c>
    </row>
    <row r="28">
      <c r="A28" s="1" t="s">
        <v>51</v>
      </c>
      <c r="B28" s="1">
        <v>4.942806</v>
      </c>
      <c r="C28" s="1">
        <v>4.69149</v>
      </c>
    </row>
    <row r="29">
      <c r="A29" s="1" t="s">
        <v>52</v>
      </c>
      <c r="B29" s="1">
        <v>4.692841</v>
      </c>
      <c r="C29" s="1">
        <v>4.981421</v>
      </c>
    </row>
    <row r="30">
      <c r="A30" s="1" t="s">
        <v>53</v>
      </c>
      <c r="B30" s="1">
        <v>4.980048</v>
      </c>
      <c r="C30" s="1">
        <v>4.943533</v>
      </c>
    </row>
    <row r="31">
      <c r="A31" s="1" t="s">
        <v>54</v>
      </c>
      <c r="B31" s="1">
        <v>4.942211</v>
      </c>
      <c r="C31" s="1">
        <v>5.647425</v>
      </c>
    </row>
    <row r="32">
      <c r="A32" s="1" t="s">
        <v>55</v>
      </c>
      <c r="B32" s="1">
        <v>5.652219</v>
      </c>
      <c r="C32" s="1">
        <v>5.692256</v>
      </c>
    </row>
    <row r="33">
      <c r="A33" s="1" t="s">
        <v>56</v>
      </c>
      <c r="B33" s="1">
        <v>5.687735</v>
      </c>
      <c r="C33" s="1">
        <v>5.136147</v>
      </c>
    </row>
    <row r="34">
      <c r="A34" s="1" t="s">
        <v>57</v>
      </c>
      <c r="B34" s="1">
        <v>5.141428</v>
      </c>
      <c r="C34" s="1">
        <v>5.309526</v>
      </c>
    </row>
    <row r="35">
      <c r="A35" s="1" t="s">
        <v>58</v>
      </c>
      <c r="B35" s="1">
        <v>5.280675</v>
      </c>
      <c r="C35" s="1">
        <v>5.064254</v>
      </c>
    </row>
    <row r="36">
      <c r="A36" s="1" t="s">
        <v>59</v>
      </c>
      <c r="B36" s="1">
        <v>5.072912</v>
      </c>
      <c r="C36" s="1">
        <v>5.14349</v>
      </c>
    </row>
    <row r="37">
      <c r="A37" s="1" t="s">
        <v>60</v>
      </c>
      <c r="B37" s="1">
        <v>5.112042</v>
      </c>
      <c r="C37" s="1">
        <v>5.087407</v>
      </c>
    </row>
    <row r="38">
      <c r="A38" s="1" t="s">
        <v>61</v>
      </c>
      <c r="B38" s="1">
        <v>5.087729</v>
      </c>
      <c r="C38" s="1">
        <v>5.362639</v>
      </c>
    </row>
    <row r="39">
      <c r="A39" s="1" t="s">
        <v>62</v>
      </c>
      <c r="B39" s="1">
        <v>5.346567</v>
      </c>
      <c r="C39" s="1">
        <v>5.221045</v>
      </c>
    </row>
    <row r="40">
      <c r="A40" s="1" t="s">
        <v>63</v>
      </c>
      <c r="B40" s="1">
        <v>5.213563</v>
      </c>
      <c r="C40" s="1">
        <v>5.07818</v>
      </c>
    </row>
    <row r="41">
      <c r="A41" s="1" t="s">
        <v>64</v>
      </c>
      <c r="B41" s="1">
        <v>5.079823</v>
      </c>
      <c r="C41" s="1">
        <v>5.193866</v>
      </c>
    </row>
    <row r="42">
      <c r="A42" s="1" t="s">
        <v>65</v>
      </c>
      <c r="B42" s="1">
        <v>5.19541</v>
      </c>
      <c r="C42" s="1">
        <v>4.809279</v>
      </c>
    </row>
    <row r="43">
      <c r="A43" s="1" t="s">
        <v>66</v>
      </c>
      <c r="B43" s="1">
        <v>4.812547</v>
      </c>
      <c r="C43" s="1">
        <v>4.382718</v>
      </c>
    </row>
    <row r="44">
      <c r="A44" s="1" t="s">
        <v>67</v>
      </c>
      <c r="B44" s="1">
        <v>4.383471</v>
      </c>
      <c r="C44" s="1">
        <v>4.056876</v>
      </c>
    </row>
    <row r="45">
      <c r="A45" s="1" t="s">
        <v>68</v>
      </c>
      <c r="B45" s="1">
        <v>4.056605</v>
      </c>
      <c r="C45" s="1">
        <v>3.655231</v>
      </c>
    </row>
    <row r="46">
      <c r="A46" s="1" t="s">
        <v>69</v>
      </c>
      <c r="B46" s="1">
        <v>3.664061</v>
      </c>
      <c r="C46" s="1">
        <v>3.858806</v>
      </c>
    </row>
    <row r="47">
      <c r="A47" s="1" t="s">
        <v>70</v>
      </c>
      <c r="B47" s="1">
        <v>3.861913</v>
      </c>
      <c r="C47" s="1">
        <v>4.415389</v>
      </c>
    </row>
    <row r="48">
      <c r="A48" s="1" t="s">
        <v>71</v>
      </c>
      <c r="B48" s="1">
        <v>4.42163</v>
      </c>
      <c r="C48" s="1">
        <v>3.827069</v>
      </c>
    </row>
    <row r="49">
      <c r="A49" s="1" t="s">
        <v>72</v>
      </c>
      <c r="B49" s="1">
        <v>3.835729</v>
      </c>
      <c r="C49" s="1">
        <v>3.924162</v>
      </c>
    </row>
    <row r="50">
      <c r="A50" s="1" t="s">
        <v>73</v>
      </c>
      <c r="B50" s="1">
        <v>3.93036</v>
      </c>
      <c r="C50" s="1">
        <v>3.637241</v>
      </c>
    </row>
    <row r="51">
      <c r="A51" s="1" t="s">
        <v>74</v>
      </c>
      <c r="B51" s="1">
        <v>3.642738</v>
      </c>
      <c r="C51" s="1">
        <v>4.189005</v>
      </c>
    </row>
    <row r="52">
      <c r="A52" s="1" t="s">
        <v>75</v>
      </c>
      <c r="B52" s="1">
        <v>4.186464</v>
      </c>
      <c r="C52" s="1">
        <v>4.291414</v>
      </c>
    </row>
    <row r="53">
      <c r="A53" s="1" t="s">
        <v>76</v>
      </c>
      <c r="B53" s="1">
        <v>4.289353</v>
      </c>
      <c r="C53" s="1">
        <v>4.76353</v>
      </c>
    </row>
    <row r="54">
      <c r="A54" s="1" t="s">
        <v>77</v>
      </c>
      <c r="B54" s="1">
        <v>4.773112</v>
      </c>
      <c r="C54" s="1">
        <v>4.972442</v>
      </c>
    </row>
    <row r="55">
      <c r="A55" s="1" t="s">
        <v>78</v>
      </c>
      <c r="B55" s="1">
        <v>4.982678</v>
      </c>
      <c r="C55" s="1">
        <v>5.614622</v>
      </c>
    </row>
    <row r="56">
      <c r="A56" s="1" t="s">
        <v>79</v>
      </c>
      <c r="B56" s="1">
        <v>5.605006</v>
      </c>
      <c r="C56" s="1">
        <v>5.433179</v>
      </c>
    </row>
    <row r="57">
      <c r="A57" s="1" t="s">
        <v>80</v>
      </c>
      <c r="B57" s="1">
        <v>5.455058</v>
      </c>
      <c r="C57" s="1">
        <v>5.620183</v>
      </c>
    </row>
    <row r="58">
      <c r="A58" s="1" t="s">
        <v>81</v>
      </c>
      <c r="B58" s="1">
        <v>5.618101</v>
      </c>
      <c r="C58" s="1">
        <v>5.599478</v>
      </c>
    </row>
    <row r="59">
      <c r="A59" s="1" t="s">
        <v>82</v>
      </c>
      <c r="B59" s="1">
        <v>5.591552</v>
      </c>
      <c r="C59" s="1">
        <v>5.326337</v>
      </c>
    </row>
    <row r="60">
      <c r="A60" s="1" t="s">
        <v>83</v>
      </c>
      <c r="B60" s="1">
        <v>5.333516</v>
      </c>
      <c r="C60" s="1">
        <v>4.915312</v>
      </c>
    </row>
    <row r="61">
      <c r="A61" s="1" t="s">
        <v>84</v>
      </c>
      <c r="B61" s="1">
        <v>4.915156</v>
      </c>
      <c r="C61" s="1">
        <v>5.108928</v>
      </c>
    </row>
    <row r="62">
      <c r="A62" s="1" t="s">
        <v>85</v>
      </c>
      <c r="B62" s="1">
        <v>5.109</v>
      </c>
      <c r="C62" s="1">
        <v>4.999514</v>
      </c>
    </row>
    <row r="63">
      <c r="A63" s="1" t="s">
        <v>86</v>
      </c>
      <c r="B63" s="1">
        <v>4.996136</v>
      </c>
      <c r="C63" s="1">
        <v>4.85417</v>
      </c>
    </row>
    <row r="64">
      <c r="A64" s="1" t="s">
        <v>87</v>
      </c>
      <c r="B64" s="1">
        <v>4.855572</v>
      </c>
      <c r="C64" s="1">
        <v>4.911067</v>
      </c>
    </row>
    <row r="65">
      <c r="A65" s="1" t="s">
        <v>88</v>
      </c>
      <c r="B65" s="1">
        <v>4.90749</v>
      </c>
      <c r="C65" s="1">
        <v>4.90912</v>
      </c>
    </row>
    <row r="66">
      <c r="A66" s="1" t="s">
        <v>89</v>
      </c>
      <c r="B66" s="1">
        <v>4.912893</v>
      </c>
      <c r="C66" s="1">
        <v>5.332735</v>
      </c>
    </row>
    <row r="67">
      <c r="A67" s="1" t="s">
        <v>90</v>
      </c>
      <c r="B67" s="1">
        <v>5.324687</v>
      </c>
      <c r="C67" s="1">
        <v>5.297478</v>
      </c>
    </row>
    <row r="68">
      <c r="A68" s="1" t="s">
        <v>91</v>
      </c>
      <c r="B68" s="1">
        <v>5.301804</v>
      </c>
      <c r="C68" s="1">
        <v>5.344732</v>
      </c>
    </row>
    <row r="69">
      <c r="A69" s="1" t="s">
        <v>92</v>
      </c>
      <c r="B69" s="1">
        <v>5.349806</v>
      </c>
      <c r="C69" s="1">
        <v>5.727843</v>
      </c>
    </row>
    <row r="70">
      <c r="A70" s="1" t="s">
        <v>93</v>
      </c>
      <c r="B70" s="1">
        <v>5.729551</v>
      </c>
      <c r="C70" s="1">
        <v>5.791954</v>
      </c>
    </row>
    <row r="71">
      <c r="A71" s="1" t="s">
        <v>94</v>
      </c>
      <c r="B71" s="1">
        <v>5.796142</v>
      </c>
      <c r="C71" s="1">
        <v>6.453558</v>
      </c>
    </row>
    <row r="72">
      <c r="A72" s="1" t="s">
        <v>95</v>
      </c>
      <c r="B72" s="1">
        <v>6.452374</v>
      </c>
      <c r="C72" s="1">
        <v>6.236682</v>
      </c>
    </row>
    <row r="73">
      <c r="A73" s="1" t="s">
        <v>96</v>
      </c>
      <c r="B73" s="1">
        <v>6.232659</v>
      </c>
      <c r="C73" s="1">
        <v>5.56206</v>
      </c>
    </row>
    <row r="74">
      <c r="A74" s="1" t="s">
        <v>97</v>
      </c>
      <c r="B74" s="1">
        <v>5.560908</v>
      </c>
      <c r="C74" s="1">
        <v>5.53071</v>
      </c>
    </row>
    <row r="75">
      <c r="A75" s="1" t="s">
        <v>98</v>
      </c>
      <c r="B75" s="1">
        <v>5.531975</v>
      </c>
      <c r="C75" s="1">
        <v>6.104397</v>
      </c>
    </row>
    <row r="76">
      <c r="A76" s="1" t="s">
        <v>99</v>
      </c>
      <c r="B76" s="1">
        <v>6.11417</v>
      </c>
      <c r="C76" s="1">
        <v>7.012924</v>
      </c>
    </row>
    <row r="77">
      <c r="A77" s="1" t="s">
        <v>100</v>
      </c>
      <c r="B77" s="1">
        <v>7.009815</v>
      </c>
      <c r="C77" s="1">
        <v>6.739268</v>
      </c>
    </row>
    <row r="78">
      <c r="A78" s="1" t="s">
        <v>101</v>
      </c>
      <c r="B78" s="1">
        <v>6.778151</v>
      </c>
      <c r="C78" s="1">
        <v>7.373462</v>
      </c>
    </row>
    <row r="79">
      <c r="A79" s="1" t="s">
        <v>102</v>
      </c>
      <c r="B79" s="1">
        <v>7.374646</v>
      </c>
      <c r="C79" s="1">
        <v>6.942406</v>
      </c>
    </row>
    <row r="80">
      <c r="A80" s="1" t="s">
        <v>103</v>
      </c>
      <c r="B80" s="1">
        <v>6.942805</v>
      </c>
      <c r="C80" s="1">
        <v>7.329801</v>
      </c>
    </row>
    <row r="81">
      <c r="A81" s="1" t="s">
        <v>104</v>
      </c>
      <c r="B81" s="1">
        <v>7.324554</v>
      </c>
      <c r="C81" s="1">
        <v>7.3568</v>
      </c>
    </row>
    <row r="82">
      <c r="A82" s="1" t="s">
        <v>105</v>
      </c>
      <c r="B82" s="1">
        <v>7.349089</v>
      </c>
      <c r="C82" s="1">
        <v>6.860028</v>
      </c>
    </row>
    <row r="83">
      <c r="A83" s="1" t="s">
        <v>106</v>
      </c>
      <c r="B83" s="1">
        <v>6.858587</v>
      </c>
      <c r="C83" s="1">
        <v>7.224922</v>
      </c>
    </row>
    <row r="84">
      <c r="A84" s="1" t="s">
        <v>107</v>
      </c>
      <c r="B84" s="1">
        <v>7.229573</v>
      </c>
      <c r="C84" s="1">
        <v>6.892168</v>
      </c>
    </row>
    <row r="85">
      <c r="A85" s="1" t="s">
        <v>108</v>
      </c>
      <c r="B85" s="1">
        <v>6.889708</v>
      </c>
      <c r="C85" s="1">
        <v>6.966898</v>
      </c>
    </row>
    <row r="86">
      <c r="A86" s="1" t="s">
        <v>109</v>
      </c>
      <c r="B86" s="1">
        <v>6.957151</v>
      </c>
      <c r="C86" s="1">
        <v>7.240975</v>
      </c>
    </row>
    <row r="87">
      <c r="A87" s="1" t="s">
        <v>110</v>
      </c>
      <c r="B87" s="1">
        <v>7.246643</v>
      </c>
      <c r="C87" s="1">
        <v>7.048706</v>
      </c>
    </row>
    <row r="88">
      <c r="A88" s="1" t="s">
        <v>111</v>
      </c>
      <c r="B88" s="1">
        <v>7.045829</v>
      </c>
      <c r="C88" s="1">
        <v>6.652476</v>
      </c>
    </row>
    <row r="89">
      <c r="A89" s="1" t="s">
        <v>112</v>
      </c>
      <c r="B89" s="1">
        <v>6.654496</v>
      </c>
      <c r="C89" s="1">
        <v>8.054141</v>
      </c>
    </row>
    <row r="90">
      <c r="A90" s="1" t="s">
        <v>113</v>
      </c>
      <c r="B90" s="1">
        <v>8.056056</v>
      </c>
      <c r="C90" s="1">
        <v>9.282191</v>
      </c>
    </row>
    <row r="91">
      <c r="A91" s="1" t="s">
        <v>114</v>
      </c>
      <c r="B91" s="1">
        <v>9.284156</v>
      </c>
      <c r="C91" s="1">
        <v>9.070715</v>
      </c>
    </row>
    <row r="92">
      <c r="A92" s="1" t="s">
        <v>115</v>
      </c>
      <c r="B92" s="1">
        <v>9.091775</v>
      </c>
      <c r="C92" s="1">
        <v>8.77286</v>
      </c>
    </row>
    <row r="93">
      <c r="A93" s="1" t="s">
        <v>116</v>
      </c>
      <c r="B93" s="1">
        <v>8.777603</v>
      </c>
      <c r="C93" s="1">
        <v>8.329439</v>
      </c>
    </row>
    <row r="94">
      <c r="A94" s="1" t="s">
        <v>117</v>
      </c>
      <c r="B94" s="1">
        <v>8.332774</v>
      </c>
      <c r="C94" s="1">
        <v>8.349094</v>
      </c>
    </row>
    <row r="95">
      <c r="A95" s="1" t="s">
        <v>118</v>
      </c>
      <c r="B95" s="1">
        <v>8.347577</v>
      </c>
      <c r="C95" s="1">
        <v>8.254952</v>
      </c>
    </row>
    <row r="96">
      <c r="A96" s="1" t="s">
        <v>119</v>
      </c>
      <c r="B96" s="1">
        <v>8.258928</v>
      </c>
      <c r="C96" s="1">
        <v>8.916649</v>
      </c>
    </row>
    <row r="97">
      <c r="A97" s="1" t="s">
        <v>120</v>
      </c>
      <c r="B97" s="1">
        <v>8.927123</v>
      </c>
      <c r="C97" s="1">
        <v>8.827202</v>
      </c>
    </row>
    <row r="98">
      <c r="A98" s="1" t="s">
        <v>121</v>
      </c>
      <c r="B98" s="1">
        <v>8.818838</v>
      </c>
      <c r="C98" s="1">
        <v>8.97506</v>
      </c>
    </row>
    <row r="99">
      <c r="A99" s="1" t="s">
        <v>122</v>
      </c>
      <c r="B99" s="1">
        <v>8.978772</v>
      </c>
      <c r="C99" s="1">
        <v>8.779093</v>
      </c>
    </row>
    <row r="100">
      <c r="A100" s="1" t="s">
        <v>123</v>
      </c>
      <c r="B100" s="1">
        <v>8.776418</v>
      </c>
      <c r="C100" s="1">
        <v>8.782573</v>
      </c>
    </row>
    <row r="101">
      <c r="A101" s="1" t="s">
        <v>124</v>
      </c>
      <c r="B101" s="1">
        <v>8.790583</v>
      </c>
      <c r="C101" s="1">
        <v>8.801806</v>
      </c>
    </row>
    <row r="102">
      <c r="A102" s="1" t="s">
        <v>125</v>
      </c>
      <c r="B102" s="1">
        <v>8.788493</v>
      </c>
      <c r="C102" s="1">
        <v>8.441119</v>
      </c>
    </row>
    <row r="103">
      <c r="A103" s="1" t="s">
        <v>126</v>
      </c>
      <c r="B103" s="1">
        <v>8.44037</v>
      </c>
      <c r="C103" s="1">
        <v>9.225199</v>
      </c>
    </row>
    <row r="104">
      <c r="A104" s="1" t="s">
        <v>127</v>
      </c>
      <c r="B104" s="1">
        <v>9.22111</v>
      </c>
      <c r="C104" s="1">
        <v>8.962354</v>
      </c>
    </row>
    <row r="105">
      <c r="A105" s="1" t="s">
        <v>128</v>
      </c>
      <c r="B105" s="1">
        <v>8.964899</v>
      </c>
      <c r="C105" s="1">
        <v>9.208543</v>
      </c>
    </row>
    <row r="106">
      <c r="A106" s="1" t="s">
        <v>129</v>
      </c>
      <c r="B106" s="1">
        <v>9.209798</v>
      </c>
      <c r="C106" s="1">
        <v>8.989425</v>
      </c>
    </row>
    <row r="107">
      <c r="A107" s="1" t="s">
        <v>130</v>
      </c>
      <c r="B107" s="1">
        <v>8.987442</v>
      </c>
      <c r="C107" s="1">
        <v>8.877351</v>
      </c>
    </row>
    <row r="108">
      <c r="A108" s="1" t="s">
        <v>131</v>
      </c>
      <c r="B108" s="1">
        <v>8.881124</v>
      </c>
      <c r="C108" s="1">
        <v>8.470619</v>
      </c>
    </row>
    <row r="109">
      <c r="A109" s="1" t="s">
        <v>132</v>
      </c>
      <c r="B109" s="1">
        <v>8.468508</v>
      </c>
      <c r="C109" s="1">
        <v>8.326531</v>
      </c>
    </row>
    <row r="110">
      <c r="A110" s="1" t="s">
        <v>133</v>
      </c>
      <c r="B110" s="1">
        <v>8.339581</v>
      </c>
      <c r="C110" s="1">
        <v>7.957803</v>
      </c>
    </row>
    <row r="111">
      <c r="A111" s="1" t="s">
        <v>134</v>
      </c>
      <c r="B111" s="1">
        <v>7.958688</v>
      </c>
      <c r="C111" s="1">
        <v>7.576004</v>
      </c>
    </row>
    <row r="112">
      <c r="A112" s="1" t="s">
        <v>135</v>
      </c>
      <c r="B112" s="1">
        <v>7.574364</v>
      </c>
      <c r="C112" s="1">
        <v>6.897075</v>
      </c>
    </row>
    <row r="113">
      <c r="A113" s="1" t="s">
        <v>136</v>
      </c>
      <c r="B113" s="1">
        <v>6.896528</v>
      </c>
      <c r="C113" s="1">
        <v>7.002822</v>
      </c>
    </row>
    <row r="114">
      <c r="A114" s="1" t="s">
        <v>137</v>
      </c>
      <c r="B114" s="1">
        <v>7.006636</v>
      </c>
      <c r="C114" s="1">
        <v>7.209201</v>
      </c>
    </row>
    <row r="115">
      <c r="A115" s="1" t="s">
        <v>138</v>
      </c>
      <c r="B115" s="1">
        <v>7.210728</v>
      </c>
      <c r="C115" s="1">
        <v>6.980132</v>
      </c>
    </row>
    <row r="116">
      <c r="A116" s="1" t="s">
        <v>139</v>
      </c>
      <c r="B116" s="1">
        <v>6.985236</v>
      </c>
      <c r="C116" s="1">
        <v>7.111531</v>
      </c>
    </row>
    <row r="117">
      <c r="A117" s="1" t="s">
        <v>140</v>
      </c>
      <c r="B117" s="1">
        <v>7.11976</v>
      </c>
      <c r="C117" s="1">
        <v>7.047119</v>
      </c>
    </row>
    <row r="118">
      <c r="A118" s="1" t="s">
        <v>141</v>
      </c>
      <c r="B118" s="1">
        <v>7.045186</v>
      </c>
      <c r="C118" s="1">
        <v>7.026537</v>
      </c>
    </row>
    <row r="119">
      <c r="A119" s="1" t="s">
        <v>142</v>
      </c>
      <c r="B119" s="1">
        <v>7.023473</v>
      </c>
      <c r="C119" s="1">
        <v>6.15641</v>
      </c>
    </row>
    <row r="120">
      <c r="A120" s="1" t="s">
        <v>143</v>
      </c>
      <c r="B120" s="1">
        <v>6.153411</v>
      </c>
      <c r="C120" s="1">
        <v>6.05549</v>
      </c>
    </row>
    <row r="121">
      <c r="A121" s="1" t="s">
        <v>144</v>
      </c>
      <c r="B121" s="1">
        <v>6.057207</v>
      </c>
      <c r="C121" s="1">
        <v>5.740419</v>
      </c>
    </row>
    <row r="122">
      <c r="A122" s="1" t="s">
        <v>145</v>
      </c>
      <c r="B122" s="1">
        <v>5.742847</v>
      </c>
      <c r="C122" s="1">
        <v>6.339737</v>
      </c>
    </row>
    <row r="123">
      <c r="A123" s="1" t="s">
        <v>146</v>
      </c>
      <c r="B123" s="1">
        <v>6.334643</v>
      </c>
      <c r="C123" s="1">
        <v>6.17569</v>
      </c>
    </row>
    <row r="124">
      <c r="A124" s="1" t="s">
        <v>147</v>
      </c>
      <c r="B124" s="1">
        <v>6.178623</v>
      </c>
      <c r="C124" s="1">
        <v>6.145482</v>
      </c>
    </row>
    <row r="125">
      <c r="A125" s="1" t="s">
        <v>148</v>
      </c>
      <c r="B125" s="1">
        <v>6.141155</v>
      </c>
      <c r="C125" s="1">
        <v>6.31337</v>
      </c>
    </row>
    <row r="126">
      <c r="A126" s="1" t="s">
        <v>149</v>
      </c>
      <c r="B126" s="1">
        <v>6.317773</v>
      </c>
      <c r="C126" s="1">
        <v>6.409466</v>
      </c>
    </row>
    <row r="127">
      <c r="A127" s="1" t="s">
        <v>150</v>
      </c>
      <c r="B127" s="1">
        <v>6.406291</v>
      </c>
      <c r="C127" s="1">
        <v>6.306976</v>
      </c>
    </row>
    <row r="128">
      <c r="A128" s="1" t="s">
        <v>151</v>
      </c>
      <c r="B128" s="1">
        <v>6.307268</v>
      </c>
      <c r="C128" s="1">
        <v>6.482897</v>
      </c>
    </row>
    <row r="129">
      <c r="A129" s="1" t="s">
        <v>152</v>
      </c>
      <c r="B129" s="1">
        <v>6.486349</v>
      </c>
      <c r="C129" s="1">
        <v>6.578709</v>
      </c>
    </row>
    <row r="130">
      <c r="A130" s="1" t="s">
        <v>153</v>
      </c>
      <c r="B130" s="1">
        <v>6.581667</v>
      </c>
      <c r="C130" s="1">
        <v>5.829817</v>
      </c>
    </row>
    <row r="131">
      <c r="A131" s="1" t="s">
        <v>154</v>
      </c>
      <c r="B131" s="1">
        <v>5.832356</v>
      </c>
      <c r="C131" s="1">
        <v>6.117193</v>
      </c>
    </row>
    <row r="132">
      <c r="A132" s="1" t="s">
        <v>155</v>
      </c>
      <c r="B132" s="1">
        <v>6.117602</v>
      </c>
      <c r="C132" s="1">
        <v>6.173138</v>
      </c>
    </row>
    <row r="133">
      <c r="A133" s="1" t="s">
        <v>156</v>
      </c>
      <c r="B133" s="1">
        <v>6.172375</v>
      </c>
      <c r="C133" s="1">
        <v>6.509269</v>
      </c>
    </row>
    <row r="134">
      <c r="A134" s="1" t="s">
        <v>157</v>
      </c>
      <c r="B134" s="1">
        <v>6.507156</v>
      </c>
      <c r="C134" s="1">
        <v>6.676211</v>
      </c>
    </row>
    <row r="135">
      <c r="A135" s="1" t="s">
        <v>158</v>
      </c>
      <c r="B135" s="1">
        <v>6.679381</v>
      </c>
      <c r="C135" s="1">
        <v>6.490037</v>
      </c>
    </row>
    <row r="136">
      <c r="A136" s="1" t="s">
        <v>159</v>
      </c>
      <c r="B136" s="1">
        <v>6.490423</v>
      </c>
      <c r="C136" s="1">
        <v>6.660203</v>
      </c>
    </row>
    <row r="137">
      <c r="A137" s="1" t="s">
        <v>160</v>
      </c>
      <c r="B137" s="1">
        <v>6.659445</v>
      </c>
      <c r="C137" s="1">
        <v>6.035072</v>
      </c>
    </row>
    <row r="138">
      <c r="A138" s="1" t="s">
        <v>161</v>
      </c>
      <c r="B138" s="1">
        <v>6.035812</v>
      </c>
      <c r="C138" s="1">
        <v>6.182721</v>
      </c>
    </row>
    <row r="139">
      <c r="A139" s="1" t="s">
        <v>162</v>
      </c>
      <c r="B139" s="1">
        <v>6.178736</v>
      </c>
      <c r="C139" s="1">
        <v>5.884806</v>
      </c>
    </row>
    <row r="140">
      <c r="A140" s="1" t="s">
        <v>163</v>
      </c>
      <c r="B140" s="1">
        <v>5.889071</v>
      </c>
      <c r="C140" s="1">
        <v>5.811104</v>
      </c>
    </row>
    <row r="141">
      <c r="A141" s="1" t="s">
        <v>164</v>
      </c>
      <c r="B141" s="1">
        <v>5.82076</v>
      </c>
      <c r="C141" s="1">
        <v>6.003917</v>
      </c>
    </row>
    <row r="142">
      <c r="A142" s="1" t="s">
        <v>165</v>
      </c>
      <c r="B142" s="1">
        <v>6.016193</v>
      </c>
      <c r="C142" s="1">
        <v>5.468852</v>
      </c>
    </row>
    <row r="143">
      <c r="A143" s="1" t="s">
        <v>166</v>
      </c>
      <c r="B143" s="1">
        <v>5.466205</v>
      </c>
      <c r="C143" s="1">
        <v>5.477953</v>
      </c>
    </row>
    <row r="144">
      <c r="A144" s="1" t="s">
        <v>167</v>
      </c>
      <c r="B144" s="1">
        <v>5.479943</v>
      </c>
      <c r="C144" s="1">
        <v>5.299244</v>
      </c>
    </row>
    <row r="145">
      <c r="A145" s="1" t="s">
        <v>168</v>
      </c>
      <c r="B145" s="1">
        <v>5.296895</v>
      </c>
      <c r="C145" s="1">
        <v>5.338535</v>
      </c>
    </row>
    <row r="146">
      <c r="A146" s="1" t="s">
        <v>169</v>
      </c>
      <c r="B146" s="1">
        <v>5.336488</v>
      </c>
      <c r="C146" s="1">
        <v>5.729227</v>
      </c>
    </row>
    <row r="147">
      <c r="A147" s="1" t="s">
        <v>170</v>
      </c>
      <c r="B147" s="1">
        <v>5.732318</v>
      </c>
      <c r="C147" s="1">
        <v>5.914901</v>
      </c>
    </row>
    <row r="148">
      <c r="A148" s="1" t="s">
        <v>171</v>
      </c>
      <c r="B148" s="1">
        <v>5.916344</v>
      </c>
      <c r="C148" s="1">
        <v>5.797</v>
      </c>
    </row>
    <row r="149">
      <c r="A149" s="1" t="s">
        <v>172</v>
      </c>
      <c r="B149" s="1">
        <v>5.797094</v>
      </c>
      <c r="C149" s="1">
        <v>5.658261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4.56489583401055E8</v>
      </c>
    </row>
    <row r="3">
      <c r="A3" s="1" t="s">
        <v>26</v>
      </c>
      <c r="B3" s="1">
        <v>4.56489583401055E8</v>
      </c>
    </row>
    <row r="4">
      <c r="A4" s="1" t="s">
        <v>27</v>
      </c>
      <c r="B4" s="1">
        <v>4.56489583401055E8</v>
      </c>
    </row>
    <row r="5">
      <c r="A5" s="1" t="s">
        <v>28</v>
      </c>
      <c r="B5" s="1">
        <v>4.56489583401055E8</v>
      </c>
    </row>
    <row r="6">
      <c r="A6" s="1" t="s">
        <v>29</v>
      </c>
      <c r="B6" s="1">
        <v>4.56489583401055E8</v>
      </c>
    </row>
    <row r="7">
      <c r="A7" s="1" t="s">
        <v>30</v>
      </c>
      <c r="B7" s="1">
        <v>4.56489583401055E8</v>
      </c>
    </row>
    <row r="8">
      <c r="A8" s="1" t="s">
        <v>31</v>
      </c>
      <c r="B8" s="1">
        <v>4.56489583401055E8</v>
      </c>
    </row>
    <row r="9">
      <c r="A9" s="1" t="s">
        <v>32</v>
      </c>
      <c r="B9" s="1">
        <v>4.56489583401055E8</v>
      </c>
    </row>
    <row r="10">
      <c r="A10" s="1" t="s">
        <v>33</v>
      </c>
      <c r="B10" s="1">
        <v>4.56489583401055E8</v>
      </c>
    </row>
    <row r="11">
      <c r="A11" s="1" t="s">
        <v>34</v>
      </c>
      <c r="B11" s="1">
        <v>4.56489583401055E8</v>
      </c>
    </row>
    <row r="12">
      <c r="A12" s="1" t="s">
        <v>35</v>
      </c>
      <c r="B12" s="1">
        <v>4.56489583401055E8</v>
      </c>
    </row>
    <row r="13">
      <c r="A13" s="1" t="s">
        <v>36</v>
      </c>
      <c r="B13" s="1">
        <v>4.56489583401055E8</v>
      </c>
    </row>
    <row r="14">
      <c r="A14" s="1" t="s">
        <v>37</v>
      </c>
      <c r="B14" s="1">
        <v>4.56489583401055E8</v>
      </c>
    </row>
    <row r="15">
      <c r="A15" s="1" t="s">
        <v>38</v>
      </c>
      <c r="B15" s="1">
        <v>4.56489583401055E8</v>
      </c>
    </row>
    <row r="16">
      <c r="A16" s="1" t="s">
        <v>39</v>
      </c>
      <c r="B16" s="1">
        <v>4.56489583401055E8</v>
      </c>
    </row>
    <row r="17">
      <c r="A17" s="1" t="s">
        <v>40</v>
      </c>
      <c r="B17" s="1">
        <v>4.56489583401055E8</v>
      </c>
    </row>
    <row r="18">
      <c r="A18" s="1" t="s">
        <v>41</v>
      </c>
      <c r="B18" s="1">
        <v>4.56489583401055E8</v>
      </c>
    </row>
    <row r="19">
      <c r="A19" s="1" t="s">
        <v>42</v>
      </c>
      <c r="B19" s="1">
        <v>4.56489583401055E8</v>
      </c>
    </row>
    <row r="20">
      <c r="A20" s="1" t="s">
        <v>43</v>
      </c>
      <c r="B20" s="1">
        <v>4.56489583401055E8</v>
      </c>
    </row>
    <row r="21">
      <c r="A21" s="1" t="s">
        <v>44</v>
      </c>
      <c r="B21" s="1">
        <v>4.56489583401055E8</v>
      </c>
    </row>
    <row r="22">
      <c r="A22" s="1" t="s">
        <v>45</v>
      </c>
      <c r="B22" s="1">
        <v>4.56489583401055E8</v>
      </c>
    </row>
    <row r="23">
      <c r="A23" s="1" t="s">
        <v>46</v>
      </c>
      <c r="B23" s="1">
        <v>4.56489583401055E8</v>
      </c>
    </row>
    <row r="24">
      <c r="A24" s="1" t="s">
        <v>47</v>
      </c>
      <c r="B24" s="1">
        <v>4.56489583401055E8</v>
      </c>
    </row>
    <row r="25">
      <c r="A25" s="1" t="s">
        <v>48</v>
      </c>
      <c r="B25" s="1">
        <v>4.56489583401055E8</v>
      </c>
    </row>
    <row r="26">
      <c r="A26" s="1" t="s">
        <v>49</v>
      </c>
      <c r="B26" s="1">
        <v>4.56489583401055E8</v>
      </c>
    </row>
    <row r="27">
      <c r="A27" s="1" t="s">
        <v>50</v>
      </c>
      <c r="B27" s="1">
        <v>4.56489583401055E8</v>
      </c>
    </row>
    <row r="28">
      <c r="A28" s="1" t="s">
        <v>51</v>
      </c>
      <c r="B28" s="1">
        <v>4.56489583401055E8</v>
      </c>
    </row>
    <row r="29">
      <c r="A29" s="1" t="s">
        <v>52</v>
      </c>
      <c r="B29" s="1">
        <v>4.56489583401055E8</v>
      </c>
    </row>
    <row r="30">
      <c r="A30" s="1" t="s">
        <v>53</v>
      </c>
      <c r="B30" s="1">
        <v>4.56489583401055E8</v>
      </c>
    </row>
    <row r="31">
      <c r="A31" s="1" t="s">
        <v>54</v>
      </c>
      <c r="B31" s="1">
        <v>4.56489583401055E8</v>
      </c>
    </row>
    <row r="32">
      <c r="A32" s="1" t="s">
        <v>55</v>
      </c>
      <c r="B32" s="1">
        <v>4.56489583401055E8</v>
      </c>
    </row>
    <row r="33">
      <c r="A33" s="1" t="s">
        <v>56</v>
      </c>
      <c r="B33" s="1">
        <v>4.56489583401055E8</v>
      </c>
    </row>
    <row r="34">
      <c r="A34" s="1" t="s">
        <v>57</v>
      </c>
      <c r="B34" s="1">
        <v>4.56489583401055E8</v>
      </c>
    </row>
    <row r="35">
      <c r="A35" s="1" t="s">
        <v>58</v>
      </c>
      <c r="B35" s="1">
        <v>4.56489583401055E8</v>
      </c>
    </row>
    <row r="36">
      <c r="A36" s="1" t="s">
        <v>59</v>
      </c>
      <c r="B36" s="1">
        <v>4.56489583401055E8</v>
      </c>
    </row>
    <row r="37">
      <c r="A37" s="1" t="s">
        <v>60</v>
      </c>
      <c r="B37" s="1">
        <v>4.56489583401055E8</v>
      </c>
    </row>
    <row r="38">
      <c r="A38" s="1" t="s">
        <v>61</v>
      </c>
      <c r="B38" s="1">
        <v>4.56489583401055E8</v>
      </c>
    </row>
    <row r="39">
      <c r="A39" s="1" t="s">
        <v>62</v>
      </c>
      <c r="B39" s="1">
        <v>4.56489583401055E8</v>
      </c>
    </row>
    <row r="40">
      <c r="A40" s="1" t="s">
        <v>63</v>
      </c>
      <c r="B40" s="1">
        <v>4.56489583401055E8</v>
      </c>
    </row>
    <row r="41">
      <c r="A41" s="1" t="s">
        <v>64</v>
      </c>
      <c r="B41" s="1">
        <v>4.56489583401055E8</v>
      </c>
    </row>
    <row r="42">
      <c r="A42" s="1" t="s">
        <v>65</v>
      </c>
      <c r="B42" s="1">
        <v>4.56489583401055E8</v>
      </c>
    </row>
    <row r="43">
      <c r="A43" s="1" t="s">
        <v>66</v>
      </c>
      <c r="B43" s="1">
        <v>4.56489583401055E8</v>
      </c>
    </row>
    <row r="44">
      <c r="A44" s="1" t="s">
        <v>67</v>
      </c>
      <c r="B44" s="1">
        <v>4.56489583401055E8</v>
      </c>
    </row>
    <row r="45">
      <c r="A45" s="1" t="s">
        <v>68</v>
      </c>
      <c r="B45" s="1">
        <v>4.56489583401055E8</v>
      </c>
    </row>
    <row r="46">
      <c r="A46" s="1" t="s">
        <v>69</v>
      </c>
      <c r="B46" s="1">
        <v>4.56489583401055E8</v>
      </c>
    </row>
    <row r="47">
      <c r="A47" s="1" t="s">
        <v>70</v>
      </c>
      <c r="B47" s="1">
        <v>4.56489583401055E8</v>
      </c>
    </row>
    <row r="48">
      <c r="A48" s="1" t="s">
        <v>71</v>
      </c>
      <c r="B48" s="1">
        <v>4.56489583401055E8</v>
      </c>
    </row>
    <row r="49">
      <c r="A49" s="1" t="s">
        <v>72</v>
      </c>
      <c r="B49" s="1">
        <v>4.56489583401055E8</v>
      </c>
    </row>
    <row r="50">
      <c r="A50" s="1" t="s">
        <v>73</v>
      </c>
      <c r="B50" s="1">
        <v>4.56489583401055E8</v>
      </c>
    </row>
    <row r="51">
      <c r="A51" s="1" t="s">
        <v>74</v>
      </c>
      <c r="B51" s="1">
        <v>4.56489583401055E8</v>
      </c>
    </row>
    <row r="52">
      <c r="A52" s="1" t="s">
        <v>75</v>
      </c>
      <c r="B52" s="1">
        <v>4.56489583401055E8</v>
      </c>
    </row>
    <row r="53">
      <c r="A53" s="1" t="s">
        <v>76</v>
      </c>
      <c r="B53" s="1">
        <v>4.56489583401055E8</v>
      </c>
    </row>
    <row r="54">
      <c r="A54" s="1" t="s">
        <v>77</v>
      </c>
      <c r="B54" s="1">
        <v>4.56489583401055E8</v>
      </c>
    </row>
    <row r="55">
      <c r="A55" s="1" t="s">
        <v>78</v>
      </c>
      <c r="B55" s="1">
        <v>4.56489583401055E8</v>
      </c>
    </row>
    <row r="56">
      <c r="A56" s="1" t="s">
        <v>79</v>
      </c>
      <c r="B56" s="1">
        <v>4.56489583401055E8</v>
      </c>
    </row>
    <row r="57">
      <c r="A57" s="1" t="s">
        <v>80</v>
      </c>
      <c r="B57" s="1">
        <v>4.56489583401055E8</v>
      </c>
    </row>
    <row r="58">
      <c r="A58" s="1" t="s">
        <v>81</v>
      </c>
      <c r="B58" s="1">
        <v>4.56489583401055E8</v>
      </c>
    </row>
    <row r="59">
      <c r="A59" s="1" t="s">
        <v>82</v>
      </c>
      <c r="B59" s="1">
        <v>4.56489583401055E8</v>
      </c>
    </row>
    <row r="60">
      <c r="A60" s="1" t="s">
        <v>83</v>
      </c>
      <c r="B60" s="1">
        <v>4.56489583401055E8</v>
      </c>
    </row>
    <row r="61">
      <c r="A61" s="1" t="s">
        <v>84</v>
      </c>
      <c r="B61" s="1">
        <v>4.56489583401055E8</v>
      </c>
    </row>
    <row r="62">
      <c r="A62" s="1" t="s">
        <v>85</v>
      </c>
      <c r="B62" s="1">
        <v>4.56489583401055E8</v>
      </c>
    </row>
    <row r="63">
      <c r="A63" s="1" t="s">
        <v>86</v>
      </c>
      <c r="B63" s="1">
        <v>4.56489583401055E8</v>
      </c>
    </row>
    <row r="64">
      <c r="A64" s="1" t="s">
        <v>87</v>
      </c>
      <c r="B64" s="1">
        <v>4.56489583401055E8</v>
      </c>
    </row>
    <row r="65">
      <c r="A65" s="1" t="s">
        <v>88</v>
      </c>
      <c r="B65" s="1">
        <v>4.56489583401055E8</v>
      </c>
    </row>
    <row r="66">
      <c r="A66" s="1" t="s">
        <v>89</v>
      </c>
      <c r="B66" s="1">
        <v>4.56489583401055E8</v>
      </c>
    </row>
    <row r="67">
      <c r="A67" s="1" t="s">
        <v>90</v>
      </c>
      <c r="B67" s="1">
        <v>4.56489583401055E8</v>
      </c>
    </row>
    <row r="68">
      <c r="A68" s="1" t="s">
        <v>91</v>
      </c>
      <c r="B68" s="1">
        <v>4.56489583401055E8</v>
      </c>
    </row>
    <row r="69">
      <c r="A69" s="1" t="s">
        <v>92</v>
      </c>
      <c r="B69" s="1">
        <v>4.56489583401055E8</v>
      </c>
    </row>
    <row r="70">
      <c r="A70" s="1" t="s">
        <v>93</v>
      </c>
      <c r="B70" s="1">
        <v>4.56489583401055E8</v>
      </c>
    </row>
    <row r="71">
      <c r="A71" s="1" t="s">
        <v>94</v>
      </c>
      <c r="B71" s="1">
        <v>4.56489583401055E8</v>
      </c>
    </row>
    <row r="72">
      <c r="A72" s="1" t="s">
        <v>95</v>
      </c>
      <c r="B72" s="1">
        <v>4.56489583401055E8</v>
      </c>
    </row>
    <row r="73">
      <c r="A73" s="1" t="s">
        <v>96</v>
      </c>
      <c r="B73" s="1">
        <v>4.56489583401055E8</v>
      </c>
    </row>
    <row r="74">
      <c r="A74" s="1" t="s">
        <v>97</v>
      </c>
      <c r="B74" s="1">
        <v>4.56489583401055E8</v>
      </c>
    </row>
    <row r="75">
      <c r="A75" s="1" t="s">
        <v>98</v>
      </c>
      <c r="B75" s="1">
        <v>4.56489583401055E8</v>
      </c>
    </row>
    <row r="76">
      <c r="A76" s="1" t="s">
        <v>99</v>
      </c>
      <c r="B76" s="1">
        <v>4.56489583401055E8</v>
      </c>
    </row>
    <row r="77">
      <c r="A77" s="1" t="s">
        <v>100</v>
      </c>
      <c r="B77" s="1">
        <v>4.56489583401055E8</v>
      </c>
    </row>
    <row r="78">
      <c r="A78" s="1" t="s">
        <v>101</v>
      </c>
      <c r="B78" s="1">
        <v>4.56489583401055E8</v>
      </c>
    </row>
    <row r="79">
      <c r="A79" s="1" t="s">
        <v>102</v>
      </c>
      <c r="B79" s="1">
        <v>4.56489583401055E8</v>
      </c>
    </row>
    <row r="80">
      <c r="A80" s="1" t="s">
        <v>103</v>
      </c>
      <c r="B80" s="1">
        <v>4.56489583401055E8</v>
      </c>
    </row>
    <row r="81">
      <c r="A81" s="1" t="s">
        <v>104</v>
      </c>
      <c r="B81" s="1">
        <v>4.56489583401055E8</v>
      </c>
    </row>
    <row r="82">
      <c r="A82" s="1" t="s">
        <v>105</v>
      </c>
      <c r="B82" s="1">
        <v>4.56489583401055E8</v>
      </c>
    </row>
    <row r="83">
      <c r="A83" s="1" t="s">
        <v>106</v>
      </c>
      <c r="B83" s="1">
        <v>4.56489583401055E8</v>
      </c>
    </row>
    <row r="84">
      <c r="A84" s="1" t="s">
        <v>107</v>
      </c>
      <c r="B84" s="1">
        <v>4.56489583401055E8</v>
      </c>
    </row>
    <row r="85">
      <c r="A85" s="1" t="s">
        <v>108</v>
      </c>
      <c r="B85" s="1">
        <v>4.56489583401055E8</v>
      </c>
    </row>
    <row r="86">
      <c r="A86" s="1" t="s">
        <v>109</v>
      </c>
      <c r="B86" s="1">
        <v>4.56489583401055E8</v>
      </c>
    </row>
    <row r="87">
      <c r="A87" s="1" t="s">
        <v>110</v>
      </c>
      <c r="B87" s="1">
        <v>4.56489583401055E8</v>
      </c>
    </row>
    <row r="88">
      <c r="A88" s="1" t="s">
        <v>111</v>
      </c>
      <c r="B88" s="1">
        <v>4.56489583401055E8</v>
      </c>
    </row>
    <row r="89">
      <c r="A89" s="1" t="s">
        <v>112</v>
      </c>
      <c r="B89" s="1">
        <v>4.56489583401055E8</v>
      </c>
    </row>
    <row r="90">
      <c r="A90" s="1" t="s">
        <v>113</v>
      </c>
      <c r="B90" s="1">
        <v>4.56489583401055E8</v>
      </c>
    </row>
    <row r="91">
      <c r="A91" s="1" t="s">
        <v>114</v>
      </c>
      <c r="B91" s="1">
        <v>4.56489583401055E8</v>
      </c>
    </row>
    <row r="92">
      <c r="A92" s="1" t="s">
        <v>115</v>
      </c>
      <c r="B92" s="1">
        <v>4.56489583401055E8</v>
      </c>
    </row>
    <row r="93">
      <c r="A93" s="1" t="s">
        <v>116</v>
      </c>
      <c r="B93" s="1">
        <v>4.56489583401055E8</v>
      </c>
    </row>
    <row r="94">
      <c r="A94" s="1" t="s">
        <v>117</v>
      </c>
      <c r="B94" s="1">
        <v>4.56489583401055E8</v>
      </c>
    </row>
    <row r="95">
      <c r="A95" s="1" t="s">
        <v>118</v>
      </c>
      <c r="B95" s="1">
        <v>4.56489583401055E8</v>
      </c>
    </row>
    <row r="96">
      <c r="A96" s="1" t="s">
        <v>119</v>
      </c>
      <c r="B96" s="1">
        <v>4.56489583401055E8</v>
      </c>
    </row>
    <row r="97">
      <c r="A97" s="1" t="s">
        <v>120</v>
      </c>
      <c r="B97" s="1">
        <v>4.56489583401055E8</v>
      </c>
    </row>
    <row r="98">
      <c r="A98" s="1" t="s">
        <v>121</v>
      </c>
      <c r="B98" s="1">
        <v>4.56489583401055E8</v>
      </c>
    </row>
    <row r="99">
      <c r="A99" s="1" t="s">
        <v>122</v>
      </c>
      <c r="B99" s="1">
        <v>4.56489583401055E8</v>
      </c>
    </row>
    <row r="100">
      <c r="A100" s="1" t="s">
        <v>123</v>
      </c>
      <c r="B100" s="1">
        <v>4.56489583401055E8</v>
      </c>
    </row>
    <row r="101">
      <c r="A101" s="1" t="s">
        <v>124</v>
      </c>
      <c r="B101" s="1">
        <v>4.56489583401055E8</v>
      </c>
    </row>
    <row r="102">
      <c r="A102" s="1" t="s">
        <v>125</v>
      </c>
      <c r="B102" s="1">
        <v>4.56489583401055E8</v>
      </c>
    </row>
    <row r="103">
      <c r="A103" s="1" t="s">
        <v>126</v>
      </c>
      <c r="B103" s="1">
        <v>4.56489583401055E8</v>
      </c>
    </row>
    <row r="104">
      <c r="A104" s="1" t="s">
        <v>127</v>
      </c>
      <c r="B104" s="1">
        <v>4.56489583401055E8</v>
      </c>
    </row>
    <row r="105">
      <c r="A105" s="1" t="s">
        <v>128</v>
      </c>
      <c r="B105" s="1">
        <v>4.56489583401055E8</v>
      </c>
    </row>
    <row r="106">
      <c r="A106" s="1" t="s">
        <v>129</v>
      </c>
      <c r="B106" s="1">
        <v>4.56489583401055E8</v>
      </c>
    </row>
    <row r="107">
      <c r="A107" s="1" t="s">
        <v>130</v>
      </c>
      <c r="B107" s="1">
        <v>4.56489583401055E8</v>
      </c>
    </row>
    <row r="108">
      <c r="A108" s="1" t="s">
        <v>131</v>
      </c>
      <c r="B108" s="1">
        <v>4.56489583401055E8</v>
      </c>
    </row>
    <row r="109">
      <c r="A109" s="1" t="s">
        <v>132</v>
      </c>
      <c r="B109" s="1">
        <v>4.56489583401055E8</v>
      </c>
    </row>
    <row r="110">
      <c r="A110" s="1" t="s">
        <v>133</v>
      </c>
      <c r="B110" s="1">
        <v>4.56489583401055E8</v>
      </c>
    </row>
    <row r="111">
      <c r="A111" s="1" t="s">
        <v>134</v>
      </c>
      <c r="B111" s="1">
        <v>4.56489583401055E8</v>
      </c>
    </row>
    <row r="112">
      <c r="A112" s="1" t="s">
        <v>135</v>
      </c>
      <c r="B112" s="1">
        <v>4.56489583401055E8</v>
      </c>
    </row>
    <row r="113">
      <c r="A113" s="1" t="s">
        <v>136</v>
      </c>
      <c r="B113" s="1">
        <v>4.56489583401055E8</v>
      </c>
    </row>
    <row r="114">
      <c r="A114" s="1" t="s">
        <v>137</v>
      </c>
      <c r="B114" s="1">
        <v>4.56489583401055E8</v>
      </c>
    </row>
    <row r="115">
      <c r="A115" s="1" t="s">
        <v>138</v>
      </c>
      <c r="B115" s="1">
        <v>4.56489583401055E8</v>
      </c>
    </row>
    <row r="116">
      <c r="A116" s="1" t="s">
        <v>139</v>
      </c>
      <c r="B116" s="1">
        <v>4.56489583401055E8</v>
      </c>
    </row>
    <row r="117">
      <c r="A117" s="1" t="s">
        <v>140</v>
      </c>
      <c r="B117" s="1">
        <v>4.56489583401055E8</v>
      </c>
    </row>
    <row r="118">
      <c r="A118" s="1" t="s">
        <v>141</v>
      </c>
      <c r="B118" s="1">
        <v>4.56489583401055E8</v>
      </c>
    </row>
    <row r="119">
      <c r="A119" s="1" t="s">
        <v>142</v>
      </c>
      <c r="B119" s="1">
        <v>4.56489583401055E8</v>
      </c>
    </row>
    <row r="120">
      <c r="A120" s="1" t="s">
        <v>143</v>
      </c>
      <c r="B120" s="1">
        <v>4.56489583401055E8</v>
      </c>
    </row>
    <row r="121">
      <c r="A121" s="1" t="s">
        <v>144</v>
      </c>
      <c r="B121" s="1">
        <v>4.56489583401055E8</v>
      </c>
    </row>
    <row r="122">
      <c r="A122" s="1" t="s">
        <v>145</v>
      </c>
      <c r="B122" s="1">
        <v>4.56489583401055E8</v>
      </c>
    </row>
    <row r="123">
      <c r="A123" s="1" t="s">
        <v>146</v>
      </c>
      <c r="B123" s="1">
        <v>4.56489583401055E8</v>
      </c>
    </row>
    <row r="124">
      <c r="A124" s="1" t="s">
        <v>147</v>
      </c>
      <c r="B124" s="1">
        <v>4.56489583401055E8</v>
      </c>
    </row>
    <row r="125">
      <c r="A125" s="1" t="s">
        <v>148</v>
      </c>
      <c r="B125" s="1">
        <v>4.56489583401055E8</v>
      </c>
    </row>
    <row r="126">
      <c r="A126" s="1" t="s">
        <v>149</v>
      </c>
      <c r="B126" s="1">
        <v>4.56489583401055E8</v>
      </c>
    </row>
    <row r="127">
      <c r="A127" s="1" t="s">
        <v>150</v>
      </c>
      <c r="B127" s="1">
        <v>4.56489583401055E8</v>
      </c>
    </row>
    <row r="128">
      <c r="A128" s="1" t="s">
        <v>151</v>
      </c>
      <c r="B128" s="1">
        <v>4.56489583401055E8</v>
      </c>
    </row>
    <row r="129">
      <c r="A129" s="1" t="s">
        <v>152</v>
      </c>
      <c r="B129" s="1">
        <v>4.56489583401055E8</v>
      </c>
    </row>
    <row r="130">
      <c r="A130" s="1" t="s">
        <v>153</v>
      </c>
      <c r="B130" s="1">
        <v>7.53766667E8</v>
      </c>
    </row>
    <row r="131">
      <c r="A131" s="1" t="s">
        <v>154</v>
      </c>
      <c r="B131" s="1">
        <v>7.53766667E8</v>
      </c>
    </row>
    <row r="132">
      <c r="A132" s="1" t="s">
        <v>155</v>
      </c>
      <c r="B132" s="1">
        <v>7.53766667E8</v>
      </c>
    </row>
    <row r="133">
      <c r="A133" s="1" t="s">
        <v>156</v>
      </c>
      <c r="B133" s="1">
        <v>7.53766667E8</v>
      </c>
    </row>
    <row r="134">
      <c r="A134" s="1" t="s">
        <v>157</v>
      </c>
      <c r="B134" s="1">
        <v>7.53766667E8</v>
      </c>
    </row>
    <row r="135">
      <c r="A135" s="1" t="s">
        <v>158</v>
      </c>
      <c r="B135" s="1">
        <v>7.53766667E8</v>
      </c>
    </row>
    <row r="136">
      <c r="A136" s="1" t="s">
        <v>159</v>
      </c>
      <c r="B136" s="1">
        <v>7.53766667E8</v>
      </c>
    </row>
    <row r="137">
      <c r="A137" s="1" t="s">
        <v>160</v>
      </c>
      <c r="B137" s="1">
        <v>7.53766667E8</v>
      </c>
    </row>
    <row r="138">
      <c r="A138" s="1" t="s">
        <v>161</v>
      </c>
      <c r="B138" s="1">
        <v>7.53766667E8</v>
      </c>
    </row>
    <row r="139">
      <c r="A139" s="1" t="s">
        <v>162</v>
      </c>
      <c r="B139" s="1">
        <v>7.53766667E8</v>
      </c>
    </row>
    <row r="140">
      <c r="A140" s="1" t="s">
        <v>163</v>
      </c>
      <c r="B140" s="1">
        <v>7.53766667E8</v>
      </c>
    </row>
    <row r="141">
      <c r="A141" s="1" t="s">
        <v>164</v>
      </c>
      <c r="B141" s="1">
        <v>7.53766667E8</v>
      </c>
    </row>
    <row r="142">
      <c r="A142" s="1" t="s">
        <v>165</v>
      </c>
      <c r="B142" s="1">
        <v>7.53766667E8</v>
      </c>
    </row>
    <row r="143">
      <c r="A143" s="1" t="s">
        <v>166</v>
      </c>
      <c r="B143" s="1">
        <v>7.53766667E8</v>
      </c>
    </row>
    <row r="144">
      <c r="A144" s="1" t="s">
        <v>167</v>
      </c>
      <c r="B144" s="1">
        <v>7.53766667E8</v>
      </c>
    </row>
    <row r="145">
      <c r="A145" s="1" t="s">
        <v>168</v>
      </c>
      <c r="B145" s="1">
        <v>7.53766667E8</v>
      </c>
    </row>
    <row r="146">
      <c r="A146" s="1" t="s">
        <v>169</v>
      </c>
      <c r="B146" s="1">
        <v>7.53766667E8</v>
      </c>
    </row>
    <row r="147">
      <c r="A147" s="1" t="s">
        <v>170</v>
      </c>
      <c r="B147" s="1">
        <v>7.53766667E8</v>
      </c>
    </row>
    <row r="148">
      <c r="A148" s="1" t="s">
        <v>171</v>
      </c>
      <c r="B148" s="1">
        <v>7.53766667E8</v>
      </c>
    </row>
    <row r="149">
      <c r="A149" s="1" t="s">
        <v>172</v>
      </c>
      <c r="B149" s="1">
        <v>7.53766667E8</v>
      </c>
    </row>
    <row r="150">
      <c r="A150" s="1" t="s">
        <v>174</v>
      </c>
      <c r="B150" s="1">
        <v>7.53766667E8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</row>
    <row r="2">
      <c r="A2" s="1" t="s">
        <v>25</v>
      </c>
      <c r="B2" s="1">
        <v>1457.752182</v>
      </c>
      <c r="C2" s="1">
        <v>1451.116773</v>
      </c>
    </row>
    <row r="3">
      <c r="A3" s="1" t="s">
        <v>26</v>
      </c>
      <c r="B3" s="1">
        <v>1450.077344</v>
      </c>
      <c r="C3" s="1">
        <v>1484.981444</v>
      </c>
    </row>
    <row r="4">
      <c r="A4" s="1" t="s">
        <v>27</v>
      </c>
      <c r="B4" s="1">
        <v>1486.44658</v>
      </c>
      <c r="C4" s="1">
        <v>1401.552164</v>
      </c>
    </row>
    <row r="5">
      <c r="A5" s="1" t="s">
        <v>28</v>
      </c>
      <c r="B5" s="1">
        <v>1401.362372</v>
      </c>
      <c r="C5" s="1">
        <v>1495.284001</v>
      </c>
    </row>
    <row r="6">
      <c r="A6" s="1" t="s">
        <v>29</v>
      </c>
      <c r="B6" s="1">
        <v>1496.198432</v>
      </c>
      <c r="C6" s="1">
        <v>1377.650579</v>
      </c>
    </row>
    <row r="7">
      <c r="A7" s="1" t="s">
        <v>30</v>
      </c>
      <c r="B7" s="1">
        <v>1377.120061</v>
      </c>
      <c r="C7" s="1">
        <v>1332.245687</v>
      </c>
    </row>
    <row r="8">
      <c r="A8" s="1" t="s">
        <v>31</v>
      </c>
      <c r="B8" s="1">
        <v>1334.212568</v>
      </c>
      <c r="C8" s="1">
        <v>1264.11594</v>
      </c>
    </row>
    <row r="9">
      <c r="A9" s="1" t="s">
        <v>32</v>
      </c>
      <c r="B9" s="1">
        <v>1265.543785</v>
      </c>
      <c r="C9" s="1">
        <v>1190.764418</v>
      </c>
    </row>
    <row r="10">
      <c r="A10" s="1" t="s">
        <v>33</v>
      </c>
      <c r="B10" s="1">
        <v>1192.77374</v>
      </c>
      <c r="C10" s="1">
        <v>1052.18966</v>
      </c>
    </row>
    <row r="11">
      <c r="A11" s="1" t="s">
        <v>34</v>
      </c>
      <c r="B11" s="1">
        <v>1050.135049</v>
      </c>
      <c r="C11" s="1">
        <v>1220.880814</v>
      </c>
    </row>
    <row r="12">
      <c r="A12" s="1" t="s">
        <v>35</v>
      </c>
      <c r="B12" s="1">
        <v>1221.570307</v>
      </c>
      <c r="C12" s="1">
        <v>1127.489269</v>
      </c>
    </row>
    <row r="13">
      <c r="A13" s="1" t="s">
        <v>36</v>
      </c>
      <c r="B13" s="1">
        <v>1127.40757</v>
      </c>
      <c r="C13" s="1">
        <v>1336.695595</v>
      </c>
    </row>
    <row r="14">
      <c r="A14" s="1" t="s">
        <v>37</v>
      </c>
      <c r="B14" s="1">
        <v>1335.206943</v>
      </c>
      <c r="C14" s="1">
        <v>1380.941942</v>
      </c>
    </row>
    <row r="15">
      <c r="A15" s="1" t="s">
        <v>38</v>
      </c>
      <c r="B15" s="1">
        <v>1381.975763</v>
      </c>
      <c r="C15" s="1">
        <v>1560.770873</v>
      </c>
    </row>
    <row r="16">
      <c r="A16" s="1" t="s">
        <v>39</v>
      </c>
      <c r="B16" s="1">
        <v>1561.657775</v>
      </c>
      <c r="C16" s="1">
        <v>1573.223925</v>
      </c>
    </row>
    <row r="17">
      <c r="A17" s="1" t="s">
        <v>40</v>
      </c>
      <c r="B17" s="1">
        <v>1573.207825</v>
      </c>
      <c r="C17" s="1">
        <v>1528.398266</v>
      </c>
    </row>
    <row r="18">
      <c r="A18" s="1" t="s">
        <v>41</v>
      </c>
      <c r="B18" s="1">
        <v>1529.341422</v>
      </c>
      <c r="C18" s="1">
        <v>1570.880987</v>
      </c>
    </row>
    <row r="19">
      <c r="A19" s="1" t="s">
        <v>42</v>
      </c>
      <c r="B19" s="1">
        <v>1570.414877</v>
      </c>
      <c r="C19" s="1">
        <v>1431.052356</v>
      </c>
    </row>
    <row r="20">
      <c r="A20" s="1" t="s">
        <v>43</v>
      </c>
      <c r="B20" s="1">
        <v>1432.219514</v>
      </c>
      <c r="C20" s="1">
        <v>1432.375955</v>
      </c>
    </row>
    <row r="21">
      <c r="A21" s="1" t="s">
        <v>44</v>
      </c>
      <c r="B21" s="1">
        <v>1433.37382</v>
      </c>
      <c r="C21" s="1">
        <v>1391.871018</v>
      </c>
    </row>
    <row r="22">
      <c r="A22" s="1" t="s">
        <v>45</v>
      </c>
      <c r="B22" s="1">
        <v>1391.474934</v>
      </c>
      <c r="C22" s="1">
        <v>1398.180214</v>
      </c>
    </row>
    <row r="23">
      <c r="A23" s="1" t="s">
        <v>46</v>
      </c>
      <c r="B23" s="1">
        <v>1398.341332</v>
      </c>
      <c r="C23" s="1">
        <v>1433.041542</v>
      </c>
    </row>
    <row r="24">
      <c r="A24" s="1" t="s">
        <v>47</v>
      </c>
      <c r="B24" s="1">
        <v>1429.822309</v>
      </c>
      <c r="C24" s="1">
        <v>1303.436993</v>
      </c>
    </row>
    <row r="25">
      <c r="A25" s="1" t="s">
        <v>48</v>
      </c>
      <c r="B25" s="1">
        <v>1302.794573</v>
      </c>
      <c r="C25" s="1">
        <v>1294.054432</v>
      </c>
    </row>
    <row r="26">
      <c r="A26" s="1" t="s">
        <v>49</v>
      </c>
      <c r="B26" s="1">
        <v>1292.769131</v>
      </c>
      <c r="C26" s="1">
        <v>1260.578028</v>
      </c>
    </row>
    <row r="27">
      <c r="A27" s="1" t="s">
        <v>50</v>
      </c>
      <c r="B27" s="1">
        <v>1260.950226</v>
      </c>
      <c r="C27" s="1">
        <v>1149.38618</v>
      </c>
    </row>
    <row r="28">
      <c r="A28" s="1" t="s">
        <v>51</v>
      </c>
      <c r="B28" s="1">
        <v>1148.732535</v>
      </c>
      <c r="C28" s="1">
        <v>1117.499247</v>
      </c>
    </row>
    <row r="29">
      <c r="A29" s="1" t="s">
        <v>52</v>
      </c>
      <c r="B29" s="1">
        <v>1119.690848</v>
      </c>
      <c r="C29" s="1">
        <v>1211.847083</v>
      </c>
    </row>
    <row r="30">
      <c r="A30" s="1" t="s">
        <v>53</v>
      </c>
      <c r="B30" s="1">
        <v>1209.725863</v>
      </c>
      <c r="C30" s="1">
        <v>1192.617693</v>
      </c>
    </row>
    <row r="31">
      <c r="A31" s="1" t="s">
        <v>54</v>
      </c>
      <c r="B31" s="1">
        <v>1193.138958</v>
      </c>
      <c r="C31" s="1">
        <v>1370.092469</v>
      </c>
    </row>
    <row r="32">
      <c r="A32" s="1" t="s">
        <v>55</v>
      </c>
      <c r="B32" s="1">
        <v>1369.335622</v>
      </c>
      <c r="C32" s="1">
        <v>1320.600467</v>
      </c>
    </row>
    <row r="33">
      <c r="A33" s="1" t="s">
        <v>56</v>
      </c>
      <c r="B33" s="1">
        <v>1321.135149</v>
      </c>
      <c r="C33" s="1">
        <v>1206.66824</v>
      </c>
    </row>
    <row r="34">
      <c r="A34" s="1" t="s">
        <v>57</v>
      </c>
      <c r="B34" s="1">
        <v>1208.792993</v>
      </c>
      <c r="C34" s="1">
        <v>1203.327077</v>
      </c>
    </row>
    <row r="35">
      <c r="A35" s="1" t="s">
        <v>58</v>
      </c>
      <c r="B35" s="1">
        <v>1205.110507</v>
      </c>
      <c r="C35" s="1">
        <v>1144.855363</v>
      </c>
    </row>
    <row r="36">
      <c r="A36" s="1" t="s">
        <v>59</v>
      </c>
      <c r="B36" s="1">
        <v>1146.076319</v>
      </c>
      <c r="C36" s="1">
        <v>1170.64116</v>
      </c>
    </row>
    <row r="37">
      <c r="A37" s="1" t="s">
        <v>60</v>
      </c>
      <c r="B37" s="1">
        <v>1172.772392</v>
      </c>
      <c r="C37" s="1">
        <v>1180.123149</v>
      </c>
    </row>
    <row r="38">
      <c r="A38" s="1" t="s">
        <v>61</v>
      </c>
      <c r="B38" s="1">
        <v>1179.512609</v>
      </c>
      <c r="C38" s="1">
        <v>1210.190373</v>
      </c>
    </row>
    <row r="39">
      <c r="A39" s="1" t="s">
        <v>62</v>
      </c>
      <c r="B39" s="1">
        <v>1211.12221</v>
      </c>
      <c r="C39" s="1">
        <v>1156.965703</v>
      </c>
    </row>
    <row r="40">
      <c r="A40" s="1" t="s">
        <v>63</v>
      </c>
      <c r="B40" s="1">
        <v>1157.321912</v>
      </c>
      <c r="C40" s="1">
        <v>1154.722392</v>
      </c>
    </row>
    <row r="41">
      <c r="A41" s="1" t="s">
        <v>64</v>
      </c>
      <c r="B41" s="1">
        <v>1154.816034</v>
      </c>
      <c r="C41" s="1">
        <v>1134.729418</v>
      </c>
    </row>
    <row r="42">
      <c r="A42" s="1" t="s">
        <v>65</v>
      </c>
      <c r="B42" s="1">
        <v>1134.550694</v>
      </c>
      <c r="C42" s="1">
        <v>1044.642077</v>
      </c>
    </row>
    <row r="43">
      <c r="A43" s="1" t="s">
        <v>66</v>
      </c>
      <c r="B43" s="1">
        <v>1044.750473</v>
      </c>
      <c r="C43" s="1">
        <v>987.770228</v>
      </c>
    </row>
    <row r="44">
      <c r="A44" s="1" t="s">
        <v>67</v>
      </c>
      <c r="B44" s="1">
        <v>989.129324</v>
      </c>
      <c r="C44" s="1">
        <v>910.456223</v>
      </c>
    </row>
    <row r="45">
      <c r="A45" s="1" t="s">
        <v>68</v>
      </c>
      <c r="B45" s="1">
        <v>911.177587</v>
      </c>
      <c r="C45" s="1">
        <v>763.876237</v>
      </c>
    </row>
    <row r="46">
      <c r="A46" s="1" t="s">
        <v>69</v>
      </c>
      <c r="B46" s="1">
        <v>761.449712</v>
      </c>
      <c r="C46" s="1">
        <v>787.220205</v>
      </c>
    </row>
    <row r="47">
      <c r="A47" s="1" t="s">
        <v>70</v>
      </c>
      <c r="B47" s="1">
        <v>786.233662</v>
      </c>
      <c r="C47" s="1">
        <v>828.450831</v>
      </c>
    </row>
    <row r="48">
      <c r="A48" s="1" t="s">
        <v>71</v>
      </c>
      <c r="B48" s="1">
        <v>827.117699</v>
      </c>
      <c r="C48" s="1">
        <v>734.73358</v>
      </c>
    </row>
    <row r="49">
      <c r="A49" s="1" t="s">
        <v>72</v>
      </c>
      <c r="B49" s="1">
        <v>735.138136</v>
      </c>
      <c r="C49" s="1">
        <v>767.692164</v>
      </c>
    </row>
    <row r="50">
      <c r="A50" s="1" t="s">
        <v>73</v>
      </c>
      <c r="B50" s="1">
        <v>766.259839</v>
      </c>
      <c r="C50" s="1">
        <v>732.092311</v>
      </c>
    </row>
    <row r="51">
      <c r="A51" s="1" t="s">
        <v>74</v>
      </c>
      <c r="B51" s="1">
        <v>731.937656</v>
      </c>
      <c r="C51" s="1">
        <v>904.040187</v>
      </c>
    </row>
    <row r="52">
      <c r="A52" s="1" t="s">
        <v>75</v>
      </c>
      <c r="B52" s="1">
        <v>905.245616</v>
      </c>
      <c r="C52" s="1">
        <v>900.156263</v>
      </c>
    </row>
    <row r="53">
      <c r="A53" s="1" t="s">
        <v>76</v>
      </c>
      <c r="B53" s="1">
        <v>899.822742</v>
      </c>
      <c r="C53" s="1">
        <v>919.676423</v>
      </c>
    </row>
    <row r="54">
      <c r="A54" s="1" t="s">
        <v>77</v>
      </c>
      <c r="B54" s="1">
        <v>920.875115</v>
      </c>
      <c r="C54" s="1">
        <v>881.765055</v>
      </c>
    </row>
    <row r="55">
      <c r="A55" s="1" t="s">
        <v>78</v>
      </c>
      <c r="B55" s="1">
        <v>882.796852</v>
      </c>
      <c r="C55" s="1">
        <v>976.875974</v>
      </c>
    </row>
    <row r="56">
      <c r="A56" s="1" t="s">
        <v>79</v>
      </c>
      <c r="B56" s="1">
        <v>977.29259</v>
      </c>
      <c r="C56" s="1">
        <v>1034.371508</v>
      </c>
    </row>
    <row r="57">
      <c r="A57" s="1" t="s">
        <v>80</v>
      </c>
      <c r="B57" s="1">
        <v>1050.843273</v>
      </c>
      <c r="C57" s="1">
        <v>1034.967145</v>
      </c>
    </row>
    <row r="58">
      <c r="A58" s="1" t="s">
        <v>81</v>
      </c>
      <c r="B58" s="1">
        <v>1034.220757</v>
      </c>
      <c r="C58" s="1">
        <v>1001.997353</v>
      </c>
    </row>
    <row r="59">
      <c r="A59" s="1" t="s">
        <v>82</v>
      </c>
      <c r="B59" s="1">
        <v>1000.608405</v>
      </c>
      <c r="C59" s="1">
        <v>1001.078759</v>
      </c>
    </row>
    <row r="60">
      <c r="A60" s="1" t="s">
        <v>83</v>
      </c>
      <c r="B60" s="1">
        <v>1000.902162</v>
      </c>
      <c r="C60" s="1">
        <v>944.999175</v>
      </c>
    </row>
    <row r="61">
      <c r="A61" s="1" t="s">
        <v>84</v>
      </c>
      <c r="B61" s="1">
        <v>944.907829</v>
      </c>
      <c r="C61" s="1">
        <v>910.260999</v>
      </c>
    </row>
    <row r="62">
      <c r="A62" s="1" t="s">
        <v>85</v>
      </c>
      <c r="B62" s="1">
        <v>910.085481</v>
      </c>
      <c r="C62" s="1">
        <v>907.500042</v>
      </c>
    </row>
    <row r="63">
      <c r="A63" s="1" t="s">
        <v>86</v>
      </c>
      <c r="B63" s="1">
        <v>907.708961</v>
      </c>
      <c r="C63" s="1">
        <v>891.969166</v>
      </c>
    </row>
    <row r="64">
      <c r="A64" s="1" t="s">
        <v>87</v>
      </c>
      <c r="B64" s="1">
        <v>892.839193</v>
      </c>
      <c r="C64" s="1">
        <v>906.616838</v>
      </c>
    </row>
    <row r="65">
      <c r="A65" s="1" t="s">
        <v>88</v>
      </c>
      <c r="B65" s="1">
        <v>907.097228</v>
      </c>
      <c r="C65" s="1">
        <v>903.125424</v>
      </c>
    </row>
    <row r="66">
      <c r="A66" s="1" t="s">
        <v>89</v>
      </c>
      <c r="B66" s="1">
        <v>902.973418</v>
      </c>
      <c r="C66" s="1">
        <v>940.018322</v>
      </c>
    </row>
    <row r="67">
      <c r="A67" s="1" t="s">
        <v>90</v>
      </c>
      <c r="B67" s="1">
        <v>940.750624</v>
      </c>
      <c r="C67" s="1">
        <v>931.667316</v>
      </c>
    </row>
    <row r="68">
      <c r="A68" s="1" t="s">
        <v>91</v>
      </c>
      <c r="B68" s="1">
        <v>932.291113</v>
      </c>
      <c r="C68" s="1">
        <v>994.829397</v>
      </c>
    </row>
    <row r="69">
      <c r="A69" s="1" t="s">
        <v>92</v>
      </c>
      <c r="B69" s="1">
        <v>996.30388</v>
      </c>
      <c r="C69" s="1">
        <v>987.982996</v>
      </c>
    </row>
    <row r="70">
      <c r="A70" s="1" t="s">
        <v>93</v>
      </c>
      <c r="B70" s="1">
        <v>989.061116</v>
      </c>
      <c r="C70" s="1">
        <v>960.925054</v>
      </c>
    </row>
    <row r="71">
      <c r="A71" s="1" t="s">
        <v>94</v>
      </c>
      <c r="B71" s="1">
        <v>961.172374</v>
      </c>
      <c r="C71" s="1">
        <v>996.8197</v>
      </c>
    </row>
    <row r="72">
      <c r="A72" s="1" t="s">
        <v>95</v>
      </c>
      <c r="B72" s="1">
        <v>996.566399</v>
      </c>
      <c r="C72" s="1">
        <v>940.179074</v>
      </c>
    </row>
    <row r="73">
      <c r="A73" s="1" t="s">
        <v>96</v>
      </c>
      <c r="B73" s="1">
        <v>940.37503</v>
      </c>
      <c r="C73" s="1">
        <v>865.631652</v>
      </c>
    </row>
    <row r="74">
      <c r="A74" s="1" t="s">
        <v>97</v>
      </c>
      <c r="B74" s="1">
        <v>865.427206</v>
      </c>
      <c r="C74" s="1">
        <v>823.78991</v>
      </c>
    </row>
    <row r="75">
      <c r="A75" s="1" t="s">
        <v>98</v>
      </c>
      <c r="B75" s="1">
        <v>823.80403</v>
      </c>
      <c r="C75" s="1">
        <v>856.162466</v>
      </c>
    </row>
    <row r="76">
      <c r="A76" s="1" t="s">
        <v>99</v>
      </c>
      <c r="B76" s="1">
        <v>854.646761</v>
      </c>
      <c r="C76" s="1">
        <v>891.578238</v>
      </c>
    </row>
    <row r="77">
      <c r="A77" s="1" t="s">
        <v>100</v>
      </c>
      <c r="B77" s="1">
        <v>891.104176</v>
      </c>
      <c r="C77" s="1">
        <v>906.106693</v>
      </c>
    </row>
    <row r="78">
      <c r="A78" s="1" t="s">
        <v>101</v>
      </c>
      <c r="B78" s="1">
        <v>910.9816</v>
      </c>
      <c r="C78" s="1">
        <v>963.646505</v>
      </c>
    </row>
    <row r="79">
      <c r="A79" s="1" t="s">
        <v>102</v>
      </c>
      <c r="B79" s="1">
        <v>964.342157</v>
      </c>
      <c r="C79" s="1">
        <v>930.631197</v>
      </c>
    </row>
    <row r="80">
      <c r="A80" s="1" t="s">
        <v>103</v>
      </c>
      <c r="B80" s="1">
        <v>931.554739</v>
      </c>
      <c r="C80" s="1">
        <v>1048.78474</v>
      </c>
    </row>
    <row r="81">
      <c r="A81" s="1" t="s">
        <v>104</v>
      </c>
      <c r="B81" s="1">
        <v>1047.34245</v>
      </c>
      <c r="C81" s="1">
        <v>1030.59965</v>
      </c>
    </row>
    <row r="82">
      <c r="A82" s="1" t="s">
        <v>105</v>
      </c>
      <c r="B82" s="1">
        <v>1030.166567</v>
      </c>
      <c r="C82" s="1">
        <v>972.846222</v>
      </c>
    </row>
    <row r="83">
      <c r="A83" s="1" t="s">
        <v>106</v>
      </c>
      <c r="B83" s="1">
        <v>972.935891</v>
      </c>
      <c r="C83" s="1">
        <v>976.62302</v>
      </c>
    </row>
    <row r="84">
      <c r="A84" s="1" t="s">
        <v>107</v>
      </c>
      <c r="B84" s="1">
        <v>977.468153</v>
      </c>
      <c r="C84" s="1">
        <v>947.34196</v>
      </c>
    </row>
    <row r="85">
      <c r="A85" s="1" t="s">
        <v>108</v>
      </c>
      <c r="B85" s="1">
        <v>947.535406</v>
      </c>
      <c r="C85" s="1">
        <v>956.024499</v>
      </c>
    </row>
    <row r="86">
      <c r="A86" s="1" t="s">
        <v>109</v>
      </c>
      <c r="B86" s="1">
        <v>954.237935</v>
      </c>
      <c r="C86" s="1">
        <v>985.519117</v>
      </c>
    </row>
    <row r="87">
      <c r="A87" s="1" t="s">
        <v>110</v>
      </c>
      <c r="B87" s="1">
        <v>985.486235</v>
      </c>
      <c r="C87" s="1">
        <v>895.554075</v>
      </c>
    </row>
    <row r="88">
      <c r="A88" s="1" t="s">
        <v>111</v>
      </c>
      <c r="B88" s="1">
        <v>894.661512</v>
      </c>
      <c r="C88" s="1">
        <v>916.571373</v>
      </c>
    </row>
    <row r="89">
      <c r="A89" s="1" t="s">
        <v>112</v>
      </c>
      <c r="B89" s="1">
        <v>919.064914</v>
      </c>
      <c r="C89" s="1">
        <v>1012.878525</v>
      </c>
    </row>
    <row r="90">
      <c r="A90" s="1" t="s">
        <v>113</v>
      </c>
      <c r="B90" s="1">
        <v>1012.708017</v>
      </c>
      <c r="C90" s="1">
        <v>1115.114865</v>
      </c>
    </row>
    <row r="91">
      <c r="A91" s="1" t="s">
        <v>114</v>
      </c>
      <c r="B91" s="1">
        <v>1115.219051</v>
      </c>
      <c r="C91" s="1">
        <v>1152.342766</v>
      </c>
    </row>
    <row r="92">
      <c r="A92" s="1" t="s">
        <v>115</v>
      </c>
      <c r="B92" s="1">
        <v>1154.20657</v>
      </c>
      <c r="C92" s="1">
        <v>1122.499807</v>
      </c>
    </row>
    <row r="93">
      <c r="A93" s="1" t="s">
        <v>116</v>
      </c>
      <c r="B93" s="1">
        <v>1122.054929</v>
      </c>
      <c r="C93" s="1">
        <v>1103.465191</v>
      </c>
    </row>
    <row r="94">
      <c r="A94" s="1" t="s">
        <v>117</v>
      </c>
      <c r="B94" s="1">
        <v>1100.67637</v>
      </c>
      <c r="C94" s="1">
        <v>1061.809079</v>
      </c>
    </row>
    <row r="95">
      <c r="A95" s="1" t="s">
        <v>118</v>
      </c>
      <c r="B95" s="1">
        <v>1061.595287</v>
      </c>
      <c r="C95" s="1">
        <v>1042.547866</v>
      </c>
    </row>
    <row r="96">
      <c r="A96" s="1" t="s">
        <v>119</v>
      </c>
      <c r="B96" s="1">
        <v>1044.146723</v>
      </c>
      <c r="C96" s="1">
        <v>1040.516628</v>
      </c>
    </row>
    <row r="97">
      <c r="A97" s="1" t="s">
        <v>120</v>
      </c>
      <c r="B97" s="1">
        <v>1040.208444</v>
      </c>
      <c r="C97" s="1">
        <v>1049.386676</v>
      </c>
    </row>
    <row r="98">
      <c r="A98" s="1" t="s">
        <v>121</v>
      </c>
      <c r="B98" s="1">
        <v>1050.249663</v>
      </c>
      <c r="C98" s="1">
        <v>1118.938796</v>
      </c>
    </row>
    <row r="99">
      <c r="A99" s="1" t="s">
        <v>122</v>
      </c>
      <c r="B99" s="1">
        <v>1121.529914</v>
      </c>
      <c r="C99" s="1">
        <v>1087.11002</v>
      </c>
    </row>
    <row r="100">
      <c r="A100" s="1" t="s">
        <v>123</v>
      </c>
      <c r="B100" s="1">
        <v>1085.546889</v>
      </c>
      <c r="C100" s="1">
        <v>1126.51687</v>
      </c>
    </row>
    <row r="101">
      <c r="A101" s="1" t="s">
        <v>124</v>
      </c>
      <c r="B101" s="1">
        <v>1128.13811</v>
      </c>
      <c r="C101" s="1">
        <v>1145.375942</v>
      </c>
    </row>
    <row r="102">
      <c r="A102" s="1" t="s">
        <v>125</v>
      </c>
      <c r="B102" s="1">
        <v>1143.966113</v>
      </c>
      <c r="C102" s="1">
        <v>1070.514209</v>
      </c>
    </row>
    <row r="103">
      <c r="A103" s="1" t="s">
        <v>126</v>
      </c>
      <c r="B103" s="1">
        <v>1068.960442</v>
      </c>
      <c r="C103" s="1">
        <v>1116.73452</v>
      </c>
    </row>
    <row r="104">
      <c r="A104" s="1" t="s">
        <v>127</v>
      </c>
      <c r="B104" s="1">
        <v>1115.84925</v>
      </c>
      <c r="C104" s="1">
        <v>1082.634616</v>
      </c>
    </row>
    <row r="105">
      <c r="A105" s="1" t="s">
        <v>128</v>
      </c>
      <c r="B105" s="1">
        <v>1081.58168</v>
      </c>
      <c r="C105" s="1">
        <v>1082.808779</v>
      </c>
    </row>
    <row r="106">
      <c r="A106" s="1" t="s">
        <v>129</v>
      </c>
      <c r="B106" s="1">
        <v>1082.872172</v>
      </c>
      <c r="C106" s="1">
        <v>1068.788418</v>
      </c>
    </row>
    <row r="107">
      <c r="A107" s="1" t="s">
        <v>130</v>
      </c>
      <c r="B107" s="1">
        <v>1069.037766</v>
      </c>
      <c r="C107" s="1">
        <v>1024.956545</v>
      </c>
    </row>
    <row r="108">
      <c r="A108" s="1" t="s">
        <v>131</v>
      </c>
      <c r="B108" s="1">
        <v>1024.346936</v>
      </c>
      <c r="C108" s="1">
        <v>997.846981</v>
      </c>
    </row>
    <row r="109">
      <c r="A109" s="1" t="s">
        <v>132</v>
      </c>
      <c r="B109" s="1">
        <v>998.242853</v>
      </c>
      <c r="C109" s="1">
        <v>977.829351</v>
      </c>
    </row>
    <row r="110">
      <c r="A110" s="1" t="s">
        <v>133</v>
      </c>
      <c r="B110" s="1">
        <v>979.603079</v>
      </c>
      <c r="C110" s="1">
        <v>930.081671</v>
      </c>
    </row>
    <row r="111">
      <c r="A111" s="1" t="s">
        <v>134</v>
      </c>
      <c r="B111" s="1">
        <v>929.86419</v>
      </c>
      <c r="C111" s="1">
        <v>895.37415</v>
      </c>
    </row>
    <row r="112">
      <c r="A112" s="1" t="s">
        <v>135</v>
      </c>
      <c r="B112" s="1">
        <v>895.269864</v>
      </c>
      <c r="C112" s="1">
        <v>836.980979</v>
      </c>
    </row>
    <row r="113">
      <c r="A113" s="1" t="s">
        <v>136</v>
      </c>
      <c r="B113" s="1">
        <v>837.632031</v>
      </c>
      <c r="C113" s="1">
        <v>823.816193</v>
      </c>
    </row>
    <row r="114">
      <c r="A114" s="1" t="s">
        <v>137</v>
      </c>
      <c r="B114" s="1">
        <v>823.1706</v>
      </c>
      <c r="C114" s="1">
        <v>837.639449</v>
      </c>
    </row>
    <row r="115">
      <c r="A115" s="1" t="s">
        <v>138</v>
      </c>
      <c r="B115" s="1">
        <v>838.367019</v>
      </c>
      <c r="C115" s="1">
        <v>839.653361</v>
      </c>
    </row>
    <row r="116">
      <c r="A116" s="1" t="s">
        <v>139</v>
      </c>
      <c r="B116" s="1">
        <v>839.547227</v>
      </c>
      <c r="C116" s="1">
        <v>855.196003</v>
      </c>
    </row>
    <row r="117">
      <c r="A117" s="1" t="s">
        <v>140</v>
      </c>
      <c r="B117" s="1">
        <v>856.342904</v>
      </c>
      <c r="C117" s="1">
        <v>854.645516</v>
      </c>
    </row>
    <row r="118">
      <c r="A118" s="1" t="s">
        <v>141</v>
      </c>
      <c r="B118" s="1">
        <v>854.350231</v>
      </c>
      <c r="C118" s="1">
        <v>846.827075</v>
      </c>
    </row>
    <row r="119">
      <c r="A119" s="1" t="s">
        <v>142</v>
      </c>
      <c r="B119" s="1">
        <v>845.967673</v>
      </c>
      <c r="C119" s="1">
        <v>761.077886</v>
      </c>
    </row>
    <row r="120">
      <c r="A120" s="1" t="s">
        <v>143</v>
      </c>
      <c r="B120" s="1">
        <v>761.524045</v>
      </c>
      <c r="C120" s="1">
        <v>765.417973</v>
      </c>
    </row>
    <row r="121">
      <c r="A121" s="1" t="s">
        <v>144</v>
      </c>
      <c r="B121" s="1">
        <v>764.934625</v>
      </c>
      <c r="C121" s="1">
        <v>737.098218</v>
      </c>
    </row>
    <row r="122">
      <c r="A122" s="1" t="s">
        <v>145</v>
      </c>
      <c r="B122" s="1">
        <v>737.42424</v>
      </c>
      <c r="C122" s="1">
        <v>811.087831</v>
      </c>
    </row>
    <row r="123">
      <c r="A123" s="1" t="s">
        <v>146</v>
      </c>
      <c r="B123" s="1">
        <v>810.953868</v>
      </c>
      <c r="C123" s="1">
        <v>783.702686</v>
      </c>
    </row>
    <row r="124">
      <c r="A124" s="1" t="s">
        <v>147</v>
      </c>
      <c r="B124" s="1">
        <v>784.242987</v>
      </c>
      <c r="C124" s="1">
        <v>759.390055</v>
      </c>
    </row>
    <row r="125">
      <c r="A125" s="1" t="s">
        <v>148</v>
      </c>
      <c r="B125" s="1">
        <v>759.47365</v>
      </c>
      <c r="C125" s="1">
        <v>757.510123</v>
      </c>
    </row>
    <row r="126">
      <c r="A126" s="1" t="s">
        <v>149</v>
      </c>
      <c r="B126" s="1">
        <v>757.019348</v>
      </c>
      <c r="C126" s="1">
        <v>750.137787</v>
      </c>
    </row>
    <row r="127">
      <c r="A127" s="1" t="s">
        <v>150</v>
      </c>
      <c r="B127" s="1">
        <v>749.08958</v>
      </c>
      <c r="C127" s="1">
        <v>742.32761</v>
      </c>
    </row>
    <row r="128">
      <c r="A128" s="1" t="s">
        <v>151</v>
      </c>
      <c r="B128" s="1">
        <v>742.563512</v>
      </c>
      <c r="C128" s="1">
        <v>752.502573</v>
      </c>
    </row>
    <row r="129">
      <c r="A129" s="1" t="s">
        <v>152</v>
      </c>
      <c r="B129" s="1">
        <v>753.050783</v>
      </c>
      <c r="C129" s="1">
        <v>741.144657</v>
      </c>
    </row>
    <row r="130">
      <c r="A130" s="1" t="s">
        <v>153</v>
      </c>
      <c r="B130" s="1">
        <v>740.916367</v>
      </c>
      <c r="C130" s="1">
        <v>728.175983</v>
      </c>
    </row>
    <row r="131">
      <c r="A131" s="1" t="s">
        <v>154</v>
      </c>
      <c r="B131" s="1">
        <v>725.817363</v>
      </c>
      <c r="C131" s="1">
        <v>739.205352</v>
      </c>
    </row>
    <row r="132">
      <c r="A132" s="1" t="s">
        <v>155</v>
      </c>
      <c r="B132" s="1">
        <v>738.950022</v>
      </c>
      <c r="C132" s="1">
        <v>726.263049</v>
      </c>
    </row>
    <row r="133">
      <c r="A133" s="1" t="s">
        <v>156</v>
      </c>
      <c r="B133" s="1">
        <v>726.280545</v>
      </c>
      <c r="C133" s="1">
        <v>779.721309</v>
      </c>
    </row>
    <row r="134">
      <c r="A134" s="1" t="s">
        <v>157</v>
      </c>
      <c r="B134" s="1">
        <v>779.9773</v>
      </c>
      <c r="C134" s="1">
        <v>764.580469</v>
      </c>
    </row>
    <row r="135">
      <c r="A135" s="1" t="s">
        <v>158</v>
      </c>
      <c r="B135" s="1">
        <v>764.980997</v>
      </c>
      <c r="C135" s="1">
        <v>754.415697</v>
      </c>
    </row>
    <row r="136">
      <c r="A136" s="1" t="s">
        <v>159</v>
      </c>
      <c r="B136" s="1">
        <v>753.805194</v>
      </c>
      <c r="C136" s="1">
        <v>737.662646</v>
      </c>
    </row>
    <row r="137">
      <c r="A137" s="1" t="s">
        <v>160</v>
      </c>
      <c r="B137" s="1">
        <v>737.184599</v>
      </c>
      <c r="C137" s="1">
        <v>696.82791</v>
      </c>
    </row>
    <row r="138">
      <c r="A138" s="1" t="s">
        <v>161</v>
      </c>
      <c r="B138" s="1">
        <v>695.321552</v>
      </c>
      <c r="C138" s="1">
        <v>701.472683</v>
      </c>
    </row>
    <row r="139">
      <c r="A139" s="1" t="s">
        <v>162</v>
      </c>
      <c r="B139" s="1">
        <v>701.211482</v>
      </c>
      <c r="C139" s="1">
        <v>659.650828</v>
      </c>
    </row>
    <row r="140">
      <c r="A140" s="1" t="s">
        <v>163</v>
      </c>
      <c r="B140" s="1">
        <v>659.799783</v>
      </c>
      <c r="C140" s="1">
        <v>669.700283</v>
      </c>
    </row>
    <row r="141">
      <c r="A141" s="1" t="s">
        <v>164</v>
      </c>
      <c r="B141" s="1">
        <v>669.338617</v>
      </c>
      <c r="C141" s="1">
        <v>685.142304</v>
      </c>
    </row>
    <row r="142">
      <c r="A142" s="1" t="s">
        <v>165</v>
      </c>
      <c r="B142" s="1">
        <v>686.441226</v>
      </c>
      <c r="C142" s="1">
        <v>632.870939</v>
      </c>
    </row>
    <row r="143">
      <c r="A143" s="1" t="s">
        <v>166</v>
      </c>
      <c r="B143" s="1">
        <v>632.964893</v>
      </c>
      <c r="C143" s="1">
        <v>628.089083</v>
      </c>
    </row>
    <row r="144">
      <c r="A144" s="1" t="s">
        <v>167</v>
      </c>
      <c r="B144" s="1">
        <v>628.304849</v>
      </c>
      <c r="C144" s="1">
        <v>610.493337</v>
      </c>
    </row>
    <row r="145">
      <c r="A145" s="1" t="s">
        <v>168</v>
      </c>
      <c r="B145" s="1">
        <v>609.543116</v>
      </c>
      <c r="C145" s="1">
        <v>590.629568</v>
      </c>
    </row>
    <row r="146">
      <c r="A146" s="1" t="s">
        <v>169</v>
      </c>
      <c r="B146" s="1">
        <v>591.040825</v>
      </c>
      <c r="C146" s="1">
        <v>647.519404</v>
      </c>
    </row>
    <row r="147">
      <c r="A147" s="1" t="s">
        <v>170</v>
      </c>
      <c r="B147" s="1">
        <v>649.326139</v>
      </c>
      <c r="C147" s="1">
        <v>671.470306</v>
      </c>
    </row>
    <row r="148">
      <c r="A148" s="1" t="s">
        <v>171</v>
      </c>
      <c r="B148" s="1">
        <v>671.596707</v>
      </c>
      <c r="C148" s="1">
        <v>680.201819</v>
      </c>
    </row>
    <row r="149">
      <c r="A149" s="1" t="s">
        <v>172</v>
      </c>
      <c r="B149" s="1">
        <v>679.973916</v>
      </c>
      <c r="C149" s="1">
        <v>708.123082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977631.036951</v>
      </c>
    </row>
    <row r="3">
      <c r="A3" s="1" t="s">
        <v>26</v>
      </c>
      <c r="B3" s="1">
        <v>977631.036951</v>
      </c>
    </row>
    <row r="4">
      <c r="A4" s="1" t="s">
        <v>27</v>
      </c>
      <c r="B4" s="1">
        <v>977631.036951</v>
      </c>
    </row>
    <row r="5">
      <c r="A5" s="1" t="s">
        <v>28</v>
      </c>
      <c r="B5" s="1">
        <v>977631.036951</v>
      </c>
    </row>
    <row r="6">
      <c r="A6" s="1" t="s">
        <v>29</v>
      </c>
      <c r="B6" s="1">
        <v>977631.036951</v>
      </c>
    </row>
    <row r="7">
      <c r="A7" s="1" t="s">
        <v>30</v>
      </c>
      <c r="B7" s="1">
        <v>977631.036951</v>
      </c>
    </row>
    <row r="8">
      <c r="A8" s="1" t="s">
        <v>31</v>
      </c>
      <c r="B8" s="1">
        <v>977631.036951</v>
      </c>
    </row>
    <row r="9">
      <c r="A9" s="1" t="s">
        <v>32</v>
      </c>
      <c r="B9" s="1">
        <v>977631.036951</v>
      </c>
    </row>
    <row r="10">
      <c r="A10" s="1" t="s">
        <v>33</v>
      </c>
      <c r="B10" s="1">
        <v>977631.036951</v>
      </c>
    </row>
    <row r="11">
      <c r="A11" s="1" t="s">
        <v>34</v>
      </c>
      <c r="B11" s="1">
        <v>977631.036951</v>
      </c>
    </row>
    <row r="12">
      <c r="A12" s="1" t="s">
        <v>35</v>
      </c>
      <c r="B12" s="1">
        <v>977631.036951</v>
      </c>
    </row>
    <row r="13">
      <c r="A13" s="1" t="s">
        <v>36</v>
      </c>
      <c r="B13" s="1">
        <v>977631.036951</v>
      </c>
    </row>
    <row r="14">
      <c r="A14" s="1" t="s">
        <v>37</v>
      </c>
      <c r="B14" s="1">
        <v>977631.036951</v>
      </c>
    </row>
    <row r="15">
      <c r="A15" s="1" t="s">
        <v>38</v>
      </c>
      <c r="B15" s="1">
        <v>977631.036951</v>
      </c>
    </row>
    <row r="16">
      <c r="A16" s="1" t="s">
        <v>39</v>
      </c>
      <c r="B16" s="1">
        <v>977631.036951</v>
      </c>
    </row>
    <row r="17">
      <c r="A17" s="1" t="s">
        <v>40</v>
      </c>
      <c r="B17" s="1">
        <v>977631.036951</v>
      </c>
    </row>
    <row r="18">
      <c r="A18" s="1" t="s">
        <v>41</v>
      </c>
      <c r="B18" s="1">
        <v>977631.036951</v>
      </c>
    </row>
    <row r="19">
      <c r="A19" s="1" t="s">
        <v>42</v>
      </c>
      <c r="B19" s="1">
        <v>977631.036951</v>
      </c>
    </row>
    <row r="20">
      <c r="A20" s="1" t="s">
        <v>43</v>
      </c>
      <c r="B20" s="1">
        <v>977631.036951</v>
      </c>
    </row>
    <row r="21">
      <c r="A21" s="1" t="s">
        <v>44</v>
      </c>
      <c r="B21" s="1">
        <v>977631.036951</v>
      </c>
    </row>
    <row r="22">
      <c r="A22" s="1" t="s">
        <v>45</v>
      </c>
      <c r="B22" s="1">
        <v>977631.036951</v>
      </c>
    </row>
    <row r="23">
      <c r="A23" s="1" t="s">
        <v>46</v>
      </c>
      <c r="B23" s="1">
        <v>977631.036951</v>
      </c>
    </row>
    <row r="24">
      <c r="A24" s="1" t="s">
        <v>47</v>
      </c>
      <c r="B24" s="1">
        <v>977631.036951</v>
      </c>
    </row>
    <row r="25">
      <c r="A25" s="1" t="s">
        <v>48</v>
      </c>
      <c r="B25" s="1">
        <v>977631.036951</v>
      </c>
    </row>
    <row r="26">
      <c r="A26" s="1" t="s">
        <v>49</v>
      </c>
      <c r="B26" s="1">
        <v>977631.036951</v>
      </c>
    </row>
    <row r="27">
      <c r="A27" s="1" t="s">
        <v>50</v>
      </c>
      <c r="B27" s="1">
        <v>977631.036951</v>
      </c>
    </row>
    <row r="28">
      <c r="A28" s="1" t="s">
        <v>51</v>
      </c>
      <c r="B28" s="1">
        <v>977631.036951</v>
      </c>
    </row>
    <row r="29">
      <c r="A29" s="1" t="s">
        <v>52</v>
      </c>
      <c r="B29" s="1">
        <v>977631.036951</v>
      </c>
    </row>
    <row r="30">
      <c r="A30" s="1" t="s">
        <v>53</v>
      </c>
      <c r="B30" s="1">
        <v>977631.036951</v>
      </c>
    </row>
    <row r="31">
      <c r="A31" s="1" t="s">
        <v>54</v>
      </c>
      <c r="B31" s="1">
        <v>977631.036951</v>
      </c>
    </row>
    <row r="32">
      <c r="A32" s="1" t="s">
        <v>55</v>
      </c>
      <c r="B32" s="1">
        <v>977631.036951</v>
      </c>
    </row>
    <row r="33">
      <c r="A33" s="1" t="s">
        <v>56</v>
      </c>
      <c r="B33" s="1">
        <v>977631.036951</v>
      </c>
    </row>
    <row r="34">
      <c r="A34" s="1" t="s">
        <v>57</v>
      </c>
      <c r="B34" s="1">
        <v>977631.036951</v>
      </c>
    </row>
    <row r="35">
      <c r="A35" s="1" t="s">
        <v>58</v>
      </c>
      <c r="B35" s="1">
        <v>977631.036951</v>
      </c>
    </row>
    <row r="36">
      <c r="A36" s="1" t="s">
        <v>59</v>
      </c>
      <c r="B36" s="1">
        <v>977631.036951</v>
      </c>
    </row>
    <row r="37">
      <c r="A37" s="1" t="s">
        <v>60</v>
      </c>
      <c r="B37" s="1">
        <v>977631.036951</v>
      </c>
    </row>
    <row r="38">
      <c r="A38" s="1" t="s">
        <v>61</v>
      </c>
      <c r="B38" s="1">
        <v>977631.036951</v>
      </c>
    </row>
    <row r="39">
      <c r="A39" s="1" t="s">
        <v>62</v>
      </c>
      <c r="B39" s="1">
        <v>977631.036951</v>
      </c>
    </row>
    <row r="40">
      <c r="A40" s="1" t="s">
        <v>63</v>
      </c>
      <c r="B40" s="1">
        <v>977631.036951</v>
      </c>
    </row>
    <row r="41">
      <c r="A41" s="1" t="s">
        <v>64</v>
      </c>
      <c r="B41" s="1">
        <v>977631.036951</v>
      </c>
    </row>
    <row r="42">
      <c r="A42" s="1" t="s">
        <v>65</v>
      </c>
      <c r="B42" s="1">
        <v>977631.036951</v>
      </c>
    </row>
    <row r="43">
      <c r="A43" s="1" t="s">
        <v>66</v>
      </c>
      <c r="B43" s="1">
        <v>977631.036951</v>
      </c>
    </row>
    <row r="44">
      <c r="A44" s="1" t="s">
        <v>67</v>
      </c>
      <c r="B44" s="1">
        <v>977631.036951</v>
      </c>
    </row>
    <row r="45">
      <c r="A45" s="1" t="s">
        <v>68</v>
      </c>
      <c r="B45" s="1">
        <v>977631.036951</v>
      </c>
    </row>
    <row r="46">
      <c r="A46" s="1" t="s">
        <v>69</v>
      </c>
      <c r="B46" s="1">
        <v>977631.036951</v>
      </c>
    </row>
    <row r="47">
      <c r="A47" s="1" t="s">
        <v>70</v>
      </c>
      <c r="B47" s="1">
        <v>977631.036951</v>
      </c>
    </row>
    <row r="48">
      <c r="A48" s="1" t="s">
        <v>71</v>
      </c>
      <c r="B48" s="1">
        <v>977631.036951</v>
      </c>
    </row>
    <row r="49">
      <c r="A49" s="1" t="s">
        <v>72</v>
      </c>
      <c r="B49" s="1">
        <v>977631.036951</v>
      </c>
    </row>
    <row r="50">
      <c r="A50" s="1" t="s">
        <v>73</v>
      </c>
      <c r="B50" s="1">
        <v>977631.036951</v>
      </c>
    </row>
    <row r="51">
      <c r="A51" s="1" t="s">
        <v>74</v>
      </c>
      <c r="B51" s="1">
        <v>977631.036951</v>
      </c>
    </row>
    <row r="52">
      <c r="A52" s="1" t="s">
        <v>75</v>
      </c>
      <c r="B52" s="1">
        <v>977631.036951</v>
      </c>
    </row>
    <row r="53">
      <c r="A53" s="1" t="s">
        <v>76</v>
      </c>
      <c r="B53" s="1">
        <v>977631.036951</v>
      </c>
    </row>
    <row r="54">
      <c r="A54" s="1" t="s">
        <v>77</v>
      </c>
      <c r="B54" s="1">
        <v>977631.036951</v>
      </c>
    </row>
    <row r="55">
      <c r="A55" s="1" t="s">
        <v>78</v>
      </c>
      <c r="B55" s="1">
        <v>977631.036951</v>
      </c>
    </row>
    <row r="56">
      <c r="A56" s="1" t="s">
        <v>79</v>
      </c>
      <c r="B56" s="1">
        <v>977631.036951</v>
      </c>
    </row>
    <row r="57">
      <c r="A57" s="1" t="s">
        <v>80</v>
      </c>
      <c r="B57" s="1">
        <v>977631.036951</v>
      </c>
    </row>
    <row r="58">
      <c r="A58" s="1" t="s">
        <v>81</v>
      </c>
      <c r="B58" s="1">
        <v>977631.036951</v>
      </c>
    </row>
    <row r="59">
      <c r="A59" s="1" t="s">
        <v>82</v>
      </c>
      <c r="B59" s="1">
        <v>977631.036951</v>
      </c>
    </row>
    <row r="60">
      <c r="A60" s="1" t="s">
        <v>83</v>
      </c>
      <c r="B60" s="1">
        <v>977631.036951</v>
      </c>
    </row>
    <row r="61">
      <c r="A61" s="1" t="s">
        <v>84</v>
      </c>
      <c r="B61" s="1">
        <v>977631.036951</v>
      </c>
    </row>
    <row r="62">
      <c r="A62" s="1" t="s">
        <v>85</v>
      </c>
      <c r="B62" s="1">
        <v>977631.036951</v>
      </c>
    </row>
    <row r="63">
      <c r="A63" s="1" t="s">
        <v>86</v>
      </c>
      <c r="B63" s="1">
        <v>977631.036951</v>
      </c>
    </row>
    <row r="64">
      <c r="A64" s="1" t="s">
        <v>87</v>
      </c>
      <c r="B64" s="1">
        <v>977631.036951</v>
      </c>
    </row>
    <row r="65">
      <c r="A65" s="1" t="s">
        <v>88</v>
      </c>
      <c r="B65" s="1">
        <v>977631.036951</v>
      </c>
    </row>
    <row r="66">
      <c r="A66" s="1" t="s">
        <v>89</v>
      </c>
      <c r="B66" s="1">
        <v>977631.036951</v>
      </c>
    </row>
    <row r="67">
      <c r="A67" s="1" t="s">
        <v>90</v>
      </c>
      <c r="B67" s="1">
        <v>977631.036951</v>
      </c>
    </row>
    <row r="68">
      <c r="A68" s="1" t="s">
        <v>91</v>
      </c>
      <c r="B68" s="1">
        <v>977631.036951</v>
      </c>
    </row>
    <row r="69">
      <c r="A69" s="1" t="s">
        <v>92</v>
      </c>
      <c r="B69" s="1">
        <v>977631.036951</v>
      </c>
    </row>
    <row r="70">
      <c r="A70" s="1" t="s">
        <v>93</v>
      </c>
      <c r="B70" s="1">
        <v>977631.036951</v>
      </c>
    </row>
    <row r="71">
      <c r="A71" s="1" t="s">
        <v>94</v>
      </c>
      <c r="B71" s="1">
        <v>977631.036951</v>
      </c>
    </row>
    <row r="72">
      <c r="A72" s="1" t="s">
        <v>95</v>
      </c>
      <c r="B72" s="1">
        <v>977631.036951</v>
      </c>
    </row>
    <row r="73">
      <c r="A73" s="1" t="s">
        <v>96</v>
      </c>
      <c r="B73" s="1">
        <v>977631.036951</v>
      </c>
    </row>
    <row r="74">
      <c r="A74" s="1" t="s">
        <v>97</v>
      </c>
      <c r="B74" s="1">
        <v>977631.036951</v>
      </c>
    </row>
    <row r="75">
      <c r="A75" s="1" t="s">
        <v>98</v>
      </c>
      <c r="B75" s="1">
        <v>977631.036951</v>
      </c>
    </row>
    <row r="76">
      <c r="A76" s="1" t="s">
        <v>99</v>
      </c>
      <c r="B76" s="1">
        <v>977631.036951</v>
      </c>
    </row>
    <row r="77">
      <c r="A77" s="1" t="s">
        <v>100</v>
      </c>
      <c r="B77" s="1">
        <v>977631.036951</v>
      </c>
    </row>
    <row r="78">
      <c r="A78" s="1" t="s">
        <v>101</v>
      </c>
      <c r="B78" s="1">
        <v>977631.036951</v>
      </c>
    </row>
    <row r="79">
      <c r="A79" s="1" t="s">
        <v>102</v>
      </c>
      <c r="B79" s="1">
        <v>977631.036951</v>
      </c>
    </row>
    <row r="80">
      <c r="A80" s="1" t="s">
        <v>103</v>
      </c>
      <c r="B80" s="1">
        <v>977631.036951</v>
      </c>
    </row>
    <row r="81">
      <c r="A81" s="1" t="s">
        <v>104</v>
      </c>
      <c r="B81" s="1">
        <v>977631.036951</v>
      </c>
    </row>
    <row r="82">
      <c r="A82" s="1" t="s">
        <v>105</v>
      </c>
      <c r="B82" s="1">
        <v>977631.036951</v>
      </c>
    </row>
    <row r="83">
      <c r="A83" s="1" t="s">
        <v>106</v>
      </c>
      <c r="B83" s="1">
        <v>977631.036951</v>
      </c>
    </row>
    <row r="84">
      <c r="A84" s="1" t="s">
        <v>107</v>
      </c>
      <c r="B84" s="1">
        <v>977631.036951</v>
      </c>
    </row>
    <row r="85">
      <c r="A85" s="1" t="s">
        <v>108</v>
      </c>
      <c r="B85" s="1">
        <v>977631.036951</v>
      </c>
    </row>
    <row r="86">
      <c r="A86" s="1" t="s">
        <v>109</v>
      </c>
      <c r="B86" s="1">
        <v>977631.036951</v>
      </c>
    </row>
    <row r="87">
      <c r="A87" s="1" t="s">
        <v>110</v>
      </c>
      <c r="B87" s="1">
        <v>977631.036951</v>
      </c>
    </row>
    <row r="88">
      <c r="A88" s="1" t="s">
        <v>111</v>
      </c>
      <c r="B88" s="1">
        <v>977631.036951</v>
      </c>
    </row>
    <row r="89">
      <c r="A89" s="1" t="s">
        <v>112</v>
      </c>
      <c r="B89" s="1">
        <v>977631.036951</v>
      </c>
    </row>
    <row r="90">
      <c r="A90" s="1" t="s">
        <v>113</v>
      </c>
      <c r="B90" s="1">
        <v>977631.036951</v>
      </c>
    </row>
    <row r="91">
      <c r="A91" s="1" t="s">
        <v>114</v>
      </c>
      <c r="B91" s="1">
        <v>977631.036951</v>
      </c>
    </row>
    <row r="92">
      <c r="A92" s="1" t="s">
        <v>115</v>
      </c>
      <c r="B92" s="1">
        <v>977631.036951</v>
      </c>
    </row>
    <row r="93">
      <c r="A93" s="1" t="s">
        <v>116</v>
      </c>
      <c r="B93" s="1">
        <v>977631.036951</v>
      </c>
    </row>
    <row r="94">
      <c r="A94" s="1" t="s">
        <v>117</v>
      </c>
      <c r="B94" s="1">
        <v>977631.036951</v>
      </c>
    </row>
    <row r="95">
      <c r="A95" s="1" t="s">
        <v>118</v>
      </c>
      <c r="B95" s="1">
        <v>977631.036951</v>
      </c>
    </row>
    <row r="96">
      <c r="A96" s="1" t="s">
        <v>119</v>
      </c>
      <c r="B96" s="1">
        <v>977631.036951</v>
      </c>
    </row>
    <row r="97">
      <c r="A97" s="1" t="s">
        <v>120</v>
      </c>
      <c r="B97" s="1">
        <v>977631.036951</v>
      </c>
    </row>
    <row r="98">
      <c r="A98" s="1" t="s">
        <v>121</v>
      </c>
      <c r="B98" s="1">
        <v>977631.036951</v>
      </c>
    </row>
    <row r="99">
      <c r="A99" s="1" t="s">
        <v>122</v>
      </c>
      <c r="B99" s="1">
        <v>977631.036951</v>
      </c>
    </row>
    <row r="100">
      <c r="A100" s="1" t="s">
        <v>123</v>
      </c>
      <c r="B100" s="1">
        <v>977631.036951</v>
      </c>
    </row>
    <row r="101">
      <c r="A101" s="1" t="s">
        <v>124</v>
      </c>
      <c r="B101" s="1">
        <v>977631.036951</v>
      </c>
    </row>
    <row r="102">
      <c r="A102" s="1" t="s">
        <v>125</v>
      </c>
      <c r="B102" s="1">
        <v>977631.036951</v>
      </c>
    </row>
    <row r="103">
      <c r="A103" s="1" t="s">
        <v>126</v>
      </c>
      <c r="B103" s="1">
        <v>977631.036951</v>
      </c>
    </row>
    <row r="104">
      <c r="A104" s="1" t="s">
        <v>127</v>
      </c>
      <c r="B104" s="1">
        <v>977631.036951</v>
      </c>
    </row>
    <row r="105">
      <c r="A105" s="1" t="s">
        <v>128</v>
      </c>
      <c r="B105" s="1">
        <v>977631.036951</v>
      </c>
    </row>
    <row r="106">
      <c r="A106" s="1" t="s">
        <v>129</v>
      </c>
      <c r="B106" s="1">
        <v>977631.036951</v>
      </c>
    </row>
    <row r="107">
      <c r="A107" s="1" t="s">
        <v>130</v>
      </c>
      <c r="B107" s="1">
        <v>977631.036951</v>
      </c>
    </row>
    <row r="108">
      <c r="A108" s="1" t="s">
        <v>131</v>
      </c>
      <c r="B108" s="1">
        <v>977631.036951</v>
      </c>
    </row>
    <row r="109">
      <c r="A109" s="1" t="s">
        <v>132</v>
      </c>
      <c r="B109" s="1">
        <v>977631.036951</v>
      </c>
    </row>
    <row r="110">
      <c r="A110" s="1" t="s">
        <v>133</v>
      </c>
      <c r="B110" s="1">
        <v>977631.036951</v>
      </c>
    </row>
    <row r="111">
      <c r="A111" s="1" t="s">
        <v>134</v>
      </c>
      <c r="B111" s="1">
        <v>977631.036951</v>
      </c>
    </row>
    <row r="112">
      <c r="A112" s="1" t="s">
        <v>135</v>
      </c>
      <c r="B112" s="1">
        <v>977631.036951</v>
      </c>
    </row>
    <row r="113">
      <c r="A113" s="1" t="s">
        <v>136</v>
      </c>
      <c r="B113" s="1">
        <v>977631.036951</v>
      </c>
    </row>
    <row r="114">
      <c r="A114" s="1" t="s">
        <v>137</v>
      </c>
      <c r="B114" s="1">
        <v>977631.036951</v>
      </c>
    </row>
    <row r="115">
      <c r="A115" s="1" t="s">
        <v>138</v>
      </c>
      <c r="B115" s="1">
        <v>977631.036951</v>
      </c>
    </row>
    <row r="116">
      <c r="A116" s="1" t="s">
        <v>139</v>
      </c>
      <c r="B116" s="1">
        <v>977631.036951</v>
      </c>
    </row>
    <row r="117">
      <c r="A117" s="1" t="s">
        <v>140</v>
      </c>
      <c r="B117" s="1">
        <v>977631.036951</v>
      </c>
    </row>
    <row r="118">
      <c r="A118" s="1" t="s">
        <v>141</v>
      </c>
      <c r="B118" s="1">
        <v>977631.036951</v>
      </c>
    </row>
    <row r="119">
      <c r="A119" s="1" t="s">
        <v>142</v>
      </c>
      <c r="B119" s="1">
        <v>977631.036951</v>
      </c>
    </row>
    <row r="120">
      <c r="A120" s="1" t="s">
        <v>143</v>
      </c>
      <c r="B120" s="1">
        <v>977631.036951</v>
      </c>
    </row>
    <row r="121">
      <c r="A121" s="1" t="s">
        <v>144</v>
      </c>
      <c r="B121" s="1">
        <v>977631.036951</v>
      </c>
    </row>
    <row r="122">
      <c r="A122" s="1" t="s">
        <v>145</v>
      </c>
      <c r="B122" s="1">
        <v>977631.036951</v>
      </c>
    </row>
    <row r="123">
      <c r="A123" s="1" t="s">
        <v>146</v>
      </c>
      <c r="B123" s="1">
        <v>977631.036951</v>
      </c>
    </row>
    <row r="124">
      <c r="A124" s="1" t="s">
        <v>147</v>
      </c>
      <c r="B124" s="1">
        <v>977631.036951</v>
      </c>
    </row>
    <row r="125">
      <c r="A125" s="1" t="s">
        <v>148</v>
      </c>
      <c r="B125" s="1">
        <v>977631.036951</v>
      </c>
    </row>
    <row r="126">
      <c r="A126" s="1" t="s">
        <v>149</v>
      </c>
      <c r="B126" s="1">
        <v>977631.036951</v>
      </c>
    </row>
    <row r="127">
      <c r="A127" s="1" t="s">
        <v>150</v>
      </c>
      <c r="B127" s="1">
        <v>977631.036951</v>
      </c>
    </row>
    <row r="128">
      <c r="A128" s="1" t="s">
        <v>151</v>
      </c>
      <c r="B128" s="1">
        <v>977631.036951</v>
      </c>
    </row>
    <row r="129">
      <c r="A129" s="1" t="s">
        <v>152</v>
      </c>
      <c r="B129" s="1">
        <v>977631.036951</v>
      </c>
    </row>
    <row r="130">
      <c r="A130" s="1" t="s">
        <v>153</v>
      </c>
      <c r="B130" s="1">
        <v>977631.036951</v>
      </c>
    </row>
    <row r="131">
      <c r="A131" s="1" t="s">
        <v>154</v>
      </c>
      <c r="B131" s="1">
        <v>977631.036951</v>
      </c>
    </row>
    <row r="132">
      <c r="A132" s="1" t="s">
        <v>155</v>
      </c>
      <c r="B132" s="1">
        <v>977631.036951</v>
      </c>
    </row>
    <row r="133">
      <c r="A133" s="1" t="s">
        <v>156</v>
      </c>
      <c r="B133" s="1">
        <v>977631.036951</v>
      </c>
    </row>
    <row r="134">
      <c r="A134" s="1" t="s">
        <v>157</v>
      </c>
      <c r="B134" s="1">
        <v>977631.036951</v>
      </c>
    </row>
    <row r="135">
      <c r="A135" s="1" t="s">
        <v>158</v>
      </c>
      <c r="B135" s="1">
        <v>977631.036951</v>
      </c>
    </row>
    <row r="136">
      <c r="A136" s="1" t="s">
        <v>159</v>
      </c>
      <c r="B136" s="1">
        <v>977631.036951</v>
      </c>
    </row>
    <row r="137">
      <c r="A137" s="1" t="s">
        <v>160</v>
      </c>
      <c r="B137" s="1">
        <v>977631.036951</v>
      </c>
    </row>
    <row r="138">
      <c r="A138" s="1" t="s">
        <v>161</v>
      </c>
      <c r="B138" s="1">
        <v>977631.036951</v>
      </c>
    </row>
    <row r="139">
      <c r="A139" s="1" t="s">
        <v>162</v>
      </c>
      <c r="B139" s="1">
        <v>977631.036951</v>
      </c>
    </row>
    <row r="140">
      <c r="A140" s="1" t="s">
        <v>163</v>
      </c>
      <c r="B140" s="1">
        <v>977631.036951</v>
      </c>
    </row>
    <row r="141">
      <c r="A141" s="1" t="s">
        <v>164</v>
      </c>
      <c r="B141" s="1">
        <v>977631.036951</v>
      </c>
    </row>
    <row r="142">
      <c r="A142" s="1" t="s">
        <v>165</v>
      </c>
      <c r="B142" s="1">
        <v>977631.036951</v>
      </c>
    </row>
    <row r="143">
      <c r="A143" s="1" t="s">
        <v>166</v>
      </c>
      <c r="B143" s="1">
        <v>977631.036951</v>
      </c>
    </row>
    <row r="144">
      <c r="A144" s="1" t="s">
        <v>167</v>
      </c>
      <c r="B144" s="1">
        <v>977631.036951</v>
      </c>
    </row>
    <row r="145">
      <c r="A145" s="1" t="s">
        <v>168</v>
      </c>
      <c r="B145" s="1">
        <v>977631.036951</v>
      </c>
    </row>
    <row r="146">
      <c r="A146" s="1" t="s">
        <v>169</v>
      </c>
      <c r="B146" s="1">
        <v>977631.036951</v>
      </c>
    </row>
    <row r="147">
      <c r="A147" s="1" t="s">
        <v>170</v>
      </c>
      <c r="B147" s="1">
        <v>977631.036951</v>
      </c>
    </row>
    <row r="148">
      <c r="A148" s="1" t="s">
        <v>171</v>
      </c>
      <c r="B148" s="1">
        <v>977631.036951</v>
      </c>
    </row>
    <row r="149">
      <c r="A149" s="1" t="s">
        <v>172</v>
      </c>
      <c r="B149" s="1">
        <v>977631.036951</v>
      </c>
    </row>
    <row r="150">
      <c r="A150" s="1" t="s">
        <v>174</v>
      </c>
      <c r="B150" s="1">
        <v>977631.036951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</row>
    <row r="2">
      <c r="A2" s="1" t="s">
        <v>25</v>
      </c>
      <c r="B2" s="1">
        <v>1.994207</v>
      </c>
      <c r="C2" s="1">
        <v>2.068075</v>
      </c>
    </row>
    <row r="3">
      <c r="A3" s="1" t="s">
        <v>26</v>
      </c>
      <c r="B3" s="1">
        <v>2.066509</v>
      </c>
      <c r="C3" s="1">
        <v>2.100877</v>
      </c>
    </row>
    <row r="4">
      <c r="A4" s="1" t="s">
        <v>27</v>
      </c>
      <c r="B4" s="1">
        <v>2.100397</v>
      </c>
      <c r="C4" s="1">
        <v>2.154068</v>
      </c>
    </row>
    <row r="5">
      <c r="A5" s="1" t="s">
        <v>28</v>
      </c>
      <c r="B5" s="1">
        <v>2.15616</v>
      </c>
      <c r="C5" s="1">
        <v>2.595356</v>
      </c>
    </row>
    <row r="6">
      <c r="A6" s="1" t="s">
        <v>29</v>
      </c>
      <c r="B6" s="1">
        <v>2.595929</v>
      </c>
      <c r="C6" s="1">
        <v>2.459769</v>
      </c>
    </row>
    <row r="7">
      <c r="A7" s="1" t="s">
        <v>30</v>
      </c>
      <c r="B7" s="1">
        <v>2.458675</v>
      </c>
      <c r="C7" s="1">
        <v>2.292388</v>
      </c>
    </row>
    <row r="8">
      <c r="A8" s="1" t="s">
        <v>31</v>
      </c>
      <c r="B8" s="1">
        <v>2.29207</v>
      </c>
      <c r="C8" s="1">
        <v>2.224607</v>
      </c>
    </row>
    <row r="9">
      <c r="A9" s="1" t="s">
        <v>32</v>
      </c>
      <c r="B9" s="1">
        <v>2.226843</v>
      </c>
      <c r="C9" s="1">
        <v>2.345611</v>
      </c>
    </row>
    <row r="10">
      <c r="A10" s="1" t="s">
        <v>33</v>
      </c>
      <c r="B10" s="1">
        <v>2.34783</v>
      </c>
      <c r="C10" s="1">
        <v>1.910813</v>
      </c>
    </row>
    <row r="11">
      <c r="A11" s="1" t="s">
        <v>34</v>
      </c>
      <c r="B11" s="1">
        <v>1.910542</v>
      </c>
      <c r="C11" s="1">
        <v>1.976347</v>
      </c>
    </row>
    <row r="12">
      <c r="A12" s="1" t="s">
        <v>35</v>
      </c>
      <c r="B12" s="1">
        <v>1.974685</v>
      </c>
      <c r="C12" s="1">
        <v>1.50187</v>
      </c>
    </row>
    <row r="13">
      <c r="A13" s="1" t="s">
        <v>36</v>
      </c>
      <c r="B13" s="1">
        <v>1.501801</v>
      </c>
      <c r="C13" s="1">
        <v>1.303765</v>
      </c>
    </row>
    <row r="14">
      <c r="A14" s="1" t="s">
        <v>37</v>
      </c>
      <c r="B14" s="1">
        <v>1.304043</v>
      </c>
      <c r="C14" s="1">
        <v>1.314182</v>
      </c>
    </row>
    <row r="15">
      <c r="A15" s="1" t="s">
        <v>38</v>
      </c>
      <c r="B15" s="1">
        <v>1.31615</v>
      </c>
      <c r="C15" s="1">
        <v>1.414295</v>
      </c>
    </row>
    <row r="16">
      <c r="A16" s="1" t="s">
        <v>39</v>
      </c>
      <c r="B16" s="1">
        <v>1.414553</v>
      </c>
      <c r="C16" s="1">
        <v>1.508184</v>
      </c>
    </row>
    <row r="17">
      <c r="A17" s="1" t="s">
        <v>40</v>
      </c>
      <c r="B17" s="1">
        <v>1.507382</v>
      </c>
      <c r="C17" s="1">
        <v>1.36198</v>
      </c>
    </row>
    <row r="18">
      <c r="A18" s="1" t="s">
        <v>41</v>
      </c>
      <c r="B18" s="1">
        <v>1.362627</v>
      </c>
      <c r="C18" s="1">
        <v>1.389942</v>
      </c>
    </row>
    <row r="19">
      <c r="A19" s="1" t="s">
        <v>42</v>
      </c>
      <c r="B19" s="1">
        <v>1.389919</v>
      </c>
      <c r="C19" s="1">
        <v>1.22743</v>
      </c>
    </row>
    <row r="20">
      <c r="A20" s="1" t="s">
        <v>43</v>
      </c>
      <c r="B20" s="1">
        <v>1.228163</v>
      </c>
      <c r="C20" s="1">
        <v>1.079669</v>
      </c>
    </row>
    <row r="21">
      <c r="A21" s="1" t="s">
        <v>44</v>
      </c>
      <c r="B21" s="1">
        <v>1.079349</v>
      </c>
      <c r="C21" s="1">
        <v>1.126592</v>
      </c>
    </row>
    <row r="22">
      <c r="A22" s="1" t="s">
        <v>45</v>
      </c>
      <c r="B22" s="1">
        <v>1.127977</v>
      </c>
      <c r="C22" s="1">
        <v>1.211837</v>
      </c>
    </row>
    <row r="23">
      <c r="A23" s="1" t="s">
        <v>46</v>
      </c>
      <c r="B23" s="1">
        <v>1.211265</v>
      </c>
      <c r="C23" s="1">
        <v>1.272691</v>
      </c>
    </row>
    <row r="24">
      <c r="A24" s="1" t="s">
        <v>47</v>
      </c>
      <c r="B24" s="1">
        <v>1.272592</v>
      </c>
      <c r="C24" s="1">
        <v>1.298365</v>
      </c>
    </row>
    <row r="25">
      <c r="A25" s="1" t="s">
        <v>48</v>
      </c>
      <c r="B25" s="1">
        <v>1.29893</v>
      </c>
      <c r="C25" s="1">
        <v>1.256281</v>
      </c>
    </row>
    <row r="26">
      <c r="A26" s="1" t="s">
        <v>49</v>
      </c>
      <c r="B26" s="1">
        <v>1.255562</v>
      </c>
      <c r="C26" s="1">
        <v>1.232823</v>
      </c>
    </row>
    <row r="27">
      <c r="A27" s="1" t="s">
        <v>50</v>
      </c>
      <c r="B27" s="1">
        <v>1.232968</v>
      </c>
      <c r="C27" s="1">
        <v>1.205758</v>
      </c>
    </row>
    <row r="28">
      <c r="A28" s="1" t="s">
        <v>51</v>
      </c>
      <c r="B28" s="1">
        <v>1.205091</v>
      </c>
      <c r="C28" s="1">
        <v>1.169901</v>
      </c>
    </row>
    <row r="29">
      <c r="A29" s="1" t="s">
        <v>52</v>
      </c>
      <c r="B29" s="1">
        <v>1.171713</v>
      </c>
      <c r="C29" s="1">
        <v>1.218817</v>
      </c>
    </row>
    <row r="30">
      <c r="A30" s="1" t="s">
        <v>53</v>
      </c>
      <c r="B30" s="1">
        <v>1.218375</v>
      </c>
      <c r="C30" s="1">
        <v>1.254226</v>
      </c>
    </row>
    <row r="31">
      <c r="A31" s="1" t="s">
        <v>54</v>
      </c>
      <c r="B31" s="1">
        <v>1.254631</v>
      </c>
      <c r="C31" s="1">
        <v>1.385279</v>
      </c>
    </row>
    <row r="32">
      <c r="A32" s="1" t="s">
        <v>55</v>
      </c>
      <c r="B32" s="1">
        <v>1.386603</v>
      </c>
      <c r="C32" s="1">
        <v>1.378759</v>
      </c>
    </row>
    <row r="33">
      <c r="A33" s="1" t="s">
        <v>56</v>
      </c>
      <c r="B33" s="1">
        <v>1.380196</v>
      </c>
      <c r="C33" s="1">
        <v>1.268302</v>
      </c>
    </row>
    <row r="34">
      <c r="A34" s="1" t="s">
        <v>57</v>
      </c>
      <c r="B34" s="1">
        <v>1.266987</v>
      </c>
      <c r="C34" s="1">
        <v>1.255363</v>
      </c>
    </row>
    <row r="35">
      <c r="A35" s="1" t="s">
        <v>58</v>
      </c>
      <c r="B35" s="1">
        <v>1.255532</v>
      </c>
      <c r="C35" s="1">
        <v>1.172456</v>
      </c>
    </row>
    <row r="36">
      <c r="A36" s="1" t="s">
        <v>59</v>
      </c>
      <c r="B36" s="1">
        <v>1.171612</v>
      </c>
      <c r="C36" s="1">
        <v>1.178478</v>
      </c>
    </row>
    <row r="37">
      <c r="A37" s="1" t="s">
        <v>60</v>
      </c>
      <c r="B37" s="1">
        <v>1.17858</v>
      </c>
      <c r="C37" s="1">
        <v>1.209454</v>
      </c>
    </row>
    <row r="38">
      <c r="A38" s="1" t="s">
        <v>61</v>
      </c>
      <c r="B38" s="1">
        <v>1.210666</v>
      </c>
      <c r="C38" s="1">
        <v>1.286282</v>
      </c>
    </row>
    <row r="39">
      <c r="A39" s="1" t="s">
        <v>62</v>
      </c>
      <c r="B39" s="1">
        <v>1.2859</v>
      </c>
      <c r="C39" s="1">
        <v>1.186904</v>
      </c>
    </row>
    <row r="40">
      <c r="A40" s="1" t="s">
        <v>63</v>
      </c>
      <c r="B40" s="1">
        <v>1.187618</v>
      </c>
      <c r="C40" s="1">
        <v>1.158702</v>
      </c>
    </row>
    <row r="41">
      <c r="A41" s="1" t="s">
        <v>64</v>
      </c>
      <c r="B41" s="1">
        <v>1.158723</v>
      </c>
      <c r="C41" s="1">
        <v>1.14843</v>
      </c>
    </row>
    <row r="42">
      <c r="A42" s="1" t="s">
        <v>65</v>
      </c>
      <c r="B42" s="1">
        <v>1.14643</v>
      </c>
      <c r="C42" s="1">
        <v>1.027108</v>
      </c>
    </row>
    <row r="43">
      <c r="A43" s="1" t="s">
        <v>66</v>
      </c>
      <c r="B43" s="1">
        <v>1.026847</v>
      </c>
      <c r="C43" s="1">
        <v>0.908621</v>
      </c>
    </row>
    <row r="44">
      <c r="A44" s="1" t="s">
        <v>67</v>
      </c>
      <c r="B44" s="1">
        <v>0.909303</v>
      </c>
      <c r="C44" s="1">
        <v>0.863272</v>
      </c>
    </row>
    <row r="45">
      <c r="A45" s="1" t="s">
        <v>68</v>
      </c>
      <c r="B45" s="1">
        <v>0.863761</v>
      </c>
      <c r="C45" s="1">
        <v>0.719106</v>
      </c>
    </row>
    <row r="46">
      <c r="A46" s="1" t="s">
        <v>69</v>
      </c>
      <c r="B46" s="1">
        <v>0.717807</v>
      </c>
      <c r="C46" s="1">
        <v>0.730359</v>
      </c>
    </row>
    <row r="47">
      <c r="A47" s="1" t="s">
        <v>70</v>
      </c>
      <c r="B47" s="1">
        <v>0.730452</v>
      </c>
      <c r="C47" s="1">
        <v>0.76673</v>
      </c>
    </row>
    <row r="48">
      <c r="A48" s="1" t="s">
        <v>71</v>
      </c>
      <c r="B48" s="1">
        <v>0.767285</v>
      </c>
      <c r="C48" s="1">
        <v>0.663795</v>
      </c>
    </row>
    <row r="49">
      <c r="A49" s="1" t="s">
        <v>72</v>
      </c>
      <c r="B49" s="1">
        <v>0.664641</v>
      </c>
      <c r="C49" s="1">
        <v>0.659445</v>
      </c>
    </row>
    <row r="50">
      <c r="A50" s="1" t="s">
        <v>73</v>
      </c>
      <c r="B50" s="1">
        <v>0.660001</v>
      </c>
      <c r="C50" s="1">
        <v>0.582626</v>
      </c>
    </row>
    <row r="51">
      <c r="A51" s="1" t="s">
        <v>74</v>
      </c>
      <c r="B51" s="1">
        <v>0.582753</v>
      </c>
      <c r="C51" s="1">
        <v>0.646023</v>
      </c>
    </row>
    <row r="52">
      <c r="A52" s="1" t="s">
        <v>75</v>
      </c>
      <c r="B52" s="1">
        <v>0.645372</v>
      </c>
      <c r="C52" s="1">
        <v>0.701323</v>
      </c>
    </row>
    <row r="53">
      <c r="A53" s="1" t="s">
        <v>76</v>
      </c>
      <c r="B53" s="1">
        <v>0.701057</v>
      </c>
      <c r="C53" s="1">
        <v>0.723528</v>
      </c>
    </row>
    <row r="54">
      <c r="A54" s="1" t="s">
        <v>77</v>
      </c>
      <c r="B54" s="1">
        <v>0.724939</v>
      </c>
      <c r="C54" s="1">
        <v>0.698203</v>
      </c>
    </row>
    <row r="55">
      <c r="A55" s="1" t="s">
        <v>78</v>
      </c>
      <c r="B55" s="1">
        <v>0.699038</v>
      </c>
      <c r="C55" s="1">
        <v>0.830024</v>
      </c>
    </row>
    <row r="56">
      <c r="A56" s="1" t="s">
        <v>79</v>
      </c>
      <c r="B56" s="1">
        <v>0.830443</v>
      </c>
      <c r="C56" s="1">
        <v>0.835806</v>
      </c>
    </row>
    <row r="57">
      <c r="A57" s="1" t="s">
        <v>80</v>
      </c>
      <c r="B57" s="1">
        <v>0.839173</v>
      </c>
      <c r="C57" s="1">
        <v>0.818633</v>
      </c>
    </row>
    <row r="58">
      <c r="A58" s="1" t="s">
        <v>81</v>
      </c>
      <c r="B58" s="1">
        <v>0.818784</v>
      </c>
      <c r="C58" s="1">
        <v>0.748598</v>
      </c>
    </row>
    <row r="59">
      <c r="A59" s="1" t="s">
        <v>82</v>
      </c>
      <c r="B59" s="1">
        <v>0.747895</v>
      </c>
      <c r="C59" s="1">
        <v>0.735521</v>
      </c>
    </row>
    <row r="60">
      <c r="A60" s="1" t="s">
        <v>83</v>
      </c>
      <c r="B60" s="1">
        <v>0.734849</v>
      </c>
      <c r="C60" s="1">
        <v>0.695591</v>
      </c>
    </row>
    <row r="61">
      <c r="A61" s="1" t="s">
        <v>84</v>
      </c>
      <c r="B61" s="1">
        <v>0.695389</v>
      </c>
      <c r="C61" s="1">
        <v>0.708626</v>
      </c>
    </row>
    <row r="62">
      <c r="A62" s="1" t="s">
        <v>85</v>
      </c>
      <c r="B62" s="1">
        <v>0.709674</v>
      </c>
      <c r="C62" s="1">
        <v>0.686109</v>
      </c>
    </row>
    <row r="63">
      <c r="A63" s="1" t="s">
        <v>86</v>
      </c>
      <c r="B63" s="1">
        <v>0.686009</v>
      </c>
      <c r="C63" s="1">
        <v>0.745248</v>
      </c>
    </row>
    <row r="64">
      <c r="A64" s="1" t="s">
        <v>87</v>
      </c>
      <c r="B64" s="1">
        <v>0.74583</v>
      </c>
      <c r="C64" s="1">
        <v>0.776148</v>
      </c>
    </row>
    <row r="65">
      <c r="A65" s="1" t="s">
        <v>88</v>
      </c>
      <c r="B65" s="1">
        <v>0.77792</v>
      </c>
      <c r="C65" s="1">
        <v>0.795303</v>
      </c>
    </row>
    <row r="66">
      <c r="A66" s="1" t="s">
        <v>89</v>
      </c>
      <c r="B66" s="1">
        <v>0.79559</v>
      </c>
      <c r="C66" s="1">
        <v>0.864432</v>
      </c>
    </row>
    <row r="67">
      <c r="A67" s="1" t="s">
        <v>90</v>
      </c>
      <c r="B67" s="1">
        <v>0.864754</v>
      </c>
      <c r="C67" s="1">
        <v>0.955037</v>
      </c>
    </row>
    <row r="68">
      <c r="A68" s="1" t="s">
        <v>91</v>
      </c>
      <c r="B68" s="1">
        <v>0.954846</v>
      </c>
      <c r="C68" s="1">
        <v>0.959868</v>
      </c>
    </row>
    <row r="69">
      <c r="A69" s="1" t="s">
        <v>92</v>
      </c>
      <c r="B69" s="1">
        <v>0.960853</v>
      </c>
      <c r="C69" s="1">
        <v>1.049352</v>
      </c>
    </row>
    <row r="70">
      <c r="A70" s="1" t="s">
        <v>93</v>
      </c>
      <c r="B70" s="1">
        <v>1.050134</v>
      </c>
      <c r="C70" s="1">
        <v>1.008664</v>
      </c>
    </row>
    <row r="71">
      <c r="A71" s="1" t="s">
        <v>94</v>
      </c>
      <c r="B71" s="1">
        <v>1.007646</v>
      </c>
      <c r="C71" s="1">
        <v>1.014106</v>
      </c>
    </row>
    <row r="72">
      <c r="A72" s="1" t="s">
        <v>95</v>
      </c>
      <c r="B72" s="1">
        <v>1.014689</v>
      </c>
      <c r="C72" s="1">
        <v>0.953363</v>
      </c>
    </row>
    <row r="73">
      <c r="A73" s="1" t="s">
        <v>96</v>
      </c>
      <c r="B73" s="1">
        <v>0.954082</v>
      </c>
      <c r="C73" s="1">
        <v>0.887351</v>
      </c>
    </row>
    <row r="74">
      <c r="A74" s="1" t="s">
        <v>97</v>
      </c>
      <c r="B74" s="1">
        <v>0.887373</v>
      </c>
      <c r="C74" s="1">
        <v>0.875928</v>
      </c>
    </row>
    <row r="75">
      <c r="A75" s="1" t="s">
        <v>98</v>
      </c>
      <c r="B75" s="1">
        <v>0.875817</v>
      </c>
      <c r="C75" s="1">
        <v>1.048402</v>
      </c>
    </row>
    <row r="76">
      <c r="A76" s="1" t="s">
        <v>99</v>
      </c>
      <c r="B76" s="1">
        <v>1.048413</v>
      </c>
      <c r="C76" s="1">
        <v>1.167387</v>
      </c>
    </row>
    <row r="77">
      <c r="A77" s="1" t="s">
        <v>100</v>
      </c>
      <c r="B77" s="1">
        <v>1.166991</v>
      </c>
      <c r="C77" s="1">
        <v>1.100367</v>
      </c>
    </row>
    <row r="78">
      <c r="A78" s="1" t="s">
        <v>101</v>
      </c>
      <c r="B78" s="1">
        <v>1.107834</v>
      </c>
      <c r="C78" s="1">
        <v>1.174257</v>
      </c>
    </row>
    <row r="79">
      <c r="A79" s="1" t="s">
        <v>102</v>
      </c>
      <c r="B79" s="1">
        <v>1.173112</v>
      </c>
      <c r="C79" s="1">
        <v>1.078439</v>
      </c>
    </row>
    <row r="80">
      <c r="A80" s="1" t="s">
        <v>103</v>
      </c>
      <c r="B80" s="1">
        <v>1.078301</v>
      </c>
      <c r="C80" s="1">
        <v>1.340918</v>
      </c>
    </row>
    <row r="81">
      <c r="A81" s="1" t="s">
        <v>104</v>
      </c>
      <c r="B81" s="1">
        <v>1.341656</v>
      </c>
      <c r="C81" s="1">
        <v>1.247865</v>
      </c>
    </row>
    <row r="82">
      <c r="A82" s="1" t="s">
        <v>105</v>
      </c>
      <c r="B82" s="1">
        <v>1.24993</v>
      </c>
      <c r="C82" s="1">
        <v>1.15804</v>
      </c>
    </row>
    <row r="83">
      <c r="A83" s="1" t="s">
        <v>106</v>
      </c>
      <c r="B83" s="1">
        <v>1.158184</v>
      </c>
      <c r="C83" s="1">
        <v>1.403923</v>
      </c>
    </row>
    <row r="84">
      <c r="A84" s="1" t="s">
        <v>107</v>
      </c>
      <c r="B84" s="1">
        <v>1.404088</v>
      </c>
      <c r="C84" s="1">
        <v>1.433666</v>
      </c>
    </row>
    <row r="85">
      <c r="A85" s="1" t="s">
        <v>108</v>
      </c>
      <c r="B85" s="1">
        <v>1.433418</v>
      </c>
      <c r="C85" s="1">
        <v>1.396818</v>
      </c>
    </row>
    <row r="86">
      <c r="A86" s="1" t="s">
        <v>109</v>
      </c>
      <c r="B86" s="1">
        <v>1.394773</v>
      </c>
      <c r="C86" s="1">
        <v>1.376026</v>
      </c>
    </row>
    <row r="87">
      <c r="A87" s="1" t="s">
        <v>110</v>
      </c>
      <c r="B87" s="1">
        <v>1.375335</v>
      </c>
      <c r="C87" s="1">
        <v>1.176714</v>
      </c>
    </row>
    <row r="88">
      <c r="A88" s="1" t="s">
        <v>111</v>
      </c>
      <c r="B88" s="1">
        <v>1.177037</v>
      </c>
      <c r="C88" s="1">
        <v>1.168961</v>
      </c>
    </row>
    <row r="89">
      <c r="A89" s="1" t="s">
        <v>112</v>
      </c>
      <c r="B89" s="1">
        <v>1.167799</v>
      </c>
      <c r="C89" s="1">
        <v>1.329174</v>
      </c>
    </row>
    <row r="90">
      <c r="A90" s="1" t="s">
        <v>113</v>
      </c>
      <c r="B90" s="1">
        <v>1.328814</v>
      </c>
      <c r="C90" s="1">
        <v>1.543516</v>
      </c>
    </row>
    <row r="91">
      <c r="A91" s="1" t="s">
        <v>114</v>
      </c>
      <c r="B91" s="1">
        <v>1.548049</v>
      </c>
      <c r="C91" s="1">
        <v>1.424181</v>
      </c>
    </row>
    <row r="92">
      <c r="A92" s="1" t="s">
        <v>115</v>
      </c>
      <c r="B92" s="1">
        <v>1.426349</v>
      </c>
      <c r="C92" s="1">
        <v>1.358229</v>
      </c>
    </row>
    <row r="93">
      <c r="A93" s="1" t="s">
        <v>116</v>
      </c>
      <c r="B93" s="1">
        <v>1.359135</v>
      </c>
      <c r="C93" s="1">
        <v>1.319384</v>
      </c>
    </row>
    <row r="94">
      <c r="A94" s="1" t="s">
        <v>117</v>
      </c>
      <c r="B94" s="1">
        <v>1.318436</v>
      </c>
      <c r="C94" s="1">
        <v>1.304187</v>
      </c>
    </row>
    <row r="95">
      <c r="A95" s="1" t="s">
        <v>118</v>
      </c>
      <c r="B95" s="1">
        <v>1.305211</v>
      </c>
      <c r="C95" s="1">
        <v>1.334695</v>
      </c>
    </row>
    <row r="96">
      <c r="A96" s="1" t="s">
        <v>119</v>
      </c>
      <c r="B96" s="1">
        <v>1.336127</v>
      </c>
      <c r="C96" s="1">
        <v>1.334314</v>
      </c>
    </row>
    <row r="97">
      <c r="A97" s="1" t="s">
        <v>120</v>
      </c>
      <c r="B97" s="1">
        <v>1.333735</v>
      </c>
      <c r="C97" s="1">
        <v>1.329601</v>
      </c>
    </row>
    <row r="98">
      <c r="A98" s="1" t="s">
        <v>121</v>
      </c>
      <c r="B98" s="1">
        <v>1.330201</v>
      </c>
      <c r="C98" s="1">
        <v>1.442233</v>
      </c>
    </row>
    <row r="99">
      <c r="A99" s="1" t="s">
        <v>122</v>
      </c>
      <c r="B99" s="1">
        <v>1.445096</v>
      </c>
      <c r="C99" s="1">
        <v>1.375229</v>
      </c>
    </row>
    <row r="100">
      <c r="A100" s="1" t="s">
        <v>123</v>
      </c>
      <c r="B100" s="1">
        <v>1.373439</v>
      </c>
      <c r="C100" s="1">
        <v>1.402149</v>
      </c>
    </row>
    <row r="101">
      <c r="A101" s="1" t="s">
        <v>124</v>
      </c>
      <c r="B101" s="1">
        <v>1.404065</v>
      </c>
      <c r="C101" s="1">
        <v>1.429724</v>
      </c>
    </row>
    <row r="102">
      <c r="A102" s="1" t="s">
        <v>125</v>
      </c>
      <c r="B102" s="1">
        <v>1.428007</v>
      </c>
      <c r="C102" s="1">
        <v>1.292763</v>
      </c>
    </row>
    <row r="103">
      <c r="A103" s="1" t="s">
        <v>126</v>
      </c>
      <c r="B103" s="1">
        <v>1.292069</v>
      </c>
      <c r="C103" s="1">
        <v>1.386879</v>
      </c>
    </row>
    <row r="104">
      <c r="A104" s="1" t="s">
        <v>127</v>
      </c>
      <c r="B104" s="1">
        <v>1.389866</v>
      </c>
      <c r="C104" s="1">
        <v>1.36079</v>
      </c>
    </row>
    <row r="105">
      <c r="A105" s="1" t="s">
        <v>128</v>
      </c>
      <c r="B105" s="1">
        <v>1.360575</v>
      </c>
      <c r="C105" s="1">
        <v>1.420781</v>
      </c>
    </row>
    <row r="106">
      <c r="A106" s="1" t="s">
        <v>129</v>
      </c>
      <c r="B106" s="1">
        <v>1.42097</v>
      </c>
      <c r="C106" s="1">
        <v>1.434424</v>
      </c>
    </row>
    <row r="107">
      <c r="A107" s="1" t="s">
        <v>130</v>
      </c>
      <c r="B107" s="1">
        <v>1.434211</v>
      </c>
      <c r="C107" s="1">
        <v>1.388729</v>
      </c>
    </row>
    <row r="108">
      <c r="A108" s="1" t="s">
        <v>131</v>
      </c>
      <c r="B108" s="1">
        <v>1.388947</v>
      </c>
      <c r="C108" s="1">
        <v>1.333865</v>
      </c>
    </row>
    <row r="109">
      <c r="A109" s="1" t="s">
        <v>132</v>
      </c>
      <c r="B109" s="1">
        <v>1.333871</v>
      </c>
      <c r="C109" s="1">
        <v>1.28355</v>
      </c>
    </row>
    <row r="110">
      <c r="A110" s="1" t="s">
        <v>133</v>
      </c>
      <c r="B110" s="1">
        <v>1.28584</v>
      </c>
      <c r="C110" s="1">
        <v>1.18234</v>
      </c>
    </row>
    <row r="111">
      <c r="A111" s="1" t="s">
        <v>134</v>
      </c>
      <c r="B111" s="1">
        <v>1.182571</v>
      </c>
      <c r="C111" s="1">
        <v>1.114644</v>
      </c>
    </row>
    <row r="112">
      <c r="A112" s="1" t="s">
        <v>135</v>
      </c>
      <c r="B112" s="1">
        <v>1.113743</v>
      </c>
      <c r="C112" s="1">
        <v>1.051145</v>
      </c>
    </row>
    <row r="113">
      <c r="A113" s="1" t="s">
        <v>136</v>
      </c>
      <c r="B113" s="1">
        <v>1.051074</v>
      </c>
      <c r="C113" s="1">
        <v>0.999054</v>
      </c>
    </row>
    <row r="114">
      <c r="A114" s="1" t="s">
        <v>137</v>
      </c>
      <c r="B114" s="1">
        <v>1.000278</v>
      </c>
      <c r="C114" s="1">
        <v>1.025002</v>
      </c>
    </row>
    <row r="115">
      <c r="A115" s="1" t="s">
        <v>138</v>
      </c>
      <c r="B115" s="1">
        <v>1.025868</v>
      </c>
      <c r="C115" s="1">
        <v>1.099801</v>
      </c>
    </row>
    <row r="116">
      <c r="A116" s="1" t="s">
        <v>139</v>
      </c>
      <c r="B116" s="1">
        <v>1.100016</v>
      </c>
      <c r="C116" s="1">
        <v>1.183224</v>
      </c>
    </row>
    <row r="117">
      <c r="A117" s="1" t="s">
        <v>140</v>
      </c>
      <c r="B117" s="1">
        <v>1.184126</v>
      </c>
      <c r="C117" s="1">
        <v>1.177555</v>
      </c>
    </row>
    <row r="118">
      <c r="A118" s="1" t="s">
        <v>141</v>
      </c>
      <c r="B118" s="1">
        <v>1.17799</v>
      </c>
      <c r="C118" s="1">
        <v>1.180072</v>
      </c>
    </row>
    <row r="119">
      <c r="A119" s="1" t="s">
        <v>142</v>
      </c>
      <c r="B119" s="1">
        <v>1.178195</v>
      </c>
      <c r="C119" s="1">
        <v>1.053599</v>
      </c>
    </row>
    <row r="120">
      <c r="A120" s="1" t="s">
        <v>143</v>
      </c>
      <c r="B120" s="1">
        <v>1.052734</v>
      </c>
      <c r="C120" s="1">
        <v>1.047856</v>
      </c>
    </row>
    <row r="121">
      <c r="A121" s="1" t="s">
        <v>144</v>
      </c>
      <c r="B121" s="1">
        <v>1.04944</v>
      </c>
      <c r="C121" s="1">
        <v>0.993582</v>
      </c>
    </row>
    <row r="122">
      <c r="A122" s="1" t="s">
        <v>145</v>
      </c>
      <c r="B122" s="1">
        <v>0.993683</v>
      </c>
      <c r="C122" s="1">
        <v>1.079875</v>
      </c>
    </row>
    <row r="123">
      <c r="A123" s="1" t="s">
        <v>146</v>
      </c>
      <c r="B123" s="1">
        <v>1.079997</v>
      </c>
      <c r="C123" s="1">
        <v>1.063342</v>
      </c>
    </row>
    <row r="124">
      <c r="A124" s="1" t="s">
        <v>147</v>
      </c>
      <c r="B124" s="1">
        <v>1.064846</v>
      </c>
      <c r="C124" s="1">
        <v>1.146673</v>
      </c>
    </row>
    <row r="125">
      <c r="A125" s="1" t="s">
        <v>148</v>
      </c>
      <c r="B125" s="1">
        <v>1.146605</v>
      </c>
      <c r="C125" s="1">
        <v>1.153997</v>
      </c>
    </row>
    <row r="126">
      <c r="A126" s="1" t="s">
        <v>149</v>
      </c>
      <c r="B126" s="1">
        <v>1.15513</v>
      </c>
      <c r="C126" s="1">
        <v>1.094631</v>
      </c>
    </row>
    <row r="127">
      <c r="A127" s="1" t="s">
        <v>150</v>
      </c>
      <c r="B127" s="1">
        <v>1.093675</v>
      </c>
      <c r="C127" s="1">
        <v>1.07311</v>
      </c>
    </row>
    <row r="128">
      <c r="A128" s="1" t="s">
        <v>151</v>
      </c>
      <c r="B128" s="1">
        <v>1.073543</v>
      </c>
      <c r="C128" s="1">
        <v>1.092116</v>
      </c>
    </row>
    <row r="129">
      <c r="A129" s="1" t="s">
        <v>152</v>
      </c>
      <c r="B129" s="1">
        <v>1.092373</v>
      </c>
      <c r="C129" s="1">
        <v>1.152607</v>
      </c>
    </row>
    <row r="130">
      <c r="A130" s="1" t="s">
        <v>153</v>
      </c>
      <c r="B130" s="1">
        <v>1.152302</v>
      </c>
      <c r="C130" s="1">
        <v>1.036122</v>
      </c>
    </row>
    <row r="131">
      <c r="A131" s="1" t="s">
        <v>154</v>
      </c>
      <c r="B131" s="1">
        <v>1.036886</v>
      </c>
      <c r="C131" s="1">
        <v>1.167187</v>
      </c>
    </row>
    <row r="132">
      <c r="A132" s="1" t="s">
        <v>155</v>
      </c>
      <c r="B132" s="1">
        <v>1.167068</v>
      </c>
      <c r="C132" s="1">
        <v>1.128485</v>
      </c>
    </row>
    <row r="133">
      <c r="A133" s="1" t="s">
        <v>156</v>
      </c>
      <c r="B133" s="1">
        <v>1.128826</v>
      </c>
      <c r="C133" s="1">
        <v>1.204295</v>
      </c>
    </row>
    <row r="134">
      <c r="A134" s="1" t="s">
        <v>157</v>
      </c>
      <c r="B134" s="1">
        <v>1.20462</v>
      </c>
      <c r="C134" s="1">
        <v>1.243725</v>
      </c>
    </row>
    <row r="135">
      <c r="A135" s="1" t="s">
        <v>158</v>
      </c>
      <c r="B135" s="1">
        <v>1.244362</v>
      </c>
      <c r="C135" s="1">
        <v>1.181771</v>
      </c>
    </row>
    <row r="136">
      <c r="A136" s="1" t="s">
        <v>159</v>
      </c>
      <c r="B136" s="1">
        <v>1.182846</v>
      </c>
      <c r="C136" s="1">
        <v>1.143701</v>
      </c>
    </row>
    <row r="137">
      <c r="A137" s="1" t="s">
        <v>160</v>
      </c>
      <c r="B137" s="1">
        <v>1.143112</v>
      </c>
      <c r="C137" s="1">
        <v>1.052905</v>
      </c>
    </row>
    <row r="138">
      <c r="A138" s="1" t="s">
        <v>161</v>
      </c>
      <c r="B138" s="1">
        <v>1.052023</v>
      </c>
      <c r="C138" s="1">
        <v>1.071035</v>
      </c>
    </row>
    <row r="139">
      <c r="A139" s="1" t="s">
        <v>162</v>
      </c>
      <c r="B139" s="1">
        <v>1.070252</v>
      </c>
      <c r="C139" s="1">
        <v>1.053055</v>
      </c>
    </row>
    <row r="140">
      <c r="A140" s="1" t="s">
        <v>163</v>
      </c>
      <c r="B140" s="1">
        <v>1.053306</v>
      </c>
      <c r="C140" s="1">
        <v>1.059525</v>
      </c>
    </row>
    <row r="141">
      <c r="A141" s="1" t="s">
        <v>164</v>
      </c>
      <c r="B141" s="1">
        <v>1.058759</v>
      </c>
      <c r="C141" s="1">
        <v>1.080038</v>
      </c>
    </row>
    <row r="142">
      <c r="A142" s="1" t="s">
        <v>165</v>
      </c>
      <c r="B142" s="1">
        <v>1.083228</v>
      </c>
      <c r="C142" s="1">
        <v>0.934997</v>
      </c>
    </row>
    <row r="143">
      <c r="A143" s="1" t="s">
        <v>166</v>
      </c>
      <c r="B143" s="1">
        <v>0.934896</v>
      </c>
      <c r="C143" s="1">
        <v>0.983157</v>
      </c>
    </row>
    <row r="144">
      <c r="A144" s="1" t="s">
        <v>167</v>
      </c>
      <c r="B144" s="1">
        <v>0.982449</v>
      </c>
      <c r="C144" s="1">
        <v>0.944198</v>
      </c>
    </row>
    <row r="145">
      <c r="A145" s="1" t="s">
        <v>168</v>
      </c>
      <c r="B145" s="1">
        <v>0.944435</v>
      </c>
      <c r="C145" s="1">
        <v>0.862367</v>
      </c>
    </row>
    <row r="146">
      <c r="A146" s="1" t="s">
        <v>169</v>
      </c>
      <c r="B146" s="1">
        <v>0.862011</v>
      </c>
      <c r="C146" s="1">
        <v>0.915711</v>
      </c>
    </row>
    <row r="147">
      <c r="A147" s="1" t="s">
        <v>170</v>
      </c>
      <c r="B147" s="1">
        <v>0.916354</v>
      </c>
      <c r="C147" s="1">
        <v>0.942478</v>
      </c>
    </row>
    <row r="148">
      <c r="A148" s="1" t="s">
        <v>171</v>
      </c>
      <c r="B148" s="1">
        <v>0.943261</v>
      </c>
      <c r="C148" s="1">
        <v>0.920893</v>
      </c>
    </row>
    <row r="149">
      <c r="A149" s="1" t="s">
        <v>172</v>
      </c>
      <c r="B149" s="1">
        <v>0.92001</v>
      </c>
      <c r="C149" s="1">
        <v>0.888136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3.91958099393145E8</v>
      </c>
    </row>
    <row r="3">
      <c r="A3" s="1" t="s">
        <v>26</v>
      </c>
      <c r="B3" s="1">
        <v>3.91958099393145E8</v>
      </c>
    </row>
    <row r="4">
      <c r="A4" s="1" t="s">
        <v>27</v>
      </c>
      <c r="B4" s="1">
        <v>3.91958099393145E8</v>
      </c>
    </row>
    <row r="5">
      <c r="A5" s="1" t="s">
        <v>28</v>
      </c>
      <c r="B5" s="1">
        <v>3.91958099393145E8</v>
      </c>
    </row>
    <row r="6">
      <c r="A6" s="1" t="s">
        <v>29</v>
      </c>
      <c r="B6" s="1">
        <v>3.91958099393145E8</v>
      </c>
    </row>
    <row r="7">
      <c r="A7" s="1" t="s">
        <v>30</v>
      </c>
      <c r="B7" s="1">
        <v>3.91958099393145E8</v>
      </c>
    </row>
    <row r="8">
      <c r="A8" s="1" t="s">
        <v>31</v>
      </c>
      <c r="B8" s="1">
        <v>3.91958099393145E8</v>
      </c>
    </row>
    <row r="9">
      <c r="A9" s="1" t="s">
        <v>32</v>
      </c>
      <c r="B9" s="1">
        <v>3.91958099393145E8</v>
      </c>
    </row>
    <row r="10">
      <c r="A10" s="1" t="s">
        <v>33</v>
      </c>
      <c r="B10" s="1">
        <v>3.91958099393145E8</v>
      </c>
    </row>
    <row r="11">
      <c r="A11" s="1" t="s">
        <v>34</v>
      </c>
      <c r="B11" s="1">
        <v>3.91958099393145E8</v>
      </c>
    </row>
    <row r="12">
      <c r="A12" s="1" t="s">
        <v>35</v>
      </c>
      <c r="B12" s="1">
        <v>3.91958099393145E8</v>
      </c>
    </row>
    <row r="13">
      <c r="A13" s="1" t="s">
        <v>36</v>
      </c>
      <c r="B13" s="1">
        <v>3.91958099393145E8</v>
      </c>
    </row>
    <row r="14">
      <c r="A14" s="1" t="s">
        <v>37</v>
      </c>
      <c r="B14" s="1">
        <v>3.91958099393145E8</v>
      </c>
    </row>
    <row r="15">
      <c r="A15" s="1" t="s">
        <v>38</v>
      </c>
      <c r="B15" s="1">
        <v>3.91958099393145E8</v>
      </c>
    </row>
    <row r="16">
      <c r="A16" s="1" t="s">
        <v>39</v>
      </c>
      <c r="B16" s="1">
        <v>3.91958099393145E8</v>
      </c>
    </row>
    <row r="17">
      <c r="A17" s="1" t="s">
        <v>40</v>
      </c>
      <c r="B17" s="1">
        <v>3.91958099393145E8</v>
      </c>
    </row>
    <row r="18">
      <c r="A18" s="1" t="s">
        <v>41</v>
      </c>
      <c r="B18" s="1">
        <v>3.91958099393145E8</v>
      </c>
    </row>
    <row r="19">
      <c r="A19" s="1" t="s">
        <v>42</v>
      </c>
      <c r="B19" s="1">
        <v>3.91958099393145E8</v>
      </c>
    </row>
    <row r="20">
      <c r="A20" s="1" t="s">
        <v>43</v>
      </c>
      <c r="B20" s="1">
        <v>3.91958099393145E8</v>
      </c>
    </row>
    <row r="21">
      <c r="A21" s="1" t="s">
        <v>44</v>
      </c>
      <c r="B21" s="1">
        <v>3.91958099393145E8</v>
      </c>
    </row>
    <row r="22">
      <c r="A22" s="1" t="s">
        <v>45</v>
      </c>
      <c r="B22" s="1">
        <v>3.91958099393145E8</v>
      </c>
    </row>
    <row r="23">
      <c r="A23" s="1" t="s">
        <v>46</v>
      </c>
      <c r="B23" s="1">
        <v>3.91958099393145E8</v>
      </c>
    </row>
    <row r="24">
      <c r="A24" s="1" t="s">
        <v>47</v>
      </c>
      <c r="B24" s="1">
        <v>3.91958099393145E8</v>
      </c>
    </row>
    <row r="25">
      <c r="A25" s="1" t="s">
        <v>48</v>
      </c>
      <c r="B25" s="1">
        <v>3.91958099393145E8</v>
      </c>
    </row>
    <row r="26">
      <c r="A26" s="1" t="s">
        <v>49</v>
      </c>
      <c r="B26" s="1">
        <v>3.91958099393145E8</v>
      </c>
    </row>
    <row r="27">
      <c r="A27" s="1" t="s">
        <v>50</v>
      </c>
      <c r="B27" s="1">
        <v>3.91958099393145E8</v>
      </c>
    </row>
    <row r="28">
      <c r="A28" s="1" t="s">
        <v>51</v>
      </c>
      <c r="B28" s="1">
        <v>3.91958099393145E8</v>
      </c>
    </row>
    <row r="29">
      <c r="A29" s="1" t="s">
        <v>52</v>
      </c>
      <c r="B29" s="1">
        <v>3.91958099393145E8</v>
      </c>
    </row>
    <row r="30">
      <c r="A30" s="1" t="s">
        <v>53</v>
      </c>
      <c r="B30" s="1">
        <v>3.91958099393145E8</v>
      </c>
    </row>
    <row r="31">
      <c r="A31" s="1" t="s">
        <v>54</v>
      </c>
      <c r="B31" s="1">
        <v>3.91958099393145E8</v>
      </c>
    </row>
    <row r="32">
      <c r="A32" s="1" t="s">
        <v>55</v>
      </c>
      <c r="B32" s="1">
        <v>3.91958099393145E8</v>
      </c>
    </row>
    <row r="33">
      <c r="A33" s="1" t="s">
        <v>56</v>
      </c>
      <c r="B33" s="1">
        <v>3.91958099393145E8</v>
      </c>
    </row>
    <row r="34">
      <c r="A34" s="1" t="s">
        <v>57</v>
      </c>
      <c r="B34" s="1">
        <v>3.91958099393145E8</v>
      </c>
    </row>
    <row r="35">
      <c r="A35" s="1" t="s">
        <v>58</v>
      </c>
      <c r="B35" s="1">
        <v>3.91958099393145E8</v>
      </c>
    </row>
    <row r="36">
      <c r="A36" s="1" t="s">
        <v>59</v>
      </c>
      <c r="B36" s="1">
        <v>3.91958099393145E8</v>
      </c>
    </row>
    <row r="37">
      <c r="A37" s="1" t="s">
        <v>60</v>
      </c>
      <c r="B37" s="1">
        <v>3.91958099393145E8</v>
      </c>
    </row>
    <row r="38">
      <c r="A38" s="1" t="s">
        <v>61</v>
      </c>
      <c r="B38" s="1">
        <v>3.91958099393145E8</v>
      </c>
    </row>
    <row r="39">
      <c r="A39" s="1" t="s">
        <v>62</v>
      </c>
      <c r="B39" s="1">
        <v>3.91958099393145E8</v>
      </c>
    </row>
    <row r="40">
      <c r="A40" s="1" t="s">
        <v>63</v>
      </c>
      <c r="B40" s="1">
        <v>3.91958099393145E8</v>
      </c>
    </row>
    <row r="41">
      <c r="A41" s="1" t="s">
        <v>64</v>
      </c>
      <c r="B41" s="1">
        <v>3.91958099393145E8</v>
      </c>
    </row>
    <row r="42">
      <c r="A42" s="1" t="s">
        <v>65</v>
      </c>
      <c r="B42" s="1">
        <v>3.91958099393145E8</v>
      </c>
    </row>
    <row r="43">
      <c r="A43" s="1" t="s">
        <v>66</v>
      </c>
      <c r="B43" s="1">
        <v>3.91958099393145E8</v>
      </c>
    </row>
    <row r="44">
      <c r="A44" s="1" t="s">
        <v>67</v>
      </c>
      <c r="B44" s="1">
        <v>3.91958099393145E8</v>
      </c>
    </row>
    <row r="45">
      <c r="A45" s="1" t="s">
        <v>68</v>
      </c>
      <c r="B45" s="1">
        <v>3.91958099393145E8</v>
      </c>
    </row>
    <row r="46">
      <c r="A46" s="1" t="s">
        <v>69</v>
      </c>
      <c r="B46" s="1">
        <v>3.91958099393145E8</v>
      </c>
    </row>
    <row r="47">
      <c r="A47" s="1" t="s">
        <v>70</v>
      </c>
      <c r="B47" s="1">
        <v>3.91958099393145E8</v>
      </c>
    </row>
    <row r="48">
      <c r="A48" s="1" t="s">
        <v>71</v>
      </c>
      <c r="B48" s="1">
        <v>3.91958099393145E8</v>
      </c>
    </row>
    <row r="49">
      <c r="A49" s="1" t="s">
        <v>72</v>
      </c>
      <c r="B49" s="1">
        <v>3.91958099393145E8</v>
      </c>
    </row>
    <row r="50">
      <c r="A50" s="1" t="s">
        <v>73</v>
      </c>
      <c r="B50" s="1">
        <v>3.91958099393145E8</v>
      </c>
    </row>
    <row r="51">
      <c r="A51" s="1" t="s">
        <v>74</v>
      </c>
      <c r="B51" s="1">
        <v>3.91958099393145E8</v>
      </c>
    </row>
    <row r="52">
      <c r="A52" s="1" t="s">
        <v>75</v>
      </c>
      <c r="B52" s="1">
        <v>3.91958099393145E8</v>
      </c>
    </row>
    <row r="53">
      <c r="A53" s="1" t="s">
        <v>76</v>
      </c>
      <c r="B53" s="1">
        <v>3.91958099393145E8</v>
      </c>
    </row>
    <row r="54">
      <c r="A54" s="1" t="s">
        <v>77</v>
      </c>
      <c r="B54" s="1">
        <v>3.91958099393145E8</v>
      </c>
    </row>
    <row r="55">
      <c r="A55" s="1" t="s">
        <v>78</v>
      </c>
      <c r="B55" s="1">
        <v>3.91958099393145E8</v>
      </c>
    </row>
    <row r="56">
      <c r="A56" s="1" t="s">
        <v>79</v>
      </c>
      <c r="B56" s="1">
        <v>3.91958099393145E8</v>
      </c>
    </row>
    <row r="57">
      <c r="A57" s="1" t="s">
        <v>80</v>
      </c>
      <c r="B57" s="1">
        <v>3.91958099393145E8</v>
      </c>
    </row>
    <row r="58">
      <c r="A58" s="1" t="s">
        <v>81</v>
      </c>
      <c r="B58" s="1">
        <v>3.91958099393145E8</v>
      </c>
    </row>
    <row r="59">
      <c r="A59" s="1" t="s">
        <v>82</v>
      </c>
      <c r="B59" s="1">
        <v>3.91958099393145E8</v>
      </c>
    </row>
    <row r="60">
      <c r="A60" s="1" t="s">
        <v>83</v>
      </c>
      <c r="B60" s="1">
        <v>3.91958099393145E8</v>
      </c>
    </row>
    <row r="61">
      <c r="A61" s="1" t="s">
        <v>84</v>
      </c>
      <c r="B61" s="1">
        <v>3.91958099393145E8</v>
      </c>
    </row>
    <row r="62">
      <c r="A62" s="1" t="s">
        <v>85</v>
      </c>
      <c r="B62" s="1">
        <v>3.91958099393145E8</v>
      </c>
    </row>
    <row r="63">
      <c r="A63" s="1" t="s">
        <v>86</v>
      </c>
      <c r="B63" s="1">
        <v>3.91958099393145E8</v>
      </c>
    </row>
    <row r="64">
      <c r="A64" s="1" t="s">
        <v>87</v>
      </c>
      <c r="B64" s="1">
        <v>3.91958099393145E8</v>
      </c>
    </row>
    <row r="65">
      <c r="A65" s="1" t="s">
        <v>88</v>
      </c>
      <c r="B65" s="1">
        <v>3.91958099393145E8</v>
      </c>
    </row>
    <row r="66">
      <c r="A66" s="1" t="s">
        <v>89</v>
      </c>
      <c r="B66" s="1">
        <v>3.91958099393145E8</v>
      </c>
    </row>
    <row r="67">
      <c r="A67" s="1" t="s">
        <v>90</v>
      </c>
      <c r="B67" s="1">
        <v>3.91958099393145E8</v>
      </c>
    </row>
    <row r="68">
      <c r="A68" s="1" t="s">
        <v>91</v>
      </c>
      <c r="B68" s="1">
        <v>3.91958099393145E8</v>
      </c>
    </row>
    <row r="69">
      <c r="A69" s="1" t="s">
        <v>92</v>
      </c>
      <c r="B69" s="1">
        <v>3.91958099393145E8</v>
      </c>
    </row>
    <row r="70">
      <c r="A70" s="1" t="s">
        <v>93</v>
      </c>
      <c r="B70" s="1">
        <v>3.91958099393145E8</v>
      </c>
    </row>
    <row r="71">
      <c r="A71" s="1" t="s">
        <v>94</v>
      </c>
      <c r="B71" s="1">
        <v>3.91958099393145E8</v>
      </c>
    </row>
    <row r="72">
      <c r="A72" s="1" t="s">
        <v>95</v>
      </c>
      <c r="B72" s="1">
        <v>3.91958099393145E8</v>
      </c>
    </row>
    <row r="73">
      <c r="A73" s="1" t="s">
        <v>96</v>
      </c>
      <c r="B73" s="1">
        <v>3.91958099393145E8</v>
      </c>
    </row>
    <row r="74">
      <c r="A74" s="1" t="s">
        <v>97</v>
      </c>
      <c r="B74" s="1">
        <v>3.91958099393145E8</v>
      </c>
    </row>
    <row r="75">
      <c r="A75" s="1" t="s">
        <v>98</v>
      </c>
      <c r="B75" s="1">
        <v>3.91958099393145E8</v>
      </c>
    </row>
    <row r="76">
      <c r="A76" s="1" t="s">
        <v>99</v>
      </c>
      <c r="B76" s="1">
        <v>3.91958099393145E8</v>
      </c>
    </row>
    <row r="77">
      <c r="A77" s="1" t="s">
        <v>100</v>
      </c>
      <c r="B77" s="1">
        <v>3.91958099393145E8</v>
      </c>
    </row>
    <row r="78">
      <c r="A78" s="1" t="s">
        <v>101</v>
      </c>
      <c r="B78" s="1">
        <v>3.91958099393145E8</v>
      </c>
    </row>
    <row r="79">
      <c r="A79" s="1" t="s">
        <v>102</v>
      </c>
      <c r="B79" s="1">
        <v>3.91958099393145E8</v>
      </c>
    </row>
    <row r="80">
      <c r="A80" s="1" t="s">
        <v>103</v>
      </c>
      <c r="B80" s="1">
        <v>3.91958099393145E8</v>
      </c>
    </row>
    <row r="81">
      <c r="A81" s="1" t="s">
        <v>104</v>
      </c>
      <c r="B81" s="1">
        <v>3.91958099393145E8</v>
      </c>
    </row>
    <row r="82">
      <c r="A82" s="1" t="s">
        <v>105</v>
      </c>
      <c r="B82" s="1">
        <v>3.91958099393145E8</v>
      </c>
    </row>
    <row r="83">
      <c r="A83" s="1" t="s">
        <v>106</v>
      </c>
      <c r="B83" s="1">
        <v>3.91958099393145E8</v>
      </c>
    </row>
    <row r="84">
      <c r="A84" s="1" t="s">
        <v>107</v>
      </c>
      <c r="B84" s="1">
        <v>3.91958099393145E8</v>
      </c>
    </row>
    <row r="85">
      <c r="A85" s="1" t="s">
        <v>108</v>
      </c>
      <c r="B85" s="1">
        <v>3.91958099393145E8</v>
      </c>
    </row>
    <row r="86">
      <c r="A86" s="1" t="s">
        <v>109</v>
      </c>
      <c r="B86" s="1">
        <v>3.91958099393145E8</v>
      </c>
    </row>
    <row r="87">
      <c r="A87" s="1" t="s">
        <v>110</v>
      </c>
      <c r="B87" s="1">
        <v>3.91958099393145E8</v>
      </c>
    </row>
    <row r="88">
      <c r="A88" s="1" t="s">
        <v>111</v>
      </c>
      <c r="B88" s="1">
        <v>3.91958099393145E8</v>
      </c>
    </row>
    <row r="89">
      <c r="A89" s="1" t="s">
        <v>112</v>
      </c>
      <c r="B89" s="1">
        <v>3.91958099393145E8</v>
      </c>
    </row>
    <row r="90">
      <c r="A90" s="1" t="s">
        <v>113</v>
      </c>
      <c r="B90" s="1">
        <v>3.91958099393145E8</v>
      </c>
    </row>
    <row r="91">
      <c r="A91" s="1" t="s">
        <v>114</v>
      </c>
      <c r="B91" s="1">
        <v>3.91958099393145E8</v>
      </c>
    </row>
    <row r="92">
      <c r="A92" s="1" t="s">
        <v>115</v>
      </c>
      <c r="B92" s="1">
        <v>3.91958099393145E8</v>
      </c>
    </row>
    <row r="93">
      <c r="A93" s="1" t="s">
        <v>116</v>
      </c>
      <c r="B93" s="1">
        <v>3.91958099393145E8</v>
      </c>
    </row>
    <row r="94">
      <c r="A94" s="1" t="s">
        <v>117</v>
      </c>
      <c r="B94" s="1">
        <v>3.91958099393145E8</v>
      </c>
    </row>
    <row r="95">
      <c r="A95" s="1" t="s">
        <v>118</v>
      </c>
      <c r="B95" s="1">
        <v>3.91958099393145E8</v>
      </c>
    </row>
    <row r="96">
      <c r="A96" s="1" t="s">
        <v>119</v>
      </c>
      <c r="B96" s="1">
        <v>3.91958099393145E8</v>
      </c>
    </row>
    <row r="97">
      <c r="A97" s="1" t="s">
        <v>120</v>
      </c>
      <c r="B97" s="1">
        <v>3.91958099393145E8</v>
      </c>
    </row>
    <row r="98">
      <c r="A98" s="1" t="s">
        <v>121</v>
      </c>
      <c r="B98" s="1">
        <v>3.91958099393145E8</v>
      </c>
    </row>
    <row r="99">
      <c r="A99" s="1" t="s">
        <v>122</v>
      </c>
      <c r="B99" s="1">
        <v>3.91958099393145E8</v>
      </c>
    </row>
    <row r="100">
      <c r="A100" s="1" t="s">
        <v>123</v>
      </c>
      <c r="B100" s="1">
        <v>3.91958099393145E8</v>
      </c>
    </row>
    <row r="101">
      <c r="A101" s="1" t="s">
        <v>124</v>
      </c>
      <c r="B101" s="1">
        <v>3.91958099393145E8</v>
      </c>
    </row>
    <row r="102">
      <c r="A102" s="1" t="s">
        <v>125</v>
      </c>
      <c r="B102" s="1">
        <v>3.91958099393145E8</v>
      </c>
    </row>
    <row r="103">
      <c r="A103" s="1" t="s">
        <v>126</v>
      </c>
      <c r="B103" s="1">
        <v>3.91958099393145E8</v>
      </c>
    </row>
    <row r="104">
      <c r="A104" s="1" t="s">
        <v>127</v>
      </c>
      <c r="B104" s="1">
        <v>3.91958099393145E8</v>
      </c>
    </row>
    <row r="105">
      <c r="A105" s="1" t="s">
        <v>128</v>
      </c>
      <c r="B105" s="1">
        <v>3.91958099393145E8</v>
      </c>
    </row>
    <row r="106">
      <c r="A106" s="1" t="s">
        <v>129</v>
      </c>
      <c r="B106" s="1">
        <v>3.91958099393145E8</v>
      </c>
    </row>
    <row r="107">
      <c r="A107" s="1" t="s">
        <v>130</v>
      </c>
      <c r="B107" s="1">
        <v>3.91958099393145E8</v>
      </c>
    </row>
    <row r="108">
      <c r="A108" s="1" t="s">
        <v>131</v>
      </c>
      <c r="B108" s="1">
        <v>3.91958099393145E8</v>
      </c>
    </row>
    <row r="109">
      <c r="A109" s="1" t="s">
        <v>132</v>
      </c>
      <c r="B109" s="1">
        <v>3.91958099393145E8</v>
      </c>
    </row>
    <row r="110">
      <c r="A110" s="1" t="s">
        <v>133</v>
      </c>
      <c r="B110" s="1">
        <v>3.91958099393145E8</v>
      </c>
    </row>
    <row r="111">
      <c r="A111" s="1" t="s">
        <v>134</v>
      </c>
      <c r="B111" s="1">
        <v>3.91958099393145E8</v>
      </c>
    </row>
    <row r="112">
      <c r="A112" s="1" t="s">
        <v>135</v>
      </c>
      <c r="B112" s="1">
        <v>3.91958099393145E8</v>
      </c>
    </row>
    <row r="113">
      <c r="A113" s="1" t="s">
        <v>136</v>
      </c>
      <c r="B113" s="1">
        <v>3.91958099393145E8</v>
      </c>
    </row>
    <row r="114">
      <c r="A114" s="1" t="s">
        <v>137</v>
      </c>
      <c r="B114" s="1">
        <v>3.91958099393145E8</v>
      </c>
    </row>
    <row r="115">
      <c r="A115" s="1" t="s">
        <v>138</v>
      </c>
      <c r="B115" s="1">
        <v>3.91958099393145E8</v>
      </c>
    </row>
    <row r="116">
      <c r="A116" s="1" t="s">
        <v>139</v>
      </c>
      <c r="B116" s="1">
        <v>3.91958099393145E8</v>
      </c>
    </row>
    <row r="117">
      <c r="A117" s="1" t="s">
        <v>140</v>
      </c>
      <c r="B117" s="1">
        <v>3.91958099393145E8</v>
      </c>
    </row>
    <row r="118">
      <c r="A118" s="1" t="s">
        <v>141</v>
      </c>
      <c r="B118" s="1">
        <v>3.91958099393145E8</v>
      </c>
    </row>
    <row r="119">
      <c r="A119" s="1" t="s">
        <v>142</v>
      </c>
      <c r="B119" s="1">
        <v>3.91958099393145E8</v>
      </c>
    </row>
    <row r="120">
      <c r="A120" s="1" t="s">
        <v>143</v>
      </c>
      <c r="B120" s="1">
        <v>3.91958099393145E8</v>
      </c>
    </row>
    <row r="121">
      <c r="A121" s="1" t="s">
        <v>144</v>
      </c>
      <c r="B121" s="1">
        <v>3.91958099393145E8</v>
      </c>
    </row>
    <row r="122">
      <c r="A122" s="1" t="s">
        <v>145</v>
      </c>
      <c r="B122" s="1">
        <v>3.91958099393145E8</v>
      </c>
    </row>
    <row r="123">
      <c r="A123" s="1" t="s">
        <v>146</v>
      </c>
      <c r="B123" s="1">
        <v>3.91958099393145E8</v>
      </c>
    </row>
    <row r="124">
      <c r="A124" s="1" t="s">
        <v>147</v>
      </c>
      <c r="B124" s="1">
        <v>3.91958099393145E8</v>
      </c>
    </row>
    <row r="125">
      <c r="A125" s="1" t="s">
        <v>148</v>
      </c>
      <c r="B125" s="1">
        <v>3.91958099393145E8</v>
      </c>
    </row>
    <row r="126">
      <c r="A126" s="1" t="s">
        <v>149</v>
      </c>
      <c r="B126" s="1">
        <v>3.91958099393145E8</v>
      </c>
    </row>
    <row r="127">
      <c r="A127" s="1" t="s">
        <v>150</v>
      </c>
      <c r="B127" s="1">
        <v>3.91958099393145E8</v>
      </c>
    </row>
    <row r="128">
      <c r="A128" s="1" t="s">
        <v>151</v>
      </c>
      <c r="B128" s="1">
        <v>3.91958099393145E8</v>
      </c>
    </row>
    <row r="129">
      <c r="A129" s="1" t="s">
        <v>152</v>
      </c>
      <c r="B129" s="1">
        <v>3.91958099393145E8</v>
      </c>
    </row>
    <row r="130">
      <c r="A130" s="1" t="s">
        <v>153</v>
      </c>
      <c r="B130" s="1">
        <v>3.91958099393145E8</v>
      </c>
    </row>
    <row r="131">
      <c r="A131" s="1" t="s">
        <v>154</v>
      </c>
      <c r="B131" s="1">
        <v>3.91958099393145E8</v>
      </c>
    </row>
    <row r="132">
      <c r="A132" s="1" t="s">
        <v>155</v>
      </c>
      <c r="B132" s="1">
        <v>3.91958099393145E8</v>
      </c>
    </row>
    <row r="133">
      <c r="A133" s="1" t="s">
        <v>156</v>
      </c>
      <c r="B133" s="1">
        <v>3.91958099393145E8</v>
      </c>
    </row>
    <row r="134">
      <c r="A134" s="1" t="s">
        <v>157</v>
      </c>
      <c r="B134" s="1">
        <v>3.91958099393145E8</v>
      </c>
    </row>
    <row r="135">
      <c r="A135" s="1" t="s">
        <v>158</v>
      </c>
      <c r="B135" s="1">
        <v>3.91958099393145E8</v>
      </c>
    </row>
    <row r="136">
      <c r="A136" s="1" t="s">
        <v>159</v>
      </c>
      <c r="B136" s="1">
        <v>3.91958099393145E8</v>
      </c>
    </row>
    <row r="137">
      <c r="A137" s="1" t="s">
        <v>160</v>
      </c>
      <c r="B137" s="1">
        <v>3.91958099393145E8</v>
      </c>
    </row>
    <row r="138">
      <c r="A138" s="1" t="s">
        <v>161</v>
      </c>
      <c r="B138" s="1">
        <v>3.91958099393145E8</v>
      </c>
    </row>
    <row r="139">
      <c r="A139" s="1" t="s">
        <v>162</v>
      </c>
      <c r="B139" s="1">
        <v>3.91958099393145E8</v>
      </c>
    </row>
    <row r="140">
      <c r="A140" s="1" t="s">
        <v>163</v>
      </c>
      <c r="B140" s="1">
        <v>3.91958099393145E8</v>
      </c>
    </row>
    <row r="141">
      <c r="A141" s="1" t="s">
        <v>164</v>
      </c>
      <c r="B141" s="1">
        <v>3.91958099393145E8</v>
      </c>
    </row>
    <row r="142">
      <c r="A142" s="1" t="s">
        <v>165</v>
      </c>
      <c r="B142" s="1">
        <v>3.91958099393145E8</v>
      </c>
    </row>
    <row r="143">
      <c r="A143" s="1" t="s">
        <v>166</v>
      </c>
      <c r="B143" s="1">
        <v>3.91958099393145E8</v>
      </c>
    </row>
    <row r="144">
      <c r="A144" s="1" t="s">
        <v>167</v>
      </c>
      <c r="B144" s="1">
        <v>3.91958099393145E8</v>
      </c>
    </row>
    <row r="145">
      <c r="A145" s="1" t="s">
        <v>168</v>
      </c>
      <c r="B145" s="1">
        <v>3.91958099393145E8</v>
      </c>
    </row>
    <row r="146">
      <c r="A146" s="1" t="s">
        <v>169</v>
      </c>
      <c r="B146" s="1">
        <v>3.91958099393145E8</v>
      </c>
    </row>
    <row r="147">
      <c r="A147" s="1" t="s">
        <v>170</v>
      </c>
      <c r="B147" s="1">
        <v>3.91958099393145E8</v>
      </c>
    </row>
    <row r="148">
      <c r="A148" s="1" t="s">
        <v>171</v>
      </c>
      <c r="B148" s="1">
        <v>3.91958099393145E8</v>
      </c>
    </row>
    <row r="149">
      <c r="A149" s="1" t="s">
        <v>172</v>
      </c>
      <c r="B149" s="1">
        <v>3.91958099393145E8</v>
      </c>
    </row>
    <row r="150">
      <c r="A150" s="1" t="s">
        <v>174</v>
      </c>
      <c r="B150" s="1">
        <v>3.91958099393145E8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IFERROR(__xludf.DUMMYFUNCTION("QUERY({eth_price!A2:B1000,ARRAYFORMULA(IFERROR(VLOOKUP(eth_price!A2:A1000,eth_supply!$A:B,2,0),""""))},""SELECT *"",0)"),"2022-05-01T00:00:00Z")</f>
        <v>2022-05-01T00:00:00Z</v>
      </c>
      <c r="B2" s="3">
        <f>IFERROR(__xludf.DUMMYFUNCTION("""COMPUTED_VALUE"""),2726.085184)</f>
        <v>2726.085184</v>
      </c>
      <c r="C2" s="3">
        <f>IFERROR(__xludf.DUMMYFUNCTION("""COMPUTED_VALUE"""),1.205945631865E8)</f>
        <v>120594563.2</v>
      </c>
      <c r="D2" s="1">
        <v>0.0</v>
      </c>
      <c r="E2" s="1">
        <v>0.0</v>
      </c>
      <c r="F2" s="3" t="str">
        <f t="shared" ref="F2:F1000" si="1">IF(ISBLANK(A2),"","ETH")</f>
        <v>ETH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IFERROR(__xludf.DUMMYFUNCTION("""COMPUTED_VALUE"""),2824.95294)</f>
        <v>2824.95294</v>
      </c>
      <c r="C3" s="3">
        <f>IFERROR(__xludf.DUMMYFUNCTION("""COMPUTED_VALUE"""),1.20607954874E8)</f>
        <v>120607954.9</v>
      </c>
      <c r="D3" s="3">
        <f t="shared" ref="D3:D144" si="2">C3-C2</f>
        <v>13391.6875</v>
      </c>
      <c r="E3" s="3">
        <f t="shared" ref="E3:E144" si="3">B3*D3</f>
        <v>37830886.97</v>
      </c>
      <c r="F3" s="3" t="str">
        <f t="shared" si="1"/>
        <v>ETH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IFERROR(__xludf.DUMMYFUNCTION("""COMPUTED_VALUE"""),2856.216929)</f>
        <v>2856.216929</v>
      </c>
      <c r="C4" s="3">
        <f>IFERROR(__xludf.DUMMYFUNCTION("""COMPUTED_VALUE"""),1.206211748115E8)</f>
        <v>120621174.8</v>
      </c>
      <c r="D4" s="3">
        <f t="shared" si="2"/>
        <v>13219.9375</v>
      </c>
      <c r="E4" s="3">
        <f t="shared" si="3"/>
        <v>37759009.29</v>
      </c>
      <c r="F4" s="3" t="str">
        <f t="shared" si="1"/>
        <v>ETH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IFERROR(__xludf.DUMMYFUNCTION("""COMPUTED_VALUE"""),2780.836879)</f>
        <v>2780.836879</v>
      </c>
      <c r="C5" s="3">
        <f>IFERROR(__xludf.DUMMYFUNCTION("""COMPUTED_VALUE"""),1.20634544874E8)</f>
        <v>120634544.9</v>
      </c>
      <c r="D5" s="3">
        <f t="shared" si="2"/>
        <v>13370.0625</v>
      </c>
      <c r="E5" s="3">
        <f t="shared" si="3"/>
        <v>37179962.87</v>
      </c>
      <c r="F5" s="3" t="str">
        <f t="shared" si="1"/>
        <v>ETH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IFERROR(__xludf.DUMMYFUNCTION("""COMPUTED_VALUE"""),2940.170177)</f>
        <v>2940.170177</v>
      </c>
      <c r="C6" s="3">
        <f>IFERROR(__xludf.DUMMYFUNCTION("""COMPUTED_VALUE"""),1.206476778115E8)</f>
        <v>120647677.8</v>
      </c>
      <c r="D6" s="3">
        <f t="shared" si="2"/>
        <v>13132.9375</v>
      </c>
      <c r="E6" s="3">
        <f t="shared" si="3"/>
        <v>38613071.17</v>
      </c>
      <c r="F6" s="3" t="str">
        <f t="shared" si="1"/>
        <v>ETH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IFERROR(__xludf.DUMMYFUNCTION("""COMPUTED_VALUE"""),2747.552793)</f>
        <v>2747.552793</v>
      </c>
      <c r="C7" s="3">
        <f>IFERROR(__xludf.DUMMYFUNCTION("""COMPUTED_VALUE"""),1.20660870499E8)</f>
        <v>120660870.5</v>
      </c>
      <c r="D7" s="3">
        <f t="shared" si="2"/>
        <v>13192.6875</v>
      </c>
      <c r="E7" s="3">
        <f t="shared" si="3"/>
        <v>36247605.39</v>
      </c>
      <c r="F7" s="3" t="str">
        <f t="shared" si="1"/>
        <v>ETH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IFERROR(__xludf.DUMMYFUNCTION("""COMPUTED_VALUE"""),2691.845625)</f>
        <v>2691.845625</v>
      </c>
      <c r="C8" s="3">
        <f>IFERROR(__xludf.DUMMYFUNCTION("""COMPUTED_VALUE"""),1.20674081999E8)</f>
        <v>120674082</v>
      </c>
      <c r="D8" s="3">
        <f t="shared" si="2"/>
        <v>13211.5</v>
      </c>
      <c r="E8" s="3">
        <f t="shared" si="3"/>
        <v>35563318.47</v>
      </c>
      <c r="F8" s="3" t="str">
        <f t="shared" si="1"/>
        <v>ETH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IFERROR(__xludf.DUMMYFUNCTION("""COMPUTED_VALUE"""),2634.91257)</f>
        <v>2634.91257</v>
      </c>
      <c r="C9" s="3">
        <f>IFERROR(__xludf.DUMMYFUNCTION("""COMPUTED_VALUE"""),1.206873133115E8)</f>
        <v>120687313.3</v>
      </c>
      <c r="D9" s="3">
        <f t="shared" si="2"/>
        <v>13231.3125</v>
      </c>
      <c r="E9" s="3">
        <f t="shared" si="3"/>
        <v>34863351.62</v>
      </c>
      <c r="F9" s="3" t="str">
        <f t="shared" si="1"/>
        <v>ETH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IFERROR(__xludf.DUMMYFUNCTION("""COMPUTED_VALUE"""),2519.05337)</f>
        <v>2519.05337</v>
      </c>
      <c r="C10" s="3">
        <f>IFERROR(__xludf.DUMMYFUNCTION("""COMPUTED_VALUE"""),1.207006439365E8)</f>
        <v>120700643.9</v>
      </c>
      <c r="D10" s="3">
        <f t="shared" si="2"/>
        <v>13330.625</v>
      </c>
      <c r="E10" s="3">
        <f t="shared" si="3"/>
        <v>33580555.83</v>
      </c>
      <c r="F10" s="3" t="str">
        <f t="shared" si="1"/>
        <v>ETH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IFERROR(__xludf.DUMMYFUNCTION("""COMPUTED_VALUE"""),2227.956716)</f>
        <v>2227.956716</v>
      </c>
      <c r="C11" s="3">
        <f>IFERROR(__xludf.DUMMYFUNCTION("""COMPUTED_VALUE"""),1.207137464365E8)</f>
        <v>120713746.4</v>
      </c>
      <c r="D11" s="3">
        <f t="shared" si="2"/>
        <v>13102.5</v>
      </c>
      <c r="E11" s="3">
        <f t="shared" si="3"/>
        <v>29191802.87</v>
      </c>
      <c r="F11" s="3" t="str">
        <f t="shared" si="1"/>
        <v>ETH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IFERROR(__xludf.DUMMYFUNCTION("""COMPUTED_VALUE"""),2341.227498)</f>
        <v>2341.227498</v>
      </c>
      <c r="C12" s="3">
        <f>IFERROR(__xludf.DUMMYFUNCTION("""COMPUTED_VALUE"""),1.207269569365E8)</f>
        <v>120726956.9</v>
      </c>
      <c r="D12" s="3">
        <f t="shared" si="2"/>
        <v>13210.5</v>
      </c>
      <c r="E12" s="3">
        <f t="shared" si="3"/>
        <v>30928785.86</v>
      </c>
      <c r="F12" s="3" t="str">
        <f t="shared" si="1"/>
        <v>ETH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IFERROR(__xludf.DUMMYFUNCTION("""COMPUTED_VALUE"""),2076.812833)</f>
        <v>2076.812833</v>
      </c>
      <c r="C13" s="3">
        <f>IFERROR(__xludf.DUMMYFUNCTION("""COMPUTED_VALUE"""),1.207402584365E8)</f>
        <v>120740258.4</v>
      </c>
      <c r="D13" s="3">
        <f t="shared" si="2"/>
        <v>13301.5</v>
      </c>
      <c r="E13" s="3">
        <f t="shared" si="3"/>
        <v>27624725.9</v>
      </c>
      <c r="F13" s="3" t="str">
        <f t="shared" si="1"/>
        <v>ETH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IFERROR(__xludf.DUMMYFUNCTION("""COMPUTED_VALUE"""),1954.181681)</f>
        <v>1954.181681</v>
      </c>
      <c r="C14" s="3">
        <f>IFERROR(__xludf.DUMMYFUNCTION("""COMPUTED_VALUE"""),1.207533685615E8)</f>
        <v>120753368.6</v>
      </c>
      <c r="D14" s="3">
        <f t="shared" si="2"/>
        <v>13110.125</v>
      </c>
      <c r="E14" s="3">
        <f t="shared" si="3"/>
        <v>25619566.11</v>
      </c>
      <c r="F14" s="3" t="str">
        <f t="shared" si="1"/>
        <v>ETH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IFERROR(__xludf.DUMMYFUNCTION("""COMPUTED_VALUE"""),2006.196794)</f>
        <v>2006.196794</v>
      </c>
      <c r="C15" s="3">
        <f>IFERROR(__xludf.DUMMYFUNCTION("""COMPUTED_VALUE"""),1.207667391865E8)</f>
        <v>120766739.2</v>
      </c>
      <c r="D15" s="3">
        <f t="shared" si="2"/>
        <v>13370.625</v>
      </c>
      <c r="E15" s="3">
        <f t="shared" si="3"/>
        <v>26824105.01</v>
      </c>
      <c r="F15" s="3" t="str">
        <f t="shared" si="1"/>
        <v>ETH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IFERROR(__xludf.DUMMYFUNCTION("""COMPUTED_VALUE"""),2053.6366)</f>
        <v>2053.6366</v>
      </c>
      <c r="C16" s="3">
        <f>IFERROR(__xludf.DUMMYFUNCTION("""COMPUTED_VALUE"""),1.20779757749E8)</f>
        <v>120779757.7</v>
      </c>
      <c r="D16" s="3">
        <f t="shared" si="2"/>
        <v>13018.5625</v>
      </c>
      <c r="E16" s="3">
        <f t="shared" si="3"/>
        <v>26735396.43</v>
      </c>
      <c r="F16" s="3" t="str">
        <f t="shared" si="1"/>
        <v>ETH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IFERROR(__xludf.DUMMYFUNCTION("""COMPUTED_VALUE"""),2142.663402)</f>
        <v>2142.663402</v>
      </c>
      <c r="C17" s="3">
        <f>IFERROR(__xludf.DUMMYFUNCTION("""COMPUTED_VALUE"""),1.20793055374E8)</f>
        <v>120793055.4</v>
      </c>
      <c r="D17" s="3">
        <f t="shared" si="2"/>
        <v>13297.625</v>
      </c>
      <c r="E17" s="3">
        <f t="shared" si="3"/>
        <v>28492334.42</v>
      </c>
      <c r="F17" s="3" t="str">
        <f t="shared" si="1"/>
        <v>ETH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IFERROR(__xludf.DUMMYFUNCTION("""COMPUTED_VALUE"""),2021.279565)</f>
        <v>2021.279565</v>
      </c>
      <c r="C18" s="3">
        <f>IFERROR(__xludf.DUMMYFUNCTION("""COMPUTED_VALUE"""),1.20806222749E8)</f>
        <v>120806222.7</v>
      </c>
      <c r="D18" s="3">
        <f t="shared" si="2"/>
        <v>13167.375</v>
      </c>
      <c r="E18" s="3">
        <f t="shared" si="3"/>
        <v>26614946.01</v>
      </c>
      <c r="F18" s="3" t="str">
        <f t="shared" si="1"/>
        <v>ETH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IFERROR(__xludf.DUMMYFUNCTION("""COMPUTED_VALUE"""),2087.966866)</f>
        <v>2087.966866</v>
      </c>
      <c r="C19" s="3">
        <f>IFERROR(__xludf.DUMMYFUNCTION("""COMPUTED_VALUE"""),1.20819479624E8)</f>
        <v>120819479.6</v>
      </c>
      <c r="D19" s="3">
        <f t="shared" si="2"/>
        <v>13256.875</v>
      </c>
      <c r="E19" s="3">
        <f t="shared" si="3"/>
        <v>27679915.75</v>
      </c>
      <c r="F19" s="3" t="str">
        <f t="shared" si="1"/>
        <v>ETH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IFERROR(__xludf.DUMMYFUNCTION("""COMPUTED_VALUE"""),1913.050302)</f>
        <v>1913.050302</v>
      </c>
      <c r="C20" s="3">
        <f>IFERROR(__xludf.DUMMYFUNCTION("""COMPUTED_VALUE"""),1.20832757624E8)</f>
        <v>120832757.6</v>
      </c>
      <c r="D20" s="3">
        <f t="shared" si="2"/>
        <v>13278</v>
      </c>
      <c r="E20" s="3">
        <f t="shared" si="3"/>
        <v>25401481.91</v>
      </c>
      <c r="F20" s="3" t="str">
        <f t="shared" si="1"/>
        <v>ETH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IFERROR(__xludf.DUMMYFUNCTION("""COMPUTED_VALUE"""),2016.952653)</f>
        <v>2016.952653</v>
      </c>
      <c r="C21" s="3">
        <f>IFERROR(__xludf.DUMMYFUNCTION("""COMPUTED_VALUE"""),1.208455558115E8)</f>
        <v>120845555.8</v>
      </c>
      <c r="D21" s="3">
        <f t="shared" si="2"/>
        <v>12798.1875</v>
      </c>
      <c r="E21" s="3">
        <f t="shared" si="3"/>
        <v>25813338.23</v>
      </c>
      <c r="F21" s="3" t="str">
        <f t="shared" si="1"/>
        <v>ETH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IFERROR(__xludf.DUMMYFUNCTION("""COMPUTED_VALUE"""),1956.668407)</f>
        <v>1956.668407</v>
      </c>
      <c r="C22" s="3">
        <f>IFERROR(__xludf.DUMMYFUNCTION("""COMPUTED_VALUE"""),1.208584165615E8)</f>
        <v>120858416.6</v>
      </c>
      <c r="D22" s="3">
        <f t="shared" si="2"/>
        <v>12860.75</v>
      </c>
      <c r="E22" s="3">
        <f t="shared" si="3"/>
        <v>25164223.22</v>
      </c>
      <c r="F22" s="3" t="str">
        <f t="shared" si="1"/>
        <v>ETH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IFERROR(__xludf.DUMMYFUNCTION("""COMPUTED_VALUE"""),1972.557944)</f>
        <v>1972.557944</v>
      </c>
      <c r="C23" s="3">
        <f>IFERROR(__xludf.DUMMYFUNCTION("""COMPUTED_VALUE"""),1.208712695615E8)</f>
        <v>120871269.6</v>
      </c>
      <c r="D23" s="3">
        <f t="shared" si="2"/>
        <v>12853</v>
      </c>
      <c r="E23" s="3">
        <f t="shared" si="3"/>
        <v>25353287.25</v>
      </c>
      <c r="F23" s="3" t="str">
        <f t="shared" si="1"/>
        <v>ETH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IFERROR(__xludf.DUMMYFUNCTION("""COMPUTED_VALUE"""),2040.481354)</f>
        <v>2040.481354</v>
      </c>
      <c r="C24" s="3">
        <f>IFERROR(__xludf.DUMMYFUNCTION("""COMPUTED_VALUE"""),1.208841323115E8)</f>
        <v>120884132.3</v>
      </c>
      <c r="D24" s="3">
        <f t="shared" si="2"/>
        <v>12862.75</v>
      </c>
      <c r="E24" s="3">
        <f t="shared" si="3"/>
        <v>26246201.54</v>
      </c>
      <c r="F24" s="3" t="str">
        <f t="shared" si="1"/>
        <v>ETH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IFERROR(__xludf.DUMMYFUNCTION("""COMPUTED_VALUE"""),1971.310984)</f>
        <v>1971.310984</v>
      </c>
      <c r="C25" s="3">
        <f>IFERROR(__xludf.DUMMYFUNCTION("""COMPUTED_VALUE"""),1.208970743115E8)</f>
        <v>120897074.3</v>
      </c>
      <c r="D25" s="3">
        <f t="shared" si="2"/>
        <v>12942</v>
      </c>
      <c r="E25" s="3">
        <f t="shared" si="3"/>
        <v>25512706.75</v>
      </c>
      <c r="F25" s="3" t="str">
        <f t="shared" si="1"/>
        <v>ETH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IFERROR(__xludf.DUMMYFUNCTION("""COMPUTED_VALUE"""),1977.234532)</f>
        <v>1977.234532</v>
      </c>
      <c r="C26" s="3">
        <f>IFERROR(__xludf.DUMMYFUNCTION("""COMPUTED_VALUE"""),1.20909903999E8)</f>
        <v>120909904</v>
      </c>
      <c r="D26" s="3">
        <f t="shared" si="2"/>
        <v>12829.6875</v>
      </c>
      <c r="E26" s="3">
        <f t="shared" si="3"/>
        <v>25367301.16</v>
      </c>
      <c r="F26" s="3" t="str">
        <f t="shared" si="1"/>
        <v>ETH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IFERROR(__xludf.DUMMYFUNCTION("""COMPUTED_VALUE"""),1940.318059)</f>
        <v>1940.318059</v>
      </c>
      <c r="C27" s="3">
        <f>IFERROR(__xludf.DUMMYFUNCTION("""COMPUTED_VALUE"""),1.20922857999E8)</f>
        <v>120922858</v>
      </c>
      <c r="D27" s="3">
        <f t="shared" si="2"/>
        <v>12954</v>
      </c>
      <c r="E27" s="3">
        <f t="shared" si="3"/>
        <v>25134880.14</v>
      </c>
      <c r="F27" s="3" t="str">
        <f t="shared" si="1"/>
        <v>ETH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IFERROR(__xludf.DUMMYFUNCTION("""COMPUTED_VALUE"""),1790.309723)</f>
        <v>1790.309723</v>
      </c>
      <c r="C28" s="3">
        <f>IFERROR(__xludf.DUMMYFUNCTION("""COMPUTED_VALUE"""),1.20935665624E8)</f>
        <v>120935665.6</v>
      </c>
      <c r="D28" s="3">
        <f t="shared" si="2"/>
        <v>12807.625</v>
      </c>
      <c r="E28" s="3">
        <f t="shared" si="3"/>
        <v>22929615.57</v>
      </c>
      <c r="F28" s="3" t="str">
        <f t="shared" si="1"/>
        <v>ETH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IFERROR(__xludf.DUMMYFUNCTION("""COMPUTED_VALUE"""),1725.462226)</f>
        <v>1725.462226</v>
      </c>
      <c r="C29" s="3">
        <f>IFERROR(__xludf.DUMMYFUNCTION("""COMPUTED_VALUE"""),1.209486384365E8)</f>
        <v>120948638.4</v>
      </c>
      <c r="D29" s="3">
        <f t="shared" si="2"/>
        <v>12972.8125</v>
      </c>
      <c r="E29" s="3">
        <f t="shared" si="3"/>
        <v>22384097.93</v>
      </c>
      <c r="F29" s="3" t="str">
        <f t="shared" si="1"/>
        <v>ETH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IFERROR(__xludf.DUMMYFUNCTION("""COMPUTED_VALUE"""),1790.896078)</f>
        <v>1790.896078</v>
      </c>
      <c r="C30" s="3">
        <f>IFERROR(__xludf.DUMMYFUNCTION("""COMPUTED_VALUE"""),1.209615156865E8)</f>
        <v>120961515.7</v>
      </c>
      <c r="D30" s="3">
        <f t="shared" si="2"/>
        <v>12877.25</v>
      </c>
      <c r="E30" s="3">
        <f t="shared" si="3"/>
        <v>23061816.52</v>
      </c>
      <c r="F30" s="3" t="str">
        <f t="shared" si="1"/>
        <v>ETH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IFERROR(__xludf.DUMMYFUNCTION("""COMPUTED_VALUE"""),1812.714869)</f>
        <v>1812.714869</v>
      </c>
      <c r="C31" s="3">
        <f>IFERROR(__xludf.DUMMYFUNCTION("""COMPUTED_VALUE"""),1.209744000615E8)</f>
        <v>120974400.1</v>
      </c>
      <c r="D31" s="3">
        <f t="shared" si="2"/>
        <v>12884.375</v>
      </c>
      <c r="E31" s="3">
        <f t="shared" si="3"/>
        <v>23355698.14</v>
      </c>
      <c r="F31" s="3" t="str">
        <f t="shared" si="1"/>
        <v>ETH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IFERROR(__xludf.DUMMYFUNCTION("""COMPUTED_VALUE"""),1996.563513)</f>
        <v>1996.563513</v>
      </c>
      <c r="C32" s="3">
        <f>IFERROR(__xludf.DUMMYFUNCTION("""COMPUTED_VALUE"""),1.209872555615E8)</f>
        <v>120987255.6</v>
      </c>
      <c r="D32" s="3">
        <f t="shared" si="2"/>
        <v>12855.5</v>
      </c>
      <c r="E32" s="3">
        <f t="shared" si="3"/>
        <v>25666822.24</v>
      </c>
      <c r="F32" s="3" t="str">
        <f t="shared" si="1"/>
        <v>ETH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IFERROR(__xludf.DUMMYFUNCTION("""COMPUTED_VALUE"""),1940.436137)</f>
        <v>1940.436137</v>
      </c>
      <c r="C33" s="3">
        <f>IFERROR(__xludf.DUMMYFUNCTION("""COMPUTED_VALUE"""),1.210000684365E8)</f>
        <v>121000068.4</v>
      </c>
      <c r="D33" s="3">
        <f t="shared" si="2"/>
        <v>12812.875</v>
      </c>
      <c r="E33" s="3">
        <f t="shared" si="3"/>
        <v>24862565.67</v>
      </c>
      <c r="F33" s="3" t="str">
        <f t="shared" si="1"/>
        <v>ETH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IFERROR(__xludf.DUMMYFUNCTION("""COMPUTED_VALUE"""),1816.84699)</f>
        <v>1816.84699</v>
      </c>
      <c r="C34" s="3">
        <f>IFERROR(__xludf.DUMMYFUNCTION("""COMPUTED_VALUE"""),1.21012928499E8)</f>
        <v>121012928.5</v>
      </c>
      <c r="D34" s="3">
        <f t="shared" si="2"/>
        <v>12860.0625</v>
      </c>
      <c r="E34" s="3">
        <f t="shared" si="3"/>
        <v>23364765.84</v>
      </c>
      <c r="F34" s="3" t="str">
        <f t="shared" si="1"/>
        <v>ETH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IFERROR(__xludf.DUMMYFUNCTION("""COMPUTED_VALUE"""),1832.654399)</f>
        <v>1832.654399</v>
      </c>
      <c r="C35" s="3">
        <f>IFERROR(__xludf.DUMMYFUNCTION("""COMPUTED_VALUE"""),1.210257980615E8)</f>
        <v>121025798.1</v>
      </c>
      <c r="D35" s="3">
        <f t="shared" si="2"/>
        <v>12869.5625</v>
      </c>
      <c r="E35" s="3">
        <f t="shared" si="3"/>
        <v>23585460.33</v>
      </c>
      <c r="F35" s="3" t="str">
        <f t="shared" si="1"/>
        <v>ETH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IFERROR(__xludf.DUMMYFUNCTION("""COMPUTED_VALUE"""),1773.519807)</f>
        <v>1773.519807</v>
      </c>
      <c r="C36" s="3">
        <f>IFERROR(__xludf.DUMMYFUNCTION("""COMPUTED_VALUE"""),1.21038693999E8)</f>
        <v>121038694</v>
      </c>
      <c r="D36" s="3">
        <f t="shared" si="2"/>
        <v>12895.9375</v>
      </c>
      <c r="E36" s="3">
        <f t="shared" si="3"/>
        <v>22871200.59</v>
      </c>
      <c r="F36" s="3" t="str">
        <f t="shared" si="1"/>
        <v>ETH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IFERROR(__xludf.DUMMYFUNCTION("""COMPUTED_VALUE"""),1803.646978)</f>
        <v>1803.646978</v>
      </c>
      <c r="C37" s="3">
        <f>IFERROR(__xludf.DUMMYFUNCTION("""COMPUTED_VALUE"""),1.21051040624E8)</f>
        <v>121051040.6</v>
      </c>
      <c r="D37" s="3">
        <f t="shared" si="2"/>
        <v>12346.625</v>
      </c>
      <c r="E37" s="3">
        <f t="shared" si="3"/>
        <v>22268952.87</v>
      </c>
      <c r="F37" s="3" t="str">
        <f t="shared" si="1"/>
        <v>ETH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IFERROR(__xludf.DUMMYFUNCTION("""COMPUTED_VALUE"""),1804.777612)</f>
        <v>1804.777612</v>
      </c>
      <c r="C38" s="3">
        <f>IFERROR(__xludf.DUMMYFUNCTION("""COMPUTED_VALUE"""),1.210633856865E8)</f>
        <v>121063385.7</v>
      </c>
      <c r="D38" s="3">
        <f t="shared" si="2"/>
        <v>12345.0625</v>
      </c>
      <c r="E38" s="3">
        <f t="shared" si="3"/>
        <v>22280092.42</v>
      </c>
      <c r="F38" s="3" t="str">
        <f t="shared" si="1"/>
        <v>ETH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IFERROR(__xludf.DUMMYFUNCTION("""COMPUTED_VALUE"""),1858.261725)</f>
        <v>1858.261725</v>
      </c>
      <c r="C39" s="3">
        <f>IFERROR(__xludf.DUMMYFUNCTION("""COMPUTED_VALUE"""),1.21075610124E8)</f>
        <v>121075610.1</v>
      </c>
      <c r="D39" s="3">
        <f t="shared" si="2"/>
        <v>12224.4375</v>
      </c>
      <c r="E39" s="3">
        <f t="shared" si="3"/>
        <v>22716204.32</v>
      </c>
      <c r="F39" s="3" t="str">
        <f t="shared" si="1"/>
        <v>ETH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IFERROR(__xludf.DUMMYFUNCTION("""COMPUTED_VALUE"""),1812.039766)</f>
        <v>1812.039766</v>
      </c>
      <c r="C40" s="3">
        <f>IFERROR(__xludf.DUMMYFUNCTION("""COMPUTED_VALUE"""),1.210879654365E8)</f>
        <v>121087965.4</v>
      </c>
      <c r="D40" s="3">
        <f t="shared" si="2"/>
        <v>12355.3125</v>
      </c>
      <c r="E40" s="3">
        <f t="shared" si="3"/>
        <v>22388317.57</v>
      </c>
      <c r="F40" s="3" t="str">
        <f t="shared" si="1"/>
        <v>ETH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IFERROR(__xludf.DUMMYFUNCTION("""COMPUTED_VALUE"""),1790.736107)</f>
        <v>1790.736107</v>
      </c>
      <c r="C41" s="3">
        <f>IFERROR(__xludf.DUMMYFUNCTION("""COMPUTED_VALUE"""),1.211002800615E8)</f>
        <v>121100280.1</v>
      </c>
      <c r="D41" s="3">
        <f t="shared" si="2"/>
        <v>12314.625</v>
      </c>
      <c r="E41" s="3">
        <f t="shared" si="3"/>
        <v>22052243.63</v>
      </c>
      <c r="F41" s="3" t="str">
        <f t="shared" si="1"/>
        <v>ETH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IFERROR(__xludf.DUMMYFUNCTION("""COMPUTED_VALUE"""),1786.328856)</f>
        <v>1786.328856</v>
      </c>
      <c r="C42" s="3">
        <f>IFERROR(__xludf.DUMMYFUNCTION("""COMPUTED_VALUE"""),1.21112430749E8)</f>
        <v>121112430.7</v>
      </c>
      <c r="D42" s="3">
        <f t="shared" si="2"/>
        <v>12150.6875</v>
      </c>
      <c r="E42" s="3">
        <f t="shared" si="3"/>
        <v>21705123.7</v>
      </c>
      <c r="F42" s="3" t="str">
        <f t="shared" si="1"/>
        <v>ETH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IFERROR(__xludf.DUMMYFUNCTION("""COMPUTED_VALUE"""),1661.421355)</f>
        <v>1661.421355</v>
      </c>
      <c r="C43" s="3">
        <f>IFERROR(__xludf.DUMMYFUNCTION("""COMPUTED_VALUE"""),1.211246626865E8)</f>
        <v>121124662.7</v>
      </c>
      <c r="D43" s="3">
        <f t="shared" si="2"/>
        <v>12231.9375</v>
      </c>
      <c r="E43" s="3">
        <f t="shared" si="3"/>
        <v>20322402.18</v>
      </c>
      <c r="F43" s="3" t="str">
        <f t="shared" si="1"/>
        <v>ETH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IFERROR(__xludf.DUMMYFUNCTION("""COMPUTED_VALUE"""),1531.104694)</f>
        <v>1531.104694</v>
      </c>
      <c r="C44" s="3">
        <f>IFERROR(__xludf.DUMMYFUNCTION("""COMPUTED_VALUE"""),1.21137036499E8)</f>
        <v>121137036.5</v>
      </c>
      <c r="D44" s="3">
        <f t="shared" si="2"/>
        <v>12373.8125</v>
      </c>
      <c r="E44" s="3">
        <f t="shared" si="3"/>
        <v>18945602.4</v>
      </c>
      <c r="F44" s="3" t="str">
        <f t="shared" si="1"/>
        <v>ETH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IFERROR(__xludf.DUMMYFUNCTION("""COMPUTED_VALUE"""),1433.782545)</f>
        <v>1433.782545</v>
      </c>
      <c r="C45" s="3">
        <f>IFERROR(__xludf.DUMMYFUNCTION("""COMPUTED_VALUE"""),1.211492723115E8)</f>
        <v>121149272.3</v>
      </c>
      <c r="D45" s="3">
        <f t="shared" si="2"/>
        <v>12235.8125</v>
      </c>
      <c r="E45" s="3">
        <f t="shared" si="3"/>
        <v>17543494.39</v>
      </c>
      <c r="F45" s="3" t="str">
        <f t="shared" si="1"/>
        <v>ETH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IFERROR(__xludf.DUMMYFUNCTION("""COMPUTED_VALUE"""),1207.446724)</f>
        <v>1207.446724</v>
      </c>
      <c r="C46" s="3">
        <f>IFERROR(__xludf.DUMMYFUNCTION("""COMPUTED_VALUE"""),1.21161456499E8)</f>
        <v>121161456.5</v>
      </c>
      <c r="D46" s="3">
        <f t="shared" si="2"/>
        <v>12184.1875</v>
      </c>
      <c r="E46" s="3">
        <f t="shared" si="3"/>
        <v>14711757.28</v>
      </c>
      <c r="F46" s="3" t="str">
        <f t="shared" si="1"/>
        <v>ETH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IFERROR(__xludf.DUMMYFUNCTION("""COMPUTED_VALUE"""),1208.795428)</f>
        <v>1208.795428</v>
      </c>
      <c r="C47" s="3">
        <f>IFERROR(__xludf.DUMMYFUNCTION("""COMPUTED_VALUE"""),1.211736408115E8)</f>
        <v>121173640.8</v>
      </c>
      <c r="D47" s="3">
        <f t="shared" si="2"/>
        <v>12184.3125</v>
      </c>
      <c r="E47" s="3">
        <f t="shared" si="3"/>
        <v>14728341.24</v>
      </c>
      <c r="F47" s="3" t="str">
        <f t="shared" si="1"/>
        <v>ETH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IFERROR(__xludf.DUMMYFUNCTION("""COMPUTED_VALUE"""),1236.322434)</f>
        <v>1236.322434</v>
      </c>
      <c r="C48" s="3">
        <f>IFERROR(__xludf.DUMMYFUNCTION("""COMPUTED_VALUE"""),1.211857030615E8)</f>
        <v>121185703.1</v>
      </c>
      <c r="D48" s="3">
        <f t="shared" si="2"/>
        <v>12062.25</v>
      </c>
      <c r="E48" s="3">
        <f t="shared" si="3"/>
        <v>14912830.28</v>
      </c>
      <c r="F48" s="3" t="str">
        <f t="shared" si="1"/>
        <v>ETH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IFERROR(__xludf.DUMMYFUNCTION("""COMPUTED_VALUE"""),1067.933684)</f>
        <v>1067.933684</v>
      </c>
      <c r="C49" s="3">
        <f>IFERROR(__xludf.DUMMYFUNCTION("""COMPUTED_VALUE"""),1.211979254365E8)</f>
        <v>121197925.4</v>
      </c>
      <c r="D49" s="3">
        <f t="shared" si="2"/>
        <v>12222.375</v>
      </c>
      <c r="E49" s="3">
        <f t="shared" si="3"/>
        <v>13052685.96</v>
      </c>
      <c r="F49" s="3" t="str">
        <f t="shared" si="1"/>
        <v>ETH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IFERROR(__xludf.DUMMYFUNCTION("""COMPUTED_VALUE"""),1085.019601)</f>
        <v>1085.019601</v>
      </c>
      <c r="C50" s="3">
        <f>IFERROR(__xludf.DUMMYFUNCTION("""COMPUTED_VALUE"""),1.21210176499E8)</f>
        <v>121210176.5</v>
      </c>
      <c r="D50" s="3">
        <f t="shared" si="2"/>
        <v>12251.0625</v>
      </c>
      <c r="E50" s="3">
        <f t="shared" si="3"/>
        <v>13292642.95</v>
      </c>
      <c r="F50" s="3" t="str">
        <f t="shared" si="1"/>
        <v>ETH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IFERROR(__xludf.DUMMYFUNCTION("""COMPUTED_VALUE"""),993.697714)</f>
        <v>993.697714</v>
      </c>
      <c r="C51" s="3">
        <f>IFERROR(__xludf.DUMMYFUNCTION("""COMPUTED_VALUE"""),1.212223986865E8)</f>
        <v>121222398.7</v>
      </c>
      <c r="D51" s="3">
        <f t="shared" si="2"/>
        <v>12222.1875</v>
      </c>
      <c r="E51" s="3">
        <f t="shared" si="3"/>
        <v>12145159.78</v>
      </c>
      <c r="F51" s="3" t="str">
        <f t="shared" si="1"/>
        <v>ETH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IFERROR(__xludf.DUMMYFUNCTION("""COMPUTED_VALUE"""),1125.778885)</f>
        <v>1125.778885</v>
      </c>
      <c r="C52" s="3">
        <f>IFERROR(__xludf.DUMMYFUNCTION("""COMPUTED_VALUE"""),1.21234453874E8)</f>
        <v>121234453.9</v>
      </c>
      <c r="D52" s="3">
        <f t="shared" si="2"/>
        <v>12055.1875</v>
      </c>
      <c r="E52" s="3">
        <f t="shared" si="3"/>
        <v>13571475.54</v>
      </c>
      <c r="F52" s="3" t="str">
        <f t="shared" si="1"/>
        <v>ETH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IFERROR(__xludf.DUMMYFUNCTION("""COMPUTED_VALUE"""),1126.900833)</f>
        <v>1126.900833</v>
      </c>
      <c r="C53" s="3">
        <f>IFERROR(__xludf.DUMMYFUNCTION("""COMPUTED_VALUE"""),1.212466571865E8)</f>
        <v>121246657.2</v>
      </c>
      <c r="D53" s="3">
        <f t="shared" si="2"/>
        <v>12203.3125</v>
      </c>
      <c r="E53" s="3">
        <f t="shared" si="3"/>
        <v>13751923.02</v>
      </c>
      <c r="F53" s="3" t="str">
        <f t="shared" si="1"/>
        <v>ETH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IFERROR(__xludf.DUMMYFUNCTION("""COMPUTED_VALUE"""),1124.351454)</f>
        <v>1124.351454</v>
      </c>
      <c r="C54" s="3">
        <f>IFERROR(__xludf.DUMMYFUNCTION("""COMPUTED_VALUE"""),1.212581720615E8)</f>
        <v>121258172.1</v>
      </c>
      <c r="D54" s="3">
        <f t="shared" si="2"/>
        <v>11514.875</v>
      </c>
      <c r="E54" s="3">
        <f t="shared" si="3"/>
        <v>12946766.45</v>
      </c>
      <c r="F54" s="3" t="str">
        <f t="shared" si="1"/>
        <v>ETH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IFERROR(__xludf.DUMMYFUNCTION("""COMPUTED_VALUE"""),1049.023815)</f>
        <v>1049.023815</v>
      </c>
      <c r="C55" s="3">
        <f>IFERROR(__xludf.DUMMYFUNCTION("""COMPUTED_VALUE"""),1.212693108115E8)</f>
        <v>121269310.8</v>
      </c>
      <c r="D55" s="3">
        <f t="shared" si="2"/>
        <v>11138.75</v>
      </c>
      <c r="E55" s="3">
        <f t="shared" si="3"/>
        <v>11684814.02</v>
      </c>
      <c r="F55" s="3" t="str">
        <f t="shared" si="1"/>
        <v>ETH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IFERROR(__xludf.DUMMYFUNCTION("""COMPUTED_VALUE"""),1143.576413)</f>
        <v>1143.576413</v>
      </c>
      <c r="C56" s="3">
        <f>IFERROR(__xludf.DUMMYFUNCTION("""COMPUTED_VALUE"""),1.21280384624E8)</f>
        <v>121280384.6</v>
      </c>
      <c r="D56" s="3">
        <f t="shared" si="2"/>
        <v>11073.8125</v>
      </c>
      <c r="E56" s="3">
        <f t="shared" si="3"/>
        <v>12663750.78</v>
      </c>
      <c r="F56" s="3" t="str">
        <f t="shared" si="1"/>
        <v>ETH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IFERROR(__xludf.DUMMYFUNCTION("""COMPUTED_VALUE"""),1221.46879)</f>
        <v>1221.46879</v>
      </c>
      <c r="C57" s="3">
        <f>IFERROR(__xludf.DUMMYFUNCTION("""COMPUTED_VALUE"""),1.21291590624E8)</f>
        <v>121291590.6</v>
      </c>
      <c r="D57" s="3">
        <f t="shared" si="2"/>
        <v>11206</v>
      </c>
      <c r="E57" s="3">
        <f t="shared" si="3"/>
        <v>13687779.26</v>
      </c>
      <c r="F57" s="3" t="str">
        <f t="shared" si="1"/>
        <v>ETH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IFERROR(__xludf.DUMMYFUNCTION("""COMPUTED_VALUE"""),1241.475753)</f>
        <v>1241.475753</v>
      </c>
      <c r="C58" s="3">
        <f>IFERROR(__xludf.DUMMYFUNCTION("""COMPUTED_VALUE"""),1.213027649365E8)</f>
        <v>121302764.9</v>
      </c>
      <c r="D58" s="3">
        <f t="shared" si="2"/>
        <v>11174.3125</v>
      </c>
      <c r="E58" s="3">
        <f t="shared" si="3"/>
        <v>13872638.03</v>
      </c>
      <c r="F58" s="3" t="str">
        <f t="shared" si="1"/>
        <v>ETH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IFERROR(__xludf.DUMMYFUNCTION("""COMPUTED_VALUE"""),1196.723957)</f>
        <v>1196.723957</v>
      </c>
      <c r="C59" s="3">
        <f>IFERROR(__xludf.DUMMYFUNCTION("""COMPUTED_VALUE"""),1.21313866999E8)</f>
        <v>121313867</v>
      </c>
      <c r="D59" s="3">
        <f t="shared" si="2"/>
        <v>11102.0625</v>
      </c>
      <c r="E59" s="3">
        <f t="shared" si="3"/>
        <v>13286104.17</v>
      </c>
      <c r="F59" s="3" t="str">
        <f t="shared" si="1"/>
        <v>ETH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IFERROR(__xludf.DUMMYFUNCTION("""COMPUTED_VALUE"""),1191.173331)</f>
        <v>1191.173331</v>
      </c>
      <c r="C60" s="3">
        <f>IFERROR(__xludf.DUMMYFUNCTION("""COMPUTED_VALUE"""),1.21325065249E8)</f>
        <v>121325065.2</v>
      </c>
      <c r="D60" s="3">
        <f t="shared" si="2"/>
        <v>11198.25</v>
      </c>
      <c r="E60" s="3">
        <f t="shared" si="3"/>
        <v>13339056.75</v>
      </c>
      <c r="F60" s="3" t="str">
        <f t="shared" si="1"/>
        <v>ETH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IFERROR(__xludf.DUMMYFUNCTION("""COMPUTED_VALUE"""),1142.30519)</f>
        <v>1142.30519</v>
      </c>
      <c r="C61" s="3">
        <f>IFERROR(__xludf.DUMMYFUNCTION("""COMPUTED_VALUE"""),1.21336160124E8)</f>
        <v>121336160.1</v>
      </c>
      <c r="D61" s="3">
        <f t="shared" si="2"/>
        <v>11094.875</v>
      </c>
      <c r="E61" s="3">
        <f t="shared" si="3"/>
        <v>12673733.29</v>
      </c>
      <c r="F61" s="3" t="str">
        <f t="shared" si="1"/>
        <v>ETH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IFERROR(__xludf.DUMMYFUNCTION("""COMPUTED_VALUE"""),1098.892355)</f>
        <v>1098.892355</v>
      </c>
      <c r="C62" s="3">
        <f>IFERROR(__xludf.DUMMYFUNCTION("""COMPUTED_VALUE"""),1.21347228124E8)</f>
        <v>121347228.1</v>
      </c>
      <c r="D62" s="3">
        <f t="shared" si="2"/>
        <v>11068</v>
      </c>
      <c r="E62" s="3">
        <f t="shared" si="3"/>
        <v>12162540.59</v>
      </c>
      <c r="F62" s="3" t="str">
        <f t="shared" si="1"/>
        <v>ETH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IFERROR(__xludf.DUMMYFUNCTION("""COMPUTED_VALUE"""),1069.566257)</f>
        <v>1069.566257</v>
      </c>
      <c r="C63" s="3">
        <f>IFERROR(__xludf.DUMMYFUNCTION("""COMPUTED_VALUE"""),1.213589996865E8)</f>
        <v>121358999.7</v>
      </c>
      <c r="D63" s="3">
        <f t="shared" si="2"/>
        <v>11771.5625</v>
      </c>
      <c r="E63" s="3">
        <f t="shared" si="3"/>
        <v>12590466.04</v>
      </c>
      <c r="F63" s="3" t="str">
        <f t="shared" si="1"/>
        <v>ETH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IFERROR(__xludf.DUMMYFUNCTION("""COMPUTED_VALUE"""),1058.421834)</f>
        <v>1058.421834</v>
      </c>
      <c r="C64" s="3">
        <f>IFERROR(__xludf.DUMMYFUNCTION("""COMPUTED_VALUE"""),1.213723515615E8)</f>
        <v>121372351.6</v>
      </c>
      <c r="D64" s="3">
        <f t="shared" si="2"/>
        <v>13351.875</v>
      </c>
      <c r="E64" s="3">
        <f t="shared" si="3"/>
        <v>14131916.02</v>
      </c>
      <c r="F64" s="3" t="str">
        <f t="shared" si="1"/>
        <v>ETH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IFERROR(__xludf.DUMMYFUNCTION("""COMPUTED_VALUE"""),1065.663291)</f>
        <v>1065.663291</v>
      </c>
      <c r="C65" s="3">
        <f>IFERROR(__xludf.DUMMYFUNCTION("""COMPUTED_VALUE"""),1.213860401865E8)</f>
        <v>121386040.2</v>
      </c>
      <c r="D65" s="3">
        <f t="shared" si="2"/>
        <v>13688.625</v>
      </c>
      <c r="E65" s="3">
        <f t="shared" si="3"/>
        <v>14587465.17</v>
      </c>
      <c r="F65" s="3" t="str">
        <f t="shared" si="1"/>
        <v>ETH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IFERROR(__xludf.DUMMYFUNCTION("""COMPUTED_VALUE"""),1072.918241)</f>
        <v>1072.918241</v>
      </c>
      <c r="C66" s="3">
        <f>IFERROR(__xludf.DUMMYFUNCTION("""COMPUTED_VALUE"""),1.21399635249E8)</f>
        <v>121399635.2</v>
      </c>
      <c r="D66" s="3">
        <f t="shared" si="2"/>
        <v>13595.0625</v>
      </c>
      <c r="E66" s="3">
        <f t="shared" si="3"/>
        <v>14586390.54</v>
      </c>
      <c r="F66" s="3" t="str">
        <f t="shared" si="1"/>
        <v>ETH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IFERROR(__xludf.DUMMYFUNCTION("""COMPUTED_VALUE"""),1149.731816)</f>
        <v>1149.731816</v>
      </c>
      <c r="C67" s="3">
        <f>IFERROR(__xludf.DUMMYFUNCTION("""COMPUTED_VALUE"""),1.21413221624E8)</f>
        <v>121413221.6</v>
      </c>
      <c r="D67" s="3">
        <f t="shared" si="2"/>
        <v>13586.375</v>
      </c>
      <c r="E67" s="3">
        <f t="shared" si="3"/>
        <v>15620687.6</v>
      </c>
      <c r="F67" s="3" t="str">
        <f t="shared" si="1"/>
        <v>ETH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IFERROR(__xludf.DUMMYFUNCTION("""COMPUTED_VALUE"""),1131.403557)</f>
        <v>1131.403557</v>
      </c>
      <c r="C68" s="3">
        <f>IFERROR(__xludf.DUMMYFUNCTION("""COMPUTED_VALUE"""),1.214267643115E8)</f>
        <v>121426764.3</v>
      </c>
      <c r="D68" s="3">
        <f t="shared" si="2"/>
        <v>13542.6875</v>
      </c>
      <c r="E68" s="3">
        <f t="shared" si="3"/>
        <v>15322244.81</v>
      </c>
      <c r="F68" s="3" t="str">
        <f t="shared" si="1"/>
        <v>ETH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IFERROR(__xludf.DUMMYFUNCTION("""COMPUTED_VALUE"""),1185.475647)</f>
        <v>1185.475647</v>
      </c>
      <c r="C69" s="3">
        <f>IFERROR(__xludf.DUMMYFUNCTION("""COMPUTED_VALUE"""),1.214403329365E8)</f>
        <v>121440332.9</v>
      </c>
      <c r="D69" s="3">
        <f t="shared" si="2"/>
        <v>13568.625</v>
      </c>
      <c r="E69" s="3">
        <f t="shared" si="3"/>
        <v>16085274.5</v>
      </c>
      <c r="F69" s="3" t="str">
        <f t="shared" si="1"/>
        <v>ETH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IFERROR(__xludf.DUMMYFUNCTION("""COMPUTED_VALUE"""),1236.981738)</f>
        <v>1236.981738</v>
      </c>
      <c r="C70" s="3">
        <f>IFERROR(__xludf.DUMMYFUNCTION("""COMPUTED_VALUE"""),1.214537220615E8)</f>
        <v>121453722.1</v>
      </c>
      <c r="D70" s="3">
        <f t="shared" si="2"/>
        <v>13389.125</v>
      </c>
      <c r="E70" s="3">
        <f t="shared" si="3"/>
        <v>16562103.11</v>
      </c>
      <c r="F70" s="3" t="str">
        <f t="shared" si="1"/>
        <v>ETH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IFERROR(__xludf.DUMMYFUNCTION("""COMPUTED_VALUE"""),1213.257471)</f>
        <v>1213.257471</v>
      </c>
      <c r="C71" s="3">
        <f>IFERROR(__xludf.DUMMYFUNCTION("""COMPUTED_VALUE"""),1.214674434365E8)</f>
        <v>121467443.4</v>
      </c>
      <c r="D71" s="3">
        <f t="shared" si="2"/>
        <v>13721.375</v>
      </c>
      <c r="E71" s="3">
        <f t="shared" si="3"/>
        <v>16647560.73</v>
      </c>
      <c r="F71" s="3" t="str">
        <f t="shared" si="1"/>
        <v>ETH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IFERROR(__xludf.DUMMYFUNCTION("""COMPUTED_VALUE"""),1216.416525)</f>
        <v>1216.416525</v>
      </c>
      <c r="C72" s="3">
        <f>IFERROR(__xludf.DUMMYFUNCTION("""COMPUTED_VALUE"""),1.214807908115E8)</f>
        <v>121480790.8</v>
      </c>
      <c r="D72" s="3">
        <f t="shared" si="2"/>
        <v>13347.375</v>
      </c>
      <c r="E72" s="3">
        <f t="shared" si="3"/>
        <v>16235967.52</v>
      </c>
      <c r="F72" s="3" t="str">
        <f t="shared" si="1"/>
        <v>ETH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IFERROR(__xludf.DUMMYFUNCTION("""COMPUTED_VALUE"""),1167.566741)</f>
        <v>1167.566741</v>
      </c>
      <c r="C73" s="3">
        <f>IFERROR(__xludf.DUMMYFUNCTION("""COMPUTED_VALUE"""),1.21494294249E8)</f>
        <v>121494294.2</v>
      </c>
      <c r="D73" s="3">
        <f t="shared" si="2"/>
        <v>13503.4375</v>
      </c>
      <c r="E73" s="3">
        <f t="shared" si="3"/>
        <v>15766164.51</v>
      </c>
      <c r="F73" s="3" t="str">
        <f t="shared" si="1"/>
        <v>ETH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IFERROR(__xludf.DUMMYFUNCTION("""COMPUTED_VALUE"""),1095.325757)</f>
        <v>1095.325757</v>
      </c>
      <c r="C74" s="3">
        <f>IFERROR(__xludf.DUMMYFUNCTION("""COMPUTED_VALUE"""),1.21507817749E8)</f>
        <v>121507817.7</v>
      </c>
      <c r="D74" s="3">
        <f t="shared" si="2"/>
        <v>13523.5</v>
      </c>
      <c r="E74" s="3">
        <f t="shared" si="3"/>
        <v>14812637.87</v>
      </c>
      <c r="F74" s="3" t="str">
        <f t="shared" si="1"/>
        <v>ETH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IFERROR(__xludf.DUMMYFUNCTION("""COMPUTED_VALUE"""),1037.541899)</f>
        <v>1037.541899</v>
      </c>
      <c r="C75" s="3">
        <f>IFERROR(__xludf.DUMMYFUNCTION("""COMPUTED_VALUE"""),1.21521472499E8)</f>
        <v>121521472.5</v>
      </c>
      <c r="D75" s="3">
        <f t="shared" si="2"/>
        <v>13654.75</v>
      </c>
      <c r="E75" s="3">
        <f t="shared" si="3"/>
        <v>14167375.25</v>
      </c>
      <c r="F75" s="3" t="str">
        <f t="shared" si="1"/>
        <v>ETH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IFERROR(__xludf.DUMMYFUNCTION("""COMPUTED_VALUE"""),1114.189456)</f>
        <v>1114.189456</v>
      </c>
      <c r="C76" s="3">
        <f>IFERROR(__xludf.DUMMYFUNCTION("""COMPUTED_VALUE"""),1.215336664365E8)</f>
        <v>121533666.4</v>
      </c>
      <c r="D76" s="3">
        <f t="shared" si="2"/>
        <v>12193.9375</v>
      </c>
      <c r="E76" s="3">
        <f t="shared" si="3"/>
        <v>13586356.59</v>
      </c>
      <c r="F76" s="3" t="str">
        <f t="shared" si="1"/>
        <v>ETH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IFERROR(__xludf.DUMMYFUNCTION("""COMPUTED_VALUE"""),1192.488217)</f>
        <v>1192.488217</v>
      </c>
      <c r="C77" s="3">
        <f>IFERROR(__xludf.DUMMYFUNCTION("""COMPUTED_VALUE"""),1.21548426374E8)</f>
        <v>121548426.4</v>
      </c>
      <c r="D77" s="3">
        <f t="shared" si="2"/>
        <v>14759.9375</v>
      </c>
      <c r="E77" s="3">
        <f t="shared" si="3"/>
        <v>17601051.55</v>
      </c>
      <c r="F77" s="3" t="str">
        <f t="shared" si="1"/>
        <v>ETH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IFERROR(__xludf.DUMMYFUNCTION("""COMPUTED_VALUE"""),1231.010096)</f>
        <v>1231.010096</v>
      </c>
      <c r="C78" s="3">
        <f>IFERROR(__xludf.DUMMYFUNCTION("""COMPUTED_VALUE"""),1.215619518115E8)</f>
        <v>121561951.8</v>
      </c>
      <c r="D78" s="3">
        <f t="shared" si="2"/>
        <v>13525.4375</v>
      </c>
      <c r="E78" s="3">
        <f t="shared" si="3"/>
        <v>16649950.12</v>
      </c>
      <c r="F78" s="3" t="str">
        <f t="shared" si="1"/>
        <v>ETH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IFERROR(__xludf.DUMMYFUNCTION("""COMPUTED_VALUE"""),1355.656882)</f>
        <v>1355.656882</v>
      </c>
      <c r="C79" s="3">
        <f>IFERROR(__xludf.DUMMYFUNCTION("""COMPUTED_VALUE"""),1.215754829365E8)</f>
        <v>121575482.9</v>
      </c>
      <c r="D79" s="3">
        <f t="shared" si="2"/>
        <v>13531.125</v>
      </c>
      <c r="E79" s="3">
        <f t="shared" si="3"/>
        <v>18343562.73</v>
      </c>
      <c r="F79" s="3" t="str">
        <f t="shared" si="1"/>
        <v>ETH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IFERROR(__xludf.DUMMYFUNCTION("""COMPUTED_VALUE"""),1338.098367)</f>
        <v>1338.098367</v>
      </c>
      <c r="C80" s="3">
        <f>IFERROR(__xludf.DUMMYFUNCTION("""COMPUTED_VALUE"""),1.21588820999E8)</f>
        <v>121588821</v>
      </c>
      <c r="D80" s="3">
        <f t="shared" si="2"/>
        <v>13338.0625</v>
      </c>
      <c r="E80" s="3">
        <f t="shared" si="3"/>
        <v>17847639.65</v>
      </c>
      <c r="F80" s="3" t="str">
        <f t="shared" si="1"/>
        <v>ETH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IFERROR(__xludf.DUMMYFUNCTION("""COMPUTED_VALUE"""),1580.82875)</f>
        <v>1580.82875</v>
      </c>
      <c r="C81" s="3">
        <f>IFERROR(__xludf.DUMMYFUNCTION("""COMPUTED_VALUE"""),1.21602448874E8)</f>
        <v>121602448.9</v>
      </c>
      <c r="D81" s="3">
        <f t="shared" si="2"/>
        <v>13627.875</v>
      </c>
      <c r="E81" s="3">
        <f t="shared" si="3"/>
        <v>21543336.6</v>
      </c>
      <c r="F81" s="3" t="str">
        <f t="shared" si="1"/>
        <v>ETH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IFERROR(__xludf.DUMMYFUNCTION("""COMPUTED_VALUE"""),1542.496673)</f>
        <v>1542.496673</v>
      </c>
      <c r="C82" s="3">
        <f>IFERROR(__xludf.DUMMYFUNCTION("""COMPUTED_VALUE"""),1.21616092874E8)</f>
        <v>121616092.9</v>
      </c>
      <c r="D82" s="3">
        <f t="shared" si="2"/>
        <v>13644</v>
      </c>
      <c r="E82" s="3">
        <f t="shared" si="3"/>
        <v>21045824.61</v>
      </c>
      <c r="F82" s="3" t="str">
        <f t="shared" si="1"/>
        <v>ETH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IFERROR(__xludf.DUMMYFUNCTION("""COMPUTED_VALUE"""),1521.624521)</f>
        <v>1521.624521</v>
      </c>
      <c r="C83" s="3">
        <f>IFERROR(__xludf.DUMMYFUNCTION("""COMPUTED_VALUE"""),1.21629513249E8)</f>
        <v>121629513.2</v>
      </c>
      <c r="D83" s="3">
        <f t="shared" si="2"/>
        <v>13420.375</v>
      </c>
      <c r="E83" s="3">
        <f t="shared" si="3"/>
        <v>20420771.68</v>
      </c>
      <c r="F83" s="3" t="str">
        <f t="shared" si="1"/>
        <v>ETH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IFERROR(__xludf.DUMMYFUNCTION("""COMPUTED_VALUE"""),1575.265469)</f>
        <v>1575.265469</v>
      </c>
      <c r="C84" s="3">
        <f>IFERROR(__xludf.DUMMYFUNCTION("""COMPUTED_VALUE"""),1.21643128374E8)</f>
        <v>121643128.4</v>
      </c>
      <c r="D84" s="3">
        <f t="shared" si="2"/>
        <v>13615.125</v>
      </c>
      <c r="E84" s="3">
        <f t="shared" si="3"/>
        <v>21447436.27</v>
      </c>
      <c r="F84" s="3" t="str">
        <f t="shared" si="1"/>
        <v>ETH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IFERROR(__xludf.DUMMYFUNCTION("""COMPUTED_VALUE"""),1535.380278)</f>
        <v>1535.380278</v>
      </c>
      <c r="C85" s="3">
        <f>IFERROR(__xludf.DUMMYFUNCTION("""COMPUTED_VALUE"""),1.21656657374E8)</f>
        <v>121656657.4</v>
      </c>
      <c r="D85" s="3">
        <f t="shared" si="2"/>
        <v>13529</v>
      </c>
      <c r="E85" s="3">
        <f t="shared" si="3"/>
        <v>20772159.78</v>
      </c>
      <c r="F85" s="3" t="str">
        <f t="shared" si="1"/>
        <v>ETH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IFERROR(__xludf.DUMMYFUNCTION("""COMPUTED_VALUE"""),1546.930733)</f>
        <v>1546.930733</v>
      </c>
      <c r="C86" s="3">
        <f>IFERROR(__xludf.DUMMYFUNCTION("""COMPUTED_VALUE"""),1.21670300499E8)</f>
        <v>121670300.5</v>
      </c>
      <c r="D86" s="3">
        <f t="shared" si="2"/>
        <v>13643.125</v>
      </c>
      <c r="E86" s="3">
        <f t="shared" si="3"/>
        <v>21104969.36</v>
      </c>
      <c r="F86" s="3" t="str">
        <f t="shared" si="1"/>
        <v>ETH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IFERROR(__xludf.DUMMYFUNCTION("""COMPUTED_VALUE"""),1597.798685)</f>
        <v>1597.798685</v>
      </c>
      <c r="C87" s="3">
        <f>IFERROR(__xludf.DUMMYFUNCTION("""COMPUTED_VALUE"""),1.21683671999E8)</f>
        <v>121683672</v>
      </c>
      <c r="D87" s="3">
        <f t="shared" si="2"/>
        <v>13371.5</v>
      </c>
      <c r="E87" s="3">
        <f t="shared" si="3"/>
        <v>21364965.12</v>
      </c>
      <c r="F87" s="3" t="str">
        <f t="shared" si="1"/>
        <v>ETH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IFERROR(__xludf.DUMMYFUNCTION("""COMPUTED_VALUE"""),1440.472152)</f>
        <v>1440.472152</v>
      </c>
      <c r="C88" s="3">
        <f>IFERROR(__xludf.DUMMYFUNCTION("""COMPUTED_VALUE"""),1.21697017124E8)</f>
        <v>121697017.1</v>
      </c>
      <c r="D88" s="3">
        <f t="shared" si="2"/>
        <v>13345.125</v>
      </c>
      <c r="E88" s="3">
        <f t="shared" si="3"/>
        <v>19223280.93</v>
      </c>
      <c r="F88" s="3" t="str">
        <f t="shared" si="1"/>
        <v>ETH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IFERROR(__xludf.DUMMYFUNCTION("""COMPUTED_VALUE"""),1449.390574)</f>
        <v>1449.390574</v>
      </c>
      <c r="C89" s="3">
        <f>IFERROR(__xludf.DUMMYFUNCTION("""COMPUTED_VALUE"""),1.21710489124E8)</f>
        <v>121710489.1</v>
      </c>
      <c r="D89" s="3">
        <f t="shared" si="2"/>
        <v>13472</v>
      </c>
      <c r="E89" s="3">
        <f t="shared" si="3"/>
        <v>19526189.81</v>
      </c>
      <c r="F89" s="3" t="str">
        <f t="shared" si="1"/>
        <v>ETH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IFERROR(__xludf.DUMMYFUNCTION("""COMPUTED_VALUE"""),1639.197877)</f>
        <v>1639.197877</v>
      </c>
      <c r="C90" s="3">
        <f>IFERROR(__xludf.DUMMYFUNCTION("""COMPUTED_VALUE"""),1.21724019374E8)</f>
        <v>121724019.4</v>
      </c>
      <c r="D90" s="3">
        <f t="shared" si="2"/>
        <v>13530.25</v>
      </c>
      <c r="E90" s="3">
        <f t="shared" si="3"/>
        <v>22178757.08</v>
      </c>
      <c r="F90" s="3" t="str">
        <f t="shared" si="1"/>
        <v>ETH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IFERROR(__xludf.DUMMYFUNCTION("""COMPUTED_VALUE"""),1727.041713)</f>
        <v>1727.041713</v>
      </c>
      <c r="C91" s="3">
        <f>IFERROR(__xludf.DUMMYFUNCTION("""COMPUTED_VALUE"""),1.21735327999E8)</f>
        <v>121735328</v>
      </c>
      <c r="D91" s="3">
        <f t="shared" si="2"/>
        <v>11308.625</v>
      </c>
      <c r="E91" s="3">
        <f t="shared" si="3"/>
        <v>19530467.09</v>
      </c>
      <c r="F91" s="3" t="str">
        <f t="shared" si="1"/>
        <v>ETH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IFERROR(__xludf.DUMMYFUNCTION("""COMPUTED_VALUE"""),1722.518435)</f>
        <v>1722.518435</v>
      </c>
      <c r="C92" s="3">
        <f>IFERROR(__xludf.DUMMYFUNCTION("""COMPUTED_VALUE"""),1.217509870615E8)</f>
        <v>121750987.1</v>
      </c>
      <c r="D92" s="3">
        <f t="shared" si="2"/>
        <v>15659.0625</v>
      </c>
      <c r="E92" s="3">
        <f t="shared" si="3"/>
        <v>26973023.83</v>
      </c>
      <c r="F92" s="3" t="str">
        <f t="shared" si="1"/>
        <v>ETH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IFERROR(__xludf.DUMMYFUNCTION("""COMPUTED_VALUE"""),1697.25136)</f>
        <v>1697.25136</v>
      </c>
      <c r="C93" s="3">
        <f>IFERROR(__xludf.DUMMYFUNCTION("""COMPUTED_VALUE"""),1.217644379365E8)</f>
        <v>121764437.9</v>
      </c>
      <c r="D93" s="3">
        <f t="shared" si="2"/>
        <v>13450.875</v>
      </c>
      <c r="E93" s="3">
        <f t="shared" si="3"/>
        <v>22829515.89</v>
      </c>
      <c r="F93" s="3" t="str">
        <f t="shared" si="1"/>
        <v>ETH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IFERROR(__xludf.DUMMYFUNCTION("""COMPUTED_VALUE"""),1679.23631)</f>
        <v>1679.23631</v>
      </c>
      <c r="C94" s="3">
        <f>IFERROR(__xludf.DUMMYFUNCTION("""COMPUTED_VALUE"""),1.217779445615E8)</f>
        <v>121777944.6</v>
      </c>
      <c r="D94" s="3">
        <f t="shared" si="2"/>
        <v>13506.625</v>
      </c>
      <c r="E94" s="3">
        <f t="shared" si="3"/>
        <v>22680815.13</v>
      </c>
      <c r="F94" s="3" t="str">
        <f t="shared" si="1"/>
        <v>ETH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IFERROR(__xludf.DUMMYFUNCTION("""COMPUTED_VALUE"""),1628.808581)</f>
        <v>1628.808581</v>
      </c>
      <c r="C95" s="3">
        <f>IFERROR(__xludf.DUMMYFUNCTION("""COMPUTED_VALUE"""),1.217913971865E8)</f>
        <v>121791397.2</v>
      </c>
      <c r="D95" s="3">
        <f t="shared" si="2"/>
        <v>13452.625</v>
      </c>
      <c r="E95" s="3">
        <f t="shared" si="3"/>
        <v>21911751.04</v>
      </c>
      <c r="F95" s="3" t="str">
        <f t="shared" si="1"/>
        <v>ETH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IFERROR(__xludf.DUMMYFUNCTION("""COMPUTED_VALUE"""),1631.25256)</f>
        <v>1631.25256</v>
      </c>
      <c r="C96" s="3">
        <f>IFERROR(__xludf.DUMMYFUNCTION("""COMPUTED_VALUE"""),1.21804929374E8)</f>
        <v>121804929.4</v>
      </c>
      <c r="D96" s="3">
        <f t="shared" si="2"/>
        <v>13532.1875</v>
      </c>
      <c r="E96" s="3">
        <f t="shared" si="3"/>
        <v>22074415.5</v>
      </c>
      <c r="F96" s="3" t="str">
        <f t="shared" si="1"/>
        <v>ETH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IFERROR(__xludf.DUMMYFUNCTION("""COMPUTED_VALUE"""),1619.707089)</f>
        <v>1619.707089</v>
      </c>
      <c r="C97" s="3">
        <f>IFERROR(__xludf.DUMMYFUNCTION("""COMPUTED_VALUE"""),1.218182974365E8)</f>
        <v>121818297.4</v>
      </c>
      <c r="D97" s="3">
        <f t="shared" si="2"/>
        <v>13368.0625</v>
      </c>
      <c r="E97" s="3">
        <f t="shared" si="3"/>
        <v>21652345.6</v>
      </c>
      <c r="F97" s="3" t="str">
        <f t="shared" si="1"/>
        <v>ETH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IFERROR(__xludf.DUMMYFUNCTION("""COMPUTED_VALUE"""),1607.061603)</f>
        <v>1607.061603</v>
      </c>
      <c r="C98" s="3">
        <f>IFERROR(__xludf.DUMMYFUNCTION("""COMPUTED_VALUE"""),1.21831680249E8)</f>
        <v>121831680.2</v>
      </c>
      <c r="D98" s="3">
        <f t="shared" si="2"/>
        <v>13382.8125</v>
      </c>
      <c r="E98" s="3">
        <f t="shared" si="3"/>
        <v>21507004.11</v>
      </c>
      <c r="F98" s="3" t="str">
        <f t="shared" si="1"/>
        <v>ETH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IFERROR(__xludf.DUMMYFUNCTION("""COMPUTED_VALUE"""),1730.561515)</f>
        <v>1730.561515</v>
      </c>
      <c r="C99" s="3">
        <f>IFERROR(__xludf.DUMMYFUNCTION("""COMPUTED_VALUE"""),1.21845295374E8)</f>
        <v>121845295.4</v>
      </c>
      <c r="D99" s="3">
        <f t="shared" si="2"/>
        <v>13615.125</v>
      </c>
      <c r="E99" s="3">
        <f t="shared" si="3"/>
        <v>23561811.35</v>
      </c>
      <c r="F99" s="3" t="str">
        <f t="shared" si="1"/>
        <v>ETH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IFERROR(__xludf.DUMMYFUNCTION("""COMPUTED_VALUE"""),1691.447338)</f>
        <v>1691.447338</v>
      </c>
      <c r="C100" s="3">
        <f>IFERROR(__xludf.DUMMYFUNCTION("""COMPUTED_VALUE"""),1.21858727624E8)</f>
        <v>121858727.6</v>
      </c>
      <c r="D100" s="3">
        <f t="shared" si="2"/>
        <v>13432.25</v>
      </c>
      <c r="E100" s="3">
        <f t="shared" si="3"/>
        <v>22719943.51</v>
      </c>
      <c r="F100" s="3" t="str">
        <f t="shared" si="1"/>
        <v>ETH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IFERROR(__xludf.DUMMYFUNCTION("""COMPUTED_VALUE"""),1700.539855)</f>
        <v>1700.539855</v>
      </c>
      <c r="C101" s="3">
        <f>IFERROR(__xludf.DUMMYFUNCTION("""COMPUTED_VALUE"""),1.21872196749E8)</f>
        <v>121872196.7</v>
      </c>
      <c r="D101" s="3">
        <f t="shared" si="2"/>
        <v>13469.125</v>
      </c>
      <c r="E101" s="3">
        <f t="shared" si="3"/>
        <v>22904783.87</v>
      </c>
      <c r="F101" s="3" t="str">
        <f t="shared" si="1"/>
        <v>ETH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IFERROR(__xludf.DUMMYFUNCTION("""COMPUTED_VALUE"""),1777.071254)</f>
        <v>1777.071254</v>
      </c>
      <c r="C102" s="3">
        <f>IFERROR(__xludf.DUMMYFUNCTION("""COMPUTED_VALUE"""),1.21885552374E8)</f>
        <v>121885552.4</v>
      </c>
      <c r="D102" s="3">
        <f t="shared" si="2"/>
        <v>13355.625</v>
      </c>
      <c r="E102" s="3">
        <f t="shared" si="3"/>
        <v>23733897.27</v>
      </c>
      <c r="F102" s="3" t="str">
        <f t="shared" si="1"/>
        <v>ETH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IFERROR(__xludf.DUMMYFUNCTION("""COMPUTED_VALUE"""),1700.850174)</f>
        <v>1700.850174</v>
      </c>
      <c r="C103" s="3">
        <f>IFERROR(__xludf.DUMMYFUNCTION("""COMPUTED_VALUE"""),1.21898991874E8)</f>
        <v>121898991.9</v>
      </c>
      <c r="D103" s="3">
        <f t="shared" si="2"/>
        <v>13439.5</v>
      </c>
      <c r="E103" s="3">
        <f t="shared" si="3"/>
        <v>22858575.91</v>
      </c>
      <c r="F103" s="3" t="str">
        <f t="shared" si="1"/>
        <v>ETH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IFERROR(__xludf.DUMMYFUNCTION("""COMPUTED_VALUE"""),1855.691904)</f>
        <v>1855.691904</v>
      </c>
      <c r="C104" s="3">
        <f>IFERROR(__xludf.DUMMYFUNCTION("""COMPUTED_VALUE"""),1.21912215249E8)</f>
        <v>121912215.2</v>
      </c>
      <c r="D104" s="3">
        <f t="shared" si="2"/>
        <v>13223.375</v>
      </c>
      <c r="E104" s="3">
        <f t="shared" si="3"/>
        <v>24538509.93</v>
      </c>
      <c r="F104" s="3" t="str">
        <f t="shared" si="1"/>
        <v>ETH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IFERROR(__xludf.DUMMYFUNCTION("""COMPUTED_VALUE"""),1881.820674)</f>
        <v>1881.820674</v>
      </c>
      <c r="C105" s="3">
        <f>IFERROR(__xludf.DUMMYFUNCTION("""COMPUTED_VALUE"""),1.21925475624E8)</f>
        <v>121925475.6</v>
      </c>
      <c r="D105" s="3">
        <f t="shared" si="2"/>
        <v>13260.375</v>
      </c>
      <c r="E105" s="3">
        <f t="shared" si="3"/>
        <v>24953647.82</v>
      </c>
      <c r="F105" s="3" t="str">
        <f t="shared" si="1"/>
        <v>ETH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IFERROR(__xludf.DUMMYFUNCTION("""COMPUTED_VALUE"""),1955.87313)</f>
        <v>1955.87313</v>
      </c>
      <c r="C106" s="3">
        <f>IFERROR(__xludf.DUMMYFUNCTION("""COMPUTED_VALUE"""),1.219387579365E8)</f>
        <v>121938757.9</v>
      </c>
      <c r="D106" s="3">
        <f t="shared" si="2"/>
        <v>13282.3125</v>
      </c>
      <c r="E106" s="3">
        <f t="shared" si="3"/>
        <v>25978518.12</v>
      </c>
      <c r="F106" s="3" t="str">
        <f t="shared" si="1"/>
        <v>ETH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IFERROR(__xludf.DUMMYFUNCTION("""COMPUTED_VALUE"""),1983.94942)</f>
        <v>1983.94942</v>
      </c>
      <c r="C107" s="3">
        <f>IFERROR(__xludf.DUMMYFUNCTION("""COMPUTED_VALUE"""),1.219520475615E8)</f>
        <v>121952047.6</v>
      </c>
      <c r="D107" s="3">
        <f t="shared" si="2"/>
        <v>13289.625</v>
      </c>
      <c r="E107" s="3">
        <f t="shared" si="3"/>
        <v>26365943.81</v>
      </c>
      <c r="F107" s="3" t="str">
        <f t="shared" si="1"/>
        <v>ETH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IFERROR(__xludf.DUMMYFUNCTION("""COMPUTED_VALUE"""),1935.668782)</f>
        <v>1935.668782</v>
      </c>
      <c r="C108" s="3">
        <f>IFERROR(__xludf.DUMMYFUNCTION("""COMPUTED_VALUE"""),1.219654183115E8)</f>
        <v>121965418.3</v>
      </c>
      <c r="D108" s="3">
        <f t="shared" si="2"/>
        <v>13370.75</v>
      </c>
      <c r="E108" s="3">
        <f t="shared" si="3"/>
        <v>25881343.37</v>
      </c>
      <c r="F108" s="3" t="str">
        <f t="shared" si="1"/>
        <v>ETH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IFERROR(__xludf.DUMMYFUNCTION("""COMPUTED_VALUE"""),1899.501111)</f>
        <v>1899.501111</v>
      </c>
      <c r="C109" s="3">
        <f>IFERROR(__xludf.DUMMYFUNCTION("""COMPUTED_VALUE"""),1.219785254365E8)</f>
        <v>121978525.4</v>
      </c>
      <c r="D109" s="3">
        <f t="shared" si="2"/>
        <v>13107.125</v>
      </c>
      <c r="E109" s="3">
        <f t="shared" si="3"/>
        <v>24896998.5</v>
      </c>
      <c r="F109" s="3" t="str">
        <f t="shared" si="1"/>
        <v>ETH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IFERROR(__xludf.DUMMYFUNCTION("""COMPUTED_VALUE"""),1877.001195)</f>
        <v>1877.001195</v>
      </c>
      <c r="C110" s="3">
        <f>IFERROR(__xludf.DUMMYFUNCTION("""COMPUTED_VALUE"""),1.21991912124E8)</f>
        <v>121991912.1</v>
      </c>
      <c r="D110" s="3">
        <f t="shared" si="2"/>
        <v>13386.6875</v>
      </c>
      <c r="E110" s="3">
        <f t="shared" si="3"/>
        <v>25126828.43</v>
      </c>
      <c r="F110" s="3" t="str">
        <f t="shared" si="1"/>
        <v>ETH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IFERROR(__xludf.DUMMYFUNCTION("""COMPUTED_VALUE"""),1834.275353)</f>
        <v>1834.275353</v>
      </c>
      <c r="C111" s="3">
        <f>IFERROR(__xludf.DUMMYFUNCTION("""COMPUTED_VALUE"""),1.22005065124E8)</f>
        <v>122005065.1</v>
      </c>
      <c r="D111" s="3">
        <f t="shared" si="2"/>
        <v>13153</v>
      </c>
      <c r="E111" s="3">
        <f t="shared" si="3"/>
        <v>24126223.72</v>
      </c>
      <c r="F111" s="3" t="str">
        <f t="shared" si="1"/>
        <v>ETH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IFERROR(__xludf.DUMMYFUNCTION("""COMPUTED_VALUE"""),1846.508019)</f>
        <v>1846.508019</v>
      </c>
      <c r="C112" s="3">
        <f>IFERROR(__xludf.DUMMYFUNCTION("""COMPUTED_VALUE"""),1.22018279374E8)</f>
        <v>122018279.4</v>
      </c>
      <c r="D112" s="3">
        <f t="shared" si="2"/>
        <v>13214.25</v>
      </c>
      <c r="E112" s="3">
        <f t="shared" si="3"/>
        <v>24400218.59</v>
      </c>
      <c r="F112" s="3" t="str">
        <f t="shared" si="1"/>
        <v>ETH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IFERROR(__xludf.DUMMYFUNCTION("""COMPUTED_VALUE"""),1608.939858)</f>
        <v>1608.939858</v>
      </c>
      <c r="C113" s="3">
        <f>IFERROR(__xludf.DUMMYFUNCTION("""COMPUTED_VALUE"""),1.22031473749E8)</f>
        <v>122031473.7</v>
      </c>
      <c r="D113" s="3">
        <f t="shared" si="2"/>
        <v>13194.375</v>
      </c>
      <c r="E113" s="3">
        <f t="shared" si="3"/>
        <v>21228955.84</v>
      </c>
      <c r="F113" s="3" t="str">
        <f t="shared" si="1"/>
        <v>ETH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IFERROR(__xludf.DUMMYFUNCTION("""COMPUTED_VALUE"""),1576.148689)</f>
        <v>1576.148689</v>
      </c>
      <c r="C114" s="3">
        <f>IFERROR(__xludf.DUMMYFUNCTION("""COMPUTED_VALUE"""),1.220447804365E8)</f>
        <v>122044780.4</v>
      </c>
      <c r="D114" s="3">
        <f t="shared" si="2"/>
        <v>13306.6875</v>
      </c>
      <c r="E114" s="3">
        <f t="shared" si="3"/>
        <v>20973318.06</v>
      </c>
      <c r="F114" s="3" t="str">
        <f t="shared" si="1"/>
        <v>ETH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IFERROR(__xludf.DUMMYFUNCTION("""COMPUTED_VALUE"""),1618.028499)</f>
        <v>1618.028499</v>
      </c>
      <c r="C115" s="3">
        <f>IFERROR(__xludf.DUMMYFUNCTION("""COMPUTED_VALUE"""),1.22058088249E8)</f>
        <v>122058088.2</v>
      </c>
      <c r="D115" s="3">
        <f t="shared" si="2"/>
        <v>13307.8125</v>
      </c>
      <c r="E115" s="3">
        <f t="shared" si="3"/>
        <v>21532419.88</v>
      </c>
      <c r="F115" s="3" t="str">
        <f t="shared" si="1"/>
        <v>ETH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IFERROR(__xludf.DUMMYFUNCTION("""COMPUTED_VALUE"""),1624.689747)</f>
        <v>1624.689747</v>
      </c>
      <c r="C116" s="3">
        <f>IFERROR(__xludf.DUMMYFUNCTION("""COMPUTED_VALUE"""),1.220712971865E8)</f>
        <v>122071297.2</v>
      </c>
      <c r="D116" s="3">
        <f t="shared" si="2"/>
        <v>13208.9375</v>
      </c>
      <c r="E116" s="3">
        <f t="shared" si="3"/>
        <v>21460425.33</v>
      </c>
      <c r="F116" s="3" t="str">
        <f t="shared" si="1"/>
        <v>ETH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IFERROR(__xludf.DUMMYFUNCTION("""COMPUTED_VALUE"""),1665.545474)</f>
        <v>1665.545474</v>
      </c>
      <c r="C117" s="3">
        <f>IFERROR(__xludf.DUMMYFUNCTION("""COMPUTED_VALUE"""),1.22084696374E8)</f>
        <v>122084696.4</v>
      </c>
      <c r="D117" s="3">
        <f t="shared" si="2"/>
        <v>13399.1875</v>
      </c>
      <c r="E117" s="3">
        <f t="shared" si="3"/>
        <v>22316956.1</v>
      </c>
      <c r="F117" s="3" t="str">
        <f t="shared" si="1"/>
        <v>ETH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IFERROR(__xludf.DUMMYFUNCTION("""COMPUTED_VALUE"""),1656.520432)</f>
        <v>1656.520432</v>
      </c>
      <c r="C118" s="3">
        <f>IFERROR(__xludf.DUMMYFUNCTION("""COMPUTED_VALUE"""),1.220978149365E8)</f>
        <v>122097814.9</v>
      </c>
      <c r="D118" s="3">
        <f t="shared" si="2"/>
        <v>13118.5625</v>
      </c>
      <c r="E118" s="3">
        <f t="shared" si="3"/>
        <v>21731166.82</v>
      </c>
      <c r="F118" s="3" t="str">
        <f t="shared" si="1"/>
        <v>ETH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IFERROR(__xludf.DUMMYFUNCTION("""COMPUTED_VALUE"""),1694.993422)</f>
        <v>1694.993422</v>
      </c>
      <c r="C119" s="3">
        <f>IFERROR(__xludf.DUMMYFUNCTION("""COMPUTED_VALUE"""),1.221106884365E8)</f>
        <v>122110688.4</v>
      </c>
      <c r="D119" s="3">
        <f t="shared" si="2"/>
        <v>12873.5</v>
      </c>
      <c r="E119" s="3">
        <f t="shared" si="3"/>
        <v>21820497.82</v>
      </c>
      <c r="F119" s="3" t="str">
        <f t="shared" si="1"/>
        <v>ETH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IFERROR(__xludf.DUMMYFUNCTION("""COMPUTED_VALUE"""),1507.982561)</f>
        <v>1507.982561</v>
      </c>
      <c r="C120" s="3">
        <f>IFERROR(__xludf.DUMMYFUNCTION("""COMPUTED_VALUE"""),1.22123849499E8)</f>
        <v>122123849.5</v>
      </c>
      <c r="D120" s="3">
        <f t="shared" si="2"/>
        <v>13161.0625</v>
      </c>
      <c r="E120" s="3">
        <f t="shared" si="3"/>
        <v>19846652.73</v>
      </c>
      <c r="F120" s="3" t="str">
        <f t="shared" si="1"/>
        <v>ETH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IFERROR(__xludf.DUMMYFUNCTION("""COMPUTED_VALUE"""),1492.311312)</f>
        <v>1492.311312</v>
      </c>
      <c r="C121" s="3">
        <f>IFERROR(__xludf.DUMMYFUNCTION("""COMPUTED_VALUE"""),1.22136903999E8)</f>
        <v>122136904</v>
      </c>
      <c r="D121" s="3">
        <f t="shared" si="2"/>
        <v>13054.5</v>
      </c>
      <c r="E121" s="3">
        <f t="shared" si="3"/>
        <v>19481378.02</v>
      </c>
      <c r="F121" s="3" t="str">
        <f t="shared" si="1"/>
        <v>ETH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IFERROR(__xludf.DUMMYFUNCTION("""COMPUTED_VALUE"""),1427.004358)</f>
        <v>1427.004358</v>
      </c>
      <c r="C122" s="3">
        <f>IFERROR(__xludf.DUMMYFUNCTION("""COMPUTED_VALUE"""),1.22149970749E8)</f>
        <v>122149970.7</v>
      </c>
      <c r="D122" s="3">
        <f t="shared" si="2"/>
        <v>13066.75</v>
      </c>
      <c r="E122" s="3">
        <f t="shared" si="3"/>
        <v>18646309.19</v>
      </c>
      <c r="F122" s="3" t="str">
        <f t="shared" si="1"/>
        <v>ETH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IFERROR(__xludf.DUMMYFUNCTION("""COMPUTED_VALUE"""),1551.822573)</f>
        <v>1551.822573</v>
      </c>
      <c r="C123" s="3">
        <f>IFERROR(__xludf.DUMMYFUNCTION("""COMPUTED_VALUE"""),1.221620325615E8)</f>
        <v>122162032.6</v>
      </c>
      <c r="D123" s="3">
        <f t="shared" si="2"/>
        <v>12061.8125</v>
      </c>
      <c r="E123" s="3">
        <f t="shared" si="3"/>
        <v>18717792.91</v>
      </c>
      <c r="F123" s="3" t="str">
        <f t="shared" si="1"/>
        <v>ETH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IFERROR(__xludf.DUMMYFUNCTION("""COMPUTED_VALUE"""),1524.773815)</f>
        <v>1524.773815</v>
      </c>
      <c r="C124" s="3">
        <f>IFERROR(__xludf.DUMMYFUNCTION("""COMPUTED_VALUE"""),1.22176132374E8)</f>
        <v>122176132.4</v>
      </c>
      <c r="D124" s="3">
        <f t="shared" si="2"/>
        <v>14099.8125</v>
      </c>
      <c r="E124" s="3">
        <f t="shared" si="3"/>
        <v>21499024.9</v>
      </c>
      <c r="F124" s="3" t="str">
        <f t="shared" si="1"/>
        <v>ETH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IFERROR(__xludf.DUMMYFUNCTION("""COMPUTED_VALUE"""),1553.983552)</f>
        <v>1553.983552</v>
      </c>
      <c r="C125" s="3">
        <f>IFERROR(__xludf.DUMMYFUNCTION("""COMPUTED_VALUE"""),1.22189245374E8)</f>
        <v>122189245.4</v>
      </c>
      <c r="D125" s="3">
        <f t="shared" si="2"/>
        <v>13113</v>
      </c>
      <c r="E125" s="3">
        <f t="shared" si="3"/>
        <v>20377386.32</v>
      </c>
      <c r="F125" s="3" t="str">
        <f t="shared" si="1"/>
        <v>ETH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IFERROR(__xludf.DUMMYFUNCTION("""COMPUTED_VALUE"""),1585.902543)</f>
        <v>1585.902543</v>
      </c>
      <c r="C126" s="3">
        <f>IFERROR(__xludf.DUMMYFUNCTION("""COMPUTED_VALUE"""),1.222023008115E8)</f>
        <v>122202300.8</v>
      </c>
      <c r="D126" s="3">
        <f t="shared" si="2"/>
        <v>13055.4375</v>
      </c>
      <c r="E126" s="3">
        <f t="shared" si="3"/>
        <v>20704651.53</v>
      </c>
      <c r="F126" s="3" t="str">
        <f t="shared" si="1"/>
        <v>ETH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IFERROR(__xludf.DUMMYFUNCTION("""COMPUTED_VALUE"""),1575.335525)</f>
        <v>1575.335525</v>
      </c>
      <c r="C127" s="3">
        <f>IFERROR(__xludf.DUMMYFUNCTION("""COMPUTED_VALUE"""),1.22215466999E8)</f>
        <v>122215467</v>
      </c>
      <c r="D127" s="3">
        <f t="shared" si="2"/>
        <v>13166.1875</v>
      </c>
      <c r="E127" s="3">
        <f t="shared" si="3"/>
        <v>20741162.9</v>
      </c>
      <c r="F127" s="3" t="str">
        <f t="shared" si="1"/>
        <v>ETH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IFERROR(__xludf.DUMMYFUNCTION("""COMPUTED_VALUE"""),1557.439166)</f>
        <v>1557.439166</v>
      </c>
      <c r="C128" s="3">
        <f>IFERROR(__xludf.DUMMYFUNCTION("""COMPUTED_VALUE"""),1.222284448115E8)</f>
        <v>122228444.8</v>
      </c>
      <c r="D128" s="3">
        <f t="shared" si="2"/>
        <v>12977.8125</v>
      </c>
      <c r="E128" s="3">
        <f t="shared" si="3"/>
        <v>20212153.48</v>
      </c>
      <c r="F128" s="3" t="str">
        <f t="shared" si="1"/>
        <v>ETH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IFERROR(__xludf.DUMMYFUNCTION("""COMPUTED_VALUE"""),1579.110999)</f>
        <v>1579.110999</v>
      </c>
      <c r="C129" s="3">
        <f>IFERROR(__xludf.DUMMYFUNCTION("""COMPUTED_VALUE"""),1.222415651865E8)</f>
        <v>122241565.2</v>
      </c>
      <c r="D129" s="3">
        <f t="shared" si="2"/>
        <v>13120.375</v>
      </c>
      <c r="E129" s="3">
        <f t="shared" si="3"/>
        <v>20718528.47</v>
      </c>
      <c r="F129" s="3" t="str">
        <f t="shared" si="1"/>
        <v>ETH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IFERROR(__xludf.DUMMYFUNCTION("""COMPUTED_VALUE"""),1617.890692)</f>
        <v>1617.890692</v>
      </c>
      <c r="C130" s="3">
        <f>IFERROR(__xludf.DUMMYFUNCTION("""COMPUTED_VALUE"""),1.22254497999E8)</f>
        <v>122254498</v>
      </c>
      <c r="D130" s="3">
        <f t="shared" si="2"/>
        <v>12932.8125</v>
      </c>
      <c r="E130" s="3">
        <f t="shared" si="3"/>
        <v>20923876.97</v>
      </c>
      <c r="F130" s="3" t="str">
        <f t="shared" si="1"/>
        <v>ETH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IFERROR(__xludf.DUMMYFUNCTION("""COMPUTED_VALUE"""),1558.804746)</f>
        <v>1558.804746</v>
      </c>
      <c r="C131" s="3">
        <f>IFERROR(__xludf.DUMMYFUNCTION("""COMPUTED_VALUE"""),1.222665316865E8)</f>
        <v>122266531.7</v>
      </c>
      <c r="D131" s="3">
        <f t="shared" si="2"/>
        <v>12033.6875</v>
      </c>
      <c r="E131" s="3">
        <f t="shared" si="3"/>
        <v>18758169.19</v>
      </c>
      <c r="F131" s="3" t="str">
        <f t="shared" si="1"/>
        <v>ETH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IFERROR(__xludf.DUMMYFUNCTION("""COMPUTED_VALUE"""),1629.855355)</f>
        <v>1629.855355</v>
      </c>
      <c r="C132" s="3">
        <f>IFERROR(__xludf.DUMMYFUNCTION("""COMPUTED_VALUE"""),1.22280570499E8)</f>
        <v>122280570.5</v>
      </c>
      <c r="D132" s="3">
        <f t="shared" si="2"/>
        <v>14038.8125</v>
      </c>
      <c r="E132" s="3">
        <f t="shared" si="3"/>
        <v>22881233.73</v>
      </c>
      <c r="F132" s="3" t="str">
        <f t="shared" si="1"/>
        <v>ETH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IFERROR(__xludf.DUMMYFUNCTION("""COMPUTED_VALUE"""),1635.527319)</f>
        <v>1635.527319</v>
      </c>
      <c r="C133" s="3">
        <f>IFERROR(__xludf.DUMMYFUNCTION("""COMPUTED_VALUE"""),1.222936475615E8)</f>
        <v>122293647.6</v>
      </c>
      <c r="D133" s="3">
        <f t="shared" si="2"/>
        <v>13077.0625</v>
      </c>
      <c r="E133" s="3">
        <f t="shared" si="3"/>
        <v>21387892.97</v>
      </c>
      <c r="F133" s="3" t="str">
        <f t="shared" si="1"/>
        <v>ETH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IFERROR(__xludf.DUMMYFUNCTION("""COMPUTED_VALUE"""),1718.862165)</f>
        <v>1718.862165</v>
      </c>
      <c r="C134" s="3">
        <f>IFERROR(__xludf.DUMMYFUNCTION("""COMPUTED_VALUE"""),1.223064031865E8)</f>
        <v>122306403.2</v>
      </c>
      <c r="D134" s="3">
        <f t="shared" si="2"/>
        <v>12755.625</v>
      </c>
      <c r="E134" s="3">
        <f t="shared" si="3"/>
        <v>21925161.2</v>
      </c>
      <c r="F134" s="3" t="str">
        <f t="shared" si="1"/>
        <v>ETH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IFERROR(__xludf.DUMMYFUNCTION("""COMPUTED_VALUE"""),1774.8769)</f>
        <v>1774.8769</v>
      </c>
      <c r="C135" s="3">
        <f>IFERROR(__xludf.DUMMYFUNCTION("""COMPUTED_VALUE"""),1.22319015999E8)</f>
        <v>122319016</v>
      </c>
      <c r="D135" s="3">
        <f t="shared" si="2"/>
        <v>12612.8125</v>
      </c>
      <c r="E135" s="3">
        <f t="shared" si="3"/>
        <v>22386189.55</v>
      </c>
      <c r="F135" s="3" t="str">
        <f t="shared" si="1"/>
        <v>ETH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IFERROR(__xludf.DUMMYFUNCTION("""COMPUTED_VALUE"""),1766.718859)</f>
        <v>1766.718859</v>
      </c>
      <c r="C136" s="3">
        <f>IFERROR(__xludf.DUMMYFUNCTION("""COMPUTED_VALUE"""),1.223316593115E8)</f>
        <v>122331659.3</v>
      </c>
      <c r="D136" s="3">
        <f t="shared" si="2"/>
        <v>12643.3125</v>
      </c>
      <c r="E136" s="3">
        <f t="shared" si="3"/>
        <v>22337178.63</v>
      </c>
      <c r="F136" s="3" t="str">
        <f t="shared" si="1"/>
        <v>ETH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IFERROR(__xludf.DUMMYFUNCTION("""COMPUTED_VALUE"""),1716.670272)</f>
        <v>1716.670272</v>
      </c>
      <c r="C137" s="3">
        <f>IFERROR(__xludf.DUMMYFUNCTION("""COMPUTED_VALUE"""),1.223443974365E8)</f>
        <v>122344397.4</v>
      </c>
      <c r="D137" s="3">
        <f t="shared" si="2"/>
        <v>12738.125</v>
      </c>
      <c r="E137" s="3">
        <f t="shared" si="3"/>
        <v>21867160.51</v>
      </c>
      <c r="F137" s="3" t="str">
        <f t="shared" si="1"/>
        <v>ETH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IFERROR(__xludf.DUMMYFUNCTION("""COMPUTED_VALUE"""),1574.28213)</f>
        <v>1574.28213</v>
      </c>
      <c r="C138" s="3">
        <f>IFERROR(__xludf.DUMMYFUNCTION("""COMPUTED_VALUE"""),1.223570946865E8)</f>
        <v>122357094.7</v>
      </c>
      <c r="D138" s="3">
        <f t="shared" si="2"/>
        <v>12697.25</v>
      </c>
      <c r="E138" s="3">
        <f t="shared" si="3"/>
        <v>19989053.78</v>
      </c>
      <c r="F138" s="3" t="str">
        <f t="shared" si="1"/>
        <v>ETH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IFERROR(__xludf.DUMMYFUNCTION("""COMPUTED_VALUE"""),1638.419504)</f>
        <v>1638.419504</v>
      </c>
      <c r="C139" s="3">
        <f>IFERROR(__xludf.DUMMYFUNCTION("""COMPUTED_VALUE"""),1.22369526374E8)</f>
        <v>122369526.4</v>
      </c>
      <c r="D139" s="3">
        <f t="shared" si="2"/>
        <v>12431.6875</v>
      </c>
      <c r="E139" s="3">
        <f t="shared" si="3"/>
        <v>20368319.27</v>
      </c>
      <c r="F139" s="3" t="str">
        <f t="shared" si="1"/>
        <v>ETH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IFERROR(__xludf.DUMMYFUNCTION("""COMPUTED_VALUE"""),1472.746217)</f>
        <v>1472.746217</v>
      </c>
      <c r="C140" s="3">
        <f>IFERROR(__xludf.DUMMYFUNCTION("""COMPUTED_VALUE"""),1.22383023499E8)</f>
        <v>122383023.5</v>
      </c>
      <c r="D140" s="3">
        <f t="shared" si="2"/>
        <v>13497.125</v>
      </c>
      <c r="E140" s="3">
        <f t="shared" si="3"/>
        <v>19877839.78</v>
      </c>
      <c r="F140" s="3" t="str">
        <f t="shared" si="1"/>
        <v>ETH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IFERROR(__xludf.DUMMYFUNCTION("""COMPUTED_VALUE"""),1433.809024)</f>
        <v>1433.809024</v>
      </c>
      <c r="C141" s="3">
        <f>IFERROR(__xludf.DUMMYFUNCTION("""COMPUTED_VALUE"""),1.22396005499E8)</f>
        <v>122396005.5</v>
      </c>
      <c r="D141" s="3">
        <f t="shared" si="2"/>
        <v>12982</v>
      </c>
      <c r="E141" s="3">
        <f t="shared" si="3"/>
        <v>18613708.75</v>
      </c>
      <c r="F141" s="3" t="str">
        <f t="shared" si="1"/>
        <v>ETH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IFERROR(__xludf.DUMMYFUNCTION("""COMPUTED_VALUE"""),1469.050335)</f>
        <v>1469.050335</v>
      </c>
      <c r="C142" s="3">
        <f>IFERROR(__xludf.DUMMYFUNCTION("""COMPUTED_VALUE"""),1.22411443499E8)</f>
        <v>122411443.5</v>
      </c>
      <c r="D142" s="3">
        <f t="shared" si="2"/>
        <v>15438</v>
      </c>
      <c r="E142" s="3">
        <f t="shared" si="3"/>
        <v>22679199.07</v>
      </c>
      <c r="F142" s="3" t="str">
        <f t="shared" si="1"/>
        <v>ETH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IFERROR(__xludf.DUMMYFUNCTION("""COMPUTED_VALUE"""),1334.689932)</f>
        <v>1334.689932</v>
      </c>
      <c r="C143" s="3">
        <f>IFERROR(__xludf.DUMMYFUNCTION("""COMPUTED_VALUE"""),1.22425707499E8)</f>
        <v>122425707.5</v>
      </c>
      <c r="D143" s="3">
        <f t="shared" si="2"/>
        <v>14264</v>
      </c>
      <c r="E143" s="3">
        <f t="shared" si="3"/>
        <v>19038017.19</v>
      </c>
      <c r="F143" s="3" t="str">
        <f t="shared" si="1"/>
        <v>ETH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IFERROR(__xludf.DUMMYFUNCTION("""COMPUTED_VALUE"""),1376.130253)</f>
        <v>1376.130253</v>
      </c>
      <c r="C144" s="3">
        <f>IFERROR(__xludf.DUMMYFUNCTION("""COMPUTED_VALUE"""),1.22439953499E8)</f>
        <v>122439953.5</v>
      </c>
      <c r="D144" s="3">
        <f t="shared" si="2"/>
        <v>14246</v>
      </c>
      <c r="E144" s="3">
        <f t="shared" si="3"/>
        <v>19604351.58</v>
      </c>
      <c r="F144" s="3" t="str">
        <f t="shared" si="1"/>
        <v>ETH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IFERROR(__xludf.DUMMYFUNCTION("""COMPUTED_VALUE"""),1323.002436)</f>
        <v>1323.002436</v>
      </c>
      <c r="C145" s="3">
        <f>IFERROR(__xludf.DUMMYFUNCTION("""COMPUTED_VALUE"""),1.22454231499E8)</f>
        <v>122454231.5</v>
      </c>
      <c r="D145" s="2">
        <f t="shared" ref="D145:D1000" si="4">IF(ISBLANK(A145),"",C145-C144)</f>
        <v>14278</v>
      </c>
      <c r="E145" s="2">
        <f t="shared" ref="E145:E1000" si="5">IF(ISBLANK(A145),"",B145*D145)</f>
        <v>18889828.78</v>
      </c>
      <c r="F145" s="3" t="str">
        <f t="shared" si="1"/>
        <v>ETH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IFERROR(__xludf.DUMMYFUNCTION("""COMPUTED_VALUE"""),1245.737138)</f>
        <v>1245.737138</v>
      </c>
      <c r="C146" s="3">
        <f>IFERROR(__xludf.DUMMYFUNCTION("""COMPUTED_VALUE"""),1.22468337499E8)</f>
        <v>122468337.5</v>
      </c>
      <c r="D146" s="2">
        <f t="shared" si="4"/>
        <v>14106</v>
      </c>
      <c r="E146" s="2">
        <f t="shared" si="5"/>
        <v>17572368.07</v>
      </c>
      <c r="F146" s="3" t="str">
        <f t="shared" si="1"/>
        <v>ETH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IFERROR(__xludf.DUMMYFUNCTION("""COMPUTED_VALUE"""),1326.442765)</f>
        <v>1326.442765</v>
      </c>
      <c r="C147" s="3">
        <f>IFERROR(__xludf.DUMMYFUNCTION("""COMPUTED_VALUE"""),1.22482635499E8)</f>
        <v>122482635.5</v>
      </c>
      <c r="D147" s="2">
        <f t="shared" si="4"/>
        <v>14298</v>
      </c>
      <c r="E147" s="2">
        <f t="shared" si="5"/>
        <v>18965478.65</v>
      </c>
      <c r="F147" s="3" t="str">
        <f t="shared" si="1"/>
        <v>ETH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IFERROR(__xludf.DUMMYFUNCTION("""COMPUTED_VALUE"""),1327.327508)</f>
        <v>1327.327508</v>
      </c>
      <c r="C148" s="3">
        <f>IFERROR(__xludf.DUMMYFUNCTION("""COMPUTED_VALUE"""),1.22496965499E8)</f>
        <v>122496965.5</v>
      </c>
      <c r="D148" s="2">
        <f t="shared" si="4"/>
        <v>14330</v>
      </c>
      <c r="E148" s="2">
        <f t="shared" si="5"/>
        <v>19020603.19</v>
      </c>
      <c r="F148" s="3" t="str">
        <f t="shared" si="1"/>
        <v>ETH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IFERROR(__xludf.DUMMYFUNCTION("""COMPUTED_VALUE"""),1317.342898)</f>
        <v>1317.342898</v>
      </c>
      <c r="C149" s="3">
        <f>IFERROR(__xludf.DUMMYFUNCTION("""COMPUTED_VALUE"""),1.22511307499E8)</f>
        <v>122511307.5</v>
      </c>
      <c r="D149" s="2">
        <f t="shared" si="4"/>
        <v>14342</v>
      </c>
      <c r="E149" s="2">
        <f t="shared" si="5"/>
        <v>18893331.84</v>
      </c>
      <c r="F149" s="3" t="str">
        <f t="shared" si="1"/>
        <v>ETH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3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3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3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3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3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3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3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3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3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3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3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3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3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3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3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3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3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3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3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3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3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3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3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3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3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3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3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3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3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3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3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3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3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3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3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3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3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3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3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3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3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3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3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3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3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3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3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3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3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3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3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3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3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3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3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3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3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3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3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3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3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3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3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3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3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3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3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3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3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3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3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3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3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3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3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3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3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3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3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3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3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3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3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3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3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3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3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3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3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3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3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3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3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3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3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3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3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3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3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3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3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3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3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3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3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3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3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3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3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3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3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3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3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3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3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3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3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3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3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3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3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3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3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3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3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3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3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3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3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3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3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3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3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3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3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3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3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3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3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3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3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3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3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3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3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3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3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3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3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3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3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3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3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3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3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3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3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3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3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3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3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3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3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3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3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3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3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3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3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3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3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3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3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3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3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3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3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3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3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3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3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3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3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3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3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3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3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3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3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3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3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3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3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3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3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3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3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3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3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3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3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3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3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3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3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3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3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3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3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3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3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3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3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3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3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3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3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3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3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3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3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3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3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3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3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3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3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3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3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3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3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3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3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3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3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3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3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3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3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3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3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3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3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3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3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3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3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3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3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3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3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3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3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3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3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3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3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3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3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3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3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3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3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3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3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3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3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3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3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3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3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3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3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3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3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3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3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3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3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3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3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3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3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3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3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3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3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3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3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3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3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3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3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3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3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3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3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3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3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3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3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3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3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3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3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3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3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3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3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3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3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3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3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3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3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3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3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3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3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3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3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3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3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3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3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3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3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3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3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3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3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3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3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3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3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3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3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3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3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3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3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3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3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3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3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3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3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3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3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3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3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3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3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3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3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3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3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3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3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3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3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3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3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3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3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3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3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3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3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3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3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3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3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3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3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3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3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3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3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3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3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3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3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3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3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3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3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3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3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3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3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3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3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3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3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3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3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3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3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3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3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3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3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3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3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3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3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3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3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3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3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3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3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3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3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3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3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3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3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3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3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3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3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3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3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3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3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3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3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3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3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3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3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3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3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3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3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3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3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3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3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3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3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3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3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3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3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3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3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3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3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3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3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3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3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3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3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3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3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3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3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3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3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3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3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3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3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3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3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3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3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3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3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3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3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3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3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3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3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3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3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3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3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3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3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3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3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3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3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3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3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3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3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3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3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3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3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3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3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3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3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3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3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3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3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3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3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3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3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3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3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3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3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3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3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3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3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3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3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3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3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3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3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3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3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3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3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3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3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3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3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3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3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3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3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3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3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3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3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3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3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3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3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3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3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3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3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3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3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3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3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3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3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3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3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3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3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3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3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3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3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3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3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3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3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3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3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3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3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3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3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3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3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3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3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3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3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3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3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3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3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3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3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3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3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3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3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3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3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3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3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3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3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3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3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3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3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3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3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3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3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3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3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3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3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3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3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3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3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3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3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3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3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3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3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3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3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3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3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3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3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3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3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3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3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3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3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3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3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3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3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3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3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3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3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3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3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3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3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3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3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3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3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3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3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3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3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3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3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3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3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3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3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3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3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3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3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3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3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3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3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3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3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3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3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3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3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3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3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3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3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3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3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3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3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3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3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3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3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3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3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3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3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3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3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3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3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3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3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3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3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3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3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3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3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3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3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3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3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3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3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3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3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3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3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3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3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3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3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3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3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3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3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3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3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3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3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3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3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3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3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3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3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3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3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3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3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3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3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3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3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3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3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3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3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3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3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3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3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3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3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3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3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3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3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3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3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3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3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3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3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3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3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3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3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3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3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3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3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3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3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3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3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3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3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3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3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3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3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3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3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3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3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3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3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3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3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3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3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3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3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3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3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3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3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3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3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3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3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3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3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3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3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3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3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3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3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3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3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3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3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3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3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3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3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3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3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3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3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3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3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3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3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3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3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3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3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3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3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3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3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3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3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3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3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3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3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3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3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3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3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3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3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3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3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3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3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3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3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3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3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3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3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3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3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3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3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3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3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3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3" t="str">
        <f t="shared" si="1"/>
        <v/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23</v>
      </c>
      <c r="C1" s="1" t="s">
        <v>24</v>
      </c>
    </row>
    <row r="2">
      <c r="A2" s="1" t="s">
        <v>25</v>
      </c>
      <c r="B2" s="1">
        <v>2.860904</v>
      </c>
      <c r="C2" s="1">
        <v>2.863742</v>
      </c>
    </row>
    <row r="3">
      <c r="A3" s="1" t="s">
        <v>26</v>
      </c>
      <c r="B3" s="1">
        <v>2.842609</v>
      </c>
      <c r="C3" s="1">
        <v>2.83433</v>
      </c>
    </row>
    <row r="4">
      <c r="A4" s="1" t="s">
        <v>27</v>
      </c>
      <c r="B4" s="1">
        <v>2.82277</v>
      </c>
      <c r="C4" s="1">
        <v>2.735506</v>
      </c>
    </row>
    <row r="5">
      <c r="A5" s="1" t="s">
        <v>28</v>
      </c>
      <c r="B5" s="1">
        <v>2.739996</v>
      </c>
      <c r="C5" s="1">
        <v>3.044735</v>
      </c>
    </row>
    <row r="6">
      <c r="A6" s="1" t="s">
        <v>29</v>
      </c>
      <c r="B6" s="1">
        <v>3.085561</v>
      </c>
      <c r="C6" s="1">
        <v>2.79263</v>
      </c>
    </row>
    <row r="7">
      <c r="A7" s="1" t="s">
        <v>30</v>
      </c>
      <c r="B7" s="1">
        <v>2.80614</v>
      </c>
      <c r="C7" s="1">
        <v>2.762367</v>
      </c>
    </row>
    <row r="8">
      <c r="A8" s="1" t="s">
        <v>31</v>
      </c>
      <c r="B8" s="1">
        <v>2.74319</v>
      </c>
      <c r="C8" s="1">
        <v>2.717587</v>
      </c>
    </row>
    <row r="9">
      <c r="A9" s="1" t="s">
        <v>32</v>
      </c>
      <c r="B9" s="1">
        <v>2.762656</v>
      </c>
      <c r="C9" s="1">
        <v>2.789627</v>
      </c>
    </row>
    <row r="10">
      <c r="A10" s="1" t="s">
        <v>33</v>
      </c>
      <c r="B10" s="1">
        <v>2.787227</v>
      </c>
      <c r="C10" s="1">
        <v>1.97445</v>
      </c>
    </row>
    <row r="11">
      <c r="A11" s="1" t="s">
        <v>34</v>
      </c>
      <c r="B11" s="1">
        <v>1.991929</v>
      </c>
      <c r="C11" s="1">
        <v>1.974905</v>
      </c>
    </row>
    <row r="12">
      <c r="A12" s="1" t="s">
        <v>35</v>
      </c>
      <c r="B12" s="1">
        <v>1.964434</v>
      </c>
      <c r="C12" s="1">
        <v>1.527571</v>
      </c>
    </row>
    <row r="13">
      <c r="A13" s="1" t="s">
        <v>36</v>
      </c>
      <c r="B13" s="1">
        <v>1.560975</v>
      </c>
      <c r="C13" s="1">
        <v>1.413957</v>
      </c>
    </row>
    <row r="14">
      <c r="A14" s="1" t="s">
        <v>37</v>
      </c>
      <c r="B14" s="1">
        <v>1.406001</v>
      </c>
      <c r="C14" s="1">
        <v>1.456045</v>
      </c>
    </row>
    <row r="15">
      <c r="A15" s="1" t="s">
        <v>38</v>
      </c>
      <c r="B15" s="1">
        <v>1.460313</v>
      </c>
      <c r="C15" s="1">
        <v>1.481544</v>
      </c>
    </row>
    <row r="16">
      <c r="A16" s="1" t="s">
        <v>39</v>
      </c>
      <c r="B16" s="1">
        <v>1.501592</v>
      </c>
      <c r="C16" s="1">
        <v>1.477742</v>
      </c>
    </row>
    <row r="17">
      <c r="A17" s="1" t="s">
        <v>40</v>
      </c>
      <c r="B17" s="1">
        <v>1.473121</v>
      </c>
      <c r="C17" s="1">
        <v>1.427345</v>
      </c>
    </row>
    <row r="18">
      <c r="A18" s="1" t="s">
        <v>41</v>
      </c>
      <c r="B18" s="1">
        <v>1.445745</v>
      </c>
      <c r="C18" s="1">
        <v>1.5344</v>
      </c>
    </row>
    <row r="19">
      <c r="A19" s="1" t="s">
        <v>42</v>
      </c>
      <c r="B19" s="1">
        <v>1.537922</v>
      </c>
      <c r="C19" s="1">
        <v>1.367239</v>
      </c>
    </row>
    <row r="20">
      <c r="A20" s="1" t="s">
        <v>43</v>
      </c>
      <c r="B20" s="1">
        <v>1.379683</v>
      </c>
      <c r="C20" s="1">
        <v>1.416754</v>
      </c>
    </row>
    <row r="21">
      <c r="A21" s="1" t="s">
        <v>44</v>
      </c>
      <c r="B21" s="1">
        <v>1.418789</v>
      </c>
      <c r="C21" s="1">
        <v>1.320425</v>
      </c>
    </row>
    <row r="22">
      <c r="A22" s="1" t="s">
        <v>45</v>
      </c>
      <c r="B22" s="1">
        <v>1.320484</v>
      </c>
      <c r="C22" s="1">
        <v>1.332407</v>
      </c>
    </row>
    <row r="23">
      <c r="A23" s="1" t="s">
        <v>46</v>
      </c>
      <c r="B23" s="1">
        <v>1.319334</v>
      </c>
      <c r="C23" s="1">
        <v>1.349468</v>
      </c>
    </row>
    <row r="24">
      <c r="A24" s="1" t="s">
        <v>47</v>
      </c>
      <c r="B24" s="1">
        <v>1.324456</v>
      </c>
      <c r="C24" s="1">
        <v>1.170929</v>
      </c>
    </row>
    <row r="25">
      <c r="A25" s="1" t="s">
        <v>48</v>
      </c>
      <c r="B25" s="1">
        <v>1.169524</v>
      </c>
      <c r="C25" s="1">
        <v>1.084261</v>
      </c>
    </row>
    <row r="26">
      <c r="A26" s="1" t="s">
        <v>49</v>
      </c>
      <c r="B26" s="1">
        <v>1.099717</v>
      </c>
      <c r="C26" s="1">
        <v>1.081194</v>
      </c>
    </row>
    <row r="27">
      <c r="A27" s="1" t="s">
        <v>50</v>
      </c>
      <c r="B27" s="1">
        <v>1.086791</v>
      </c>
      <c r="C27" s="1">
        <v>1.006807</v>
      </c>
    </row>
    <row r="28">
      <c r="A28" s="1" t="s">
        <v>51</v>
      </c>
      <c r="B28" s="1">
        <v>1.001103</v>
      </c>
      <c r="C28" s="1">
        <v>1.075073</v>
      </c>
    </row>
    <row r="29">
      <c r="A29" s="1" t="s">
        <v>52</v>
      </c>
      <c r="B29" s="1">
        <v>1.082203</v>
      </c>
      <c r="C29" s="1">
        <v>1.033961</v>
      </c>
    </row>
    <row r="30">
      <c r="A30" s="1" t="s">
        <v>53</v>
      </c>
      <c r="B30" s="1">
        <v>1.039655</v>
      </c>
      <c r="C30" s="1">
        <v>1.168458</v>
      </c>
    </row>
    <row r="31">
      <c r="A31" s="1" t="s">
        <v>54</v>
      </c>
      <c r="B31" s="1">
        <v>1.163036</v>
      </c>
      <c r="C31" s="1">
        <v>1.21894</v>
      </c>
    </row>
    <row r="32">
      <c r="A32" s="1" t="s">
        <v>55</v>
      </c>
      <c r="B32" s="1">
        <v>1.212005</v>
      </c>
      <c r="C32" s="1">
        <v>1.044453</v>
      </c>
    </row>
    <row r="33">
      <c r="A33" s="1" t="s">
        <v>56</v>
      </c>
      <c r="B33" s="1">
        <v>1.050571</v>
      </c>
      <c r="C33" s="1">
        <v>1.031095</v>
      </c>
    </row>
    <row r="34">
      <c r="A34" s="1" t="s">
        <v>57</v>
      </c>
      <c r="B34" s="1">
        <v>1.026171</v>
      </c>
      <c r="C34" s="1">
        <v>1.041758</v>
      </c>
    </row>
    <row r="35">
      <c r="A35" s="1" t="s">
        <v>58</v>
      </c>
      <c r="B35" s="1">
        <v>1.022028</v>
      </c>
      <c r="C35" s="1">
        <v>1.004308</v>
      </c>
    </row>
    <row r="36">
      <c r="A36" s="1" t="s">
        <v>59</v>
      </c>
      <c r="B36" s="1">
        <v>0.997866</v>
      </c>
      <c r="C36" s="1">
        <v>1.027583</v>
      </c>
    </row>
    <row r="37">
      <c r="A37" s="1" t="s">
        <v>60</v>
      </c>
      <c r="B37" s="1">
        <v>1.013276</v>
      </c>
      <c r="C37" s="1">
        <v>1.046574</v>
      </c>
    </row>
    <row r="38">
      <c r="A38" s="1" t="s">
        <v>61</v>
      </c>
      <c r="B38" s="1">
        <v>1.051294</v>
      </c>
      <c r="C38" s="1">
        <v>1.074484</v>
      </c>
    </row>
    <row r="39">
      <c r="A39" s="1" t="s">
        <v>62</v>
      </c>
      <c r="B39" s="1">
        <v>1.071085</v>
      </c>
      <c r="C39" s="1">
        <v>1.075956</v>
      </c>
    </row>
    <row r="40">
      <c r="A40" s="1" t="s">
        <v>63</v>
      </c>
      <c r="B40" s="1">
        <v>1.081339</v>
      </c>
      <c r="C40" s="1">
        <v>1.029143</v>
      </c>
    </row>
    <row r="41">
      <c r="A41" s="1" t="s">
        <v>64</v>
      </c>
      <c r="B41" s="1">
        <v>1.009776</v>
      </c>
      <c r="C41" s="1">
        <v>1.035798</v>
      </c>
    </row>
    <row r="42">
      <c r="A42" s="1" t="s">
        <v>65</v>
      </c>
      <c r="B42" s="1">
        <v>1.015426</v>
      </c>
      <c r="C42" s="1">
        <v>1.000542</v>
      </c>
    </row>
    <row r="43">
      <c r="A43" s="1" t="s">
        <v>66</v>
      </c>
      <c r="B43" s="1">
        <v>1.003889</v>
      </c>
      <c r="C43" s="1">
        <v>0.835847</v>
      </c>
    </row>
    <row r="44">
      <c r="A44" s="1" t="s">
        <v>67</v>
      </c>
      <c r="B44" s="1">
        <v>0.837094</v>
      </c>
      <c r="C44" s="1">
        <v>0.796366</v>
      </c>
    </row>
    <row r="45">
      <c r="A45" s="1" t="s">
        <v>68</v>
      </c>
      <c r="B45" s="1">
        <v>0.794617</v>
      </c>
      <c r="C45" s="1">
        <v>0.587473</v>
      </c>
    </row>
    <row r="46">
      <c r="A46" s="1" t="s">
        <v>69</v>
      </c>
      <c r="B46" s="1">
        <v>0.607146</v>
      </c>
      <c r="C46" s="1">
        <v>0.62674</v>
      </c>
    </row>
    <row r="47">
      <c r="A47" s="1" t="s">
        <v>70</v>
      </c>
      <c r="B47" s="1">
        <v>0.622091</v>
      </c>
      <c r="C47" s="1">
        <v>0.625623</v>
      </c>
    </row>
    <row r="48">
      <c r="A48" s="1" t="s">
        <v>71</v>
      </c>
      <c r="B48" s="1">
        <v>0.629558</v>
      </c>
      <c r="C48" s="1">
        <v>0.52658</v>
      </c>
    </row>
    <row r="49">
      <c r="A49" s="1" t="s">
        <v>72</v>
      </c>
      <c r="B49" s="1">
        <v>0.537479</v>
      </c>
      <c r="C49" s="1">
        <v>0.580766</v>
      </c>
    </row>
    <row r="50">
      <c r="A50" s="1" t="s">
        <v>73</v>
      </c>
      <c r="B50" s="1">
        <v>0.578682</v>
      </c>
      <c r="C50" s="1">
        <v>0.466684</v>
      </c>
    </row>
    <row r="51">
      <c r="A51" s="1" t="s">
        <v>74</v>
      </c>
      <c r="B51" s="1">
        <v>0.465642</v>
      </c>
      <c r="C51" s="1">
        <v>0.504861</v>
      </c>
    </row>
    <row r="52">
      <c r="A52" s="1" t="s">
        <v>75</v>
      </c>
      <c r="B52" s="1">
        <v>0.516202</v>
      </c>
      <c r="C52" s="1">
        <v>0.51563</v>
      </c>
    </row>
    <row r="53">
      <c r="A53" s="1" t="s">
        <v>76</v>
      </c>
      <c r="B53" s="1">
        <v>0.51155</v>
      </c>
      <c r="C53" s="1">
        <v>0.54156</v>
      </c>
    </row>
    <row r="54">
      <c r="A54" s="1" t="s">
        <v>77</v>
      </c>
      <c r="B54" s="1">
        <v>0.529479</v>
      </c>
      <c r="C54" s="1">
        <v>0.514406</v>
      </c>
    </row>
    <row r="55">
      <c r="A55" s="1" t="s">
        <v>78</v>
      </c>
      <c r="B55" s="1">
        <v>0.525228</v>
      </c>
      <c r="C55" s="1">
        <v>0.54823</v>
      </c>
    </row>
    <row r="56">
      <c r="A56" s="1" t="s">
        <v>79</v>
      </c>
      <c r="B56" s="1">
        <v>0.553717</v>
      </c>
      <c r="C56" s="1">
        <v>0.632372</v>
      </c>
    </row>
    <row r="57">
      <c r="A57" s="1" t="s">
        <v>80</v>
      </c>
      <c r="B57" s="1">
        <v>0.634008</v>
      </c>
      <c r="C57" s="1">
        <v>0.648948</v>
      </c>
    </row>
    <row r="58">
      <c r="A58" s="1" t="s">
        <v>81</v>
      </c>
      <c r="B58" s="1">
        <v>0.651949</v>
      </c>
      <c r="C58" s="1">
        <v>0.613506</v>
      </c>
    </row>
    <row r="59">
      <c r="A59" s="1" t="s">
        <v>82</v>
      </c>
      <c r="B59" s="1">
        <v>0.606756</v>
      </c>
      <c r="C59" s="1">
        <v>0.574399</v>
      </c>
    </row>
    <row r="60">
      <c r="A60" s="1" t="s">
        <v>83</v>
      </c>
      <c r="B60" s="1">
        <v>0.579123</v>
      </c>
      <c r="C60" s="1">
        <v>0.52256</v>
      </c>
    </row>
    <row r="61">
      <c r="A61" s="1" t="s">
        <v>84</v>
      </c>
      <c r="B61" s="1">
        <v>0.521311</v>
      </c>
      <c r="C61" s="1">
        <v>0.505276</v>
      </c>
    </row>
    <row r="62">
      <c r="A62" s="1" t="s">
        <v>85</v>
      </c>
      <c r="B62" s="1">
        <v>0.489294</v>
      </c>
      <c r="C62" s="1">
        <v>0.451355</v>
      </c>
    </row>
    <row r="63">
      <c r="A63" s="1" t="s">
        <v>86</v>
      </c>
      <c r="B63" s="1">
        <v>0.451521</v>
      </c>
      <c r="C63" s="1">
        <v>0.45682</v>
      </c>
    </row>
    <row r="64">
      <c r="A64" s="1" t="s">
        <v>87</v>
      </c>
      <c r="B64" s="1">
        <v>0.450392</v>
      </c>
      <c r="C64" s="1">
        <v>0.471253</v>
      </c>
    </row>
    <row r="65">
      <c r="A65" s="1" t="s">
        <v>88</v>
      </c>
      <c r="B65" s="1">
        <v>0.474586</v>
      </c>
      <c r="C65" s="1">
        <v>0.504991</v>
      </c>
    </row>
    <row r="66">
      <c r="A66" s="1" t="s">
        <v>89</v>
      </c>
      <c r="B66" s="1">
        <v>0.505522</v>
      </c>
      <c r="C66" s="1">
        <v>0.542113</v>
      </c>
    </row>
    <row r="67">
      <c r="A67" s="1" t="s">
        <v>90</v>
      </c>
      <c r="B67" s="1">
        <v>0.548345</v>
      </c>
      <c r="C67" s="1">
        <v>0.563634</v>
      </c>
    </row>
    <row r="68">
      <c r="A68" s="1" t="s">
        <v>91</v>
      </c>
      <c r="B68" s="1">
        <v>0.564199</v>
      </c>
      <c r="C68" s="1">
        <v>0.620775</v>
      </c>
    </row>
    <row r="69">
      <c r="A69" s="1" t="s">
        <v>92</v>
      </c>
      <c r="B69" s="1">
        <v>0.596504</v>
      </c>
      <c r="C69" s="1">
        <v>0.668549</v>
      </c>
    </row>
    <row r="70">
      <c r="A70" s="1" t="s">
        <v>93</v>
      </c>
      <c r="B70" s="1">
        <v>0.671012</v>
      </c>
      <c r="C70" s="1">
        <v>0.745961</v>
      </c>
    </row>
    <row r="71">
      <c r="A71" s="1" t="s">
        <v>94</v>
      </c>
      <c r="B71" s="1">
        <v>0.738189</v>
      </c>
      <c r="C71" s="1">
        <v>0.686737</v>
      </c>
    </row>
    <row r="72">
      <c r="A72" s="1" t="s">
        <v>95</v>
      </c>
      <c r="B72" s="1">
        <v>0.686313</v>
      </c>
      <c r="C72" s="1">
        <v>0.638628</v>
      </c>
    </row>
    <row r="73">
      <c r="A73" s="1" t="s">
        <v>96</v>
      </c>
      <c r="B73" s="1">
        <v>0.636943</v>
      </c>
      <c r="C73" s="1">
        <v>0.622843</v>
      </c>
    </row>
    <row r="74">
      <c r="A74" s="1" t="s">
        <v>97</v>
      </c>
      <c r="B74" s="1">
        <v>0.621504</v>
      </c>
      <c r="C74" s="1">
        <v>0.642938</v>
      </c>
    </row>
    <row r="75">
      <c r="A75" s="1" t="s">
        <v>98</v>
      </c>
      <c r="B75" s="1">
        <v>0.633567</v>
      </c>
      <c r="C75" s="1">
        <v>0.924327</v>
      </c>
    </row>
    <row r="76">
      <c r="A76" s="1" t="s">
        <v>99</v>
      </c>
      <c r="B76" s="1">
        <v>0.93657</v>
      </c>
      <c r="C76" s="1">
        <v>0.912549</v>
      </c>
    </row>
    <row r="77">
      <c r="A77" s="1" t="s">
        <v>100</v>
      </c>
      <c r="B77" s="1">
        <v>0.915468</v>
      </c>
      <c r="C77" s="1">
        <v>1.141705</v>
      </c>
    </row>
    <row r="78">
      <c r="A78" s="1" t="s">
        <v>101</v>
      </c>
      <c r="B78" s="1">
        <v>1.138277</v>
      </c>
      <c r="C78" s="1">
        <v>1.389023</v>
      </c>
    </row>
    <row r="79">
      <c r="A79" s="1" t="s">
        <v>102</v>
      </c>
      <c r="B79" s="1">
        <v>1.383141</v>
      </c>
      <c r="C79" s="1">
        <v>1.623492</v>
      </c>
    </row>
    <row r="80">
      <c r="A80" s="1" t="s">
        <v>103</v>
      </c>
      <c r="B80" s="1">
        <v>1.637439</v>
      </c>
      <c r="C80" s="1">
        <v>1.548637</v>
      </c>
    </row>
    <row r="81">
      <c r="A81" s="1" t="s">
        <v>104</v>
      </c>
      <c r="B81" s="1">
        <v>1.531253</v>
      </c>
      <c r="C81" s="1">
        <v>1.504065</v>
      </c>
    </row>
    <row r="82">
      <c r="A82" s="1" t="s">
        <v>105</v>
      </c>
      <c r="B82" s="1">
        <v>1.49256</v>
      </c>
      <c r="C82" s="1">
        <v>1.577971</v>
      </c>
    </row>
    <row r="83">
      <c r="A83" s="1" t="s">
        <v>106</v>
      </c>
      <c r="B83" s="1">
        <v>1.57203</v>
      </c>
      <c r="C83" s="1">
        <v>1.612936</v>
      </c>
    </row>
    <row r="84">
      <c r="A84" s="1" t="s">
        <v>107</v>
      </c>
      <c r="B84" s="1">
        <v>1.616264</v>
      </c>
      <c r="C84" s="1">
        <v>1.522357</v>
      </c>
    </row>
    <row r="85">
      <c r="A85" s="1" t="s">
        <v>108</v>
      </c>
      <c r="B85" s="1">
        <v>1.525833</v>
      </c>
      <c r="C85" s="1">
        <v>1.596818</v>
      </c>
    </row>
    <row r="86">
      <c r="A86" s="1" t="s">
        <v>109</v>
      </c>
      <c r="B86" s="1">
        <v>1.59058</v>
      </c>
      <c r="C86" s="1">
        <v>1.634487</v>
      </c>
    </row>
    <row r="87">
      <c r="A87" s="1" t="s">
        <v>110</v>
      </c>
      <c r="B87" s="1">
        <v>1.631132</v>
      </c>
      <c r="C87" s="1">
        <v>1.460869</v>
      </c>
    </row>
    <row r="88">
      <c r="A88" s="1" t="s">
        <v>111</v>
      </c>
      <c r="B88" s="1">
        <v>1.451041</v>
      </c>
      <c r="C88" s="1">
        <v>1.433458</v>
      </c>
    </row>
    <row r="89">
      <c r="A89" s="1" t="s">
        <v>112</v>
      </c>
      <c r="B89" s="1">
        <v>1.448977</v>
      </c>
      <c r="C89" s="1">
        <v>1.945538</v>
      </c>
    </row>
    <row r="90">
      <c r="A90" s="1" t="s">
        <v>113</v>
      </c>
      <c r="B90" s="1">
        <v>1.956413</v>
      </c>
      <c r="C90" s="1">
        <v>2.24459</v>
      </c>
    </row>
    <row r="91">
      <c r="A91" s="1" t="s">
        <v>114</v>
      </c>
      <c r="B91" s="1">
        <v>2.219831</v>
      </c>
      <c r="C91" s="1">
        <v>2.431698</v>
      </c>
    </row>
    <row r="92">
      <c r="A92" s="1" t="s">
        <v>115</v>
      </c>
      <c r="B92" s="1">
        <v>2.449432</v>
      </c>
      <c r="C92" s="1">
        <v>2.337152</v>
      </c>
    </row>
    <row r="93">
      <c r="A93" s="1" t="s">
        <v>116</v>
      </c>
      <c r="B93" s="1">
        <v>2.324374</v>
      </c>
      <c r="C93" s="1">
        <v>2.154103</v>
      </c>
    </row>
    <row r="94">
      <c r="A94" s="1" t="s">
        <v>117</v>
      </c>
      <c r="B94" s="1">
        <v>2.13709</v>
      </c>
      <c r="C94" s="1">
        <v>2.084574</v>
      </c>
    </row>
    <row r="95">
      <c r="A95" s="1" t="s">
        <v>118</v>
      </c>
      <c r="B95" s="1">
        <v>2.090745</v>
      </c>
      <c r="C95" s="1">
        <v>2.302682</v>
      </c>
    </row>
    <row r="96">
      <c r="A96" s="1" t="s">
        <v>119</v>
      </c>
      <c r="B96" s="1">
        <v>2.310744</v>
      </c>
      <c r="C96" s="1">
        <v>2.580831</v>
      </c>
    </row>
    <row r="97">
      <c r="A97" s="1" t="s">
        <v>120</v>
      </c>
      <c r="B97" s="1">
        <v>2.574148</v>
      </c>
      <c r="C97" s="1">
        <v>2.438448</v>
      </c>
    </row>
    <row r="98">
      <c r="A98" s="1" t="s">
        <v>121</v>
      </c>
      <c r="B98" s="1">
        <v>2.455623</v>
      </c>
      <c r="C98" s="1">
        <v>2.671636</v>
      </c>
    </row>
    <row r="99">
      <c r="A99" s="1" t="s">
        <v>122</v>
      </c>
      <c r="B99" s="1">
        <v>2.650984</v>
      </c>
      <c r="C99" s="1">
        <v>2.605301</v>
      </c>
    </row>
    <row r="100">
      <c r="A100" s="1" t="s">
        <v>123</v>
      </c>
      <c r="B100" s="1">
        <v>2.601278</v>
      </c>
      <c r="C100" s="1">
        <v>2.447727</v>
      </c>
    </row>
    <row r="101">
      <c r="A101" s="1" t="s">
        <v>124</v>
      </c>
      <c r="B101" s="1">
        <v>2.474077</v>
      </c>
      <c r="C101" s="1">
        <v>2.372574</v>
      </c>
    </row>
    <row r="102">
      <c r="A102" s="1" t="s">
        <v>125</v>
      </c>
      <c r="B102" s="1">
        <v>2.402832</v>
      </c>
      <c r="C102" s="1">
        <v>2.259182</v>
      </c>
    </row>
    <row r="103">
      <c r="A103" s="1" t="s">
        <v>126</v>
      </c>
      <c r="B103" s="1">
        <v>2.24999</v>
      </c>
      <c r="C103" s="1">
        <v>2.714673</v>
      </c>
    </row>
    <row r="104">
      <c r="A104" s="1" t="s">
        <v>127</v>
      </c>
      <c r="B104" s="1">
        <v>2.71756</v>
      </c>
      <c r="C104" s="1">
        <v>2.624753</v>
      </c>
    </row>
    <row r="105">
      <c r="A105" s="1" t="s">
        <v>128</v>
      </c>
      <c r="B105" s="1">
        <v>2.613981</v>
      </c>
      <c r="C105" s="1">
        <v>2.825244</v>
      </c>
    </row>
    <row r="106">
      <c r="A106" s="1" t="s">
        <v>129</v>
      </c>
      <c r="B106" s="1">
        <v>2.818077</v>
      </c>
      <c r="C106" s="1">
        <v>2.936814</v>
      </c>
    </row>
    <row r="107">
      <c r="A107" s="1" t="s">
        <v>130</v>
      </c>
      <c r="B107" s="1">
        <v>2.930064</v>
      </c>
      <c r="C107" s="1">
        <v>2.663951</v>
      </c>
    </row>
    <row r="108">
      <c r="A108" s="1" t="s">
        <v>131</v>
      </c>
      <c r="B108" s="1">
        <v>2.655666</v>
      </c>
      <c r="C108" s="1">
        <v>2.745497</v>
      </c>
    </row>
    <row r="109">
      <c r="A109" s="1" t="s">
        <v>132</v>
      </c>
      <c r="B109" s="1">
        <v>2.749838</v>
      </c>
      <c r="C109" s="1">
        <v>2.573463</v>
      </c>
    </row>
    <row r="110">
      <c r="A110" s="1" t="s">
        <v>133</v>
      </c>
      <c r="B110" s="1">
        <v>2.578945</v>
      </c>
      <c r="C110" s="1">
        <v>2.455698</v>
      </c>
    </row>
    <row r="111">
      <c r="A111" s="1" t="s">
        <v>134</v>
      </c>
      <c r="B111" s="1">
        <v>2.478898</v>
      </c>
      <c r="C111" s="1">
        <v>2.224727</v>
      </c>
    </row>
    <row r="112">
      <c r="A112" s="1" t="s">
        <v>135</v>
      </c>
      <c r="B112" s="1">
        <v>2.226746</v>
      </c>
      <c r="C112" s="1">
        <v>1.85291</v>
      </c>
    </row>
    <row r="113">
      <c r="A113" s="1" t="s">
        <v>136</v>
      </c>
      <c r="B113" s="1">
        <v>1.86048</v>
      </c>
      <c r="C113" s="1">
        <v>1.849596</v>
      </c>
    </row>
    <row r="114">
      <c r="A114" s="1" t="s">
        <v>137</v>
      </c>
      <c r="B114" s="1">
        <v>1.8427</v>
      </c>
      <c r="C114" s="1">
        <v>2.16058</v>
      </c>
    </row>
    <row r="115">
      <c r="A115" s="1" t="s">
        <v>138</v>
      </c>
      <c r="B115" s="1">
        <v>2.162116</v>
      </c>
      <c r="C115" s="1">
        <v>2.188312</v>
      </c>
    </row>
    <row r="116">
      <c r="A116" s="1" t="s">
        <v>139</v>
      </c>
      <c r="B116" s="1">
        <v>2.175232</v>
      </c>
      <c r="C116" s="1">
        <v>2.132131</v>
      </c>
    </row>
    <row r="117">
      <c r="A117" s="1" t="s">
        <v>140</v>
      </c>
      <c r="B117" s="1">
        <v>2.143544</v>
      </c>
      <c r="C117" s="1">
        <v>2.165642</v>
      </c>
    </row>
    <row r="118">
      <c r="A118" s="1" t="s">
        <v>141</v>
      </c>
      <c r="B118" s="1">
        <v>2.159265</v>
      </c>
      <c r="C118" s="1">
        <v>2.019525</v>
      </c>
    </row>
    <row r="119">
      <c r="A119" s="1" t="s">
        <v>142</v>
      </c>
      <c r="B119" s="1">
        <v>2.004526</v>
      </c>
      <c r="C119" s="1">
        <v>1.734423</v>
      </c>
    </row>
    <row r="120">
      <c r="A120" s="1" t="s">
        <v>143</v>
      </c>
      <c r="B120" s="1">
        <v>1.72086</v>
      </c>
      <c r="C120" s="1">
        <v>1.633701</v>
      </c>
    </row>
    <row r="121">
      <c r="A121" s="1" t="s">
        <v>144</v>
      </c>
      <c r="B121" s="1">
        <v>1.637243</v>
      </c>
      <c r="C121" s="1">
        <v>1.602069</v>
      </c>
    </row>
    <row r="122">
      <c r="A122" s="1" t="s">
        <v>145</v>
      </c>
      <c r="B122" s="1">
        <v>1.591317</v>
      </c>
      <c r="C122" s="1">
        <v>1.881486</v>
      </c>
    </row>
    <row r="123">
      <c r="A123" s="1" t="s">
        <v>146</v>
      </c>
      <c r="B123" s="1">
        <v>1.860888</v>
      </c>
      <c r="C123" s="1">
        <v>1.781046</v>
      </c>
    </row>
    <row r="124">
      <c r="A124" s="1" t="s">
        <v>147</v>
      </c>
      <c r="B124" s="1">
        <v>1.78823</v>
      </c>
      <c r="C124" s="1">
        <v>1.966038</v>
      </c>
    </row>
    <row r="125">
      <c r="A125" s="1" t="s">
        <v>148</v>
      </c>
      <c r="B125" s="1">
        <v>1.987238</v>
      </c>
      <c r="C125" s="1">
        <v>2.072036</v>
      </c>
    </row>
    <row r="126">
      <c r="A126" s="1" t="s">
        <v>149</v>
      </c>
      <c r="B126" s="1">
        <v>2.070306</v>
      </c>
      <c r="C126" s="1">
        <v>2.17908</v>
      </c>
    </row>
    <row r="127">
      <c r="A127" s="1" t="s">
        <v>150</v>
      </c>
      <c r="B127" s="1">
        <v>2.17361</v>
      </c>
      <c r="C127" s="1">
        <v>2.003048</v>
      </c>
    </row>
    <row r="128">
      <c r="A128" s="1" t="s">
        <v>151</v>
      </c>
      <c r="B128" s="1">
        <v>2.064284</v>
      </c>
      <c r="C128" s="1">
        <v>2.050709</v>
      </c>
    </row>
    <row r="129">
      <c r="A129" s="1" t="s">
        <v>152</v>
      </c>
      <c r="B129" s="1">
        <v>2.066312</v>
      </c>
      <c r="C129" s="1">
        <v>2.029375</v>
      </c>
    </row>
    <row r="130">
      <c r="A130" s="1" t="s">
        <v>153</v>
      </c>
      <c r="B130" s="1">
        <v>2.035755</v>
      </c>
      <c r="C130" s="1">
        <v>1.843491</v>
      </c>
    </row>
    <row r="131">
      <c r="A131" s="1" t="s">
        <v>154</v>
      </c>
      <c r="B131" s="1">
        <v>1.835482</v>
      </c>
      <c r="C131" s="1">
        <v>1.953735</v>
      </c>
    </row>
    <row r="132">
      <c r="A132" s="1" t="s">
        <v>155</v>
      </c>
      <c r="B132" s="1">
        <v>1.962545</v>
      </c>
      <c r="C132" s="1">
        <v>1.875872</v>
      </c>
    </row>
    <row r="133">
      <c r="A133" s="1" t="s">
        <v>156</v>
      </c>
      <c r="B133" s="1">
        <v>1.884401</v>
      </c>
      <c r="C133" s="1">
        <v>2.058483</v>
      </c>
    </row>
    <row r="134">
      <c r="A134" s="1" t="s">
        <v>157</v>
      </c>
      <c r="B134" s="1">
        <v>2.044631</v>
      </c>
      <c r="C134" s="1">
        <v>2.103976</v>
      </c>
    </row>
    <row r="135">
      <c r="A135" s="1" t="s">
        <v>158</v>
      </c>
      <c r="B135" s="1">
        <v>2.119407</v>
      </c>
      <c r="C135" s="1">
        <v>2.084918</v>
      </c>
    </row>
    <row r="136">
      <c r="A136" s="1" t="s">
        <v>159</v>
      </c>
      <c r="B136" s="1">
        <v>2.088062</v>
      </c>
      <c r="C136" s="1">
        <v>1.975831</v>
      </c>
    </row>
    <row r="137">
      <c r="A137" s="1" t="s">
        <v>160</v>
      </c>
      <c r="B137" s="1">
        <v>1.981231</v>
      </c>
      <c r="C137" s="1">
        <v>1.831747</v>
      </c>
    </row>
    <row r="138">
      <c r="A138" s="1" t="s">
        <v>161</v>
      </c>
      <c r="B138" s="1">
        <v>1.790695</v>
      </c>
      <c r="C138" s="1">
        <v>1.818913</v>
      </c>
    </row>
    <row r="139">
      <c r="A139" s="1" t="s">
        <v>162</v>
      </c>
      <c r="B139" s="1">
        <v>1.810638</v>
      </c>
      <c r="C139" s="1">
        <v>1.695333</v>
      </c>
    </row>
    <row r="140">
      <c r="A140" s="1" t="s">
        <v>163</v>
      </c>
      <c r="B140" s="1">
        <v>1.700788</v>
      </c>
      <c r="C140" s="1">
        <v>1.767347</v>
      </c>
    </row>
    <row r="141">
      <c r="A141" s="1" t="s">
        <v>164</v>
      </c>
      <c r="B141" s="1">
        <v>1.778309</v>
      </c>
      <c r="C141" s="1">
        <v>1.898561</v>
      </c>
    </row>
    <row r="142">
      <c r="A142" s="1" t="s">
        <v>165</v>
      </c>
      <c r="B142" s="1">
        <v>1.900844</v>
      </c>
      <c r="C142" s="1">
        <v>1.68414</v>
      </c>
    </row>
    <row r="143">
      <c r="A143" s="1" t="s">
        <v>166</v>
      </c>
      <c r="B143" s="1">
        <v>1.697008</v>
      </c>
      <c r="C143" s="1">
        <v>1.815713</v>
      </c>
    </row>
    <row r="144">
      <c r="A144" s="1" t="s">
        <v>167</v>
      </c>
      <c r="B144" s="1">
        <v>1.810499</v>
      </c>
      <c r="C144" s="1">
        <v>1.787553</v>
      </c>
    </row>
    <row r="145">
      <c r="A145" s="1" t="s">
        <v>168</v>
      </c>
      <c r="B145" s="1">
        <v>1.79194</v>
      </c>
      <c r="C145" s="1">
        <v>1.826031</v>
      </c>
    </row>
    <row r="146">
      <c r="A146" s="1" t="s">
        <v>169</v>
      </c>
      <c r="B146" s="1">
        <v>1.819692</v>
      </c>
      <c r="C146" s="1">
        <v>1.797363</v>
      </c>
    </row>
    <row r="147">
      <c r="A147" s="1" t="s">
        <v>170</v>
      </c>
      <c r="B147" s="1">
        <v>1.795037</v>
      </c>
      <c r="C147" s="1">
        <v>1.762965</v>
      </c>
    </row>
    <row r="148">
      <c r="A148" s="1" t="s">
        <v>171</v>
      </c>
      <c r="B148" s="1">
        <v>1.753455</v>
      </c>
      <c r="C148" s="1">
        <v>1.670924</v>
      </c>
    </row>
    <row r="149">
      <c r="A149" s="1" t="s">
        <v>172</v>
      </c>
      <c r="B149" s="1">
        <v>1.689893</v>
      </c>
      <c r="C149" s="1">
        <v>1.566428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 t="s">
        <v>173</v>
      </c>
    </row>
    <row r="2">
      <c r="A2" s="1" t="s">
        <v>25</v>
      </c>
      <c r="B2" s="1">
        <v>3.23667143120765E8</v>
      </c>
    </row>
    <row r="3">
      <c r="A3" s="1" t="s">
        <v>26</v>
      </c>
      <c r="B3" s="1">
        <v>3.25398035982286E8</v>
      </c>
    </row>
    <row r="4">
      <c r="A4" s="1" t="s">
        <v>27</v>
      </c>
      <c r="B4" s="1">
        <v>3.27140111453602E8</v>
      </c>
    </row>
    <row r="5">
      <c r="A5" s="1" t="s">
        <v>28</v>
      </c>
      <c r="B5" s="1">
        <v>3.28886561437474E8</v>
      </c>
    </row>
    <row r="6">
      <c r="A6" s="1" t="s">
        <v>29</v>
      </c>
      <c r="B6" s="1">
        <v>3.30810316501725E8</v>
      </c>
    </row>
    <row r="7">
      <c r="A7" s="1" t="s">
        <v>30</v>
      </c>
      <c r="B7" s="1">
        <v>3.33581977275003E8</v>
      </c>
    </row>
    <row r="8">
      <c r="A8" s="1" t="s">
        <v>31</v>
      </c>
      <c r="B8" s="1">
        <v>3.35566914514167E8</v>
      </c>
    </row>
    <row r="9">
      <c r="A9" s="1" t="s">
        <v>32</v>
      </c>
      <c r="B9" s="1">
        <v>3.37571704306176E8</v>
      </c>
    </row>
    <row r="10">
      <c r="A10" s="1" t="s">
        <v>33</v>
      </c>
      <c r="B10" s="1">
        <v>3.4139207134602E8</v>
      </c>
    </row>
    <row r="11">
      <c r="A11" s="1" t="s">
        <v>34</v>
      </c>
      <c r="B11" s="1">
        <v>3.43402802113043E8</v>
      </c>
    </row>
    <row r="12">
      <c r="A12" s="1" t="s">
        <v>35</v>
      </c>
      <c r="B12" s="1">
        <v>3.45225666768197E8</v>
      </c>
    </row>
    <row r="13">
      <c r="A13" s="1" t="s">
        <v>36</v>
      </c>
      <c r="B13" s="1">
        <v>3.48427636567224E8</v>
      </c>
    </row>
    <row r="14">
      <c r="A14" s="1" t="s">
        <v>37</v>
      </c>
      <c r="B14" s="1">
        <v>3.5044231741231E8</v>
      </c>
    </row>
    <row r="15">
      <c r="A15" s="1" t="s">
        <v>38</v>
      </c>
      <c r="B15" s="1">
        <v>3.52459564016687E8</v>
      </c>
    </row>
    <row r="16">
      <c r="A16" s="1" t="s">
        <v>39</v>
      </c>
      <c r="B16" s="1">
        <v>3.54959106881959E8</v>
      </c>
    </row>
    <row r="17">
      <c r="A17" s="1" t="s">
        <v>40</v>
      </c>
      <c r="B17" s="1">
        <v>3.57658354316487E8</v>
      </c>
    </row>
    <row r="18">
      <c r="A18" s="1" t="s">
        <v>41</v>
      </c>
      <c r="B18" s="1">
        <v>3.59687636664445E8</v>
      </c>
    </row>
    <row r="19">
      <c r="A19" s="1" t="s">
        <v>42</v>
      </c>
      <c r="B19" s="1">
        <v>3.61672823841227E8</v>
      </c>
    </row>
    <row r="20">
      <c r="A20" s="1" t="s">
        <v>43</v>
      </c>
      <c r="B20" s="1">
        <v>3.6422477697328E8</v>
      </c>
    </row>
    <row r="21">
      <c r="A21" s="1" t="s">
        <v>44</v>
      </c>
      <c r="B21" s="1">
        <v>3.68216096518682E8</v>
      </c>
    </row>
    <row r="22">
      <c r="A22" s="1" t="s">
        <v>45</v>
      </c>
      <c r="B22" s="1">
        <v>3.70220011593175E8</v>
      </c>
    </row>
    <row r="23">
      <c r="A23" s="1" t="s">
        <v>46</v>
      </c>
      <c r="B23" s="1">
        <v>3.72285401488625E8</v>
      </c>
    </row>
    <row r="24">
      <c r="A24" s="1" t="s">
        <v>47</v>
      </c>
      <c r="B24" s="1">
        <v>3.74313692753636E8</v>
      </c>
    </row>
    <row r="25">
      <c r="A25" s="1" t="s">
        <v>48</v>
      </c>
      <c r="B25" s="1">
        <v>3.76316694534736E8</v>
      </c>
    </row>
    <row r="26">
      <c r="A26" s="1" t="s">
        <v>49</v>
      </c>
      <c r="B26" s="1">
        <v>3.78332294398226E8</v>
      </c>
    </row>
    <row r="27">
      <c r="A27" s="1" t="s">
        <v>50</v>
      </c>
      <c r="B27" s="1">
        <v>3.80346611123695E8</v>
      </c>
    </row>
    <row r="28">
      <c r="A28" s="1" t="s">
        <v>51</v>
      </c>
      <c r="B28" s="1">
        <v>3.82363377476296E8</v>
      </c>
    </row>
    <row r="29">
      <c r="A29" s="1" t="s">
        <v>52</v>
      </c>
      <c r="B29" s="1">
        <v>3.84392391964556E8</v>
      </c>
    </row>
    <row r="30">
      <c r="A30" s="1" t="s">
        <v>53</v>
      </c>
      <c r="B30" s="1">
        <v>3.86395277096744E8</v>
      </c>
    </row>
    <row r="31">
      <c r="A31" s="1" t="s">
        <v>54</v>
      </c>
      <c r="B31" s="1">
        <v>3.89242670896532E8</v>
      </c>
    </row>
    <row r="32">
      <c r="A32" s="1" t="s">
        <v>55</v>
      </c>
      <c r="B32" s="1">
        <v>3.91270798853067E8</v>
      </c>
    </row>
    <row r="33">
      <c r="A33" s="1" t="s">
        <v>56</v>
      </c>
      <c r="B33" s="1">
        <v>3.93275427506998E8</v>
      </c>
    </row>
    <row r="34">
      <c r="A34" s="1" t="s">
        <v>57</v>
      </c>
      <c r="B34" s="1">
        <v>3.95440770742884E8</v>
      </c>
    </row>
    <row r="35">
      <c r="A35" s="1" t="s">
        <v>58</v>
      </c>
      <c r="B35" s="1">
        <v>3.97485742802173E8</v>
      </c>
    </row>
    <row r="36">
      <c r="A36" s="1" t="s">
        <v>59</v>
      </c>
      <c r="B36" s="1">
        <v>3.99474093480047E8</v>
      </c>
    </row>
    <row r="37">
      <c r="A37" s="1" t="s">
        <v>60</v>
      </c>
      <c r="B37" s="1">
        <v>4.01488200237476E8</v>
      </c>
    </row>
    <row r="38">
      <c r="A38" s="1" t="s">
        <v>61</v>
      </c>
      <c r="B38" s="1">
        <v>4.03579076868571E8</v>
      </c>
    </row>
    <row r="39">
      <c r="A39" s="1" t="s">
        <v>62</v>
      </c>
      <c r="B39" s="1">
        <v>4.08095469944657E8</v>
      </c>
    </row>
    <row r="40">
      <c r="A40" s="1" t="s">
        <v>63</v>
      </c>
      <c r="B40" s="1">
        <v>4.11058488371831E8</v>
      </c>
    </row>
    <row r="41">
      <c r="A41" s="1" t="s">
        <v>64</v>
      </c>
      <c r="B41" s="1">
        <v>4.13072758437736E8</v>
      </c>
    </row>
    <row r="42">
      <c r="A42" s="1" t="s">
        <v>65</v>
      </c>
      <c r="B42" s="1">
        <v>4.15212471769503E8</v>
      </c>
    </row>
    <row r="43">
      <c r="A43" s="1" t="s">
        <v>66</v>
      </c>
      <c r="B43" s="1">
        <v>4.17337010974277E8</v>
      </c>
    </row>
    <row r="44">
      <c r="A44" s="1" t="s">
        <v>67</v>
      </c>
      <c r="B44" s="1">
        <v>4.19338682957791E8</v>
      </c>
    </row>
    <row r="45">
      <c r="A45" s="1" t="s">
        <v>68</v>
      </c>
      <c r="B45" s="1">
        <v>4.21356009225165E8</v>
      </c>
    </row>
    <row r="46">
      <c r="A46" s="1" t="s">
        <v>69</v>
      </c>
      <c r="B46" s="1">
        <v>4.23371469109962E8</v>
      </c>
    </row>
    <row r="47">
      <c r="A47" s="1" t="s">
        <v>70</v>
      </c>
      <c r="B47" s="1">
        <v>4.2538534256957E8</v>
      </c>
    </row>
    <row r="48">
      <c r="A48" s="1" t="s">
        <v>71</v>
      </c>
      <c r="B48" s="1">
        <v>4.28402832145419E8</v>
      </c>
    </row>
    <row r="49">
      <c r="A49" s="1" t="s">
        <v>72</v>
      </c>
      <c r="B49" s="1">
        <v>4.30417428828275E8</v>
      </c>
    </row>
    <row r="50">
      <c r="A50" s="1" t="s">
        <v>73</v>
      </c>
      <c r="B50" s="1">
        <v>4.32448682975626E8</v>
      </c>
    </row>
    <row r="51">
      <c r="A51" s="1" t="s">
        <v>74</v>
      </c>
      <c r="B51" s="1">
        <v>4.34450284969793E8</v>
      </c>
    </row>
    <row r="52">
      <c r="A52" s="1" t="s">
        <v>75</v>
      </c>
      <c r="B52" s="1">
        <v>4.36465488226986E8</v>
      </c>
    </row>
    <row r="53">
      <c r="A53" s="1" t="s">
        <v>76</v>
      </c>
      <c r="B53" s="1">
        <v>4.38493149587877E8</v>
      </c>
    </row>
    <row r="54">
      <c r="A54" s="1" t="s">
        <v>77</v>
      </c>
      <c r="B54" s="1">
        <v>4.40572201209176E8</v>
      </c>
    </row>
    <row r="55">
      <c r="A55" s="1" t="s">
        <v>78</v>
      </c>
      <c r="B55" s="1">
        <v>4.42601938920683E8</v>
      </c>
    </row>
    <row r="56">
      <c r="A56" s="1" t="s">
        <v>79</v>
      </c>
      <c r="B56" s="1">
        <v>4.44962981000077E8</v>
      </c>
    </row>
    <row r="57">
      <c r="A57" s="1" t="s">
        <v>80</v>
      </c>
      <c r="B57" s="1">
        <v>4.46983340139138E8</v>
      </c>
    </row>
    <row r="58">
      <c r="A58" s="1" t="s">
        <v>81</v>
      </c>
      <c r="B58" s="1">
        <v>4.49013007861299E8</v>
      </c>
    </row>
    <row r="59">
      <c r="A59" s="1" t="s">
        <v>82</v>
      </c>
      <c r="B59" s="1">
        <v>4.51046781281838E8</v>
      </c>
    </row>
    <row r="60">
      <c r="A60" s="1" t="s">
        <v>83</v>
      </c>
      <c r="B60" s="1">
        <v>4.53074465972511E8</v>
      </c>
    </row>
    <row r="61">
      <c r="A61" s="1" t="s">
        <v>84</v>
      </c>
      <c r="B61" s="1">
        <v>4.55090112495566E8</v>
      </c>
    </row>
    <row r="62">
      <c r="A62" s="1" t="s">
        <v>85</v>
      </c>
      <c r="B62" s="1">
        <v>4.57178539770128E8</v>
      </c>
    </row>
    <row r="63">
      <c r="A63" s="1" t="s">
        <v>86</v>
      </c>
      <c r="B63" s="1">
        <v>4.59560627182297E8</v>
      </c>
    </row>
    <row r="64">
      <c r="A64" s="1" t="s">
        <v>87</v>
      </c>
      <c r="B64" s="1">
        <v>4.61587098724296E8</v>
      </c>
    </row>
    <row r="65">
      <c r="A65" s="1" t="s">
        <v>88</v>
      </c>
      <c r="B65" s="1">
        <v>4.63690987037119E8</v>
      </c>
    </row>
    <row r="66">
      <c r="A66" s="1" t="s">
        <v>89</v>
      </c>
      <c r="B66" s="1">
        <v>4.65706726879303E8</v>
      </c>
    </row>
    <row r="67">
      <c r="A67" s="1" t="s">
        <v>90</v>
      </c>
      <c r="B67" s="1">
        <v>4.66721455756363E8</v>
      </c>
    </row>
    <row r="68">
      <c r="A68" s="1" t="s">
        <v>91</v>
      </c>
      <c r="B68" s="1">
        <v>4.70543252994612E8</v>
      </c>
    </row>
    <row r="69">
      <c r="A69" s="1" t="s">
        <v>92</v>
      </c>
      <c r="B69" s="1">
        <v>4.75069794525958E8</v>
      </c>
    </row>
    <row r="70">
      <c r="A70" s="1" t="s">
        <v>93</v>
      </c>
      <c r="B70" s="1">
        <v>4.77074219423772E8</v>
      </c>
    </row>
    <row r="71">
      <c r="A71" s="1" t="s">
        <v>94</v>
      </c>
      <c r="B71" s="1">
        <v>4.79088769447063E8</v>
      </c>
    </row>
    <row r="72">
      <c r="A72" s="1" t="s">
        <v>95</v>
      </c>
      <c r="B72" s="1">
        <v>4.81118413839442E8</v>
      </c>
    </row>
    <row r="73">
      <c r="A73" s="1" t="s">
        <v>96</v>
      </c>
      <c r="B73" s="1">
        <v>4.83154206166857E8</v>
      </c>
    </row>
    <row r="74">
      <c r="A74" s="1" t="s">
        <v>97</v>
      </c>
      <c r="B74" s="1">
        <v>4.8517045926425E8</v>
      </c>
    </row>
    <row r="75">
      <c r="A75" s="1" t="s">
        <v>98</v>
      </c>
      <c r="B75" s="1">
        <v>4.87198517231438E8</v>
      </c>
    </row>
    <row r="76">
      <c r="A76" s="1" t="s">
        <v>99</v>
      </c>
      <c r="B76" s="1">
        <v>4.89199769278872E8</v>
      </c>
    </row>
    <row r="77">
      <c r="A77" s="1" t="s">
        <v>100</v>
      </c>
      <c r="B77" s="1">
        <v>4.91231606670778E8</v>
      </c>
    </row>
    <row r="78">
      <c r="A78" s="1" t="s">
        <v>101</v>
      </c>
      <c r="B78" s="1">
        <v>4.93245690098426E8</v>
      </c>
    </row>
    <row r="79">
      <c r="A79" s="1" t="s">
        <v>102</v>
      </c>
      <c r="B79" s="1">
        <v>4.95362899716888E8</v>
      </c>
    </row>
    <row r="80">
      <c r="A80" s="1" t="s">
        <v>103</v>
      </c>
      <c r="B80" s="1">
        <v>4.97364268413233E8</v>
      </c>
    </row>
    <row r="81">
      <c r="A81" s="1" t="s">
        <v>104</v>
      </c>
      <c r="B81" s="1">
        <v>4.99379984925635E8</v>
      </c>
    </row>
    <row r="82">
      <c r="A82" s="1" t="s">
        <v>105</v>
      </c>
      <c r="B82" s="1">
        <v>5.0139626135281E8</v>
      </c>
    </row>
    <row r="83">
      <c r="A83" s="1" t="s">
        <v>106</v>
      </c>
      <c r="B83" s="1">
        <v>5.03411091333487E8</v>
      </c>
    </row>
    <row r="84">
      <c r="A84" s="1" t="s">
        <v>107</v>
      </c>
      <c r="B84" s="1">
        <v>5.05427671047831E8</v>
      </c>
    </row>
    <row r="85">
      <c r="A85" s="1" t="s">
        <v>108</v>
      </c>
      <c r="B85" s="1">
        <v>5.07443177592193E8</v>
      </c>
    </row>
    <row r="86">
      <c r="A86" s="1" t="s">
        <v>109</v>
      </c>
      <c r="B86" s="1">
        <v>5.09458964093941E8</v>
      </c>
    </row>
    <row r="87">
      <c r="A87" s="1" t="s">
        <v>110</v>
      </c>
      <c r="B87" s="1">
        <v>5.11492379134346E8</v>
      </c>
    </row>
    <row r="88">
      <c r="A88" s="1" t="s">
        <v>111</v>
      </c>
      <c r="B88" s="1">
        <v>5.13519777661085E8</v>
      </c>
    </row>
    <row r="89">
      <c r="A89" s="1" t="s">
        <v>112</v>
      </c>
      <c r="B89" s="1">
        <v>5.15535517503269E8</v>
      </c>
    </row>
    <row r="90">
      <c r="A90" s="1" t="s">
        <v>113</v>
      </c>
      <c r="B90" s="1">
        <v>5.17531613668836E8</v>
      </c>
    </row>
    <row r="91">
      <c r="A91" s="1" t="s">
        <v>114</v>
      </c>
      <c r="B91" s="1">
        <v>5.19548053404486E8</v>
      </c>
    </row>
    <row r="92">
      <c r="A92" s="1" t="s">
        <v>115</v>
      </c>
      <c r="B92" s="1">
        <v>5.21576507977972E8</v>
      </c>
    </row>
    <row r="93">
      <c r="A93" s="1" t="s">
        <v>116</v>
      </c>
      <c r="B93" s="1">
        <v>5.23679136482556E8</v>
      </c>
    </row>
    <row r="94">
      <c r="A94" s="1" t="s">
        <v>117</v>
      </c>
      <c r="B94" s="1">
        <v>5.25693989793016E8</v>
      </c>
    </row>
    <row r="95">
      <c r="A95" s="1" t="s">
        <v>118</v>
      </c>
      <c r="B95" s="1">
        <v>5.27723680844959E8</v>
      </c>
    </row>
    <row r="96">
      <c r="A96" s="1" t="s">
        <v>119</v>
      </c>
      <c r="B96" s="1">
        <v>5.2973865080433E8</v>
      </c>
    </row>
    <row r="97">
      <c r="A97" s="1" t="s">
        <v>120</v>
      </c>
      <c r="B97" s="1">
        <v>5.31772074621426E8</v>
      </c>
    </row>
    <row r="98">
      <c r="A98" s="1" t="s">
        <v>121</v>
      </c>
      <c r="B98" s="1">
        <v>5.36257999001951E8</v>
      </c>
    </row>
    <row r="99">
      <c r="A99" s="1" t="s">
        <v>122</v>
      </c>
      <c r="B99" s="1">
        <v>5.38302597784724E8</v>
      </c>
    </row>
    <row r="100">
      <c r="A100" s="1" t="s">
        <v>123</v>
      </c>
      <c r="B100" s="1">
        <v>5.40289152069368E8</v>
      </c>
    </row>
    <row r="101">
      <c r="A101" s="1" t="s">
        <v>124</v>
      </c>
      <c r="B101" s="1">
        <v>5.42305451826324E8</v>
      </c>
    </row>
    <row r="102">
      <c r="A102" s="1" t="s">
        <v>125</v>
      </c>
      <c r="B102" s="1">
        <v>5.44339178930589E8</v>
      </c>
    </row>
    <row r="103">
      <c r="A103" s="1" t="s">
        <v>126</v>
      </c>
      <c r="B103" s="1">
        <v>5.46335415074849E8</v>
      </c>
    </row>
    <row r="104">
      <c r="A104" s="1" t="s">
        <v>127</v>
      </c>
      <c r="B104" s="1">
        <v>5.49385658796361E8</v>
      </c>
    </row>
    <row r="105">
      <c r="A105" s="1" t="s">
        <v>128</v>
      </c>
      <c r="B105" s="1">
        <v>5.51413530125292E8</v>
      </c>
    </row>
    <row r="106">
      <c r="A106" s="1" t="s">
        <v>129</v>
      </c>
      <c r="B106" s="1">
        <v>5.53415808683143E8</v>
      </c>
    </row>
    <row r="107">
      <c r="A107" s="1" t="s">
        <v>130</v>
      </c>
      <c r="B107" s="1">
        <v>5.55433204939863E8</v>
      </c>
    </row>
    <row r="108">
      <c r="A108" s="1" t="s">
        <v>131</v>
      </c>
      <c r="B108" s="1">
        <v>5.5746123957727E8</v>
      </c>
    </row>
    <row r="109">
      <c r="A109" s="1" t="s">
        <v>132</v>
      </c>
      <c r="B109" s="1">
        <v>5.59463984730765E8</v>
      </c>
    </row>
    <row r="110">
      <c r="A110" s="1" t="s">
        <v>133</v>
      </c>
      <c r="B110" s="1">
        <v>5.61491949378825E8</v>
      </c>
    </row>
    <row r="111">
      <c r="A111" s="1" t="s">
        <v>134</v>
      </c>
      <c r="B111" s="1">
        <v>5.63593924649507E8</v>
      </c>
    </row>
    <row r="112">
      <c r="A112" s="1" t="s">
        <v>135</v>
      </c>
      <c r="B112" s="1">
        <v>5.75679248087734E8</v>
      </c>
    </row>
    <row r="113">
      <c r="A113" s="1" t="s">
        <v>136</v>
      </c>
      <c r="B113" s="1">
        <v>5.7769321486647E8</v>
      </c>
    </row>
    <row r="114">
      <c r="A114" s="1" t="s">
        <v>137</v>
      </c>
      <c r="B114" s="1">
        <v>5.79722579301462E8</v>
      </c>
    </row>
    <row r="115">
      <c r="A115" s="1" t="s">
        <v>138</v>
      </c>
      <c r="B115" s="1">
        <v>5.81725371114522E8</v>
      </c>
    </row>
    <row r="116">
      <c r="A116" s="1" t="s">
        <v>139</v>
      </c>
      <c r="B116" s="1">
        <v>5.83765698315816E8</v>
      </c>
    </row>
    <row r="117">
      <c r="A117" s="1" t="s">
        <v>140</v>
      </c>
      <c r="B117" s="1">
        <v>5.85779968381721E8</v>
      </c>
    </row>
    <row r="118">
      <c r="A118" s="1" t="s">
        <v>141</v>
      </c>
      <c r="B118" s="1">
        <v>5.79311152539725E8</v>
      </c>
    </row>
    <row r="119">
      <c r="A119" s="1" t="s">
        <v>142</v>
      </c>
      <c r="B119" s="1">
        <v>5.81411284757613E8</v>
      </c>
    </row>
    <row r="120">
      <c r="A120" s="1" t="s">
        <v>143</v>
      </c>
      <c r="B120" s="1">
        <v>5.83427444535877E8</v>
      </c>
    </row>
    <row r="121">
      <c r="A121" s="1" t="s">
        <v>144</v>
      </c>
      <c r="B121" s="1">
        <v>5.85441364655049E8</v>
      </c>
    </row>
    <row r="122">
      <c r="A122" s="1" t="s">
        <v>145</v>
      </c>
      <c r="B122" s="1">
        <v>5.87472432164142E8</v>
      </c>
    </row>
    <row r="123">
      <c r="A123" s="1" t="s">
        <v>146</v>
      </c>
      <c r="B123" s="1">
        <v>5.89475480604806E8</v>
      </c>
    </row>
    <row r="124">
      <c r="A124" s="1" t="s">
        <v>147</v>
      </c>
      <c r="B124" s="1">
        <v>5.91503748540034E8</v>
      </c>
    </row>
    <row r="125">
      <c r="A125" s="1" t="s">
        <v>148</v>
      </c>
      <c r="B125" s="1">
        <v>5.93517971946375E8</v>
      </c>
    </row>
    <row r="126">
      <c r="A126" s="1" t="s">
        <v>149</v>
      </c>
      <c r="B126" s="1">
        <v>5.9684890856531E8</v>
      </c>
    </row>
    <row r="127">
      <c r="A127" s="1" t="s">
        <v>150</v>
      </c>
      <c r="B127" s="1">
        <v>5.98851513740112E8</v>
      </c>
    </row>
    <row r="128">
      <c r="A128" s="1" t="s">
        <v>151</v>
      </c>
      <c r="B128" s="1">
        <v>6.03367883486416E8</v>
      </c>
    </row>
    <row r="129">
      <c r="A129" s="1" t="s">
        <v>152</v>
      </c>
      <c r="B129" s="1">
        <v>6.05405619626222E8</v>
      </c>
    </row>
    <row r="130">
      <c r="A130" s="1" t="s">
        <v>153</v>
      </c>
      <c r="B130" s="1">
        <v>6.07422969223378E8</v>
      </c>
    </row>
    <row r="131">
      <c r="A131" s="1" t="s">
        <v>154</v>
      </c>
      <c r="B131" s="1">
        <v>6.09437285948848E8</v>
      </c>
    </row>
    <row r="132">
      <c r="A132" s="1" t="s">
        <v>155</v>
      </c>
      <c r="B132" s="1">
        <v>6.11552465876259E8</v>
      </c>
    </row>
    <row r="133">
      <c r="A133" s="1" t="s">
        <v>156</v>
      </c>
      <c r="B133" s="1">
        <v>6.1356976881385E8</v>
      </c>
    </row>
    <row r="134">
      <c r="A134" s="1" t="s">
        <v>157</v>
      </c>
      <c r="B134" s="1">
        <v>6.15599436536011E8</v>
      </c>
    </row>
    <row r="135">
      <c r="A135" s="1" t="s">
        <v>158</v>
      </c>
      <c r="B135" s="1">
        <v>6.17601435136476E8</v>
      </c>
    </row>
    <row r="136">
      <c r="A136" s="1" t="s">
        <v>159</v>
      </c>
      <c r="B136" s="1">
        <v>6.19618294808205E8</v>
      </c>
    </row>
    <row r="137">
      <c r="A137" s="1" t="s">
        <v>160</v>
      </c>
      <c r="B137" s="1">
        <v>6.20130651831969E8</v>
      </c>
    </row>
    <row r="138">
      <c r="A138" s="1" t="s">
        <v>161</v>
      </c>
      <c r="B138" s="1">
        <v>6.22147791461086E8</v>
      </c>
    </row>
    <row r="139">
      <c r="A139" s="1" t="s">
        <v>162</v>
      </c>
      <c r="B139" s="1">
        <v>6.24164581143469E8</v>
      </c>
    </row>
    <row r="140">
      <c r="A140" s="1" t="s">
        <v>163</v>
      </c>
      <c r="B140" s="1">
        <v>6.2617859458177E8</v>
      </c>
    </row>
    <row r="141">
      <c r="A141" s="1" t="s">
        <v>164</v>
      </c>
      <c r="B141" s="1">
        <v>6.28225363034288E8</v>
      </c>
    </row>
    <row r="142">
      <c r="A142" s="1" t="s">
        <v>165</v>
      </c>
      <c r="B142" s="1">
        <v>6.30223978816332E8</v>
      </c>
    </row>
    <row r="143">
      <c r="A143" s="1" t="s">
        <v>166</v>
      </c>
      <c r="B143" s="1">
        <v>6.32263703818952E8</v>
      </c>
    </row>
    <row r="144">
      <c r="A144" s="1" t="s">
        <v>167</v>
      </c>
      <c r="B144" s="1">
        <v>6.34265679089634E8</v>
      </c>
    </row>
    <row r="145">
      <c r="A145" s="1" t="s">
        <v>168</v>
      </c>
      <c r="B145" s="1">
        <v>6.36282772059186E8</v>
      </c>
    </row>
    <row r="146">
      <c r="A146" s="1" t="s">
        <v>169</v>
      </c>
      <c r="B146" s="1">
        <v>6.38298185284419E8</v>
      </c>
    </row>
    <row r="147">
      <c r="A147" s="1" t="s">
        <v>170</v>
      </c>
      <c r="B147" s="1">
        <v>6.40343553950005E8</v>
      </c>
    </row>
    <row r="148">
      <c r="A148" s="1" t="s">
        <v>171</v>
      </c>
      <c r="B148" s="1">
        <v>6.4243097143659E8</v>
      </c>
    </row>
    <row r="149">
      <c r="A149" s="1" t="s">
        <v>172</v>
      </c>
      <c r="B149" s="1">
        <v>6.44445264832277E8</v>
      </c>
    </row>
    <row r="150">
      <c r="A150" s="1" t="s">
        <v>174</v>
      </c>
      <c r="B150" s="1">
        <v>6.44781213696047E8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175</v>
      </c>
    </row>
    <row r="2">
      <c r="A2" s="8" t="s">
        <v>176</v>
      </c>
    </row>
    <row r="3">
      <c r="A3" s="1" t="s">
        <v>177</v>
      </c>
    </row>
    <row r="4">
      <c r="A4" s="9" t="s">
        <v>178</v>
      </c>
    </row>
    <row r="7">
      <c r="A7" s="2"/>
    </row>
  </sheetData>
  <hyperlinks>
    <hyperlink r:id="rId1" ref="A2"/>
    <hyperlink r:id="rId2" ref="A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IFERROR(__xludf.DUMMYFUNCTION("QUERY({btc_price!A2:B1000,ARRAYFORMULA(IFERROR(VLOOKUP(btc_price!A2:A1000,btc_supply!$A:B,2,0),""""))},""SELECT *"",0)"),"2022-05-01T00:00:00Z")</f>
        <v>2022-05-01T00:00:00Z</v>
      </c>
      <c r="B2" s="3">
        <f>IFERROR(__xludf.DUMMYFUNCTION("""COMPUTED_VALUE"""),38474.808133)</f>
        <v>38474.80813</v>
      </c>
      <c r="C2" s="3">
        <f>IFERROR(__xludf.DUMMYFUNCTION("""COMPUTED_VALUE"""),1.9026893E7)</f>
        <v>19026893</v>
      </c>
      <c r="D2" s="1">
        <v>0.0</v>
      </c>
      <c r="E2" s="1">
        <v>0.0</v>
      </c>
      <c r="F2" s="3" t="str">
        <f t="shared" ref="F2:F144" si="1">IF(ISBLANK(A2),"","BTC")</f>
        <v>BTC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IFERROR(__xludf.DUMMYFUNCTION("""COMPUTED_VALUE"""),38518.419234)</f>
        <v>38518.41923</v>
      </c>
      <c r="C3" s="3">
        <f>IFERROR(__xludf.DUMMYFUNCTION("""COMPUTED_VALUE"""),1.9027918E7)</f>
        <v>19027918</v>
      </c>
      <c r="D3" s="3">
        <f t="shared" ref="D3:D144" si="2">C3-C2</f>
        <v>1025</v>
      </c>
      <c r="E3" s="3">
        <f t="shared" ref="E3:E144" si="3">B3*D3</f>
        <v>39481379.71</v>
      </c>
      <c r="F3" s="3" t="str">
        <f t="shared" si="1"/>
        <v>BTC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IFERROR(__xludf.DUMMYFUNCTION("""COMPUTED_VALUE"""),37724.773932)</f>
        <v>37724.77393</v>
      </c>
      <c r="C4" s="3">
        <f>IFERROR(__xludf.DUMMYFUNCTION("""COMPUTED_VALUE"""),1.90289E7)</f>
        <v>19028900</v>
      </c>
      <c r="D4" s="3">
        <f t="shared" si="2"/>
        <v>982</v>
      </c>
      <c r="E4" s="3">
        <f t="shared" si="3"/>
        <v>37045728</v>
      </c>
      <c r="F4" s="3" t="str">
        <f t="shared" si="1"/>
        <v>BTC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IFERROR(__xludf.DUMMYFUNCTION("""COMPUTED_VALUE"""),39678.473342)</f>
        <v>39678.47334</v>
      </c>
      <c r="C5" s="3">
        <f>IFERROR(__xludf.DUMMYFUNCTION("""COMPUTED_VALUE"""),1.9029856E7)</f>
        <v>19029856</v>
      </c>
      <c r="D5" s="3">
        <f t="shared" si="2"/>
        <v>956</v>
      </c>
      <c r="E5" s="3">
        <f t="shared" si="3"/>
        <v>37932620.51</v>
      </c>
      <c r="F5" s="3" t="str">
        <f t="shared" si="1"/>
        <v>BTC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IFERROR(__xludf.DUMMYFUNCTION("""COMPUTED_VALUE"""),36547.03884)</f>
        <v>36547.03884</v>
      </c>
      <c r="C6" s="3">
        <f>IFERROR(__xludf.DUMMYFUNCTION("""COMPUTED_VALUE"""),1.9030793E7)</f>
        <v>19030793</v>
      </c>
      <c r="D6" s="3">
        <f t="shared" si="2"/>
        <v>937</v>
      </c>
      <c r="E6" s="3">
        <f t="shared" si="3"/>
        <v>34244575.39</v>
      </c>
      <c r="F6" s="3" t="str">
        <f t="shared" si="1"/>
        <v>BTC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IFERROR(__xludf.DUMMYFUNCTION("""COMPUTED_VALUE"""),35997.002496)</f>
        <v>35997.0025</v>
      </c>
      <c r="C7" s="3">
        <f>IFERROR(__xludf.DUMMYFUNCTION("""COMPUTED_VALUE"""),1.9031731E7)</f>
        <v>19031731</v>
      </c>
      <c r="D7" s="3">
        <f t="shared" si="2"/>
        <v>938</v>
      </c>
      <c r="E7" s="3">
        <f t="shared" si="3"/>
        <v>33765188.34</v>
      </c>
      <c r="F7" s="3" t="str">
        <f t="shared" si="1"/>
        <v>BTC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IFERROR(__xludf.DUMMYFUNCTION("""COMPUTED_VALUE"""),35450.771743)</f>
        <v>35450.77174</v>
      </c>
      <c r="C8" s="3">
        <f>IFERROR(__xludf.DUMMYFUNCTION("""COMPUTED_VALUE"""),1.9032637E7)</f>
        <v>19032637</v>
      </c>
      <c r="D8" s="3">
        <f t="shared" si="2"/>
        <v>906</v>
      </c>
      <c r="E8" s="3">
        <f t="shared" si="3"/>
        <v>32118399.2</v>
      </c>
      <c r="F8" s="3" t="str">
        <f t="shared" si="1"/>
        <v>BTC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IFERROR(__xludf.DUMMYFUNCTION("""COMPUTED_VALUE"""),34027.021333)</f>
        <v>34027.02133</v>
      </c>
      <c r="C9" s="3">
        <f>IFERROR(__xludf.DUMMYFUNCTION("""COMPUTED_VALUE"""),1.9033587E7)</f>
        <v>19033587</v>
      </c>
      <c r="D9" s="3">
        <f t="shared" si="2"/>
        <v>950</v>
      </c>
      <c r="E9" s="3">
        <f t="shared" si="3"/>
        <v>32325670.27</v>
      </c>
      <c r="F9" s="3" t="str">
        <f t="shared" si="1"/>
        <v>BTC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IFERROR(__xludf.DUMMYFUNCTION("""COMPUTED_VALUE"""),30072.939281)</f>
        <v>30072.93928</v>
      </c>
      <c r="C10" s="3">
        <f>IFERROR(__xludf.DUMMYFUNCTION("""COMPUTED_VALUE"""),1.9034531E7)</f>
        <v>19034531</v>
      </c>
      <c r="D10" s="3">
        <f t="shared" si="2"/>
        <v>944</v>
      </c>
      <c r="E10" s="3">
        <f t="shared" si="3"/>
        <v>28388854.68</v>
      </c>
      <c r="F10" s="3" t="str">
        <f t="shared" si="1"/>
        <v>BTC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IFERROR(__xludf.DUMMYFUNCTION("""COMPUTED_VALUE"""),31012.796392)</f>
        <v>31012.79639</v>
      </c>
      <c r="C11" s="3">
        <f>IFERROR(__xludf.DUMMYFUNCTION("""COMPUTED_VALUE"""),1.9035475E7)</f>
        <v>19035475</v>
      </c>
      <c r="D11" s="3">
        <f t="shared" si="2"/>
        <v>944</v>
      </c>
      <c r="E11" s="3">
        <f t="shared" si="3"/>
        <v>29276079.79</v>
      </c>
      <c r="F11" s="3" t="str">
        <f t="shared" si="1"/>
        <v>BTC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IFERROR(__xludf.DUMMYFUNCTION("""COMPUTED_VALUE"""),28975.801361)</f>
        <v>28975.80136</v>
      </c>
      <c r="C12" s="3">
        <f>IFERROR(__xludf.DUMMYFUNCTION("""COMPUTED_VALUE"""),1.9036431E7)</f>
        <v>19036431</v>
      </c>
      <c r="D12" s="3">
        <f t="shared" si="2"/>
        <v>956</v>
      </c>
      <c r="E12" s="3">
        <f t="shared" si="3"/>
        <v>27700866.1</v>
      </c>
      <c r="F12" s="3" t="str">
        <f t="shared" si="1"/>
        <v>BTC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IFERROR(__xludf.DUMMYFUNCTION("""COMPUTED_VALUE"""),28959.389929)</f>
        <v>28959.38993</v>
      </c>
      <c r="C13" s="3">
        <f>IFERROR(__xludf.DUMMYFUNCTION("""COMPUTED_VALUE"""),1.90373E7)</f>
        <v>19037300</v>
      </c>
      <c r="D13" s="3">
        <f t="shared" si="2"/>
        <v>869</v>
      </c>
      <c r="E13" s="3">
        <f t="shared" si="3"/>
        <v>25165709.85</v>
      </c>
      <c r="F13" s="3" t="str">
        <f t="shared" si="1"/>
        <v>BTC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IFERROR(__xludf.DUMMYFUNCTION("""COMPUTED_VALUE"""),29245.757314)</f>
        <v>29245.75731</v>
      </c>
      <c r="C14" s="3">
        <f>IFERROR(__xludf.DUMMYFUNCTION("""COMPUTED_VALUE"""),1.9038212E7)</f>
        <v>19038212</v>
      </c>
      <c r="D14" s="3">
        <f t="shared" si="2"/>
        <v>912</v>
      </c>
      <c r="E14" s="3">
        <f t="shared" si="3"/>
        <v>26672130.67</v>
      </c>
      <c r="F14" s="3" t="str">
        <f t="shared" si="1"/>
        <v>BTC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IFERROR(__xludf.DUMMYFUNCTION("""COMPUTED_VALUE"""),30048.70072)</f>
        <v>30048.70072</v>
      </c>
      <c r="C15" s="3">
        <f>IFERROR(__xludf.DUMMYFUNCTION("""COMPUTED_VALUE"""),1.9039137E7)</f>
        <v>19039137</v>
      </c>
      <c r="D15" s="3">
        <f t="shared" si="2"/>
        <v>925</v>
      </c>
      <c r="E15" s="3">
        <f t="shared" si="3"/>
        <v>27795048.17</v>
      </c>
      <c r="F15" s="3" t="str">
        <f t="shared" si="1"/>
        <v>BTC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IFERROR(__xludf.DUMMYFUNCTION("""COMPUTED_VALUE"""),31292.530861)</f>
        <v>31292.53086</v>
      </c>
      <c r="C16" s="3">
        <f>IFERROR(__xludf.DUMMYFUNCTION("""COMPUTED_VALUE"""),1.904005E7)</f>
        <v>19040050</v>
      </c>
      <c r="D16" s="3">
        <f t="shared" si="2"/>
        <v>913</v>
      </c>
      <c r="E16" s="3">
        <f t="shared" si="3"/>
        <v>28570080.68</v>
      </c>
      <c r="F16" s="3" t="str">
        <f t="shared" si="1"/>
        <v>BTC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IFERROR(__xludf.DUMMYFUNCTION("""COMPUTED_VALUE"""),29832.780715)</f>
        <v>29832.78072</v>
      </c>
      <c r="C17" s="3">
        <f>IFERROR(__xludf.DUMMYFUNCTION("""COMPUTED_VALUE"""),1.9040806E7)</f>
        <v>19040806</v>
      </c>
      <c r="D17" s="3">
        <f t="shared" si="2"/>
        <v>756</v>
      </c>
      <c r="E17" s="3">
        <f t="shared" si="3"/>
        <v>22553582.22</v>
      </c>
      <c r="F17" s="3" t="str">
        <f t="shared" si="1"/>
        <v>BTC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IFERROR(__xludf.DUMMYFUNCTION("""COMPUTED_VALUE"""),30412.489302)</f>
        <v>30412.4893</v>
      </c>
      <c r="C18" s="3">
        <f>IFERROR(__xludf.DUMMYFUNCTION("""COMPUTED_VALUE"""),1.9041787E7)</f>
        <v>19041787</v>
      </c>
      <c r="D18" s="3">
        <f t="shared" si="2"/>
        <v>981</v>
      </c>
      <c r="E18" s="3">
        <f t="shared" si="3"/>
        <v>29834652.01</v>
      </c>
      <c r="F18" s="3" t="str">
        <f t="shared" si="1"/>
        <v>BTC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IFERROR(__xludf.DUMMYFUNCTION("""COMPUTED_VALUE"""),28673.357006)</f>
        <v>28673.35701</v>
      </c>
      <c r="C19" s="3">
        <f>IFERROR(__xludf.DUMMYFUNCTION("""COMPUTED_VALUE"""),1.9042731E7)</f>
        <v>19042731</v>
      </c>
      <c r="D19" s="3">
        <f t="shared" si="2"/>
        <v>944</v>
      </c>
      <c r="E19" s="3">
        <f t="shared" si="3"/>
        <v>27067649.01</v>
      </c>
      <c r="F19" s="3" t="str">
        <f t="shared" si="1"/>
        <v>BTC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IFERROR(__xludf.DUMMYFUNCTION("""COMPUTED_VALUE"""),30281.175993)</f>
        <v>30281.17599</v>
      </c>
      <c r="C20" s="3">
        <f>IFERROR(__xludf.DUMMYFUNCTION("""COMPUTED_VALUE"""),1.9043568E7)</f>
        <v>19043568</v>
      </c>
      <c r="D20" s="3">
        <f t="shared" si="2"/>
        <v>837</v>
      </c>
      <c r="E20" s="3">
        <f t="shared" si="3"/>
        <v>25345344.31</v>
      </c>
      <c r="F20" s="3" t="str">
        <f t="shared" si="1"/>
        <v>BTC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IFERROR(__xludf.DUMMYFUNCTION("""COMPUTED_VALUE"""),29163.241708)</f>
        <v>29163.24171</v>
      </c>
      <c r="C21" s="3">
        <f>IFERROR(__xludf.DUMMYFUNCTION("""COMPUTED_VALUE"""),1.9044331E7)</f>
        <v>19044331</v>
      </c>
      <c r="D21" s="3">
        <f t="shared" si="2"/>
        <v>763</v>
      </c>
      <c r="E21" s="3">
        <f t="shared" si="3"/>
        <v>22251553.42</v>
      </c>
      <c r="F21" s="3" t="str">
        <f t="shared" si="1"/>
        <v>BTC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IFERROR(__xludf.DUMMYFUNCTION("""COMPUTED_VALUE"""),29439.303354)</f>
        <v>29439.30335</v>
      </c>
      <c r="C22" s="3">
        <f>IFERROR(__xludf.DUMMYFUNCTION("""COMPUTED_VALUE"""),1.9045131E7)</f>
        <v>19045131</v>
      </c>
      <c r="D22" s="3">
        <f t="shared" si="2"/>
        <v>800</v>
      </c>
      <c r="E22" s="3">
        <f t="shared" si="3"/>
        <v>23551442.68</v>
      </c>
      <c r="F22" s="3" t="str">
        <f t="shared" si="1"/>
        <v>BTC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IFERROR(__xludf.DUMMYFUNCTION("""COMPUTED_VALUE"""),30259.633249)</f>
        <v>30259.63325</v>
      </c>
      <c r="C23" s="3">
        <f>IFERROR(__xludf.DUMMYFUNCTION("""COMPUTED_VALUE"""),1.9045987E7)</f>
        <v>19045987</v>
      </c>
      <c r="D23" s="3">
        <f t="shared" si="2"/>
        <v>856</v>
      </c>
      <c r="E23" s="3">
        <f t="shared" si="3"/>
        <v>25902246.06</v>
      </c>
      <c r="F23" s="3" t="str">
        <f t="shared" si="1"/>
        <v>BTC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IFERROR(__xludf.DUMMYFUNCTION("""COMPUTED_VALUE"""),29080.601914)</f>
        <v>29080.60191</v>
      </c>
      <c r="C24" s="3">
        <f>IFERROR(__xludf.DUMMYFUNCTION("""COMPUTED_VALUE"""),1.9046768E7)</f>
        <v>19046768</v>
      </c>
      <c r="D24" s="3">
        <f t="shared" si="2"/>
        <v>781</v>
      </c>
      <c r="E24" s="3">
        <f t="shared" si="3"/>
        <v>22711950.09</v>
      </c>
      <c r="F24" s="3" t="str">
        <f t="shared" si="1"/>
        <v>BTC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IFERROR(__xludf.DUMMYFUNCTION("""COMPUTED_VALUE"""),29624.359243)</f>
        <v>29624.35924</v>
      </c>
      <c r="C25" s="3">
        <f>IFERROR(__xludf.DUMMYFUNCTION("""COMPUTED_VALUE"""),1.904775E7)</f>
        <v>19047750</v>
      </c>
      <c r="D25" s="3">
        <f t="shared" si="2"/>
        <v>982</v>
      </c>
      <c r="E25" s="3">
        <f t="shared" si="3"/>
        <v>29091120.78</v>
      </c>
      <c r="F25" s="3" t="str">
        <f t="shared" si="1"/>
        <v>BTC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IFERROR(__xludf.DUMMYFUNCTION("""COMPUTED_VALUE"""),29511.77479)</f>
        <v>29511.77479</v>
      </c>
      <c r="C26" s="3">
        <f>IFERROR(__xludf.DUMMYFUNCTION("""COMPUTED_VALUE"""),1.9048525E7)</f>
        <v>19048525</v>
      </c>
      <c r="D26" s="3">
        <f t="shared" si="2"/>
        <v>775</v>
      </c>
      <c r="E26" s="3">
        <f t="shared" si="3"/>
        <v>22871625.46</v>
      </c>
      <c r="F26" s="3" t="str">
        <f t="shared" si="1"/>
        <v>BTC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IFERROR(__xludf.DUMMYFUNCTION("""COMPUTED_VALUE"""),29167.964539)</f>
        <v>29167.96454</v>
      </c>
      <c r="C27" s="3">
        <f>IFERROR(__xludf.DUMMYFUNCTION("""COMPUTED_VALUE"""),1.90494E7)</f>
        <v>19049400</v>
      </c>
      <c r="D27" s="3">
        <f t="shared" si="2"/>
        <v>875</v>
      </c>
      <c r="E27" s="3">
        <f t="shared" si="3"/>
        <v>25521968.97</v>
      </c>
      <c r="F27" s="3" t="str">
        <f t="shared" si="1"/>
        <v>BTC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IFERROR(__xludf.DUMMYFUNCTION("""COMPUTED_VALUE"""),28597.029821)</f>
        <v>28597.02982</v>
      </c>
      <c r="C28" s="3">
        <f>IFERROR(__xludf.DUMMYFUNCTION("""COMPUTED_VALUE"""),1.905025E7)</f>
        <v>19050250</v>
      </c>
      <c r="D28" s="3">
        <f t="shared" si="2"/>
        <v>850</v>
      </c>
      <c r="E28" s="3">
        <f t="shared" si="3"/>
        <v>24307475.35</v>
      </c>
      <c r="F28" s="3" t="str">
        <f t="shared" si="1"/>
        <v>BTC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IFERROR(__xludf.DUMMYFUNCTION("""COMPUTED_VALUE"""),29009.301507)</f>
        <v>29009.30151</v>
      </c>
      <c r="C29" s="3">
        <f>IFERROR(__xludf.DUMMYFUNCTION("""COMPUTED_VALUE"""),1.905115E7)</f>
        <v>19051150</v>
      </c>
      <c r="D29" s="3">
        <f t="shared" si="2"/>
        <v>900</v>
      </c>
      <c r="E29" s="3">
        <f t="shared" si="3"/>
        <v>26108371.36</v>
      </c>
      <c r="F29" s="3" t="str">
        <f t="shared" si="1"/>
        <v>BTC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IFERROR(__xludf.DUMMYFUNCTION("""COMPUTED_VALUE"""),29452.109529)</f>
        <v>29452.10953</v>
      </c>
      <c r="C30" s="3">
        <f>IFERROR(__xludf.DUMMYFUNCTION("""COMPUTED_VALUE"""),1.9052093E7)</f>
        <v>19052093</v>
      </c>
      <c r="D30" s="3">
        <f t="shared" si="2"/>
        <v>943</v>
      </c>
      <c r="E30" s="3">
        <f t="shared" si="3"/>
        <v>27773339.29</v>
      </c>
      <c r="F30" s="3" t="str">
        <f t="shared" si="1"/>
        <v>BTC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IFERROR(__xludf.DUMMYFUNCTION("""COMPUTED_VALUE"""),31708.966946)</f>
        <v>31708.96695</v>
      </c>
      <c r="C31" s="3">
        <f>IFERROR(__xludf.DUMMYFUNCTION("""COMPUTED_VALUE"""),1.9053031E7)</f>
        <v>19053031</v>
      </c>
      <c r="D31" s="3">
        <f t="shared" si="2"/>
        <v>938</v>
      </c>
      <c r="E31" s="3">
        <f t="shared" si="3"/>
        <v>29743011</v>
      </c>
      <c r="F31" s="3" t="str">
        <f t="shared" si="1"/>
        <v>BTC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IFERROR(__xludf.DUMMYFUNCTION("""COMPUTED_VALUE"""),31771.389376)</f>
        <v>31771.38938</v>
      </c>
      <c r="C32" s="3">
        <f>IFERROR(__xludf.DUMMYFUNCTION("""COMPUTED_VALUE"""),1.9053962E7)</f>
        <v>19053962</v>
      </c>
      <c r="D32" s="3">
        <f t="shared" si="2"/>
        <v>931</v>
      </c>
      <c r="E32" s="3">
        <f t="shared" si="3"/>
        <v>29579163.51</v>
      </c>
      <c r="F32" s="3" t="str">
        <f t="shared" si="1"/>
        <v>BTC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IFERROR(__xludf.DUMMYFUNCTION("""COMPUTED_VALUE"""),29788.693905)</f>
        <v>29788.69391</v>
      </c>
      <c r="C33" s="3">
        <f>IFERROR(__xludf.DUMMYFUNCTION("""COMPUTED_VALUE"""),1.9054856E7)</f>
        <v>19054856</v>
      </c>
      <c r="D33" s="3">
        <f t="shared" si="2"/>
        <v>894</v>
      </c>
      <c r="E33" s="3">
        <f t="shared" si="3"/>
        <v>26631092.35</v>
      </c>
      <c r="F33" s="3" t="str">
        <f t="shared" si="1"/>
        <v>BTC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IFERROR(__xludf.DUMMYFUNCTION("""COMPUTED_VALUE"""),30436.463428)</f>
        <v>30436.46343</v>
      </c>
      <c r="C34" s="3">
        <f>IFERROR(__xludf.DUMMYFUNCTION("""COMPUTED_VALUE"""),1.9055712E7)</f>
        <v>19055712</v>
      </c>
      <c r="D34" s="3">
        <f t="shared" si="2"/>
        <v>856</v>
      </c>
      <c r="E34" s="3">
        <f t="shared" si="3"/>
        <v>26053612.69</v>
      </c>
      <c r="F34" s="3" t="str">
        <f t="shared" si="1"/>
        <v>BTC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IFERROR(__xludf.DUMMYFUNCTION("""COMPUTED_VALUE"""),29676.165409)</f>
        <v>29676.16541</v>
      </c>
      <c r="C35" s="3">
        <f>IFERROR(__xludf.DUMMYFUNCTION("""COMPUTED_VALUE"""),1.9056493E7)</f>
        <v>19056493</v>
      </c>
      <c r="D35" s="3">
        <f t="shared" si="2"/>
        <v>781</v>
      </c>
      <c r="E35" s="3">
        <f t="shared" si="3"/>
        <v>23177085.18</v>
      </c>
      <c r="F35" s="3" t="str">
        <f t="shared" si="1"/>
        <v>BTC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IFERROR(__xludf.DUMMYFUNCTION("""COMPUTED_VALUE"""),29847.733072)</f>
        <v>29847.73307</v>
      </c>
      <c r="C36" s="3">
        <f>IFERROR(__xludf.DUMMYFUNCTION("""COMPUTED_VALUE"""),1.9057387E7)</f>
        <v>19057387</v>
      </c>
      <c r="D36" s="3">
        <f t="shared" si="2"/>
        <v>894</v>
      </c>
      <c r="E36" s="3">
        <f t="shared" si="3"/>
        <v>26683873.37</v>
      </c>
      <c r="F36" s="3" t="str">
        <f t="shared" si="1"/>
        <v>BTC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IFERROR(__xludf.DUMMYFUNCTION("""COMPUTED_VALUE"""),29899.877693)</f>
        <v>29899.87769</v>
      </c>
      <c r="C37" s="3">
        <f>IFERROR(__xludf.DUMMYFUNCTION("""COMPUTED_VALUE"""),1.9058293E7)</f>
        <v>19058293</v>
      </c>
      <c r="D37" s="3">
        <f t="shared" si="2"/>
        <v>906</v>
      </c>
      <c r="E37" s="3">
        <f t="shared" si="3"/>
        <v>27089289.19</v>
      </c>
      <c r="F37" s="3" t="str">
        <f t="shared" si="1"/>
        <v>BTC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IFERROR(__xludf.DUMMYFUNCTION("""COMPUTED_VALUE"""),31350.041508)</f>
        <v>31350.04151</v>
      </c>
      <c r="C38" s="3">
        <f>IFERROR(__xludf.DUMMYFUNCTION("""COMPUTED_VALUE"""),1.9059193E7)</f>
        <v>19059193</v>
      </c>
      <c r="D38" s="3">
        <f t="shared" si="2"/>
        <v>900</v>
      </c>
      <c r="E38" s="3">
        <f t="shared" si="3"/>
        <v>28215037.36</v>
      </c>
      <c r="F38" s="3" t="str">
        <f t="shared" si="1"/>
        <v>BTC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IFERROR(__xludf.DUMMYFUNCTION("""COMPUTED_VALUE"""),31107.537985)</f>
        <v>31107.53799</v>
      </c>
      <c r="C39" s="3">
        <f>IFERROR(__xludf.DUMMYFUNCTION("""COMPUTED_VALUE"""),1.9060081E7)</f>
        <v>19060081</v>
      </c>
      <c r="D39" s="3">
        <f t="shared" si="2"/>
        <v>888</v>
      </c>
      <c r="E39" s="3">
        <f t="shared" si="3"/>
        <v>27623493.73</v>
      </c>
      <c r="F39" s="3" t="str">
        <f t="shared" si="1"/>
        <v>BTC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IFERROR(__xludf.DUMMYFUNCTION("""COMPUTED_VALUE"""),30189.674427)</f>
        <v>30189.67443</v>
      </c>
      <c r="C40" s="3">
        <f>IFERROR(__xludf.DUMMYFUNCTION("""COMPUTED_VALUE"""),1.9061106E7)</f>
        <v>19061106</v>
      </c>
      <c r="D40" s="3">
        <f t="shared" si="2"/>
        <v>1025</v>
      </c>
      <c r="E40" s="3">
        <f t="shared" si="3"/>
        <v>30944416.29</v>
      </c>
      <c r="F40" s="3" t="str">
        <f t="shared" si="1"/>
        <v>BTC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IFERROR(__xludf.DUMMYFUNCTION("""COMPUTED_VALUE"""),30076.379892)</f>
        <v>30076.37989</v>
      </c>
      <c r="C41" s="3">
        <f>IFERROR(__xludf.DUMMYFUNCTION("""COMPUTED_VALUE"""),1.9062237E7)</f>
        <v>19062237</v>
      </c>
      <c r="D41" s="3">
        <f t="shared" si="2"/>
        <v>1131</v>
      </c>
      <c r="E41" s="3">
        <f t="shared" si="3"/>
        <v>34016385.66</v>
      </c>
      <c r="F41" s="3" t="str">
        <f t="shared" si="1"/>
        <v>BTC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IFERROR(__xludf.DUMMYFUNCTION("""COMPUTED_VALUE"""),29069.629058)</f>
        <v>29069.62906</v>
      </c>
      <c r="C42" s="3">
        <f>IFERROR(__xludf.DUMMYFUNCTION("""COMPUTED_VALUE"""),1.9063137E7)</f>
        <v>19063137</v>
      </c>
      <c r="D42" s="3">
        <f t="shared" si="2"/>
        <v>900</v>
      </c>
      <c r="E42" s="3">
        <f t="shared" si="3"/>
        <v>26162666.15</v>
      </c>
      <c r="F42" s="3" t="str">
        <f t="shared" si="1"/>
        <v>BTC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IFERROR(__xludf.DUMMYFUNCTION("""COMPUTED_VALUE"""),28393.12275)</f>
        <v>28393.12275</v>
      </c>
      <c r="C43" s="3">
        <f>IFERROR(__xludf.DUMMYFUNCTION("""COMPUTED_VALUE"""),1.9064075E7)</f>
        <v>19064075</v>
      </c>
      <c r="D43" s="3">
        <f t="shared" si="2"/>
        <v>938</v>
      </c>
      <c r="E43" s="3">
        <f t="shared" si="3"/>
        <v>26632749.14</v>
      </c>
      <c r="F43" s="3" t="str">
        <f t="shared" si="1"/>
        <v>BTC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IFERROR(__xludf.DUMMYFUNCTION("""COMPUTED_VALUE"""),26553.86776)</f>
        <v>26553.86776</v>
      </c>
      <c r="C44" s="3">
        <f>IFERROR(__xludf.DUMMYFUNCTION("""COMPUTED_VALUE"""),1.9064987E7)</f>
        <v>19064987</v>
      </c>
      <c r="D44" s="3">
        <f t="shared" si="2"/>
        <v>912</v>
      </c>
      <c r="E44" s="3">
        <f t="shared" si="3"/>
        <v>24217127.4</v>
      </c>
      <c r="F44" s="3" t="str">
        <f t="shared" si="1"/>
        <v>BTC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IFERROR(__xludf.DUMMYFUNCTION("""COMPUTED_VALUE"""),22454.299298)</f>
        <v>22454.2993</v>
      </c>
      <c r="C45" s="3">
        <f>IFERROR(__xludf.DUMMYFUNCTION("""COMPUTED_VALUE"""),1.9065843E7)</f>
        <v>19065843</v>
      </c>
      <c r="D45" s="3">
        <f t="shared" si="2"/>
        <v>856</v>
      </c>
      <c r="E45" s="3">
        <f t="shared" si="3"/>
        <v>19220880.2</v>
      </c>
      <c r="F45" s="3" t="str">
        <f t="shared" si="1"/>
        <v>BTC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IFERROR(__xludf.DUMMYFUNCTION("""COMPUTED_VALUE"""),22110.001141)</f>
        <v>22110.00114</v>
      </c>
      <c r="C46" s="3">
        <f>IFERROR(__xludf.DUMMYFUNCTION("""COMPUTED_VALUE"""),1.9066681E7)</f>
        <v>19066681</v>
      </c>
      <c r="D46" s="3">
        <f t="shared" si="2"/>
        <v>838</v>
      </c>
      <c r="E46" s="3">
        <f t="shared" si="3"/>
        <v>18528180.96</v>
      </c>
      <c r="F46" s="3" t="str">
        <f t="shared" si="1"/>
        <v>BTC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IFERROR(__xludf.DUMMYFUNCTION("""COMPUTED_VALUE"""),22557.775395)</f>
        <v>22557.7754</v>
      </c>
      <c r="C47" s="3">
        <f>IFERROR(__xludf.DUMMYFUNCTION("""COMPUTED_VALUE"""),1.906755E7)</f>
        <v>19067550</v>
      </c>
      <c r="D47" s="3">
        <f t="shared" si="2"/>
        <v>869</v>
      </c>
      <c r="E47" s="3">
        <f t="shared" si="3"/>
        <v>19602706.82</v>
      </c>
      <c r="F47" s="3" t="str">
        <f t="shared" si="1"/>
        <v>BTC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IFERROR(__xludf.DUMMYFUNCTION("""COMPUTED_VALUE"""),20370.981748)</f>
        <v>20370.98175</v>
      </c>
      <c r="C48" s="3">
        <f>IFERROR(__xludf.DUMMYFUNCTION("""COMPUTED_VALUE"""),1.9068587E7)</f>
        <v>19068587</v>
      </c>
      <c r="D48" s="3">
        <f t="shared" si="2"/>
        <v>1037</v>
      </c>
      <c r="E48" s="3">
        <f t="shared" si="3"/>
        <v>21124708.07</v>
      </c>
      <c r="F48" s="3" t="str">
        <f t="shared" si="1"/>
        <v>BTC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IFERROR(__xludf.DUMMYFUNCTION("""COMPUTED_VALUE"""),20413.201586)</f>
        <v>20413.20159</v>
      </c>
      <c r="C49" s="3">
        <f>IFERROR(__xludf.DUMMYFUNCTION("""COMPUTED_VALUE"""),1.906935E7)</f>
        <v>19069350</v>
      </c>
      <c r="D49" s="3">
        <f t="shared" si="2"/>
        <v>763</v>
      </c>
      <c r="E49" s="3">
        <f t="shared" si="3"/>
        <v>15575272.81</v>
      </c>
      <c r="F49" s="3" t="str">
        <f t="shared" si="1"/>
        <v>BTC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IFERROR(__xludf.DUMMYFUNCTION("""COMPUTED_VALUE"""),18947.075421)</f>
        <v>18947.07542</v>
      </c>
      <c r="C50" s="3">
        <f>IFERROR(__xludf.DUMMYFUNCTION("""COMPUTED_VALUE"""),1.9070018E7)</f>
        <v>19070018</v>
      </c>
      <c r="D50" s="3">
        <f t="shared" si="2"/>
        <v>668</v>
      </c>
      <c r="E50" s="3">
        <f t="shared" si="3"/>
        <v>12656646.38</v>
      </c>
      <c r="F50" s="3" t="str">
        <f t="shared" si="1"/>
        <v>BTC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IFERROR(__xludf.DUMMYFUNCTION("""COMPUTED_VALUE"""),20547.071879)</f>
        <v>20547.07188</v>
      </c>
      <c r="C51" s="3">
        <f>IFERROR(__xludf.DUMMYFUNCTION("""COMPUTED_VALUE"""),1.9070993E7)</f>
        <v>19070993</v>
      </c>
      <c r="D51" s="3">
        <f t="shared" si="2"/>
        <v>975</v>
      </c>
      <c r="E51" s="3">
        <f t="shared" si="3"/>
        <v>20033395.08</v>
      </c>
      <c r="F51" s="3" t="str">
        <f t="shared" si="1"/>
        <v>BTC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IFERROR(__xludf.DUMMYFUNCTION("""COMPUTED_VALUE"""),20551.426495)</f>
        <v>20551.4265</v>
      </c>
      <c r="C52" s="3">
        <f>IFERROR(__xludf.DUMMYFUNCTION("""COMPUTED_VALUE"""),1.907185E7)</f>
        <v>19071850</v>
      </c>
      <c r="D52" s="3">
        <f t="shared" si="2"/>
        <v>857</v>
      </c>
      <c r="E52" s="3">
        <f t="shared" si="3"/>
        <v>17612572.51</v>
      </c>
      <c r="F52" s="3" t="str">
        <f t="shared" si="1"/>
        <v>BTC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IFERROR(__xludf.DUMMYFUNCTION("""COMPUTED_VALUE"""),20696.526127)</f>
        <v>20696.52613</v>
      </c>
      <c r="C53" s="3">
        <f>IFERROR(__xludf.DUMMYFUNCTION("""COMPUTED_VALUE"""),1.9072662E7)</f>
        <v>19072662</v>
      </c>
      <c r="D53" s="3">
        <f t="shared" si="2"/>
        <v>812</v>
      </c>
      <c r="E53" s="3">
        <f t="shared" si="3"/>
        <v>16805579.22</v>
      </c>
      <c r="F53" s="3" t="str">
        <f t="shared" si="1"/>
        <v>BTC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IFERROR(__xludf.DUMMYFUNCTION("""COMPUTED_VALUE"""),19963.620056)</f>
        <v>19963.62006</v>
      </c>
      <c r="C54" s="3">
        <f>IFERROR(__xludf.DUMMYFUNCTION("""COMPUTED_VALUE"""),1.90736E7)</f>
        <v>19073600</v>
      </c>
      <c r="D54" s="3">
        <f t="shared" si="2"/>
        <v>938</v>
      </c>
      <c r="E54" s="3">
        <f t="shared" si="3"/>
        <v>18725875.61</v>
      </c>
      <c r="F54" s="3" t="str">
        <f t="shared" si="1"/>
        <v>BTC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IFERROR(__xludf.DUMMYFUNCTION("""COMPUTED_VALUE"""),21089.983764)</f>
        <v>21089.98376</v>
      </c>
      <c r="C55" s="3">
        <f>IFERROR(__xludf.DUMMYFUNCTION("""COMPUTED_VALUE"""),1.9074375E7)</f>
        <v>19074375</v>
      </c>
      <c r="D55" s="3">
        <f t="shared" si="2"/>
        <v>775</v>
      </c>
      <c r="E55" s="3">
        <f t="shared" si="3"/>
        <v>16344737.42</v>
      </c>
      <c r="F55" s="3" t="str">
        <f t="shared" si="1"/>
        <v>BTC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IFERROR(__xludf.DUMMYFUNCTION("""COMPUTED_VALUE"""),21112.96488)</f>
        <v>21112.96488</v>
      </c>
      <c r="C56" s="3">
        <f>IFERROR(__xludf.DUMMYFUNCTION("""COMPUTED_VALUE"""),1.9075325E7)</f>
        <v>19075325</v>
      </c>
      <c r="D56" s="3">
        <f t="shared" si="2"/>
        <v>950</v>
      </c>
      <c r="E56" s="3">
        <f t="shared" si="3"/>
        <v>20057316.64</v>
      </c>
      <c r="F56" s="3" t="str">
        <f t="shared" si="1"/>
        <v>BTC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IFERROR(__xludf.DUMMYFUNCTION("""COMPUTED_VALUE"""),21479.437446)</f>
        <v>21479.43745</v>
      </c>
      <c r="C57" s="3">
        <f>IFERROR(__xludf.DUMMYFUNCTION("""COMPUTED_VALUE"""),1.9076162E7)</f>
        <v>19076162</v>
      </c>
      <c r="D57" s="3">
        <f t="shared" si="2"/>
        <v>837</v>
      </c>
      <c r="E57" s="3">
        <f t="shared" si="3"/>
        <v>17978289.14</v>
      </c>
      <c r="F57" s="3" t="str">
        <f t="shared" si="1"/>
        <v>BTC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IFERROR(__xludf.DUMMYFUNCTION("""COMPUTED_VALUE"""),21028.08688)</f>
        <v>21028.08688</v>
      </c>
      <c r="C58" s="3">
        <f>IFERROR(__xludf.DUMMYFUNCTION("""COMPUTED_VALUE"""),1.90771E7)</f>
        <v>19077100</v>
      </c>
      <c r="D58" s="3">
        <f t="shared" si="2"/>
        <v>938</v>
      </c>
      <c r="E58" s="3">
        <f t="shared" si="3"/>
        <v>19724345.49</v>
      </c>
      <c r="F58" s="3" t="str">
        <f t="shared" si="1"/>
        <v>BTC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IFERROR(__xludf.DUMMYFUNCTION("""COMPUTED_VALUE"""),20719.11019)</f>
        <v>20719.11019</v>
      </c>
      <c r="C59" s="3">
        <f>IFERROR(__xludf.DUMMYFUNCTION("""COMPUTED_VALUE"""),1.9077962E7)</f>
        <v>19077962</v>
      </c>
      <c r="D59" s="3">
        <f t="shared" si="2"/>
        <v>862</v>
      </c>
      <c r="E59" s="3">
        <f t="shared" si="3"/>
        <v>17859872.98</v>
      </c>
      <c r="F59" s="3" t="str">
        <f t="shared" si="1"/>
        <v>BTC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IFERROR(__xludf.DUMMYFUNCTION("""COMPUTED_VALUE"""),20256.414987)</f>
        <v>20256.41499</v>
      </c>
      <c r="C60" s="3">
        <f>IFERROR(__xludf.DUMMYFUNCTION("""COMPUTED_VALUE"""),1.9078743E7)</f>
        <v>19078743</v>
      </c>
      <c r="D60" s="3">
        <f t="shared" si="2"/>
        <v>781</v>
      </c>
      <c r="E60" s="3">
        <f t="shared" si="3"/>
        <v>15820260.1</v>
      </c>
      <c r="F60" s="3" t="str">
        <f t="shared" si="1"/>
        <v>BTC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IFERROR(__xludf.DUMMYFUNCTION("""COMPUTED_VALUE"""),20096.416033)</f>
        <v>20096.41603</v>
      </c>
      <c r="C61" s="3">
        <f>IFERROR(__xludf.DUMMYFUNCTION("""COMPUTED_VALUE"""),1.9079737E7)</f>
        <v>19079737</v>
      </c>
      <c r="D61" s="3">
        <f t="shared" si="2"/>
        <v>994</v>
      </c>
      <c r="E61" s="3">
        <f t="shared" si="3"/>
        <v>19975837.54</v>
      </c>
      <c r="F61" s="3" t="str">
        <f t="shared" si="1"/>
        <v>BTC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IFERROR(__xludf.DUMMYFUNCTION("""COMPUTED_VALUE"""),19944.730424)</f>
        <v>19944.73042</v>
      </c>
      <c r="C62" s="3">
        <f>IFERROR(__xludf.DUMMYFUNCTION("""COMPUTED_VALUE"""),1.9080662E7)</f>
        <v>19080662</v>
      </c>
      <c r="D62" s="3">
        <f t="shared" si="2"/>
        <v>925</v>
      </c>
      <c r="E62" s="3">
        <f t="shared" si="3"/>
        <v>18448875.64</v>
      </c>
      <c r="F62" s="3" t="str">
        <f t="shared" si="1"/>
        <v>BTC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IFERROR(__xludf.DUMMYFUNCTION("""COMPUTED_VALUE"""),19252.146475)</f>
        <v>19252.14648</v>
      </c>
      <c r="C63" s="3">
        <f>IFERROR(__xludf.DUMMYFUNCTION("""COMPUTED_VALUE"""),1.90817E7)</f>
        <v>19081700</v>
      </c>
      <c r="D63" s="3">
        <f t="shared" si="2"/>
        <v>1038</v>
      </c>
      <c r="E63" s="3">
        <f t="shared" si="3"/>
        <v>19983728.04</v>
      </c>
      <c r="F63" s="3" t="str">
        <f t="shared" si="1"/>
        <v>BTC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IFERROR(__xludf.DUMMYFUNCTION("""COMPUTED_VALUE"""),19224.058542)</f>
        <v>19224.05854</v>
      </c>
      <c r="C64" s="3">
        <f>IFERROR(__xludf.DUMMYFUNCTION("""COMPUTED_VALUE"""),1.9082587E7)</f>
        <v>19082587</v>
      </c>
      <c r="D64" s="3">
        <f t="shared" si="2"/>
        <v>887</v>
      </c>
      <c r="E64" s="3">
        <f t="shared" si="3"/>
        <v>17051739.93</v>
      </c>
      <c r="F64" s="3" t="str">
        <f t="shared" si="1"/>
        <v>BTC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IFERROR(__xludf.DUMMYFUNCTION("""COMPUTED_VALUE"""),19291.954943)</f>
        <v>19291.95494</v>
      </c>
      <c r="C65" s="3">
        <f>IFERROR(__xludf.DUMMYFUNCTION("""COMPUTED_VALUE"""),1.9083443E7)</f>
        <v>19083443</v>
      </c>
      <c r="D65" s="3">
        <f t="shared" si="2"/>
        <v>856</v>
      </c>
      <c r="E65" s="3">
        <f t="shared" si="3"/>
        <v>16513913.43</v>
      </c>
      <c r="F65" s="3" t="str">
        <f t="shared" si="1"/>
        <v>BTC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IFERROR(__xludf.DUMMYFUNCTION("""COMPUTED_VALUE"""),20211.885516)</f>
        <v>20211.88552</v>
      </c>
      <c r="C66" s="3">
        <f>IFERROR(__xludf.DUMMYFUNCTION("""COMPUTED_VALUE"""),1.9084375E7)</f>
        <v>19084375</v>
      </c>
      <c r="D66" s="3">
        <f t="shared" si="2"/>
        <v>932</v>
      </c>
      <c r="E66" s="3">
        <f t="shared" si="3"/>
        <v>18837477.3</v>
      </c>
      <c r="F66" s="3" t="str">
        <f t="shared" si="1"/>
        <v>BTC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IFERROR(__xludf.DUMMYFUNCTION("""COMPUTED_VALUE"""),20159.349158)</f>
        <v>20159.34916</v>
      </c>
      <c r="C67" s="3">
        <f>IFERROR(__xludf.DUMMYFUNCTION("""COMPUTED_VALUE"""),1.9085293E7)</f>
        <v>19085293</v>
      </c>
      <c r="D67" s="3">
        <f t="shared" si="2"/>
        <v>918</v>
      </c>
      <c r="E67" s="3">
        <f t="shared" si="3"/>
        <v>18506282.53</v>
      </c>
      <c r="F67" s="3" t="str">
        <f t="shared" si="1"/>
        <v>BTC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IFERROR(__xludf.DUMMYFUNCTION("""COMPUTED_VALUE"""),20544.630589)</f>
        <v>20544.63059</v>
      </c>
      <c r="C68" s="3">
        <f>IFERROR(__xludf.DUMMYFUNCTION("""COMPUTED_VALUE"""),1.9086062E7)</f>
        <v>19086062</v>
      </c>
      <c r="D68" s="3">
        <f t="shared" si="2"/>
        <v>769</v>
      </c>
      <c r="E68" s="3">
        <f t="shared" si="3"/>
        <v>15798820.92</v>
      </c>
      <c r="F68" s="3" t="str">
        <f t="shared" si="1"/>
        <v>BTC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IFERROR(__xludf.DUMMYFUNCTION("""COMPUTED_VALUE"""),21612.685158)</f>
        <v>21612.68516</v>
      </c>
      <c r="C69" s="3">
        <f>IFERROR(__xludf.DUMMYFUNCTION("""COMPUTED_VALUE"""),1.9086831E7)</f>
        <v>19086831</v>
      </c>
      <c r="D69" s="3">
        <f t="shared" si="2"/>
        <v>769</v>
      </c>
      <c r="E69" s="3">
        <f t="shared" si="3"/>
        <v>16620154.89</v>
      </c>
      <c r="F69" s="3" t="str">
        <f t="shared" si="1"/>
        <v>BTC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IFERROR(__xludf.DUMMYFUNCTION("""COMPUTED_VALUE"""),21588.881649)</f>
        <v>21588.88165</v>
      </c>
      <c r="C70" s="3">
        <f>IFERROR(__xludf.DUMMYFUNCTION("""COMPUTED_VALUE"""),1.90878E7)</f>
        <v>19087800</v>
      </c>
      <c r="D70" s="3">
        <f t="shared" si="2"/>
        <v>969</v>
      </c>
      <c r="E70" s="3">
        <f t="shared" si="3"/>
        <v>20919626.32</v>
      </c>
      <c r="F70" s="3" t="str">
        <f t="shared" si="1"/>
        <v>BTC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IFERROR(__xludf.DUMMYFUNCTION("""COMPUTED_VALUE"""),21581.403251)</f>
        <v>21581.40325</v>
      </c>
      <c r="C71" s="3">
        <f>IFERROR(__xludf.DUMMYFUNCTION("""COMPUTED_VALUE"""),1.908875E7)</f>
        <v>19088750</v>
      </c>
      <c r="D71" s="3">
        <f t="shared" si="2"/>
        <v>950</v>
      </c>
      <c r="E71" s="3">
        <f t="shared" si="3"/>
        <v>20502333.09</v>
      </c>
      <c r="F71" s="3" t="str">
        <f t="shared" si="1"/>
        <v>BTC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IFERROR(__xludf.DUMMYFUNCTION("""COMPUTED_VALUE"""),20849.061868)</f>
        <v>20849.06187</v>
      </c>
      <c r="C72" s="3">
        <f>IFERROR(__xludf.DUMMYFUNCTION("""COMPUTED_VALUE"""),1.9089537E7)</f>
        <v>19089537</v>
      </c>
      <c r="D72" s="3">
        <f t="shared" si="2"/>
        <v>787</v>
      </c>
      <c r="E72" s="3">
        <f t="shared" si="3"/>
        <v>16408211.69</v>
      </c>
      <c r="F72" s="3" t="str">
        <f t="shared" si="1"/>
        <v>BTC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IFERROR(__xludf.DUMMYFUNCTION("""COMPUTED_VALUE"""),19945.553951)</f>
        <v>19945.55395</v>
      </c>
      <c r="C73" s="3">
        <f>IFERROR(__xludf.DUMMYFUNCTION("""COMPUTED_VALUE"""),1.9090556E7)</f>
        <v>19090556</v>
      </c>
      <c r="D73" s="3">
        <f t="shared" si="2"/>
        <v>1019</v>
      </c>
      <c r="E73" s="3">
        <f t="shared" si="3"/>
        <v>20324519.48</v>
      </c>
      <c r="F73" s="3" t="str">
        <f t="shared" si="1"/>
        <v>BTC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IFERROR(__xludf.DUMMYFUNCTION("""COMPUTED_VALUE"""),19311.500765)</f>
        <v>19311.50077</v>
      </c>
      <c r="C74" s="3">
        <f>IFERROR(__xludf.DUMMYFUNCTION("""COMPUTED_VALUE"""),1.9091318E7)</f>
        <v>19091318</v>
      </c>
      <c r="D74" s="3">
        <f t="shared" si="2"/>
        <v>762</v>
      </c>
      <c r="E74" s="3">
        <f t="shared" si="3"/>
        <v>14715363.58</v>
      </c>
      <c r="F74" s="3" t="str">
        <f t="shared" si="1"/>
        <v>BTC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IFERROR(__xludf.DUMMYFUNCTION("""COMPUTED_VALUE"""),20223.657383)</f>
        <v>20223.65738</v>
      </c>
      <c r="C75" s="3">
        <f>IFERROR(__xludf.DUMMYFUNCTION("""COMPUTED_VALUE"""),1.9092237E7)</f>
        <v>19092237</v>
      </c>
      <c r="D75" s="3">
        <f t="shared" si="2"/>
        <v>919</v>
      </c>
      <c r="E75" s="3">
        <f t="shared" si="3"/>
        <v>18585541.13</v>
      </c>
      <c r="F75" s="3" t="str">
        <f t="shared" si="1"/>
        <v>BTC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IFERROR(__xludf.DUMMYFUNCTION("""COMPUTED_VALUE"""),20574.456765)</f>
        <v>20574.45677</v>
      </c>
      <c r="C76" s="3">
        <f>IFERROR(__xludf.DUMMYFUNCTION("""COMPUTED_VALUE"""),1.9092956E7)</f>
        <v>19092956</v>
      </c>
      <c r="D76" s="3">
        <f t="shared" si="2"/>
        <v>719</v>
      </c>
      <c r="E76" s="3">
        <f t="shared" si="3"/>
        <v>14793034.41</v>
      </c>
      <c r="F76" s="3" t="str">
        <f t="shared" si="1"/>
        <v>BTC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IFERROR(__xludf.DUMMYFUNCTION("""COMPUTED_VALUE"""),20819.9152)</f>
        <v>20819.9152</v>
      </c>
      <c r="C77" s="3">
        <f>IFERROR(__xludf.DUMMYFUNCTION("""COMPUTED_VALUE"""),1.9093693E7)</f>
        <v>19093693</v>
      </c>
      <c r="D77" s="3">
        <f t="shared" si="2"/>
        <v>737</v>
      </c>
      <c r="E77" s="3">
        <f t="shared" si="3"/>
        <v>15344277.5</v>
      </c>
      <c r="F77" s="3" t="str">
        <f t="shared" si="1"/>
        <v>BTC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IFERROR(__xludf.DUMMYFUNCTION("""COMPUTED_VALUE"""),21191.602982)</f>
        <v>21191.60298</v>
      </c>
      <c r="C78" s="3">
        <f>IFERROR(__xludf.DUMMYFUNCTION("""COMPUTED_VALUE"""),1.9094593E7)</f>
        <v>19094593</v>
      </c>
      <c r="D78" s="3">
        <f t="shared" si="2"/>
        <v>900</v>
      </c>
      <c r="E78" s="3">
        <f t="shared" si="3"/>
        <v>19072442.68</v>
      </c>
      <c r="F78" s="3" t="str">
        <f t="shared" si="1"/>
        <v>BTC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IFERROR(__xludf.DUMMYFUNCTION("""COMPUTED_VALUE"""),20792.178173)</f>
        <v>20792.17817</v>
      </c>
      <c r="C79" s="3">
        <f>IFERROR(__xludf.DUMMYFUNCTION("""COMPUTED_VALUE"""),1.90955E7)</f>
        <v>19095500</v>
      </c>
      <c r="D79" s="3">
        <f t="shared" si="2"/>
        <v>907</v>
      </c>
      <c r="E79" s="3">
        <f t="shared" si="3"/>
        <v>18858505.6</v>
      </c>
      <c r="F79" s="3" t="str">
        <f t="shared" si="1"/>
        <v>BTC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IFERROR(__xludf.DUMMYFUNCTION("""COMPUTED_VALUE"""),22436.613216)</f>
        <v>22436.61322</v>
      </c>
      <c r="C80" s="3">
        <f>IFERROR(__xludf.DUMMYFUNCTION("""COMPUTED_VALUE"""),1.9096287E7)</f>
        <v>19096287</v>
      </c>
      <c r="D80" s="3">
        <f t="shared" si="2"/>
        <v>787</v>
      </c>
      <c r="E80" s="3">
        <f t="shared" si="3"/>
        <v>17657614.6</v>
      </c>
      <c r="F80" s="3" t="str">
        <f t="shared" si="1"/>
        <v>BTC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IFERROR(__xludf.DUMMYFUNCTION("""COMPUTED_VALUE"""),23397.463138)</f>
        <v>23397.46314</v>
      </c>
      <c r="C81" s="3">
        <f>IFERROR(__xludf.DUMMYFUNCTION("""COMPUTED_VALUE"""),1.9097131E7)</f>
        <v>19097131</v>
      </c>
      <c r="D81" s="3">
        <f t="shared" si="2"/>
        <v>844</v>
      </c>
      <c r="E81" s="3">
        <f t="shared" si="3"/>
        <v>19747458.89</v>
      </c>
      <c r="F81" s="3" t="str">
        <f t="shared" si="1"/>
        <v>BTC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IFERROR(__xludf.DUMMYFUNCTION("""COMPUTED_VALUE"""),23224.022774)</f>
        <v>23224.02277</v>
      </c>
      <c r="C82" s="3">
        <f>IFERROR(__xludf.DUMMYFUNCTION("""COMPUTED_VALUE"""),1.9097975E7)</f>
        <v>19097975</v>
      </c>
      <c r="D82" s="3">
        <f t="shared" si="2"/>
        <v>844</v>
      </c>
      <c r="E82" s="3">
        <f t="shared" si="3"/>
        <v>19601075.22</v>
      </c>
      <c r="F82" s="3" t="str">
        <f t="shared" si="1"/>
        <v>BTC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IFERROR(__xludf.DUMMYFUNCTION("""COMPUTED_VALUE"""),23151.70478)</f>
        <v>23151.70478</v>
      </c>
      <c r="C83" s="3">
        <f>IFERROR(__xludf.DUMMYFUNCTION("""COMPUTED_VALUE"""),1.9098737E7)</f>
        <v>19098737</v>
      </c>
      <c r="D83" s="3">
        <f t="shared" si="2"/>
        <v>762</v>
      </c>
      <c r="E83" s="3">
        <f t="shared" si="3"/>
        <v>17641599.04</v>
      </c>
      <c r="F83" s="3" t="str">
        <f t="shared" si="1"/>
        <v>BTC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IFERROR(__xludf.DUMMYFUNCTION("""COMPUTED_VALUE"""),22684.635948)</f>
        <v>22684.63595</v>
      </c>
      <c r="C84" s="3">
        <f>IFERROR(__xludf.DUMMYFUNCTION("""COMPUTED_VALUE"""),1.9099612E7)</f>
        <v>19099612</v>
      </c>
      <c r="D84" s="3">
        <f t="shared" si="2"/>
        <v>875</v>
      </c>
      <c r="E84" s="3">
        <f t="shared" si="3"/>
        <v>19849056.45</v>
      </c>
      <c r="F84" s="3" t="str">
        <f t="shared" si="1"/>
        <v>BTC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IFERROR(__xludf.DUMMYFUNCTION("""COMPUTED_VALUE"""),22450.664718)</f>
        <v>22450.66472</v>
      </c>
      <c r="C85" s="3">
        <f>IFERROR(__xludf.DUMMYFUNCTION("""COMPUTED_VALUE"""),1.9100437E7)</f>
        <v>19100437</v>
      </c>
      <c r="D85" s="3">
        <f t="shared" si="2"/>
        <v>825</v>
      </c>
      <c r="E85" s="3">
        <f t="shared" si="3"/>
        <v>18521798.39</v>
      </c>
      <c r="F85" s="3" t="str">
        <f t="shared" si="1"/>
        <v>BTC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IFERROR(__xludf.DUMMYFUNCTION("""COMPUTED_VALUE"""),22583.43794)</f>
        <v>22583.43794</v>
      </c>
      <c r="C86" s="3">
        <f>IFERROR(__xludf.DUMMYFUNCTION("""COMPUTED_VALUE"""),1.9101406E7)</f>
        <v>19101406</v>
      </c>
      <c r="D86" s="3">
        <f t="shared" si="2"/>
        <v>969</v>
      </c>
      <c r="E86" s="3">
        <f t="shared" si="3"/>
        <v>21883351.36</v>
      </c>
      <c r="F86" s="3" t="str">
        <f t="shared" si="1"/>
        <v>BTC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IFERROR(__xludf.DUMMYFUNCTION("""COMPUTED_VALUE"""),21307.303433)</f>
        <v>21307.30343</v>
      </c>
      <c r="C87" s="3">
        <f>IFERROR(__xludf.DUMMYFUNCTION("""COMPUTED_VALUE"""),1.9102381E7)</f>
        <v>19102381</v>
      </c>
      <c r="D87" s="3">
        <f t="shared" si="2"/>
        <v>975</v>
      </c>
      <c r="E87" s="3">
        <f t="shared" si="3"/>
        <v>20774620.85</v>
      </c>
      <c r="F87" s="3" t="str">
        <f t="shared" si="1"/>
        <v>BTC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IFERROR(__xludf.DUMMYFUNCTION("""COMPUTED_VALUE"""),21257.260059)</f>
        <v>21257.26006</v>
      </c>
      <c r="C88" s="3">
        <f>IFERROR(__xludf.DUMMYFUNCTION("""COMPUTED_VALUE"""),1.9103287E7)</f>
        <v>19103287</v>
      </c>
      <c r="D88" s="3">
        <f t="shared" si="2"/>
        <v>906</v>
      </c>
      <c r="E88" s="3">
        <f t="shared" si="3"/>
        <v>19259077.61</v>
      </c>
      <c r="F88" s="3" t="str">
        <f t="shared" si="1"/>
        <v>BTC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IFERROR(__xludf.DUMMYFUNCTION("""COMPUTED_VALUE"""),23006.555701)</f>
        <v>23006.5557</v>
      </c>
      <c r="C89" s="3">
        <f>IFERROR(__xludf.DUMMYFUNCTION("""COMPUTED_VALUE"""),1.9104275E7)</f>
        <v>19104275</v>
      </c>
      <c r="D89" s="3">
        <f t="shared" si="2"/>
        <v>988</v>
      </c>
      <c r="E89" s="3">
        <f t="shared" si="3"/>
        <v>22730477.03</v>
      </c>
      <c r="F89" s="3" t="str">
        <f t="shared" si="1"/>
        <v>BTC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IFERROR(__xludf.DUMMYFUNCTION("""COMPUTED_VALUE"""),23850.084964)</f>
        <v>23850.08496</v>
      </c>
      <c r="C90" s="3">
        <f>IFERROR(__xludf.DUMMYFUNCTION("""COMPUTED_VALUE"""),1.9105343E7)</f>
        <v>19105343</v>
      </c>
      <c r="D90" s="3">
        <f t="shared" si="2"/>
        <v>1068</v>
      </c>
      <c r="E90" s="3">
        <f t="shared" si="3"/>
        <v>25471890.74</v>
      </c>
      <c r="F90" s="3" t="str">
        <f t="shared" si="1"/>
        <v>BTC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IFERROR(__xludf.DUMMYFUNCTION("""COMPUTED_VALUE"""),23777.310145)</f>
        <v>23777.31015</v>
      </c>
      <c r="C91" s="3">
        <f>IFERROR(__xludf.DUMMYFUNCTION("""COMPUTED_VALUE"""),1.9106187E7)</f>
        <v>19106187</v>
      </c>
      <c r="D91" s="3">
        <f t="shared" si="2"/>
        <v>844</v>
      </c>
      <c r="E91" s="3">
        <f t="shared" si="3"/>
        <v>20068049.76</v>
      </c>
      <c r="F91" s="3" t="str">
        <f t="shared" si="1"/>
        <v>BTC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IFERROR(__xludf.DUMMYFUNCTION("""COMPUTED_VALUE"""),23644.722864)</f>
        <v>23644.72286</v>
      </c>
      <c r="C92" s="3">
        <f>IFERROR(__xludf.DUMMYFUNCTION("""COMPUTED_VALUE"""),1.91071E7)</f>
        <v>19107100</v>
      </c>
      <c r="D92" s="3">
        <f t="shared" si="2"/>
        <v>913</v>
      </c>
      <c r="E92" s="3">
        <f t="shared" si="3"/>
        <v>21587631.97</v>
      </c>
      <c r="F92" s="3" t="str">
        <f t="shared" si="1"/>
        <v>BTC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IFERROR(__xludf.DUMMYFUNCTION("""COMPUTED_VALUE"""),23312.841916)</f>
        <v>23312.84192</v>
      </c>
      <c r="C93" s="3">
        <f>IFERROR(__xludf.DUMMYFUNCTION("""COMPUTED_VALUE"""),1.9107912E7)</f>
        <v>19107912</v>
      </c>
      <c r="D93" s="3">
        <f t="shared" si="2"/>
        <v>812</v>
      </c>
      <c r="E93" s="3">
        <f t="shared" si="3"/>
        <v>18930027.64</v>
      </c>
      <c r="F93" s="3" t="str">
        <f t="shared" si="1"/>
        <v>BTC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IFERROR(__xludf.DUMMYFUNCTION("""COMPUTED_VALUE"""),23240.537234)</f>
        <v>23240.53723</v>
      </c>
      <c r="C94" s="3">
        <f>IFERROR(__xludf.DUMMYFUNCTION("""COMPUTED_VALUE"""),1.9108843E7)</f>
        <v>19108843</v>
      </c>
      <c r="D94" s="3">
        <f t="shared" si="2"/>
        <v>931</v>
      </c>
      <c r="E94" s="3">
        <f t="shared" si="3"/>
        <v>21636940.16</v>
      </c>
      <c r="F94" s="3" t="str">
        <f t="shared" si="1"/>
        <v>BTC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IFERROR(__xludf.DUMMYFUNCTION("""COMPUTED_VALUE"""),22990.541091)</f>
        <v>22990.54109</v>
      </c>
      <c r="C95" s="3">
        <f>IFERROR(__xludf.DUMMYFUNCTION("""COMPUTED_VALUE"""),1.91097E7)</f>
        <v>19109700</v>
      </c>
      <c r="D95" s="3">
        <f t="shared" si="2"/>
        <v>857</v>
      </c>
      <c r="E95" s="3">
        <f t="shared" si="3"/>
        <v>19702893.71</v>
      </c>
      <c r="F95" s="3" t="str">
        <f t="shared" si="1"/>
        <v>BTC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IFERROR(__xludf.DUMMYFUNCTION("""COMPUTED_VALUE"""),22845.872932)</f>
        <v>22845.87293</v>
      </c>
      <c r="C96" s="3">
        <f>IFERROR(__xludf.DUMMYFUNCTION("""COMPUTED_VALUE"""),1.9110706E7)</f>
        <v>19110706</v>
      </c>
      <c r="D96" s="3">
        <f t="shared" si="2"/>
        <v>1006</v>
      </c>
      <c r="E96" s="3">
        <f t="shared" si="3"/>
        <v>22982948.17</v>
      </c>
      <c r="F96" s="3" t="str">
        <f t="shared" si="1"/>
        <v>BTC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IFERROR(__xludf.DUMMYFUNCTION("""COMPUTED_VALUE"""),22643.400408)</f>
        <v>22643.40041</v>
      </c>
      <c r="C97" s="3">
        <f>IFERROR(__xludf.DUMMYFUNCTION("""COMPUTED_VALUE"""),1.91116E7)</f>
        <v>19111600</v>
      </c>
      <c r="D97" s="3">
        <f t="shared" si="2"/>
        <v>894</v>
      </c>
      <c r="E97" s="3">
        <f t="shared" si="3"/>
        <v>20243199.96</v>
      </c>
      <c r="F97" s="3" t="str">
        <f t="shared" si="1"/>
        <v>BTC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IFERROR(__xludf.DUMMYFUNCTION("""COMPUTED_VALUE"""),23262.616745)</f>
        <v>23262.61675</v>
      </c>
      <c r="C98" s="3">
        <f>IFERROR(__xludf.DUMMYFUNCTION("""COMPUTED_VALUE"""),1.9112431E7)</f>
        <v>19112431</v>
      </c>
      <c r="D98" s="3">
        <f t="shared" si="2"/>
        <v>831</v>
      </c>
      <c r="E98" s="3">
        <f t="shared" si="3"/>
        <v>19331234.52</v>
      </c>
      <c r="F98" s="3" t="str">
        <f t="shared" si="1"/>
        <v>BTC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IFERROR(__xludf.DUMMYFUNCTION("""COMPUTED_VALUE"""),22973.781987)</f>
        <v>22973.78199</v>
      </c>
      <c r="C99" s="3">
        <f>IFERROR(__xludf.DUMMYFUNCTION("""COMPUTED_VALUE"""),1.9113368E7)</f>
        <v>19113368</v>
      </c>
      <c r="D99" s="3">
        <f t="shared" si="2"/>
        <v>937</v>
      </c>
      <c r="E99" s="3">
        <f t="shared" si="3"/>
        <v>21526433.72</v>
      </c>
      <c r="F99" s="3" t="str">
        <f t="shared" si="1"/>
        <v>BTC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IFERROR(__xludf.DUMMYFUNCTION("""COMPUTED_VALUE"""),23102.37199)</f>
        <v>23102.37199</v>
      </c>
      <c r="C100" s="3">
        <f>IFERROR(__xludf.DUMMYFUNCTION("""COMPUTED_VALUE"""),1.9114362E7)</f>
        <v>19114362</v>
      </c>
      <c r="D100" s="3">
        <f t="shared" si="2"/>
        <v>994</v>
      </c>
      <c r="E100" s="3">
        <f t="shared" si="3"/>
        <v>22963757.76</v>
      </c>
      <c r="F100" s="3" t="str">
        <f t="shared" si="1"/>
        <v>BTC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IFERROR(__xludf.DUMMYFUNCTION("""COMPUTED_VALUE"""),23842.148177)</f>
        <v>23842.14818</v>
      </c>
      <c r="C101" s="3">
        <f>IFERROR(__xludf.DUMMYFUNCTION("""COMPUTED_VALUE"""),1.9115337E7)</f>
        <v>19115337</v>
      </c>
      <c r="D101" s="3">
        <f t="shared" si="2"/>
        <v>975</v>
      </c>
      <c r="E101" s="3">
        <f t="shared" si="3"/>
        <v>23246094.47</v>
      </c>
      <c r="F101" s="3" t="str">
        <f t="shared" si="1"/>
        <v>BTC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IFERROR(__xludf.DUMMYFUNCTION("""COMPUTED_VALUE"""),23166.048734)</f>
        <v>23166.04873</v>
      </c>
      <c r="C102" s="3">
        <f>IFERROR(__xludf.DUMMYFUNCTION("""COMPUTED_VALUE"""),1.9116268E7)</f>
        <v>19116268</v>
      </c>
      <c r="D102" s="3">
        <f t="shared" si="2"/>
        <v>931</v>
      </c>
      <c r="E102" s="3">
        <f t="shared" si="3"/>
        <v>21567591.37</v>
      </c>
      <c r="F102" s="3" t="str">
        <f t="shared" si="1"/>
        <v>BTC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IFERROR(__xludf.DUMMYFUNCTION("""COMPUTED_VALUE"""),23980.242857)</f>
        <v>23980.24286</v>
      </c>
      <c r="C103" s="3">
        <f>IFERROR(__xludf.DUMMYFUNCTION("""COMPUTED_VALUE"""),1.9117125E7)</f>
        <v>19117125</v>
      </c>
      <c r="D103" s="3">
        <f t="shared" si="2"/>
        <v>857</v>
      </c>
      <c r="E103" s="3">
        <f t="shared" si="3"/>
        <v>20551068.13</v>
      </c>
      <c r="F103" s="3" t="str">
        <f t="shared" si="1"/>
        <v>BTC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IFERROR(__xludf.DUMMYFUNCTION("""COMPUTED_VALUE"""),23942.829898)</f>
        <v>23942.8299</v>
      </c>
      <c r="C104" s="3">
        <f>IFERROR(__xludf.DUMMYFUNCTION("""COMPUTED_VALUE"""),1.9118112E7)</f>
        <v>19118112</v>
      </c>
      <c r="D104" s="3">
        <f t="shared" si="2"/>
        <v>987</v>
      </c>
      <c r="E104" s="3">
        <f t="shared" si="3"/>
        <v>23631573.11</v>
      </c>
      <c r="F104" s="3" t="str">
        <f t="shared" si="1"/>
        <v>BTC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IFERROR(__xludf.DUMMYFUNCTION("""COMPUTED_VALUE"""),24401.968129)</f>
        <v>24401.96813</v>
      </c>
      <c r="C105" s="3">
        <f>IFERROR(__xludf.DUMMYFUNCTION("""COMPUTED_VALUE"""),1.9118962E7)</f>
        <v>19118962</v>
      </c>
      <c r="D105" s="3">
        <f t="shared" si="2"/>
        <v>850</v>
      </c>
      <c r="E105" s="3">
        <f t="shared" si="3"/>
        <v>20741672.91</v>
      </c>
      <c r="F105" s="3" t="str">
        <f t="shared" si="1"/>
        <v>BTC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IFERROR(__xludf.DUMMYFUNCTION("""COMPUTED_VALUE"""),24426.699277)</f>
        <v>24426.69928</v>
      </c>
      <c r="C106" s="3">
        <f>IFERROR(__xludf.DUMMYFUNCTION("""COMPUTED_VALUE"""),1.9119875E7)</f>
        <v>19119875</v>
      </c>
      <c r="D106" s="3">
        <f t="shared" si="2"/>
        <v>913</v>
      </c>
      <c r="E106" s="3">
        <f t="shared" si="3"/>
        <v>22301576.44</v>
      </c>
      <c r="F106" s="3" t="str">
        <f t="shared" si="1"/>
        <v>BTC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IFERROR(__xludf.DUMMYFUNCTION("""COMPUTED_VALUE"""),24325.99791)</f>
        <v>24325.99791</v>
      </c>
      <c r="C107" s="3">
        <f>IFERROR(__xludf.DUMMYFUNCTION("""COMPUTED_VALUE"""),1.9120781E7)</f>
        <v>19120781</v>
      </c>
      <c r="D107" s="3">
        <f t="shared" si="2"/>
        <v>906</v>
      </c>
      <c r="E107" s="3">
        <f t="shared" si="3"/>
        <v>22039354.11</v>
      </c>
      <c r="F107" s="3" t="str">
        <f t="shared" si="1"/>
        <v>BTC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IFERROR(__xludf.DUMMYFUNCTION("""COMPUTED_VALUE"""),24108.539752)</f>
        <v>24108.53975</v>
      </c>
      <c r="C108" s="3">
        <f>IFERROR(__xludf.DUMMYFUNCTION("""COMPUTED_VALUE"""),1.9121593E7)</f>
        <v>19121593</v>
      </c>
      <c r="D108" s="3">
        <f t="shared" si="2"/>
        <v>812</v>
      </c>
      <c r="E108" s="3">
        <f t="shared" si="3"/>
        <v>19576134.28</v>
      </c>
      <c r="F108" s="3" t="str">
        <f t="shared" si="1"/>
        <v>BTC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IFERROR(__xludf.DUMMYFUNCTION("""COMPUTED_VALUE"""),23817.467814)</f>
        <v>23817.46781</v>
      </c>
      <c r="C109" s="3">
        <f>IFERROR(__xludf.DUMMYFUNCTION("""COMPUTED_VALUE"""),1.9122531E7)</f>
        <v>19122531</v>
      </c>
      <c r="D109" s="3">
        <f t="shared" si="2"/>
        <v>938</v>
      </c>
      <c r="E109" s="3">
        <f t="shared" si="3"/>
        <v>22340784.81</v>
      </c>
      <c r="F109" s="3" t="str">
        <f t="shared" si="1"/>
        <v>BTC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IFERROR(__xludf.DUMMYFUNCTION("""COMPUTED_VALUE"""),23340.597372)</f>
        <v>23340.59737</v>
      </c>
      <c r="C110" s="3">
        <f>IFERROR(__xludf.DUMMYFUNCTION("""COMPUTED_VALUE"""),1.9123443E7)</f>
        <v>19123443</v>
      </c>
      <c r="D110" s="3">
        <f t="shared" si="2"/>
        <v>912</v>
      </c>
      <c r="E110" s="3">
        <f t="shared" si="3"/>
        <v>21286624.8</v>
      </c>
      <c r="F110" s="3" t="str">
        <f t="shared" si="1"/>
        <v>BTC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IFERROR(__xludf.DUMMYFUNCTION("""COMPUTED_VALUE"""),23196.928125)</f>
        <v>23196.92813</v>
      </c>
      <c r="C111" s="3">
        <f>IFERROR(__xludf.DUMMYFUNCTION("""COMPUTED_VALUE"""),1.9124256E7)</f>
        <v>19124256</v>
      </c>
      <c r="D111" s="3">
        <f t="shared" si="2"/>
        <v>813</v>
      </c>
      <c r="E111" s="3">
        <f t="shared" si="3"/>
        <v>18859102.57</v>
      </c>
      <c r="F111" s="3" t="str">
        <f t="shared" si="1"/>
        <v>BTC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IFERROR(__xludf.DUMMYFUNCTION("""COMPUTED_VALUE"""),20835.422976)</f>
        <v>20835.42298</v>
      </c>
      <c r="C112" s="3">
        <f>IFERROR(__xludf.DUMMYFUNCTION("""COMPUTED_VALUE"""),1.9125156E7)</f>
        <v>19125156</v>
      </c>
      <c r="D112" s="3">
        <f t="shared" si="2"/>
        <v>900</v>
      </c>
      <c r="E112" s="3">
        <f t="shared" si="3"/>
        <v>18751880.68</v>
      </c>
      <c r="F112" s="3" t="str">
        <f t="shared" si="1"/>
        <v>BTC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IFERROR(__xludf.DUMMYFUNCTION("""COMPUTED_VALUE"""),21144.533557)</f>
        <v>21144.53356</v>
      </c>
      <c r="C113" s="3">
        <f>IFERROR(__xludf.DUMMYFUNCTION("""COMPUTED_VALUE"""),1.912625E7)</f>
        <v>19126250</v>
      </c>
      <c r="D113" s="3">
        <f t="shared" si="2"/>
        <v>1094</v>
      </c>
      <c r="E113" s="3">
        <f t="shared" si="3"/>
        <v>23132119.71</v>
      </c>
      <c r="F113" s="3" t="str">
        <f t="shared" si="1"/>
        <v>BTC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IFERROR(__xludf.DUMMYFUNCTION("""COMPUTED_VALUE"""),21515.581984)</f>
        <v>21515.58198</v>
      </c>
      <c r="C114" s="3">
        <f>IFERROR(__xludf.DUMMYFUNCTION("""COMPUTED_VALUE"""),1.9127231E7)</f>
        <v>19127231</v>
      </c>
      <c r="D114" s="3">
        <f t="shared" si="2"/>
        <v>981</v>
      </c>
      <c r="E114" s="3">
        <f t="shared" si="3"/>
        <v>21106785.93</v>
      </c>
      <c r="F114" s="3" t="str">
        <f t="shared" si="1"/>
        <v>BTC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IFERROR(__xludf.DUMMYFUNCTION("""COMPUTED_VALUE"""),21396.504099)</f>
        <v>21396.5041</v>
      </c>
      <c r="C115" s="3">
        <f>IFERROR(__xludf.DUMMYFUNCTION("""COMPUTED_VALUE"""),1.9128093E7)</f>
        <v>19128093</v>
      </c>
      <c r="D115" s="3">
        <f t="shared" si="2"/>
        <v>862</v>
      </c>
      <c r="E115" s="3">
        <f t="shared" si="3"/>
        <v>18443786.53</v>
      </c>
      <c r="F115" s="3" t="str">
        <f t="shared" si="1"/>
        <v>BTC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IFERROR(__xludf.DUMMYFUNCTION("""COMPUTED_VALUE"""),21527.111864)</f>
        <v>21527.11186</v>
      </c>
      <c r="C116" s="3">
        <f>IFERROR(__xludf.DUMMYFUNCTION("""COMPUTED_VALUE"""),1.9129018E7)</f>
        <v>19129018</v>
      </c>
      <c r="D116" s="3">
        <f t="shared" si="2"/>
        <v>925</v>
      </c>
      <c r="E116" s="3">
        <f t="shared" si="3"/>
        <v>19912578.47</v>
      </c>
      <c r="F116" s="3" t="str">
        <f t="shared" si="1"/>
        <v>BTC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IFERROR(__xludf.DUMMYFUNCTION("""COMPUTED_VALUE"""),21368.268756)</f>
        <v>21368.26876</v>
      </c>
      <c r="C117" s="3">
        <f>IFERROR(__xludf.DUMMYFUNCTION("""COMPUTED_VALUE"""),1.9130043E7)</f>
        <v>19130043</v>
      </c>
      <c r="D117" s="3">
        <f t="shared" si="2"/>
        <v>1025</v>
      </c>
      <c r="E117" s="3">
        <f t="shared" si="3"/>
        <v>21902475.47</v>
      </c>
      <c r="F117" s="3" t="str">
        <f t="shared" si="1"/>
        <v>BTC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IFERROR(__xludf.DUMMYFUNCTION("""COMPUTED_VALUE"""),21559.892958)</f>
        <v>21559.89296</v>
      </c>
      <c r="C118" s="3">
        <f>IFERROR(__xludf.DUMMYFUNCTION("""COMPUTED_VALUE"""),1.9131018E7)</f>
        <v>19131018</v>
      </c>
      <c r="D118" s="3">
        <f t="shared" si="2"/>
        <v>975</v>
      </c>
      <c r="E118" s="3">
        <f t="shared" si="3"/>
        <v>21020895.63</v>
      </c>
      <c r="F118" s="3" t="str">
        <f t="shared" si="1"/>
        <v>BTC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IFERROR(__xludf.DUMMYFUNCTION("""COMPUTED_VALUE"""),20239.819987)</f>
        <v>20239.81999</v>
      </c>
      <c r="C119" s="3">
        <f>IFERROR(__xludf.DUMMYFUNCTION("""COMPUTED_VALUE"""),1.9131968E7)</f>
        <v>19131968</v>
      </c>
      <c r="D119" s="3">
        <f t="shared" si="2"/>
        <v>950</v>
      </c>
      <c r="E119" s="3">
        <f t="shared" si="3"/>
        <v>19227828.99</v>
      </c>
      <c r="F119" s="3" t="str">
        <f t="shared" si="1"/>
        <v>BTC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IFERROR(__xludf.DUMMYFUNCTION("""COMPUTED_VALUE"""),20037.687199)</f>
        <v>20037.6872</v>
      </c>
      <c r="C120" s="3">
        <f>IFERROR(__xludf.DUMMYFUNCTION("""COMPUTED_VALUE"""),1.9133062E7)</f>
        <v>19133062</v>
      </c>
      <c r="D120" s="3">
        <f t="shared" si="2"/>
        <v>1094</v>
      </c>
      <c r="E120" s="3">
        <f t="shared" si="3"/>
        <v>21921229.8</v>
      </c>
      <c r="F120" s="3" t="str">
        <f t="shared" si="1"/>
        <v>BTC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IFERROR(__xludf.DUMMYFUNCTION("""COMPUTED_VALUE"""),19561.801928)</f>
        <v>19561.80193</v>
      </c>
      <c r="C121" s="3">
        <f>IFERROR(__xludf.DUMMYFUNCTION("""COMPUTED_VALUE"""),1.9133993E7)</f>
        <v>19133993</v>
      </c>
      <c r="D121" s="3">
        <f t="shared" si="2"/>
        <v>931</v>
      </c>
      <c r="E121" s="3">
        <f t="shared" si="3"/>
        <v>18212037.59</v>
      </c>
      <c r="F121" s="3" t="str">
        <f t="shared" si="1"/>
        <v>BTC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IFERROR(__xludf.DUMMYFUNCTION("""COMPUTED_VALUE"""),20287.538918)</f>
        <v>20287.53892</v>
      </c>
      <c r="C122" s="3">
        <f>IFERROR(__xludf.DUMMYFUNCTION("""COMPUTED_VALUE"""),1.9134981E7)</f>
        <v>19134981</v>
      </c>
      <c r="D122" s="3">
        <f t="shared" si="2"/>
        <v>988</v>
      </c>
      <c r="E122" s="3">
        <f t="shared" si="3"/>
        <v>20044088.45</v>
      </c>
      <c r="F122" s="3" t="str">
        <f t="shared" si="1"/>
        <v>BTC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IFERROR(__xludf.DUMMYFUNCTION("""COMPUTED_VALUE"""),19812.860731)</f>
        <v>19812.86073</v>
      </c>
      <c r="C123" s="3">
        <f>IFERROR(__xludf.DUMMYFUNCTION("""COMPUTED_VALUE"""),1.9135981E7)</f>
        <v>19135981</v>
      </c>
      <c r="D123" s="3">
        <f t="shared" si="2"/>
        <v>1000</v>
      </c>
      <c r="E123" s="3">
        <f t="shared" si="3"/>
        <v>19812860.73</v>
      </c>
      <c r="F123" s="3" t="str">
        <f t="shared" si="1"/>
        <v>BTC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IFERROR(__xludf.DUMMYFUNCTION("""COMPUTED_VALUE"""),20048.706857)</f>
        <v>20048.70686</v>
      </c>
      <c r="C124" s="3">
        <f>IFERROR(__xludf.DUMMYFUNCTION("""COMPUTED_VALUE"""),1.9136956E7)</f>
        <v>19136956</v>
      </c>
      <c r="D124" s="3">
        <f t="shared" si="2"/>
        <v>975</v>
      </c>
      <c r="E124" s="3">
        <f t="shared" si="3"/>
        <v>19547489.19</v>
      </c>
      <c r="F124" s="3" t="str">
        <f t="shared" si="1"/>
        <v>BTC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IFERROR(__xludf.DUMMYFUNCTION("""COMPUTED_VALUE"""),20133.27263)</f>
        <v>20133.27263</v>
      </c>
      <c r="C125" s="3">
        <f>IFERROR(__xludf.DUMMYFUNCTION("""COMPUTED_VALUE"""),1.9137887E7)</f>
        <v>19137887</v>
      </c>
      <c r="D125" s="3">
        <f t="shared" si="2"/>
        <v>931</v>
      </c>
      <c r="E125" s="3">
        <f t="shared" si="3"/>
        <v>18744076.82</v>
      </c>
      <c r="F125" s="3" t="str">
        <f t="shared" si="1"/>
        <v>BTC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IFERROR(__xludf.DUMMYFUNCTION("""COMPUTED_VALUE"""),19963.009923)</f>
        <v>19963.00992</v>
      </c>
      <c r="C126" s="3">
        <f>IFERROR(__xludf.DUMMYFUNCTION("""COMPUTED_VALUE"""),1.913875E7)</f>
        <v>19138750</v>
      </c>
      <c r="D126" s="3">
        <f t="shared" si="2"/>
        <v>863</v>
      </c>
      <c r="E126" s="3">
        <f t="shared" si="3"/>
        <v>17228077.56</v>
      </c>
      <c r="F126" s="3" t="str">
        <f t="shared" si="1"/>
        <v>BTC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IFERROR(__xludf.DUMMYFUNCTION("""COMPUTED_VALUE"""),19832.543867)</f>
        <v>19832.54387</v>
      </c>
      <c r="C127" s="3">
        <f>IFERROR(__xludf.DUMMYFUNCTION("""COMPUTED_VALUE"""),1.9139575E7)</f>
        <v>19139575</v>
      </c>
      <c r="D127" s="3">
        <f t="shared" si="2"/>
        <v>825</v>
      </c>
      <c r="E127" s="3">
        <f t="shared" si="3"/>
        <v>16361848.69</v>
      </c>
      <c r="F127" s="3" t="str">
        <f t="shared" si="1"/>
        <v>BTC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IFERROR(__xludf.DUMMYFUNCTION("""COMPUTED_VALUE"""),20002.35343)</f>
        <v>20002.35343</v>
      </c>
      <c r="C128" s="3">
        <f>IFERROR(__xludf.DUMMYFUNCTION("""COMPUTED_VALUE"""),1.9140468E7)</f>
        <v>19140468</v>
      </c>
      <c r="D128" s="3">
        <f t="shared" si="2"/>
        <v>893</v>
      </c>
      <c r="E128" s="3">
        <f t="shared" si="3"/>
        <v>17862101.61</v>
      </c>
      <c r="F128" s="3" t="str">
        <f t="shared" si="1"/>
        <v>BTC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IFERROR(__xludf.DUMMYFUNCTION("""COMPUTED_VALUE"""),19795.217371)</f>
        <v>19795.21737</v>
      </c>
      <c r="C129" s="3">
        <f>IFERROR(__xludf.DUMMYFUNCTION("""COMPUTED_VALUE"""),1.9141543E7)</f>
        <v>19141543</v>
      </c>
      <c r="D129" s="3">
        <f t="shared" si="2"/>
        <v>1075</v>
      </c>
      <c r="E129" s="3">
        <f t="shared" si="3"/>
        <v>21279858.67</v>
      </c>
      <c r="F129" s="3" t="str">
        <f t="shared" si="1"/>
        <v>BTC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IFERROR(__xludf.DUMMYFUNCTION("""COMPUTED_VALUE"""),18789.980758)</f>
        <v>18789.98076</v>
      </c>
      <c r="C130" s="3">
        <f>IFERROR(__xludf.DUMMYFUNCTION("""COMPUTED_VALUE"""),1.9142493E7)</f>
        <v>19142493</v>
      </c>
      <c r="D130" s="3">
        <f t="shared" si="2"/>
        <v>950</v>
      </c>
      <c r="E130" s="3">
        <f t="shared" si="3"/>
        <v>17850481.72</v>
      </c>
      <c r="F130" s="3" t="str">
        <f t="shared" si="1"/>
        <v>BTC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IFERROR(__xludf.DUMMYFUNCTION("""COMPUTED_VALUE"""),19293.938783)</f>
        <v>19293.93878</v>
      </c>
      <c r="C131" s="3">
        <f>IFERROR(__xludf.DUMMYFUNCTION("""COMPUTED_VALUE"""),1.9143381E7)</f>
        <v>19143381</v>
      </c>
      <c r="D131" s="3">
        <f t="shared" si="2"/>
        <v>888</v>
      </c>
      <c r="E131" s="3">
        <f t="shared" si="3"/>
        <v>17133017.64</v>
      </c>
      <c r="F131" s="3" t="str">
        <f t="shared" si="1"/>
        <v>BTC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IFERROR(__xludf.DUMMYFUNCTION("""COMPUTED_VALUE"""),19324.607989)</f>
        <v>19324.60799</v>
      </c>
      <c r="C132" s="3">
        <f>IFERROR(__xludf.DUMMYFUNCTION("""COMPUTED_VALUE"""),1.9144287E7)</f>
        <v>19144287</v>
      </c>
      <c r="D132" s="3">
        <f t="shared" si="2"/>
        <v>906</v>
      </c>
      <c r="E132" s="3">
        <f t="shared" si="3"/>
        <v>17508094.84</v>
      </c>
      <c r="F132" s="3" t="str">
        <f t="shared" si="1"/>
        <v>BTC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IFERROR(__xludf.DUMMYFUNCTION("""COMPUTED_VALUE"""),21365.704256)</f>
        <v>21365.70426</v>
      </c>
      <c r="C133" s="3">
        <f>IFERROR(__xludf.DUMMYFUNCTION("""COMPUTED_VALUE"""),1.9145106E7)</f>
        <v>19145106</v>
      </c>
      <c r="D133" s="3">
        <f t="shared" si="2"/>
        <v>819</v>
      </c>
      <c r="E133" s="3">
        <f t="shared" si="3"/>
        <v>17498511.79</v>
      </c>
      <c r="F133" s="3" t="str">
        <f t="shared" si="1"/>
        <v>BTC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IFERROR(__xludf.DUMMYFUNCTION("""COMPUTED_VALUE"""),21653.760149)</f>
        <v>21653.76015</v>
      </c>
      <c r="C134" s="3">
        <f>IFERROR(__xludf.DUMMYFUNCTION("""COMPUTED_VALUE"""),1.9146012E7)</f>
        <v>19146012</v>
      </c>
      <c r="D134" s="3">
        <f t="shared" si="2"/>
        <v>906</v>
      </c>
      <c r="E134" s="3">
        <f t="shared" si="3"/>
        <v>19618306.69</v>
      </c>
      <c r="F134" s="3" t="str">
        <f t="shared" si="1"/>
        <v>BTC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IFERROR(__xludf.DUMMYFUNCTION("""COMPUTED_VALUE"""),21811.996291)</f>
        <v>21811.99629</v>
      </c>
      <c r="C135" s="3">
        <f>IFERROR(__xludf.DUMMYFUNCTION("""COMPUTED_VALUE"""),1.9147012E7)</f>
        <v>19147012</v>
      </c>
      <c r="D135" s="3">
        <f t="shared" si="2"/>
        <v>1000</v>
      </c>
      <c r="E135" s="3">
        <f t="shared" si="3"/>
        <v>21811996.29</v>
      </c>
      <c r="F135" s="3" t="str">
        <f t="shared" si="1"/>
        <v>BTC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IFERROR(__xludf.DUMMYFUNCTION("""COMPUTED_VALUE"""),22408.398452)</f>
        <v>22408.39845</v>
      </c>
      <c r="C136" s="3">
        <f>IFERROR(__xludf.DUMMYFUNCTION("""COMPUTED_VALUE"""),1.9148118E7)</f>
        <v>19148118</v>
      </c>
      <c r="D136" s="3">
        <f t="shared" si="2"/>
        <v>1106</v>
      </c>
      <c r="E136" s="3">
        <f t="shared" si="3"/>
        <v>24783688.69</v>
      </c>
      <c r="F136" s="3" t="str">
        <f t="shared" si="1"/>
        <v>BTC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IFERROR(__xludf.DUMMYFUNCTION("""COMPUTED_VALUE"""),20174.420634)</f>
        <v>20174.42063</v>
      </c>
      <c r="C137" s="3">
        <f>IFERROR(__xludf.DUMMYFUNCTION("""COMPUTED_VALUE"""),1.91491E7)</f>
        <v>19149100</v>
      </c>
      <c r="D137" s="3">
        <f t="shared" si="2"/>
        <v>982</v>
      </c>
      <c r="E137" s="3">
        <f t="shared" si="3"/>
        <v>19811281.06</v>
      </c>
      <c r="F137" s="3" t="str">
        <f t="shared" si="1"/>
        <v>BTC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IFERROR(__xludf.DUMMYFUNCTION("""COMPUTED_VALUE"""),20229.930361)</f>
        <v>20229.93036</v>
      </c>
      <c r="C138" s="3">
        <f>IFERROR(__xludf.DUMMYFUNCTION("""COMPUTED_VALUE"""),1.9149981E7)</f>
        <v>19149981</v>
      </c>
      <c r="D138" s="3">
        <f t="shared" si="2"/>
        <v>881</v>
      </c>
      <c r="E138" s="3">
        <f t="shared" si="3"/>
        <v>17822568.65</v>
      </c>
      <c r="F138" s="3" t="str">
        <f t="shared" si="1"/>
        <v>BTC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IFERROR(__xludf.DUMMYFUNCTION("""COMPUTED_VALUE"""),19699.733299)</f>
        <v>19699.7333</v>
      </c>
      <c r="C139" s="3">
        <f>IFERROR(__xludf.DUMMYFUNCTION("""COMPUTED_VALUE"""),1.9150743E7)</f>
        <v>19150743</v>
      </c>
      <c r="D139" s="3">
        <f t="shared" si="2"/>
        <v>762</v>
      </c>
      <c r="E139" s="3">
        <f t="shared" si="3"/>
        <v>15011196.77</v>
      </c>
      <c r="F139" s="3" t="str">
        <f t="shared" si="1"/>
        <v>BTC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IFERROR(__xludf.DUMMYFUNCTION("""COMPUTED_VALUE"""),19802.653694)</f>
        <v>19802.65369</v>
      </c>
      <c r="C140" s="3">
        <f>IFERROR(__xludf.DUMMYFUNCTION("""COMPUTED_VALUE"""),1.9151681E7)</f>
        <v>19151681</v>
      </c>
      <c r="D140" s="3">
        <f t="shared" si="2"/>
        <v>938</v>
      </c>
      <c r="E140" s="3">
        <f t="shared" si="3"/>
        <v>18574889.16</v>
      </c>
      <c r="F140" s="3" t="str">
        <f t="shared" si="1"/>
        <v>BTC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IFERROR(__xludf.DUMMYFUNCTION("""COMPUTED_VALUE"""),20077.097755)</f>
        <v>20077.09776</v>
      </c>
      <c r="C141" s="3">
        <f>IFERROR(__xludf.DUMMYFUNCTION("""COMPUTED_VALUE"""),1.9152437E7)</f>
        <v>19152437</v>
      </c>
      <c r="D141" s="3">
        <f t="shared" si="2"/>
        <v>756</v>
      </c>
      <c r="E141" s="3">
        <f t="shared" si="3"/>
        <v>15178285.9</v>
      </c>
      <c r="F141" s="3" t="str">
        <f t="shared" si="1"/>
        <v>BTC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IFERROR(__xludf.DUMMYFUNCTION("""COMPUTED_VALUE"""),19417.642511)</f>
        <v>19417.64251</v>
      </c>
      <c r="C142" s="3">
        <f>IFERROR(__xludf.DUMMYFUNCTION("""COMPUTED_VALUE"""),1.9153487E7)</f>
        <v>19153487</v>
      </c>
      <c r="D142" s="3">
        <f t="shared" si="2"/>
        <v>1050</v>
      </c>
      <c r="E142" s="3">
        <f t="shared" si="3"/>
        <v>20388524.64</v>
      </c>
      <c r="F142" s="3" t="str">
        <f t="shared" si="1"/>
        <v>BTC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IFERROR(__xludf.DUMMYFUNCTION("""COMPUTED_VALUE"""),19539.306484)</f>
        <v>19539.30648</v>
      </c>
      <c r="C143" s="3">
        <f>IFERROR(__xludf.DUMMYFUNCTION("""COMPUTED_VALUE"""),1.9154475E7)</f>
        <v>19154475</v>
      </c>
      <c r="D143" s="3">
        <f t="shared" si="2"/>
        <v>988</v>
      </c>
      <c r="E143" s="3">
        <f t="shared" si="3"/>
        <v>19304834.81</v>
      </c>
      <c r="F143" s="3" t="str">
        <f t="shared" si="1"/>
        <v>BTC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IFERROR(__xludf.DUMMYFUNCTION("""COMPUTED_VALUE"""),18875.418495)</f>
        <v>18875.4185</v>
      </c>
      <c r="C144" s="3">
        <f>IFERROR(__xludf.DUMMYFUNCTION("""COMPUTED_VALUE"""),1.9155293E7)</f>
        <v>19155293</v>
      </c>
      <c r="D144" s="3">
        <f t="shared" si="2"/>
        <v>818</v>
      </c>
      <c r="E144" s="3">
        <f t="shared" si="3"/>
        <v>15440092.33</v>
      </c>
      <c r="F144" s="3" t="str">
        <f t="shared" si="1"/>
        <v>BTC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IFERROR(__xludf.DUMMYFUNCTION("""COMPUTED_VALUE"""),18460.623307)</f>
        <v>18460.62331</v>
      </c>
      <c r="C145" s="3">
        <f>IFERROR(__xludf.DUMMYFUNCTION("""COMPUTED_VALUE"""),1.9156237E7)</f>
        <v>19156237</v>
      </c>
      <c r="D145" s="2">
        <f t="shared" ref="D145:D1000" si="4">IF(ISBLANK(A145),"",C145-C144)</f>
        <v>944</v>
      </c>
      <c r="E145" s="2">
        <f t="shared" ref="E145:E1000" si="5">IF(ISBLANK(A145),"",B145*D145)</f>
        <v>17426828.4</v>
      </c>
      <c r="F145" s="3" t="str">
        <f t="shared" ref="F145:F771" si="6">IF(ISBLANK(A145)," ","BTC")</f>
        <v>BTC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IFERROR(__xludf.DUMMYFUNCTION("""COMPUTED_VALUE"""),19395.519989)</f>
        <v>19395.51999</v>
      </c>
      <c r="C146" s="3">
        <f>IFERROR(__xludf.DUMMYFUNCTION("""COMPUTED_VALUE"""),1.9157125E7)</f>
        <v>19157125</v>
      </c>
      <c r="D146" s="2">
        <f t="shared" si="4"/>
        <v>888</v>
      </c>
      <c r="E146" s="2">
        <f t="shared" si="5"/>
        <v>17223221.75</v>
      </c>
      <c r="F146" s="3" t="str">
        <f t="shared" si="6"/>
        <v>BTC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IFERROR(__xludf.DUMMYFUNCTION("""COMPUTED_VALUE"""),19290.05845)</f>
        <v>19290.05845</v>
      </c>
      <c r="C147" s="3">
        <f>IFERROR(__xludf.DUMMYFUNCTION("""COMPUTED_VALUE"""),1.9157956E7)</f>
        <v>19157956</v>
      </c>
      <c r="D147" s="2">
        <f t="shared" si="4"/>
        <v>831</v>
      </c>
      <c r="E147" s="2">
        <f t="shared" si="5"/>
        <v>16030038.57</v>
      </c>
      <c r="F147" s="3" t="str">
        <f t="shared" si="6"/>
        <v>BTC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IFERROR(__xludf.DUMMYFUNCTION("""COMPUTED_VALUE"""),18924.18215)</f>
        <v>18924.18215</v>
      </c>
      <c r="C148" s="3">
        <f>IFERROR(__xludf.DUMMYFUNCTION("""COMPUTED_VALUE"""),1.9158768E7)</f>
        <v>19158768</v>
      </c>
      <c r="D148" s="2">
        <f t="shared" si="4"/>
        <v>812</v>
      </c>
      <c r="E148" s="2">
        <f t="shared" si="5"/>
        <v>15366435.91</v>
      </c>
      <c r="F148" s="3" t="str">
        <f t="shared" si="6"/>
        <v>BTC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IFERROR(__xludf.DUMMYFUNCTION("""COMPUTED_VALUE"""),18802.882431)</f>
        <v>18802.88243</v>
      </c>
      <c r="C149" s="3">
        <f>IFERROR(__xludf.DUMMYFUNCTION("""COMPUTED_VALUE"""),1.915965E7)</f>
        <v>19159650</v>
      </c>
      <c r="D149" s="2">
        <f t="shared" si="4"/>
        <v>882</v>
      </c>
      <c r="E149" s="2">
        <f t="shared" si="5"/>
        <v>16584142.3</v>
      </c>
      <c r="F149" s="3" t="str">
        <f t="shared" si="6"/>
        <v>BTC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3" t="str">
        <f t="shared" si="6"/>
        <v> </v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3" t="str">
        <f t="shared" si="6"/>
        <v> </v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3" t="str">
        <f t="shared" si="6"/>
        <v> </v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3" t="str">
        <f t="shared" si="6"/>
        <v> </v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3" t="str">
        <f t="shared" si="6"/>
        <v> </v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3" t="str">
        <f t="shared" si="6"/>
        <v> </v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3" t="str">
        <f t="shared" si="6"/>
        <v> </v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3" t="str">
        <f t="shared" si="6"/>
        <v> </v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3" t="str">
        <f t="shared" si="6"/>
        <v> </v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3" t="str">
        <f t="shared" si="6"/>
        <v> </v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3" t="str">
        <f t="shared" si="6"/>
        <v> </v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3" t="str">
        <f t="shared" si="6"/>
        <v> </v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3" t="str">
        <f t="shared" si="6"/>
        <v> </v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3" t="str">
        <f t="shared" si="6"/>
        <v> </v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3" t="str">
        <f t="shared" si="6"/>
        <v> </v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3" t="str">
        <f t="shared" si="6"/>
        <v> </v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3" t="str">
        <f t="shared" si="6"/>
        <v> </v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3" t="str">
        <f t="shared" si="6"/>
        <v> </v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3" t="str">
        <f t="shared" si="6"/>
        <v> </v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3" t="str">
        <f t="shared" si="6"/>
        <v> </v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3" t="str">
        <f t="shared" si="6"/>
        <v> </v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3" t="str">
        <f t="shared" si="6"/>
        <v> </v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3" t="str">
        <f t="shared" si="6"/>
        <v> </v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3" t="str">
        <f t="shared" si="6"/>
        <v> </v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3" t="str">
        <f t="shared" si="6"/>
        <v> </v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3" t="str">
        <f t="shared" si="6"/>
        <v> </v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3" t="str">
        <f t="shared" si="6"/>
        <v> </v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3" t="str">
        <f t="shared" si="6"/>
        <v> </v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3" t="str">
        <f t="shared" si="6"/>
        <v> </v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3" t="str">
        <f t="shared" si="6"/>
        <v> </v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3" t="str">
        <f t="shared" si="6"/>
        <v> </v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3" t="str">
        <f t="shared" si="6"/>
        <v> </v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3" t="str">
        <f t="shared" si="6"/>
        <v> </v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3" t="str">
        <f t="shared" si="6"/>
        <v> </v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3" t="str">
        <f t="shared" si="6"/>
        <v> </v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3" t="str">
        <f t="shared" si="6"/>
        <v> </v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3" t="str">
        <f t="shared" si="6"/>
        <v> </v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3" t="str">
        <f t="shared" si="6"/>
        <v> </v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3" t="str">
        <f t="shared" si="6"/>
        <v> </v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3" t="str">
        <f t="shared" si="6"/>
        <v> </v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3" t="str">
        <f t="shared" si="6"/>
        <v> </v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3" t="str">
        <f t="shared" si="6"/>
        <v> </v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3" t="str">
        <f t="shared" si="6"/>
        <v> </v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3" t="str">
        <f t="shared" si="6"/>
        <v> </v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3" t="str">
        <f t="shared" si="6"/>
        <v> </v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3" t="str">
        <f t="shared" si="6"/>
        <v> </v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3" t="str">
        <f t="shared" si="6"/>
        <v> </v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3" t="str">
        <f t="shared" si="6"/>
        <v> </v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3" t="str">
        <f t="shared" si="6"/>
        <v> </v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3" t="str">
        <f t="shared" si="6"/>
        <v> </v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3" t="str">
        <f t="shared" si="6"/>
        <v> </v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3" t="str">
        <f t="shared" si="6"/>
        <v> </v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3" t="str">
        <f t="shared" si="6"/>
        <v> </v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3" t="str">
        <f t="shared" si="6"/>
        <v> </v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3" t="str">
        <f t="shared" si="6"/>
        <v> </v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3" t="str">
        <f t="shared" si="6"/>
        <v> </v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3" t="str">
        <f t="shared" si="6"/>
        <v> </v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3" t="str">
        <f t="shared" si="6"/>
        <v> </v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3" t="str">
        <f t="shared" si="6"/>
        <v> </v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3" t="str">
        <f t="shared" si="6"/>
        <v> </v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3" t="str">
        <f t="shared" si="6"/>
        <v> </v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3" t="str">
        <f t="shared" si="6"/>
        <v> </v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3" t="str">
        <f t="shared" si="6"/>
        <v> </v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3" t="str">
        <f t="shared" si="6"/>
        <v> </v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3" t="str">
        <f t="shared" si="6"/>
        <v> </v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3" t="str">
        <f t="shared" si="6"/>
        <v> </v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3" t="str">
        <f t="shared" si="6"/>
        <v> </v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3" t="str">
        <f t="shared" si="6"/>
        <v> </v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3" t="str">
        <f t="shared" si="6"/>
        <v> </v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3" t="str">
        <f t="shared" si="6"/>
        <v> </v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3" t="str">
        <f t="shared" si="6"/>
        <v> </v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3" t="str">
        <f t="shared" si="6"/>
        <v> </v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3" t="str">
        <f t="shared" si="6"/>
        <v> </v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3" t="str">
        <f t="shared" si="6"/>
        <v> </v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3" t="str">
        <f t="shared" si="6"/>
        <v> </v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3" t="str">
        <f t="shared" si="6"/>
        <v> </v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3" t="str">
        <f t="shared" si="6"/>
        <v> </v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3" t="str">
        <f t="shared" si="6"/>
        <v> </v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3" t="str">
        <f t="shared" si="6"/>
        <v> </v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3" t="str">
        <f t="shared" si="6"/>
        <v> </v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3" t="str">
        <f t="shared" si="6"/>
        <v> </v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3" t="str">
        <f t="shared" si="6"/>
        <v> </v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3" t="str">
        <f t="shared" si="6"/>
        <v> </v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3" t="str">
        <f t="shared" si="6"/>
        <v> </v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3" t="str">
        <f t="shared" si="6"/>
        <v> </v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3" t="str">
        <f t="shared" si="6"/>
        <v> </v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3" t="str">
        <f t="shared" si="6"/>
        <v> </v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3" t="str">
        <f t="shared" si="6"/>
        <v> </v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3" t="str">
        <f t="shared" si="6"/>
        <v> </v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3" t="str">
        <f t="shared" si="6"/>
        <v> </v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3" t="str">
        <f t="shared" si="6"/>
        <v> </v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3" t="str">
        <f t="shared" si="6"/>
        <v> </v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3" t="str">
        <f t="shared" si="6"/>
        <v> </v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3" t="str">
        <f t="shared" si="6"/>
        <v> </v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3" t="str">
        <f t="shared" si="6"/>
        <v> </v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3" t="str">
        <f t="shared" si="6"/>
        <v> </v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3" t="str">
        <f t="shared" si="6"/>
        <v> </v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3" t="str">
        <f t="shared" si="6"/>
        <v> </v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3" t="str">
        <f t="shared" si="6"/>
        <v> </v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3" t="str">
        <f t="shared" si="6"/>
        <v> </v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3" t="str">
        <f t="shared" si="6"/>
        <v> </v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3" t="str">
        <f t="shared" si="6"/>
        <v> </v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3" t="str">
        <f t="shared" si="6"/>
        <v> </v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3" t="str">
        <f t="shared" si="6"/>
        <v> </v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3" t="str">
        <f t="shared" si="6"/>
        <v> </v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3" t="str">
        <f t="shared" si="6"/>
        <v> </v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3" t="str">
        <f t="shared" si="6"/>
        <v> </v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3" t="str">
        <f t="shared" si="6"/>
        <v> </v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3" t="str">
        <f t="shared" si="6"/>
        <v> </v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3" t="str">
        <f t="shared" si="6"/>
        <v> </v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3" t="str">
        <f t="shared" si="6"/>
        <v> </v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3" t="str">
        <f t="shared" si="6"/>
        <v> </v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3" t="str">
        <f t="shared" si="6"/>
        <v> </v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3" t="str">
        <f t="shared" si="6"/>
        <v> </v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3" t="str">
        <f t="shared" si="6"/>
        <v> </v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3" t="str">
        <f t="shared" si="6"/>
        <v> </v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3" t="str">
        <f t="shared" si="6"/>
        <v> </v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3" t="str">
        <f t="shared" si="6"/>
        <v> </v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3" t="str">
        <f t="shared" si="6"/>
        <v> </v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3" t="str">
        <f t="shared" si="6"/>
        <v> </v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3" t="str">
        <f t="shared" si="6"/>
        <v> </v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3" t="str">
        <f t="shared" si="6"/>
        <v> </v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3" t="str">
        <f t="shared" si="6"/>
        <v> </v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3" t="str">
        <f t="shared" si="6"/>
        <v> </v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3" t="str">
        <f t="shared" si="6"/>
        <v> </v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3" t="str">
        <f t="shared" si="6"/>
        <v> </v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3" t="str">
        <f t="shared" si="6"/>
        <v> </v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3" t="str">
        <f t="shared" si="6"/>
        <v> </v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3" t="str">
        <f t="shared" si="6"/>
        <v> </v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3" t="str">
        <f t="shared" si="6"/>
        <v> </v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3" t="str">
        <f t="shared" si="6"/>
        <v> </v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3" t="str">
        <f t="shared" si="6"/>
        <v> </v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3" t="str">
        <f t="shared" si="6"/>
        <v> </v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3" t="str">
        <f t="shared" si="6"/>
        <v> </v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3" t="str">
        <f t="shared" si="6"/>
        <v> </v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3" t="str">
        <f t="shared" si="6"/>
        <v> </v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3" t="str">
        <f t="shared" si="6"/>
        <v> </v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3" t="str">
        <f t="shared" si="6"/>
        <v> </v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3" t="str">
        <f t="shared" si="6"/>
        <v> </v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3" t="str">
        <f t="shared" si="6"/>
        <v> </v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3" t="str">
        <f t="shared" si="6"/>
        <v> </v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3" t="str">
        <f t="shared" si="6"/>
        <v> </v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3" t="str">
        <f t="shared" si="6"/>
        <v> </v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3" t="str">
        <f t="shared" si="6"/>
        <v> </v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3" t="str">
        <f t="shared" si="6"/>
        <v> </v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3" t="str">
        <f t="shared" si="6"/>
        <v> </v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3" t="str">
        <f t="shared" si="6"/>
        <v> </v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3" t="str">
        <f t="shared" si="6"/>
        <v> </v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3" t="str">
        <f t="shared" si="6"/>
        <v> </v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3" t="str">
        <f t="shared" si="6"/>
        <v> </v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3" t="str">
        <f t="shared" si="6"/>
        <v> </v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3" t="str">
        <f t="shared" si="6"/>
        <v> </v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3" t="str">
        <f t="shared" si="6"/>
        <v> </v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3" t="str">
        <f t="shared" si="6"/>
        <v> </v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3" t="str">
        <f t="shared" si="6"/>
        <v> </v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3" t="str">
        <f t="shared" si="6"/>
        <v> </v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3" t="str">
        <f t="shared" si="6"/>
        <v> </v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3" t="str">
        <f t="shared" si="6"/>
        <v> </v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3" t="str">
        <f t="shared" si="6"/>
        <v> </v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3" t="str">
        <f t="shared" si="6"/>
        <v> </v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3" t="str">
        <f t="shared" si="6"/>
        <v> </v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3" t="str">
        <f t="shared" si="6"/>
        <v> </v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3" t="str">
        <f t="shared" si="6"/>
        <v> </v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3" t="str">
        <f t="shared" si="6"/>
        <v> </v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3" t="str">
        <f t="shared" si="6"/>
        <v> </v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3" t="str">
        <f t="shared" si="6"/>
        <v> </v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3" t="str">
        <f t="shared" si="6"/>
        <v> </v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3" t="str">
        <f t="shared" si="6"/>
        <v> </v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3" t="str">
        <f t="shared" si="6"/>
        <v> </v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3" t="str">
        <f t="shared" si="6"/>
        <v> </v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3" t="str">
        <f t="shared" si="6"/>
        <v> </v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3" t="str">
        <f t="shared" si="6"/>
        <v> </v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3" t="str">
        <f t="shared" si="6"/>
        <v> </v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3" t="str">
        <f t="shared" si="6"/>
        <v> </v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3" t="str">
        <f t="shared" si="6"/>
        <v> </v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3" t="str">
        <f t="shared" si="6"/>
        <v> </v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3" t="str">
        <f t="shared" si="6"/>
        <v> </v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3" t="str">
        <f t="shared" si="6"/>
        <v> </v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3" t="str">
        <f t="shared" si="6"/>
        <v> </v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3" t="str">
        <f t="shared" si="6"/>
        <v> </v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3" t="str">
        <f t="shared" si="6"/>
        <v> </v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3" t="str">
        <f t="shared" si="6"/>
        <v> </v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3" t="str">
        <f t="shared" si="6"/>
        <v> </v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3" t="str">
        <f t="shared" si="6"/>
        <v> </v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3" t="str">
        <f t="shared" si="6"/>
        <v> </v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3" t="str">
        <f t="shared" si="6"/>
        <v> </v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3" t="str">
        <f t="shared" si="6"/>
        <v> </v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3" t="str">
        <f t="shared" si="6"/>
        <v> </v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3" t="str">
        <f t="shared" si="6"/>
        <v> </v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3" t="str">
        <f t="shared" si="6"/>
        <v> </v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3" t="str">
        <f t="shared" si="6"/>
        <v> </v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3" t="str">
        <f t="shared" si="6"/>
        <v> </v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3" t="str">
        <f t="shared" si="6"/>
        <v> </v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3" t="str">
        <f t="shared" si="6"/>
        <v> </v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3" t="str">
        <f t="shared" si="6"/>
        <v> </v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3" t="str">
        <f t="shared" si="6"/>
        <v> </v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3" t="str">
        <f t="shared" si="6"/>
        <v> </v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3" t="str">
        <f t="shared" si="6"/>
        <v> </v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3" t="str">
        <f t="shared" si="6"/>
        <v> </v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3" t="str">
        <f t="shared" si="6"/>
        <v> </v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3" t="str">
        <f t="shared" si="6"/>
        <v> </v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3" t="str">
        <f t="shared" si="6"/>
        <v> </v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3" t="str">
        <f t="shared" si="6"/>
        <v> </v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3" t="str">
        <f t="shared" si="6"/>
        <v> </v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3" t="str">
        <f t="shared" si="6"/>
        <v> </v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3" t="str">
        <f t="shared" si="6"/>
        <v> </v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3" t="str">
        <f t="shared" si="6"/>
        <v> </v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3" t="str">
        <f t="shared" si="6"/>
        <v> </v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3" t="str">
        <f t="shared" si="6"/>
        <v> </v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3" t="str">
        <f t="shared" si="6"/>
        <v> </v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3" t="str">
        <f t="shared" si="6"/>
        <v> </v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3" t="str">
        <f t="shared" si="6"/>
        <v> </v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3" t="str">
        <f t="shared" si="6"/>
        <v> </v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3" t="str">
        <f t="shared" si="6"/>
        <v> </v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3" t="str">
        <f t="shared" si="6"/>
        <v> </v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3" t="str">
        <f t="shared" si="6"/>
        <v> </v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3" t="str">
        <f t="shared" si="6"/>
        <v> </v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3" t="str">
        <f t="shared" si="6"/>
        <v> </v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3" t="str">
        <f t="shared" si="6"/>
        <v> </v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3" t="str">
        <f t="shared" si="6"/>
        <v> </v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3" t="str">
        <f t="shared" si="6"/>
        <v> </v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3" t="str">
        <f t="shared" si="6"/>
        <v> </v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3" t="str">
        <f t="shared" si="6"/>
        <v> </v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3" t="str">
        <f t="shared" si="6"/>
        <v> </v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3" t="str">
        <f t="shared" si="6"/>
        <v> </v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3" t="str">
        <f t="shared" si="6"/>
        <v> </v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3" t="str">
        <f t="shared" si="6"/>
        <v> </v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3" t="str">
        <f t="shared" si="6"/>
        <v> </v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3" t="str">
        <f t="shared" si="6"/>
        <v> </v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3" t="str">
        <f t="shared" si="6"/>
        <v> </v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3" t="str">
        <f t="shared" si="6"/>
        <v> </v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3" t="str">
        <f t="shared" si="6"/>
        <v> </v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3" t="str">
        <f t="shared" si="6"/>
        <v> </v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3" t="str">
        <f t="shared" si="6"/>
        <v> </v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3" t="str">
        <f t="shared" si="6"/>
        <v> </v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3" t="str">
        <f t="shared" si="6"/>
        <v> </v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3" t="str">
        <f t="shared" si="6"/>
        <v> </v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3" t="str">
        <f t="shared" si="6"/>
        <v> </v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3" t="str">
        <f t="shared" si="6"/>
        <v> </v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3" t="str">
        <f t="shared" si="6"/>
        <v> </v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3" t="str">
        <f t="shared" si="6"/>
        <v> </v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3" t="str">
        <f t="shared" si="6"/>
        <v> </v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3" t="str">
        <f t="shared" si="6"/>
        <v> </v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3" t="str">
        <f t="shared" si="6"/>
        <v> </v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3" t="str">
        <f t="shared" si="6"/>
        <v> </v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3" t="str">
        <f t="shared" si="6"/>
        <v> </v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3" t="str">
        <f t="shared" si="6"/>
        <v> </v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3" t="str">
        <f t="shared" si="6"/>
        <v> </v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3" t="str">
        <f t="shared" si="6"/>
        <v> </v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3" t="str">
        <f t="shared" si="6"/>
        <v> </v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3" t="str">
        <f t="shared" si="6"/>
        <v> </v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3" t="str">
        <f t="shared" si="6"/>
        <v> </v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3" t="str">
        <f t="shared" si="6"/>
        <v> </v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3" t="str">
        <f t="shared" si="6"/>
        <v> </v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3" t="str">
        <f t="shared" si="6"/>
        <v> </v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3" t="str">
        <f t="shared" si="6"/>
        <v> </v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3" t="str">
        <f t="shared" si="6"/>
        <v> </v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3" t="str">
        <f t="shared" si="6"/>
        <v> </v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3" t="str">
        <f t="shared" si="6"/>
        <v> </v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3" t="str">
        <f t="shared" si="6"/>
        <v> </v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3" t="str">
        <f t="shared" si="6"/>
        <v> </v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3" t="str">
        <f t="shared" si="6"/>
        <v> </v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3" t="str">
        <f t="shared" si="6"/>
        <v> </v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3" t="str">
        <f t="shared" si="6"/>
        <v> </v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3" t="str">
        <f t="shared" si="6"/>
        <v> </v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3" t="str">
        <f t="shared" si="6"/>
        <v> </v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3" t="str">
        <f t="shared" si="6"/>
        <v> </v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3" t="str">
        <f t="shared" si="6"/>
        <v> </v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3" t="str">
        <f t="shared" si="6"/>
        <v> </v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3" t="str">
        <f t="shared" si="6"/>
        <v> </v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3" t="str">
        <f t="shared" si="6"/>
        <v> </v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3" t="str">
        <f t="shared" si="6"/>
        <v> </v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3" t="str">
        <f t="shared" si="6"/>
        <v> </v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3" t="str">
        <f t="shared" si="6"/>
        <v> </v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3" t="str">
        <f t="shared" si="6"/>
        <v> </v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3" t="str">
        <f t="shared" si="6"/>
        <v> </v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3" t="str">
        <f t="shared" si="6"/>
        <v> </v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3" t="str">
        <f t="shared" si="6"/>
        <v> </v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3" t="str">
        <f t="shared" si="6"/>
        <v> </v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3" t="str">
        <f t="shared" si="6"/>
        <v> </v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3" t="str">
        <f t="shared" si="6"/>
        <v> </v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3" t="str">
        <f t="shared" si="6"/>
        <v> </v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3" t="str">
        <f t="shared" si="6"/>
        <v> </v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3" t="str">
        <f t="shared" si="6"/>
        <v> </v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3" t="str">
        <f t="shared" si="6"/>
        <v> </v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3" t="str">
        <f t="shared" si="6"/>
        <v> </v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3" t="str">
        <f t="shared" si="6"/>
        <v> </v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3" t="str">
        <f t="shared" si="6"/>
        <v> </v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3" t="str">
        <f t="shared" si="6"/>
        <v> </v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3" t="str">
        <f t="shared" si="6"/>
        <v> </v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3" t="str">
        <f t="shared" si="6"/>
        <v> </v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3" t="str">
        <f t="shared" si="6"/>
        <v> </v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3" t="str">
        <f t="shared" si="6"/>
        <v> </v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3" t="str">
        <f t="shared" si="6"/>
        <v> </v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3" t="str">
        <f t="shared" si="6"/>
        <v> </v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3" t="str">
        <f t="shared" si="6"/>
        <v> </v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3" t="str">
        <f t="shared" si="6"/>
        <v> </v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3" t="str">
        <f t="shared" si="6"/>
        <v> </v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3" t="str">
        <f t="shared" si="6"/>
        <v> </v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3" t="str">
        <f t="shared" si="6"/>
        <v> </v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3" t="str">
        <f t="shared" si="6"/>
        <v> </v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3" t="str">
        <f t="shared" si="6"/>
        <v> </v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3" t="str">
        <f t="shared" si="6"/>
        <v> </v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3" t="str">
        <f t="shared" si="6"/>
        <v> </v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3" t="str">
        <f t="shared" si="6"/>
        <v> </v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3" t="str">
        <f t="shared" si="6"/>
        <v> </v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3" t="str">
        <f t="shared" si="6"/>
        <v> </v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3" t="str">
        <f t="shared" si="6"/>
        <v> </v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3" t="str">
        <f t="shared" si="6"/>
        <v> </v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3" t="str">
        <f t="shared" si="6"/>
        <v> </v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3" t="str">
        <f t="shared" si="6"/>
        <v> </v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3" t="str">
        <f t="shared" si="6"/>
        <v> </v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3" t="str">
        <f t="shared" si="6"/>
        <v> </v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3" t="str">
        <f t="shared" si="6"/>
        <v> </v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3" t="str">
        <f t="shared" si="6"/>
        <v> </v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3" t="str">
        <f t="shared" si="6"/>
        <v> </v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3" t="str">
        <f t="shared" si="6"/>
        <v> </v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3" t="str">
        <f t="shared" si="6"/>
        <v> </v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3" t="str">
        <f t="shared" si="6"/>
        <v> </v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3" t="str">
        <f t="shared" si="6"/>
        <v> </v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3" t="str">
        <f t="shared" si="6"/>
        <v> </v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3" t="str">
        <f t="shared" si="6"/>
        <v> </v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3" t="str">
        <f t="shared" si="6"/>
        <v> </v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3" t="str">
        <f t="shared" si="6"/>
        <v> </v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3" t="str">
        <f t="shared" si="6"/>
        <v> </v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3" t="str">
        <f t="shared" si="6"/>
        <v> </v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3" t="str">
        <f t="shared" si="6"/>
        <v> </v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3" t="str">
        <f t="shared" si="6"/>
        <v> </v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3" t="str">
        <f t="shared" si="6"/>
        <v> </v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3" t="str">
        <f t="shared" si="6"/>
        <v> </v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3" t="str">
        <f t="shared" si="6"/>
        <v> </v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3" t="str">
        <f t="shared" si="6"/>
        <v> </v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3" t="str">
        <f t="shared" si="6"/>
        <v> </v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3" t="str">
        <f t="shared" si="6"/>
        <v> </v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3" t="str">
        <f t="shared" si="6"/>
        <v> </v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3" t="str">
        <f t="shared" si="6"/>
        <v> </v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3" t="str">
        <f t="shared" si="6"/>
        <v> </v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3" t="str">
        <f t="shared" si="6"/>
        <v> </v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3" t="str">
        <f t="shared" si="6"/>
        <v> </v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3" t="str">
        <f t="shared" si="6"/>
        <v> </v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3" t="str">
        <f t="shared" si="6"/>
        <v> </v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3" t="str">
        <f t="shared" si="6"/>
        <v> </v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3" t="str">
        <f t="shared" si="6"/>
        <v> </v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3" t="str">
        <f t="shared" si="6"/>
        <v> </v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3" t="str">
        <f t="shared" si="6"/>
        <v> </v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3" t="str">
        <f t="shared" si="6"/>
        <v> </v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3" t="str">
        <f t="shared" si="6"/>
        <v> </v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3" t="str">
        <f t="shared" si="6"/>
        <v> </v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3" t="str">
        <f t="shared" si="6"/>
        <v> </v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3" t="str">
        <f t="shared" si="6"/>
        <v> </v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3" t="str">
        <f t="shared" si="6"/>
        <v> </v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3" t="str">
        <f t="shared" si="6"/>
        <v> </v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3" t="str">
        <f t="shared" si="6"/>
        <v> </v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3" t="str">
        <f t="shared" si="6"/>
        <v> </v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3" t="str">
        <f t="shared" si="6"/>
        <v> </v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3" t="str">
        <f t="shared" si="6"/>
        <v> </v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3" t="str">
        <f t="shared" si="6"/>
        <v> </v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3" t="str">
        <f t="shared" si="6"/>
        <v> </v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3" t="str">
        <f t="shared" si="6"/>
        <v> </v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3" t="str">
        <f t="shared" si="6"/>
        <v> </v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3" t="str">
        <f t="shared" si="6"/>
        <v> </v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3" t="str">
        <f t="shared" si="6"/>
        <v> </v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3" t="str">
        <f t="shared" si="6"/>
        <v> </v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3" t="str">
        <f t="shared" si="6"/>
        <v> </v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3" t="str">
        <f t="shared" si="6"/>
        <v> </v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3" t="str">
        <f t="shared" si="6"/>
        <v> </v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3" t="str">
        <f t="shared" si="6"/>
        <v> </v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3" t="str">
        <f t="shared" si="6"/>
        <v> </v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3" t="str">
        <f t="shared" si="6"/>
        <v> </v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3" t="str">
        <f t="shared" si="6"/>
        <v> </v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3" t="str">
        <f t="shared" si="6"/>
        <v> </v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3" t="str">
        <f t="shared" si="6"/>
        <v> </v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3" t="str">
        <f t="shared" si="6"/>
        <v> </v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3" t="str">
        <f t="shared" si="6"/>
        <v> </v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3" t="str">
        <f t="shared" si="6"/>
        <v> </v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3" t="str">
        <f t="shared" si="6"/>
        <v> </v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3" t="str">
        <f t="shared" si="6"/>
        <v> </v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3" t="str">
        <f t="shared" si="6"/>
        <v> </v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3" t="str">
        <f t="shared" si="6"/>
        <v> </v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3" t="str">
        <f t="shared" si="6"/>
        <v> </v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3" t="str">
        <f t="shared" si="6"/>
        <v> </v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3" t="str">
        <f t="shared" si="6"/>
        <v> </v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3" t="str">
        <f t="shared" si="6"/>
        <v> </v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3" t="str">
        <f t="shared" si="6"/>
        <v> </v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3" t="str">
        <f t="shared" si="6"/>
        <v> </v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3" t="str">
        <f t="shared" si="6"/>
        <v> </v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3" t="str">
        <f t="shared" si="6"/>
        <v> </v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3" t="str">
        <f t="shared" si="6"/>
        <v> </v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3" t="str">
        <f t="shared" si="6"/>
        <v> </v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3" t="str">
        <f t="shared" si="6"/>
        <v> </v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3" t="str">
        <f t="shared" si="6"/>
        <v> </v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3" t="str">
        <f t="shared" si="6"/>
        <v> </v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3" t="str">
        <f t="shared" si="6"/>
        <v> </v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3" t="str">
        <f t="shared" si="6"/>
        <v> </v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3" t="str">
        <f t="shared" si="6"/>
        <v> </v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3" t="str">
        <f t="shared" si="6"/>
        <v> </v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3" t="str">
        <f t="shared" si="6"/>
        <v> </v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3" t="str">
        <f t="shared" si="6"/>
        <v> </v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3" t="str">
        <f t="shared" si="6"/>
        <v> </v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3" t="str">
        <f t="shared" si="6"/>
        <v> </v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3" t="str">
        <f t="shared" si="6"/>
        <v> </v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3" t="str">
        <f t="shared" si="6"/>
        <v> </v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3" t="str">
        <f t="shared" si="6"/>
        <v> </v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3" t="str">
        <f t="shared" si="6"/>
        <v> </v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3" t="str">
        <f t="shared" si="6"/>
        <v> </v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3" t="str">
        <f t="shared" si="6"/>
        <v> </v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3" t="str">
        <f t="shared" si="6"/>
        <v> </v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3" t="str">
        <f t="shared" si="6"/>
        <v> </v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3" t="str">
        <f t="shared" si="6"/>
        <v> </v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3" t="str">
        <f t="shared" si="6"/>
        <v> </v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3" t="str">
        <f t="shared" si="6"/>
        <v> </v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3" t="str">
        <f t="shared" si="6"/>
        <v> </v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3" t="str">
        <f t="shared" si="6"/>
        <v> </v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3" t="str">
        <f t="shared" si="6"/>
        <v> </v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3" t="str">
        <f t="shared" si="6"/>
        <v> </v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3" t="str">
        <f t="shared" si="6"/>
        <v> </v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3" t="str">
        <f t="shared" si="6"/>
        <v> </v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3" t="str">
        <f t="shared" si="6"/>
        <v> </v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3" t="str">
        <f t="shared" si="6"/>
        <v> </v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3" t="str">
        <f t="shared" si="6"/>
        <v> </v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3" t="str">
        <f t="shared" si="6"/>
        <v> </v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3" t="str">
        <f t="shared" si="6"/>
        <v> </v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3" t="str">
        <f t="shared" si="6"/>
        <v> </v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3" t="str">
        <f t="shared" si="6"/>
        <v> </v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3" t="str">
        <f t="shared" si="6"/>
        <v> </v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3" t="str">
        <f t="shared" si="6"/>
        <v> </v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3" t="str">
        <f t="shared" si="6"/>
        <v> </v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3" t="str">
        <f t="shared" si="6"/>
        <v> </v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3" t="str">
        <f t="shared" si="6"/>
        <v> </v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3" t="str">
        <f t="shared" si="6"/>
        <v> </v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3" t="str">
        <f t="shared" si="6"/>
        <v> </v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3" t="str">
        <f t="shared" si="6"/>
        <v> </v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3" t="str">
        <f t="shared" si="6"/>
        <v> </v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3" t="str">
        <f t="shared" si="6"/>
        <v> </v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3" t="str">
        <f t="shared" si="6"/>
        <v> </v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3" t="str">
        <f t="shared" si="6"/>
        <v> </v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3" t="str">
        <f t="shared" si="6"/>
        <v> </v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3" t="str">
        <f t="shared" si="6"/>
        <v> </v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3" t="str">
        <f t="shared" si="6"/>
        <v> </v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3" t="str">
        <f t="shared" si="6"/>
        <v> </v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3" t="str">
        <f t="shared" si="6"/>
        <v> </v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3" t="str">
        <f t="shared" si="6"/>
        <v> </v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3" t="str">
        <f t="shared" si="6"/>
        <v> </v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3" t="str">
        <f t="shared" si="6"/>
        <v> </v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3" t="str">
        <f t="shared" si="6"/>
        <v> </v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3" t="str">
        <f t="shared" si="6"/>
        <v> </v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3" t="str">
        <f t="shared" si="6"/>
        <v> </v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3" t="str">
        <f t="shared" si="6"/>
        <v> </v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3" t="str">
        <f t="shared" si="6"/>
        <v> </v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3" t="str">
        <f t="shared" si="6"/>
        <v> </v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3" t="str">
        <f t="shared" si="6"/>
        <v> </v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3" t="str">
        <f t="shared" si="6"/>
        <v> </v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3" t="str">
        <f t="shared" si="6"/>
        <v> </v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3" t="str">
        <f t="shared" si="6"/>
        <v> </v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3" t="str">
        <f t="shared" si="6"/>
        <v> </v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3" t="str">
        <f t="shared" si="6"/>
        <v> </v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3" t="str">
        <f t="shared" si="6"/>
        <v> </v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3" t="str">
        <f t="shared" si="6"/>
        <v> </v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3" t="str">
        <f t="shared" si="6"/>
        <v> </v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3" t="str">
        <f t="shared" si="6"/>
        <v> </v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3" t="str">
        <f t="shared" si="6"/>
        <v> </v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3" t="str">
        <f t="shared" si="6"/>
        <v> </v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3" t="str">
        <f t="shared" si="6"/>
        <v> </v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3" t="str">
        <f t="shared" si="6"/>
        <v> </v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3" t="str">
        <f t="shared" si="6"/>
        <v> </v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3" t="str">
        <f t="shared" si="6"/>
        <v> </v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3" t="str">
        <f t="shared" si="6"/>
        <v> </v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3" t="str">
        <f t="shared" si="6"/>
        <v> </v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3" t="str">
        <f t="shared" si="6"/>
        <v> </v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3" t="str">
        <f t="shared" si="6"/>
        <v> </v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3" t="str">
        <f t="shared" si="6"/>
        <v> </v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3" t="str">
        <f t="shared" si="6"/>
        <v> </v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3" t="str">
        <f t="shared" si="6"/>
        <v> </v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3" t="str">
        <f t="shared" si="6"/>
        <v> </v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3" t="str">
        <f t="shared" si="6"/>
        <v> </v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3" t="str">
        <f t="shared" si="6"/>
        <v> </v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3" t="str">
        <f t="shared" si="6"/>
        <v> </v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3" t="str">
        <f t="shared" si="6"/>
        <v> </v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3" t="str">
        <f t="shared" si="6"/>
        <v> </v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3" t="str">
        <f t="shared" si="6"/>
        <v> </v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3" t="str">
        <f t="shared" si="6"/>
        <v> </v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3" t="str">
        <f t="shared" si="6"/>
        <v> </v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3" t="str">
        <f t="shared" si="6"/>
        <v> </v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3" t="str">
        <f t="shared" si="6"/>
        <v> </v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3" t="str">
        <f t="shared" si="6"/>
        <v> </v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3" t="str">
        <f t="shared" si="6"/>
        <v> </v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3" t="str">
        <f t="shared" si="6"/>
        <v> </v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3" t="str">
        <f t="shared" si="6"/>
        <v> </v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3" t="str">
        <f t="shared" si="6"/>
        <v> </v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3" t="str">
        <f t="shared" si="6"/>
        <v> </v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3" t="str">
        <f t="shared" si="6"/>
        <v> </v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3" t="str">
        <f t="shared" si="6"/>
        <v> </v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3" t="str">
        <f t="shared" si="6"/>
        <v> </v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3" t="str">
        <f t="shared" si="6"/>
        <v> </v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3" t="str">
        <f t="shared" si="6"/>
        <v> </v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3" t="str">
        <f t="shared" si="6"/>
        <v> </v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3" t="str">
        <f t="shared" si="6"/>
        <v> </v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3" t="str">
        <f t="shared" si="6"/>
        <v> </v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3" t="str">
        <f t="shared" si="6"/>
        <v> </v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3" t="str">
        <f t="shared" si="6"/>
        <v> </v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3" t="str">
        <f t="shared" si="6"/>
        <v> </v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3" t="str">
        <f t="shared" si="6"/>
        <v> </v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3" t="str">
        <f t="shared" si="6"/>
        <v> </v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3" t="str">
        <f t="shared" si="6"/>
        <v> </v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3" t="str">
        <f t="shared" si="6"/>
        <v> </v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3" t="str">
        <f t="shared" si="6"/>
        <v> </v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3" t="str">
        <f t="shared" si="6"/>
        <v> </v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3" t="str">
        <f t="shared" si="6"/>
        <v> </v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3" t="str">
        <f t="shared" si="6"/>
        <v> </v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3" t="str">
        <f t="shared" si="6"/>
        <v> </v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3" t="str">
        <f t="shared" si="6"/>
        <v> </v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3" t="str">
        <f t="shared" si="6"/>
        <v> </v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3" t="str">
        <f t="shared" si="6"/>
        <v> </v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3" t="str">
        <f t="shared" si="6"/>
        <v> </v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3" t="str">
        <f t="shared" si="6"/>
        <v> </v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3" t="str">
        <f t="shared" si="6"/>
        <v> </v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3" t="str">
        <f t="shared" si="6"/>
        <v> </v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3" t="str">
        <f t="shared" si="6"/>
        <v> </v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3" t="str">
        <f t="shared" si="6"/>
        <v> </v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3" t="str">
        <f t="shared" si="6"/>
        <v> </v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3" t="str">
        <f t="shared" si="6"/>
        <v> </v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3" t="str">
        <f t="shared" si="6"/>
        <v> </v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3" t="str">
        <f t="shared" si="6"/>
        <v> </v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3" t="str">
        <f t="shared" si="6"/>
        <v> </v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3" t="str">
        <f t="shared" si="6"/>
        <v> </v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3" t="str">
        <f t="shared" si="6"/>
        <v> </v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3" t="str">
        <f t="shared" si="6"/>
        <v> </v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3" t="str">
        <f t="shared" si="6"/>
        <v> </v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3" t="str">
        <f t="shared" si="6"/>
        <v> </v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3" t="str">
        <f t="shared" si="6"/>
        <v> </v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3" t="str">
        <f t="shared" si="6"/>
        <v> </v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3" t="str">
        <f t="shared" si="6"/>
        <v> </v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3" t="str">
        <f t="shared" si="6"/>
        <v> </v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3" t="str">
        <f t="shared" si="6"/>
        <v> </v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3" t="str">
        <f t="shared" si="6"/>
        <v> </v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3" t="str">
        <f t="shared" si="6"/>
        <v> </v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3" t="str">
        <f t="shared" si="6"/>
        <v> </v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3" t="str">
        <f t="shared" si="6"/>
        <v> </v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3" t="str">
        <f t="shared" si="6"/>
        <v> </v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3" t="str">
        <f t="shared" si="6"/>
        <v> </v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3" t="str">
        <f t="shared" si="6"/>
        <v> </v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3" t="str">
        <f t="shared" si="6"/>
        <v> </v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3" t="str">
        <f t="shared" si="6"/>
        <v> </v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3" t="str">
        <f t="shared" si="6"/>
        <v> </v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3" t="str">
        <f t="shared" si="6"/>
        <v> </v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3" t="str">
        <f t="shared" si="6"/>
        <v> </v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3" t="str">
        <f t="shared" si="6"/>
        <v> </v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3" t="str">
        <f t="shared" si="6"/>
        <v> </v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3" t="str">
        <f t="shared" si="6"/>
        <v> </v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3" t="str">
        <f t="shared" si="6"/>
        <v> </v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3" t="str">
        <f t="shared" si="6"/>
        <v> </v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3" t="str">
        <f t="shared" si="6"/>
        <v> </v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3" t="str">
        <f t="shared" si="6"/>
        <v> </v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3" t="str">
        <f t="shared" si="6"/>
        <v> </v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3" t="str">
        <f t="shared" si="6"/>
        <v> </v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3" t="str">
        <f t="shared" si="6"/>
        <v> </v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3" t="str">
        <f t="shared" si="6"/>
        <v> </v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3" t="str">
        <f t="shared" si="6"/>
        <v> </v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3" t="str">
        <f t="shared" si="6"/>
        <v> </v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3" t="str">
        <f t="shared" si="6"/>
        <v> </v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3" t="str">
        <f t="shared" si="6"/>
        <v> </v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3" t="str">
        <f t="shared" si="6"/>
        <v> </v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3" t="str">
        <f t="shared" si="6"/>
        <v> </v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3" t="str">
        <f t="shared" si="6"/>
        <v> </v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3" t="str">
        <f t="shared" si="6"/>
        <v> </v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3" t="str">
        <f t="shared" si="6"/>
        <v> </v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3" t="str">
        <f t="shared" si="6"/>
        <v> </v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3" t="str">
        <f t="shared" si="6"/>
        <v> </v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3" t="str">
        <f t="shared" si="6"/>
        <v> </v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3" t="str">
        <f t="shared" si="6"/>
        <v> </v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3" t="str">
        <f t="shared" si="6"/>
        <v> </v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3" t="str">
        <f t="shared" si="6"/>
        <v> </v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3" t="str">
        <f t="shared" si="6"/>
        <v> </v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3" t="str">
        <f t="shared" si="6"/>
        <v> </v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3" t="str">
        <f t="shared" si="6"/>
        <v> </v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3" t="str">
        <f t="shared" si="6"/>
        <v> </v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3" t="str">
        <f t="shared" si="6"/>
        <v> </v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3" t="str">
        <f t="shared" si="6"/>
        <v> </v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3" t="str">
        <f t="shared" si="6"/>
        <v> </v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3" t="str">
        <f t="shared" si="6"/>
        <v> </v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3" t="str">
        <f t="shared" si="6"/>
        <v> </v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3" t="str">
        <f t="shared" si="6"/>
        <v> </v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3" t="str">
        <f t="shared" si="6"/>
        <v> </v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3" t="str">
        <f t="shared" si="6"/>
        <v> </v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3" t="str">
        <f t="shared" si="6"/>
        <v> </v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3" t="str">
        <f t="shared" si="6"/>
        <v> </v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3" t="str">
        <f t="shared" si="6"/>
        <v> </v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3" t="str">
        <f t="shared" si="6"/>
        <v> </v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3" t="str">
        <f t="shared" si="6"/>
        <v> </v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3" t="str">
        <f t="shared" si="6"/>
        <v> </v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3" t="str">
        <f t="shared" si="6"/>
        <v> </v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3" t="str">
        <f t="shared" si="6"/>
        <v> </v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3" t="str">
        <f t="shared" si="6"/>
        <v> </v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3" t="str">
        <f t="shared" si="6"/>
        <v> </v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3" t="str">
        <f t="shared" si="6"/>
        <v> </v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3" t="str">
        <f t="shared" si="6"/>
        <v> </v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3" t="str">
        <f t="shared" si="6"/>
        <v> </v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3" t="str">
        <f t="shared" si="6"/>
        <v> </v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3" t="str">
        <f t="shared" si="6"/>
        <v> </v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3" t="str">
        <f t="shared" si="6"/>
        <v> </v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3" t="str">
        <f t="shared" si="6"/>
        <v> </v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3" t="str">
        <f t="shared" si="6"/>
        <v> </v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3" t="str">
        <f t="shared" si="6"/>
        <v> </v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3" t="str">
        <f t="shared" si="6"/>
        <v> </v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3" t="str">
        <f t="shared" si="6"/>
        <v> </v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3" t="str">
        <f t="shared" si="6"/>
        <v> </v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3" t="str">
        <f t="shared" si="6"/>
        <v> </v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3" t="str">
        <f t="shared" si="6"/>
        <v> </v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3" t="str">
        <f t="shared" si="6"/>
        <v> </v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3" t="str">
        <f t="shared" si="6"/>
        <v> </v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3" t="str">
        <f t="shared" si="6"/>
        <v> </v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3" t="str">
        <f t="shared" si="6"/>
        <v> </v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3" t="str">
        <f t="shared" si="6"/>
        <v> </v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3" t="str">
        <f t="shared" si="6"/>
        <v> </v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3" t="str">
        <f t="shared" si="6"/>
        <v> </v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3" t="str">
        <f t="shared" si="6"/>
        <v> </v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3" t="str">
        <f t="shared" si="6"/>
        <v> </v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3" t="str">
        <f t="shared" si="6"/>
        <v> </v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3" t="str">
        <f t="shared" si="6"/>
        <v> </v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3" t="str">
        <f t="shared" si="6"/>
        <v> </v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3" t="str">
        <f t="shared" si="6"/>
        <v> </v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3" t="str">
        <f t="shared" si="6"/>
        <v> </v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IFERROR(__xludf.DUMMYFUNCTION("QUERY({sol_price!A2:B1000,ARRAYFORMULA(IFERROR(VLOOKUP(sol_price!A2:A1000,sol_supply!$A:B,2,0),""""))},""SELECT *"",0)"),"2022-05-01T00:00:00Z")</f>
        <v>2022-05-01T00:00:00Z</v>
      </c>
      <c r="B2" s="3">
        <f>IFERROR(__xludf.DUMMYFUNCTION("""COMPUTED_VALUE"""),84.637333)</f>
        <v>84.637333</v>
      </c>
      <c r="C2" s="3">
        <f>IFERROR(__xludf.DUMMYFUNCTION("""COMPUTED_VALUE"""),3.34402950832301E8)</f>
        <v>334402950.8</v>
      </c>
      <c r="D2" s="1">
        <v>0.0</v>
      </c>
      <c r="E2" s="1">
        <v>0.0</v>
      </c>
      <c r="F2" s="2" t="str">
        <f t="shared" ref="F2:F1000" si="1">IF(ISBLANK(A2),"","SOL")</f>
        <v>SOL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IFERROR(__xludf.DUMMYFUNCTION("""COMPUTED_VALUE"""),89.685037)</f>
        <v>89.685037</v>
      </c>
      <c r="C3" s="3">
        <f>IFERROR(__xludf.DUMMYFUNCTION("""COMPUTED_VALUE"""),3.34217568911091E8)</f>
        <v>334217568.9</v>
      </c>
      <c r="D3" s="3">
        <f t="shared" ref="D3:D144" si="2">C3-C2</f>
        <v>-185381.9212</v>
      </c>
      <c r="E3" s="3">
        <f t="shared" ref="E3:E144" si="3">B3*D3</f>
        <v>-16625984.46</v>
      </c>
      <c r="F3" s="2" t="str">
        <f t="shared" si="1"/>
        <v>SOL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IFERROR(__xludf.DUMMYFUNCTION("""COMPUTED_VALUE"""),87.481517)</f>
        <v>87.481517</v>
      </c>
      <c r="C4" s="3">
        <f>IFERROR(__xludf.DUMMYFUNCTION("""COMPUTED_VALUE"""),3.34216954880957E8)</f>
        <v>334216954.9</v>
      </c>
      <c r="D4" s="3">
        <f t="shared" si="2"/>
        <v>-614.030134</v>
      </c>
      <c r="E4" s="3">
        <f t="shared" si="3"/>
        <v>-53716.28761</v>
      </c>
      <c r="F4" s="2" t="str">
        <f t="shared" si="1"/>
        <v>SOL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IFERROR(__xludf.DUMMYFUNCTION("""COMPUTED_VALUE"""),85.847885)</f>
        <v>85.847885</v>
      </c>
      <c r="C5" s="3">
        <f>IFERROR(__xludf.DUMMYFUNCTION("""COMPUTED_VALUE"""),3.34216322704552E8)</f>
        <v>334216322.7</v>
      </c>
      <c r="D5" s="3">
        <f t="shared" si="2"/>
        <v>-632.176405</v>
      </c>
      <c r="E5" s="3">
        <f t="shared" si="3"/>
        <v>-54271.00732</v>
      </c>
      <c r="F5" s="2" t="str">
        <f t="shared" si="1"/>
        <v>SOL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IFERROR(__xludf.DUMMYFUNCTION("""COMPUTED_VALUE"""),92.762378)</f>
        <v>92.762378</v>
      </c>
      <c r="C6" s="3">
        <f>IFERROR(__xludf.DUMMYFUNCTION("""COMPUTED_VALUE"""),3.34349395044966E8)</f>
        <v>334349395</v>
      </c>
      <c r="D6" s="3">
        <f t="shared" si="2"/>
        <v>133072.3404</v>
      </c>
      <c r="E6" s="3">
        <f t="shared" si="3"/>
        <v>12344106.74</v>
      </c>
      <c r="F6" s="2" t="str">
        <f t="shared" si="1"/>
        <v>SOL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IFERROR(__xludf.DUMMYFUNCTION("""COMPUTED_VALUE"""),84.503459)</f>
        <v>84.503459</v>
      </c>
      <c r="C7" s="3">
        <f>IFERROR(__xludf.DUMMYFUNCTION("""COMPUTED_VALUE"""),3.34692901090017E8)</f>
        <v>334692901.1</v>
      </c>
      <c r="D7" s="3">
        <f t="shared" si="2"/>
        <v>343506.0451</v>
      </c>
      <c r="E7" s="3">
        <f t="shared" si="3"/>
        <v>29027448.99</v>
      </c>
      <c r="F7" s="2" t="str">
        <f t="shared" si="1"/>
        <v>SOL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IFERROR(__xludf.DUMMYFUNCTION("""COMPUTED_VALUE"""),81.645169)</f>
        <v>81.645169</v>
      </c>
      <c r="C8" s="3">
        <f>IFERROR(__xludf.DUMMYFUNCTION("""COMPUTED_VALUE"""),3.35187502413829E8)</f>
        <v>335187502.4</v>
      </c>
      <c r="D8" s="3">
        <f t="shared" si="2"/>
        <v>494601.3238</v>
      </c>
      <c r="E8" s="3">
        <f t="shared" si="3"/>
        <v>40381808.67</v>
      </c>
      <c r="F8" s="2" t="str">
        <f t="shared" si="1"/>
        <v>SOL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IFERROR(__xludf.DUMMYFUNCTION("""COMPUTED_VALUE"""),78.846263)</f>
        <v>78.846263</v>
      </c>
      <c r="C9" s="3">
        <f>IFERROR(__xludf.DUMMYFUNCTION("""COMPUTED_VALUE"""),3.3532070372447E8)</f>
        <v>335320703.7</v>
      </c>
      <c r="D9" s="3">
        <f t="shared" si="2"/>
        <v>133201.3106</v>
      </c>
      <c r="E9" s="3">
        <f t="shared" si="3"/>
        <v>10502425.57</v>
      </c>
      <c r="F9" s="2" t="str">
        <f t="shared" si="1"/>
        <v>SOL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IFERROR(__xludf.DUMMYFUNCTION("""COMPUTED_VALUE"""),75.369953)</f>
        <v>75.369953</v>
      </c>
      <c r="C10" s="3">
        <f>IFERROR(__xludf.DUMMYFUNCTION("""COMPUTED_VALUE"""),3.3662252721018E8)</f>
        <v>336622527.2</v>
      </c>
      <c r="D10" s="3">
        <f t="shared" si="2"/>
        <v>1301823.486</v>
      </c>
      <c r="E10" s="3">
        <f t="shared" si="3"/>
        <v>98118374.93</v>
      </c>
      <c r="F10" s="2" t="str">
        <f t="shared" si="1"/>
        <v>SOL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IFERROR(__xludf.DUMMYFUNCTION("""COMPUTED_VALUE"""),62.139162)</f>
        <v>62.139162</v>
      </c>
      <c r="C11" s="3">
        <f>IFERROR(__xludf.DUMMYFUNCTION("""COMPUTED_VALUE"""),3.36624435979203E8)</f>
        <v>336624436</v>
      </c>
      <c r="D11" s="3">
        <f t="shared" si="2"/>
        <v>1908.769023</v>
      </c>
      <c r="E11" s="3">
        <f t="shared" si="3"/>
        <v>118609.3075</v>
      </c>
      <c r="F11" s="2" t="str">
        <f t="shared" si="1"/>
        <v>SOL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IFERROR(__xludf.DUMMYFUNCTION("""COMPUTED_VALUE"""),66.859951)</f>
        <v>66.859951</v>
      </c>
      <c r="C12" s="3">
        <f>IFERROR(__xludf.DUMMYFUNCTION("""COMPUTED_VALUE"""),3.36790329791671E8)</f>
        <v>336790329.8</v>
      </c>
      <c r="D12" s="3">
        <f t="shared" si="2"/>
        <v>165893.8125</v>
      </c>
      <c r="E12" s="3">
        <f t="shared" si="3"/>
        <v>11091652.17</v>
      </c>
      <c r="F12" s="2" t="str">
        <f t="shared" si="1"/>
        <v>SOL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IFERROR(__xludf.DUMMYFUNCTION("""COMPUTED_VALUE"""),50.713735)</f>
        <v>50.713735</v>
      </c>
      <c r="C13" s="3">
        <f>IFERROR(__xludf.DUMMYFUNCTION("""COMPUTED_VALUE"""),3.36923515205963E8)</f>
        <v>336923515.2</v>
      </c>
      <c r="D13" s="3">
        <f t="shared" si="2"/>
        <v>133185.4143</v>
      </c>
      <c r="E13" s="3">
        <f t="shared" si="3"/>
        <v>6754329.806</v>
      </c>
      <c r="F13" s="2" t="str">
        <f t="shared" si="1"/>
        <v>SOL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IFERROR(__xludf.DUMMYFUNCTION("""COMPUTED_VALUE"""),44.540271)</f>
        <v>44.540271</v>
      </c>
      <c r="C14" s="3">
        <f>IFERROR(__xludf.DUMMYFUNCTION("""COMPUTED_VALUE"""),3.37322385199212E8)</f>
        <v>337322385.2</v>
      </c>
      <c r="D14" s="3">
        <f t="shared" si="2"/>
        <v>398869.9932</v>
      </c>
      <c r="E14" s="3">
        <f t="shared" si="3"/>
        <v>17765777.59</v>
      </c>
      <c r="F14" s="2" t="str">
        <f t="shared" si="1"/>
        <v>SOL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IFERROR(__xludf.DUMMYFUNCTION("""COMPUTED_VALUE"""),48.873913)</f>
        <v>48.873913</v>
      </c>
      <c r="C15" s="3">
        <f>IFERROR(__xludf.DUMMYFUNCTION("""COMPUTED_VALUE"""),3.37321867830181E8)</f>
        <v>337321867.8</v>
      </c>
      <c r="D15" s="3">
        <f t="shared" si="2"/>
        <v>-517.369031</v>
      </c>
      <c r="E15" s="3">
        <f t="shared" si="3"/>
        <v>-25285.84901</v>
      </c>
      <c r="F15" s="2" t="str">
        <f t="shared" si="1"/>
        <v>SOL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IFERROR(__xludf.DUMMYFUNCTION("""COMPUTED_VALUE"""),52.378337)</f>
        <v>52.378337</v>
      </c>
      <c r="C16" s="3">
        <f>IFERROR(__xludf.DUMMYFUNCTION("""COMPUTED_VALUE"""),3.37461534198941E8)</f>
        <v>337461534.2</v>
      </c>
      <c r="D16" s="3">
        <f t="shared" si="2"/>
        <v>139666.3688</v>
      </c>
      <c r="E16" s="3">
        <f t="shared" si="3"/>
        <v>7315492.13</v>
      </c>
      <c r="F16" s="2" t="str">
        <f t="shared" si="1"/>
        <v>SOL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IFERROR(__xludf.DUMMYFUNCTION("""COMPUTED_VALUE"""),58.748797)</f>
        <v>58.748797</v>
      </c>
      <c r="C17" s="3">
        <f>IFERROR(__xludf.DUMMYFUNCTION("""COMPUTED_VALUE"""),3.37138695885813E8)</f>
        <v>337138695.9</v>
      </c>
      <c r="D17" s="3">
        <f t="shared" si="2"/>
        <v>-322838.3131</v>
      </c>
      <c r="E17" s="3">
        <f t="shared" si="3"/>
        <v>-18966362.52</v>
      </c>
      <c r="F17" s="2" t="str">
        <f t="shared" si="1"/>
        <v>SOL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IFERROR(__xludf.DUMMYFUNCTION("""COMPUTED_VALUE"""),53.755147)</f>
        <v>53.755147</v>
      </c>
      <c r="C18" s="3">
        <f>IFERROR(__xludf.DUMMYFUNCTION("""COMPUTED_VALUE"""),3.373560188054E8)</f>
        <v>337356018.8</v>
      </c>
      <c r="D18" s="3">
        <f t="shared" si="2"/>
        <v>217322.9196</v>
      </c>
      <c r="E18" s="3">
        <f t="shared" si="3"/>
        <v>11682225.49</v>
      </c>
      <c r="F18" s="2" t="str">
        <f t="shared" si="1"/>
        <v>SOL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IFERROR(__xludf.DUMMYFUNCTION("""COMPUTED_VALUE"""),56.951284)</f>
        <v>56.951284</v>
      </c>
      <c r="C19" s="3">
        <f>IFERROR(__xludf.DUMMYFUNCTION("""COMPUTED_VALUE"""),3.37355559704819E8)</f>
        <v>337355559.7</v>
      </c>
      <c r="D19" s="3">
        <f t="shared" si="2"/>
        <v>-459.100581</v>
      </c>
      <c r="E19" s="3">
        <f t="shared" si="3"/>
        <v>-26146.36757</v>
      </c>
      <c r="F19" s="2" t="str">
        <f t="shared" si="1"/>
        <v>SOL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IFERROR(__xludf.DUMMYFUNCTION("""COMPUTED_VALUE"""),49.873637)</f>
        <v>49.873637</v>
      </c>
      <c r="C20" s="3">
        <f>IFERROR(__xludf.DUMMYFUNCTION("""COMPUTED_VALUE"""),3.39137479377852E8)</f>
        <v>339137479.4</v>
      </c>
      <c r="D20" s="3">
        <f t="shared" si="2"/>
        <v>1781919.673</v>
      </c>
      <c r="E20" s="3">
        <f t="shared" si="3"/>
        <v>88870814.94</v>
      </c>
      <c r="F20" s="2" t="str">
        <f t="shared" si="1"/>
        <v>SOL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IFERROR(__xludf.DUMMYFUNCTION("""COMPUTED_VALUE"""),52.125185)</f>
        <v>52.125185</v>
      </c>
      <c r="C21" s="3">
        <f>IFERROR(__xludf.DUMMYFUNCTION("""COMPUTED_VALUE"""),3.39137093231842E8)</f>
        <v>339137093.2</v>
      </c>
      <c r="D21" s="3">
        <f t="shared" si="2"/>
        <v>-386.14601</v>
      </c>
      <c r="E21" s="3">
        <f t="shared" si="3"/>
        <v>-20127.93221</v>
      </c>
      <c r="F21" s="2" t="str">
        <f t="shared" si="1"/>
        <v>SOL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IFERROR(__xludf.DUMMYFUNCTION("""COMPUTED_VALUE"""),49.368749)</f>
        <v>49.368749</v>
      </c>
      <c r="C22" s="3">
        <f>IFERROR(__xludf.DUMMYFUNCTION("""COMPUTED_VALUE"""),3.39136570131434E8)</f>
        <v>339136570.1</v>
      </c>
      <c r="D22" s="3">
        <f t="shared" si="2"/>
        <v>-523.100408</v>
      </c>
      <c r="E22" s="3">
        <f t="shared" si="3"/>
        <v>-25824.81274</v>
      </c>
      <c r="F22" s="2" t="str">
        <f t="shared" si="1"/>
        <v>SOL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IFERROR(__xludf.DUMMYFUNCTION("""COMPUTED_VALUE"""),50.241556)</f>
        <v>50.241556</v>
      </c>
      <c r="C23" s="3">
        <f>IFERROR(__xludf.DUMMYFUNCTION("""COMPUTED_VALUE"""),3.39268583956003E8)</f>
        <v>339268584</v>
      </c>
      <c r="D23" s="3">
        <f t="shared" si="2"/>
        <v>132013.8246</v>
      </c>
      <c r="E23" s="3">
        <f t="shared" si="3"/>
        <v>6632579.96</v>
      </c>
      <c r="F23" s="2" t="str">
        <f t="shared" si="1"/>
        <v>SOL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IFERROR(__xludf.DUMMYFUNCTION("""COMPUTED_VALUE"""),52.407203)</f>
        <v>52.407203</v>
      </c>
      <c r="C24" s="3">
        <f>IFERROR(__xludf.DUMMYFUNCTION("""COMPUTED_VALUE"""),3.3926810843665E8)</f>
        <v>339268108.4</v>
      </c>
      <c r="D24" s="3">
        <f t="shared" si="2"/>
        <v>-475.519353</v>
      </c>
      <c r="E24" s="3">
        <f t="shared" si="3"/>
        <v>-24920.63926</v>
      </c>
      <c r="F24" s="2" t="str">
        <f t="shared" si="1"/>
        <v>SOL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IFERROR(__xludf.DUMMYFUNCTION("""COMPUTED_VALUE"""),49.101744)</f>
        <v>49.101744</v>
      </c>
      <c r="C25" s="3">
        <f>IFERROR(__xludf.DUMMYFUNCTION("""COMPUTED_VALUE"""),3.39268323124079E8)</f>
        <v>339268323.1</v>
      </c>
      <c r="D25" s="3">
        <f t="shared" si="2"/>
        <v>214.687429</v>
      </c>
      <c r="E25" s="3">
        <f t="shared" si="3"/>
        <v>10541.52718</v>
      </c>
      <c r="F25" s="2" t="str">
        <f t="shared" si="1"/>
        <v>SOL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IFERROR(__xludf.DUMMYFUNCTION("""COMPUTED_VALUE"""),49.609853)</f>
        <v>49.609853</v>
      </c>
      <c r="C26" s="3">
        <f>IFERROR(__xludf.DUMMYFUNCTION("""COMPUTED_VALUE"""),3.39267951926586E8)</f>
        <v>339267951.9</v>
      </c>
      <c r="D26" s="3">
        <f t="shared" si="2"/>
        <v>-371.197493</v>
      </c>
      <c r="E26" s="3">
        <f t="shared" si="3"/>
        <v>-18415.05306</v>
      </c>
      <c r="F26" s="2" t="str">
        <f t="shared" si="1"/>
        <v>SOL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IFERROR(__xludf.DUMMYFUNCTION("""COMPUTED_VALUE"""),47.912399)</f>
        <v>47.912399</v>
      </c>
      <c r="C27" s="3">
        <f>IFERROR(__xludf.DUMMYFUNCTION("""COMPUTED_VALUE"""),3.39399154402711E8)</f>
        <v>339399154.4</v>
      </c>
      <c r="D27" s="3">
        <f t="shared" si="2"/>
        <v>131202.4761</v>
      </c>
      <c r="E27" s="3">
        <f t="shared" si="3"/>
        <v>6286225.386</v>
      </c>
      <c r="F27" s="2" t="str">
        <f t="shared" si="1"/>
        <v>SOL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IFERROR(__xludf.DUMMYFUNCTION("""COMPUTED_VALUE"""),43.394001)</f>
        <v>43.394001</v>
      </c>
      <c r="C28" s="3">
        <f>IFERROR(__xludf.DUMMYFUNCTION("""COMPUTED_VALUE"""),3.39398777635019E8)</f>
        <v>339398777.6</v>
      </c>
      <c r="D28" s="3">
        <f t="shared" si="2"/>
        <v>-376.767692</v>
      </c>
      <c r="E28" s="3">
        <f t="shared" si="3"/>
        <v>-16349.4576</v>
      </c>
      <c r="F28" s="2" t="str">
        <f t="shared" si="1"/>
        <v>SOL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IFERROR(__xludf.DUMMYFUNCTION("""COMPUTED_VALUE"""),41.136324)</f>
        <v>41.136324</v>
      </c>
      <c r="C29" s="3">
        <f>IFERROR(__xludf.DUMMYFUNCTION("""COMPUTED_VALUE"""),3.39398371088557E8)</f>
        <v>339398371.1</v>
      </c>
      <c r="D29" s="3">
        <f t="shared" si="2"/>
        <v>-406.546462</v>
      </c>
      <c r="E29" s="3">
        <f t="shared" si="3"/>
        <v>-16723.82698</v>
      </c>
      <c r="F29" s="2" t="str">
        <f t="shared" si="1"/>
        <v>SOL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IFERROR(__xludf.DUMMYFUNCTION("""COMPUTED_VALUE"""),44.210894)</f>
        <v>44.210894</v>
      </c>
      <c r="C30" s="3">
        <f>IFERROR(__xludf.DUMMYFUNCTION("""COMPUTED_VALUE"""),3.39530156782251E8)</f>
        <v>339530156.8</v>
      </c>
      <c r="D30" s="3">
        <f t="shared" si="2"/>
        <v>131785.6937</v>
      </c>
      <c r="E30" s="3">
        <f t="shared" si="3"/>
        <v>5826363.335</v>
      </c>
      <c r="F30" s="2" t="str">
        <f t="shared" si="1"/>
        <v>SOL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IFERROR(__xludf.DUMMYFUNCTION("""COMPUTED_VALUE"""),44.960477)</f>
        <v>44.960477</v>
      </c>
      <c r="C31" s="3">
        <f>IFERROR(__xludf.DUMMYFUNCTION("""COMPUTED_VALUE"""),3.39529760749404E8)</f>
        <v>339529760.7</v>
      </c>
      <c r="D31" s="3">
        <f t="shared" si="2"/>
        <v>-396.032847</v>
      </c>
      <c r="E31" s="3">
        <f t="shared" si="3"/>
        <v>-17805.82571</v>
      </c>
      <c r="F31" s="2" t="str">
        <f t="shared" si="1"/>
        <v>SOL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IFERROR(__xludf.DUMMYFUNCTION("""COMPUTED_VALUE"""),47.177405)</f>
        <v>47.177405</v>
      </c>
      <c r="C32" s="3">
        <f>IFERROR(__xludf.DUMMYFUNCTION("""COMPUTED_VALUE"""),3.39529350680469E8)</f>
        <v>339529350.7</v>
      </c>
      <c r="D32" s="3">
        <f t="shared" si="2"/>
        <v>-410.068935</v>
      </c>
      <c r="E32" s="3">
        <f t="shared" si="3"/>
        <v>-19345.98823</v>
      </c>
      <c r="F32" s="2" t="str">
        <f t="shared" si="1"/>
        <v>SOL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IFERROR(__xludf.DUMMYFUNCTION("""COMPUTED_VALUE"""),45.746213)</f>
        <v>45.746213</v>
      </c>
      <c r="C33" s="3">
        <f>IFERROR(__xludf.DUMMYFUNCTION("""COMPUTED_VALUE"""),3.39963394207574E8)</f>
        <v>339963394.2</v>
      </c>
      <c r="D33" s="3">
        <f t="shared" si="2"/>
        <v>434043.5271</v>
      </c>
      <c r="E33" s="3">
        <f t="shared" si="3"/>
        <v>19855847.64</v>
      </c>
      <c r="F33" s="2" t="str">
        <f t="shared" si="1"/>
        <v>SOL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IFERROR(__xludf.DUMMYFUNCTION("""COMPUTED_VALUE"""),40.161184)</f>
        <v>40.161184</v>
      </c>
      <c r="C34" s="3">
        <f>IFERROR(__xludf.DUMMYFUNCTION("""COMPUTED_VALUE"""),3.3980775788494E8)</f>
        <v>339807757.9</v>
      </c>
      <c r="D34" s="3">
        <f t="shared" si="2"/>
        <v>-155636.3226</v>
      </c>
      <c r="E34" s="3">
        <f t="shared" si="3"/>
        <v>-6250538.99</v>
      </c>
      <c r="F34" s="2" t="str">
        <f t="shared" si="1"/>
        <v>SOL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IFERROR(__xludf.DUMMYFUNCTION("""COMPUTED_VALUE"""),40.827216)</f>
        <v>40.827216</v>
      </c>
      <c r="C35" s="3">
        <f>IFERROR(__xludf.DUMMYFUNCTION("""COMPUTED_VALUE"""),3.39807258701408E8)</f>
        <v>339807258.7</v>
      </c>
      <c r="D35" s="3">
        <f t="shared" si="2"/>
        <v>-499.183532</v>
      </c>
      <c r="E35" s="3">
        <f t="shared" si="3"/>
        <v>-20380.27388</v>
      </c>
      <c r="F35" s="2" t="str">
        <f t="shared" si="1"/>
        <v>SOL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IFERROR(__xludf.DUMMYFUNCTION("""COMPUTED_VALUE"""),38.247967)</f>
        <v>38.247967</v>
      </c>
      <c r="C36" s="3">
        <f>IFERROR(__xludf.DUMMYFUNCTION("""COMPUTED_VALUE"""),3.3980670700542E8)</f>
        <v>339806707</v>
      </c>
      <c r="D36" s="3">
        <f t="shared" si="2"/>
        <v>-551.695988</v>
      </c>
      <c r="E36" s="3">
        <f t="shared" si="3"/>
        <v>-21101.24994</v>
      </c>
      <c r="F36" s="2" t="str">
        <f t="shared" si="1"/>
        <v>SOL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IFERROR(__xludf.DUMMYFUNCTION("""COMPUTED_VALUE"""),38.991597)</f>
        <v>38.991597</v>
      </c>
      <c r="C37" s="3">
        <f>IFERROR(__xludf.DUMMYFUNCTION("""COMPUTED_VALUE"""),3.39806201253943E8)</f>
        <v>339806201.3</v>
      </c>
      <c r="D37" s="3">
        <f t="shared" si="2"/>
        <v>-505.751477</v>
      </c>
      <c r="E37" s="3">
        <f t="shared" si="3"/>
        <v>-19720.05777</v>
      </c>
      <c r="F37" s="2" t="str">
        <f t="shared" si="1"/>
        <v>SOL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IFERROR(__xludf.DUMMYFUNCTION("""COMPUTED_VALUE"""),38.488084)</f>
        <v>38.488084</v>
      </c>
      <c r="C38" s="3">
        <f>IFERROR(__xludf.DUMMYFUNCTION("""COMPUTED_VALUE"""),3.39938054491184E8)</f>
        <v>339938054.5</v>
      </c>
      <c r="D38" s="3">
        <f t="shared" si="2"/>
        <v>131853.2372</v>
      </c>
      <c r="E38" s="3">
        <f t="shared" si="3"/>
        <v>5074778.471</v>
      </c>
      <c r="F38" s="2" t="str">
        <f t="shared" si="1"/>
        <v>SOL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IFERROR(__xludf.DUMMYFUNCTION("""COMPUTED_VALUE"""),42.349219)</f>
        <v>42.349219</v>
      </c>
      <c r="C39" s="3">
        <f>IFERROR(__xludf.DUMMYFUNCTION("""COMPUTED_VALUE"""),3.40434725482878E8)</f>
        <v>340434725.5</v>
      </c>
      <c r="D39" s="3">
        <f t="shared" si="2"/>
        <v>496670.9917</v>
      </c>
      <c r="E39" s="3">
        <f t="shared" si="3"/>
        <v>21033628.6</v>
      </c>
      <c r="F39" s="2" t="str">
        <f t="shared" si="1"/>
        <v>SOL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IFERROR(__xludf.DUMMYFUNCTION("""COMPUTED_VALUE"""),39.288669)</f>
        <v>39.288669</v>
      </c>
      <c r="C40" s="3">
        <f>IFERROR(__xludf.DUMMYFUNCTION("""COMPUTED_VALUE"""),3.41750968969976E8)</f>
        <v>341750969</v>
      </c>
      <c r="D40" s="3">
        <f t="shared" si="2"/>
        <v>1316243.487</v>
      </c>
      <c r="E40" s="3">
        <f t="shared" si="3"/>
        <v>51713454.69</v>
      </c>
      <c r="F40" s="2" t="str">
        <f t="shared" si="1"/>
        <v>SOL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IFERROR(__xludf.DUMMYFUNCTION("""COMPUTED_VALUE"""),38.808699)</f>
        <v>38.808699</v>
      </c>
      <c r="C41" s="3">
        <f>IFERROR(__xludf.DUMMYFUNCTION("""COMPUTED_VALUE"""),3.41882953460418E8)</f>
        <v>341882953.5</v>
      </c>
      <c r="D41" s="3">
        <f t="shared" si="2"/>
        <v>131984.4904</v>
      </c>
      <c r="E41" s="3">
        <f t="shared" si="3"/>
        <v>5122146.362</v>
      </c>
      <c r="F41" s="2" t="str">
        <f t="shared" si="1"/>
        <v>SOL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IFERROR(__xludf.DUMMYFUNCTION("""COMPUTED_VALUE"""),39.903383)</f>
        <v>39.903383</v>
      </c>
      <c r="C42" s="3">
        <f>IFERROR(__xludf.DUMMYFUNCTION("""COMPUTED_VALUE"""),3.4191128192215E8)</f>
        <v>341911281.9</v>
      </c>
      <c r="D42" s="3">
        <f t="shared" si="2"/>
        <v>28328.46173</v>
      </c>
      <c r="E42" s="3">
        <f t="shared" si="3"/>
        <v>1130401.458</v>
      </c>
      <c r="F42" s="2" t="str">
        <f t="shared" si="1"/>
        <v>SOL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IFERROR(__xludf.DUMMYFUNCTION("""COMPUTED_VALUE"""),37.127259)</f>
        <v>37.127259</v>
      </c>
      <c r="C43" s="3">
        <f>IFERROR(__xludf.DUMMYFUNCTION("""COMPUTED_VALUE"""),3.4207723722138E8)</f>
        <v>342077237.2</v>
      </c>
      <c r="D43" s="3">
        <f t="shared" si="2"/>
        <v>165955.2992</v>
      </c>
      <c r="E43" s="3">
        <f t="shared" si="3"/>
        <v>6161465.377</v>
      </c>
      <c r="F43" s="2" t="str">
        <f t="shared" si="1"/>
        <v>SOL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IFERROR(__xludf.DUMMYFUNCTION("""COMPUTED_VALUE"""),33.900268)</f>
        <v>33.900268</v>
      </c>
      <c r="C44" s="3">
        <f>IFERROR(__xludf.DUMMYFUNCTION("""COMPUTED_VALUE"""),3.42076767718553E8)</f>
        <v>342076767.7</v>
      </c>
      <c r="D44" s="3">
        <f t="shared" si="2"/>
        <v>-469.502827</v>
      </c>
      <c r="E44" s="3">
        <f t="shared" si="3"/>
        <v>-15916.27166</v>
      </c>
      <c r="F44" s="2" t="str">
        <f t="shared" si="1"/>
        <v>SOL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IFERROR(__xludf.DUMMYFUNCTION("""COMPUTED_VALUE"""),30.569833)</f>
        <v>30.569833</v>
      </c>
      <c r="C45" s="3">
        <f>IFERROR(__xludf.DUMMYFUNCTION("""COMPUTED_VALUE"""),3.42208721782371E8)</f>
        <v>342208721.8</v>
      </c>
      <c r="D45" s="3">
        <f t="shared" si="2"/>
        <v>131954.0638</v>
      </c>
      <c r="E45" s="3">
        <f t="shared" si="3"/>
        <v>4033813.695</v>
      </c>
      <c r="F45" s="2" t="str">
        <f t="shared" si="1"/>
        <v>SOL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IFERROR(__xludf.DUMMYFUNCTION("""COMPUTED_VALUE"""),28.550636)</f>
        <v>28.550636</v>
      </c>
      <c r="C46" s="3">
        <f>IFERROR(__xludf.DUMMYFUNCTION("""COMPUTED_VALUE"""),3.42208348504297E8)</f>
        <v>342208348.5</v>
      </c>
      <c r="D46" s="3">
        <f t="shared" si="2"/>
        <v>-373.278074</v>
      </c>
      <c r="E46" s="3">
        <f t="shared" si="3"/>
        <v>-10657.32642</v>
      </c>
      <c r="F46" s="2" t="str">
        <f t="shared" si="1"/>
        <v>SOL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IFERROR(__xludf.DUMMYFUNCTION("""COMPUTED_VALUE"""),29.549751)</f>
        <v>29.549751</v>
      </c>
      <c r="C47" s="3">
        <f>IFERROR(__xludf.DUMMYFUNCTION("""COMPUTED_VALUE"""),3.42209600270983E8)</f>
        <v>342209600.3</v>
      </c>
      <c r="D47" s="3">
        <f t="shared" si="2"/>
        <v>1251.766686</v>
      </c>
      <c r="E47" s="3">
        <f t="shared" si="3"/>
        <v>36989.39388</v>
      </c>
      <c r="F47" s="2" t="str">
        <f t="shared" si="1"/>
        <v>SOL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IFERROR(__xludf.DUMMYFUNCTION("""COMPUTED_VALUE"""),34.703612)</f>
        <v>34.703612</v>
      </c>
      <c r="C48" s="3">
        <f>IFERROR(__xludf.DUMMYFUNCTION("""COMPUTED_VALUE"""),3.42348148485023E8)</f>
        <v>342348148.5</v>
      </c>
      <c r="D48" s="3">
        <f t="shared" si="2"/>
        <v>138548.214</v>
      </c>
      <c r="E48" s="3">
        <f t="shared" si="3"/>
        <v>4808123.463</v>
      </c>
      <c r="F48" s="2" t="str">
        <f t="shared" si="1"/>
        <v>SOL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IFERROR(__xludf.DUMMYFUNCTION("""COMPUTED_VALUE"""),30.096099)</f>
        <v>30.096099</v>
      </c>
      <c r="C49" s="3">
        <f>IFERROR(__xludf.DUMMYFUNCTION("""COMPUTED_VALUE"""),3.42370449065709E8)</f>
        <v>342370449.1</v>
      </c>
      <c r="D49" s="3">
        <f t="shared" si="2"/>
        <v>22300.58069</v>
      </c>
      <c r="E49" s="3">
        <f t="shared" si="3"/>
        <v>671160.4841</v>
      </c>
      <c r="F49" s="2" t="str">
        <f t="shared" si="1"/>
        <v>SOL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IFERROR(__xludf.DUMMYFUNCTION("""COMPUTED_VALUE"""),30.668175)</f>
        <v>30.668175</v>
      </c>
      <c r="C50" s="3">
        <f>IFERROR(__xludf.DUMMYFUNCTION("""COMPUTED_VALUE"""),3.4237934747499E8)</f>
        <v>342379347.5</v>
      </c>
      <c r="D50" s="3">
        <f t="shared" si="2"/>
        <v>8898.409281</v>
      </c>
      <c r="E50" s="3">
        <f t="shared" si="3"/>
        <v>272897.9731</v>
      </c>
      <c r="F50" s="2" t="str">
        <f t="shared" si="1"/>
        <v>SOL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IFERROR(__xludf.DUMMYFUNCTION("""COMPUTED_VALUE"""),31.975383)</f>
        <v>31.975383</v>
      </c>
      <c r="C51" s="3">
        <f>IFERROR(__xludf.DUMMYFUNCTION("""COMPUTED_VALUE"""),3.42378720203899E8)</f>
        <v>342378720.2</v>
      </c>
      <c r="D51" s="3">
        <f t="shared" si="2"/>
        <v>-627.271091</v>
      </c>
      <c r="E51" s="3">
        <f t="shared" si="3"/>
        <v>-20057.23338</v>
      </c>
      <c r="F51" s="2" t="str">
        <f t="shared" si="1"/>
        <v>SOL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IFERROR(__xludf.DUMMYFUNCTION("""COMPUTED_VALUE"""),34.139004)</f>
        <v>34.139004</v>
      </c>
      <c r="C52" s="3">
        <f>IFERROR(__xludf.DUMMYFUNCTION("""COMPUTED_VALUE"""),3.42509409476232E8)</f>
        <v>342509409.5</v>
      </c>
      <c r="D52" s="3">
        <f t="shared" si="2"/>
        <v>130689.2723</v>
      </c>
      <c r="E52" s="3">
        <f t="shared" si="3"/>
        <v>4461601.591</v>
      </c>
      <c r="F52" s="2" t="str">
        <f t="shared" si="1"/>
        <v>SOL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IFERROR(__xludf.DUMMYFUNCTION("""COMPUTED_VALUE"""),35.210349)</f>
        <v>35.210349</v>
      </c>
      <c r="C53" s="3">
        <f>IFERROR(__xludf.DUMMYFUNCTION("""COMPUTED_VALUE"""),3.42508757490055E8)</f>
        <v>342508757.5</v>
      </c>
      <c r="D53" s="3">
        <f t="shared" si="2"/>
        <v>-651.986177</v>
      </c>
      <c r="E53" s="3">
        <f t="shared" si="3"/>
        <v>-22956.66083</v>
      </c>
      <c r="F53" s="2" t="str">
        <f t="shared" si="1"/>
        <v>SOL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IFERROR(__xludf.DUMMYFUNCTION("""COMPUTED_VALUE"""),36.376838)</f>
        <v>36.376838</v>
      </c>
      <c r="C54" s="3">
        <f>IFERROR(__xludf.DUMMYFUNCTION("""COMPUTED_VALUE"""),3.42508116685695E8)</f>
        <v>342508116.7</v>
      </c>
      <c r="D54" s="3">
        <f t="shared" si="2"/>
        <v>-640.80436</v>
      </c>
      <c r="E54" s="3">
        <f t="shared" si="3"/>
        <v>-23310.43639</v>
      </c>
      <c r="F54" s="2" t="str">
        <f t="shared" si="1"/>
        <v>SOL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IFERROR(__xludf.DUMMYFUNCTION("""COMPUTED_VALUE"""),34.093257)</f>
        <v>34.093257</v>
      </c>
      <c r="C55" s="3">
        <f>IFERROR(__xludf.DUMMYFUNCTION("""COMPUTED_VALUE"""),3.4263891593035E8)</f>
        <v>342638915.9</v>
      </c>
      <c r="D55" s="3">
        <f t="shared" si="2"/>
        <v>130799.2447</v>
      </c>
      <c r="E55" s="3">
        <f t="shared" si="3"/>
        <v>4459372.263</v>
      </c>
      <c r="F55" s="2" t="str">
        <f t="shared" si="1"/>
        <v>SOL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IFERROR(__xludf.DUMMYFUNCTION("""COMPUTED_VALUE"""),38.122496)</f>
        <v>38.122496</v>
      </c>
      <c r="C56" s="3">
        <f>IFERROR(__xludf.DUMMYFUNCTION("""COMPUTED_VALUE"""),3.42638355051789E8)</f>
        <v>342638355.1</v>
      </c>
      <c r="D56" s="3">
        <f t="shared" si="2"/>
        <v>-560.878561</v>
      </c>
      <c r="E56" s="3">
        <f t="shared" si="3"/>
        <v>-21382.0907</v>
      </c>
      <c r="F56" s="2" t="str">
        <f t="shared" si="1"/>
        <v>SOL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IFERROR(__xludf.DUMMYFUNCTION("""COMPUTED_VALUE"""),41.804762)</f>
        <v>41.804762</v>
      </c>
      <c r="C57" s="3">
        <f>IFERROR(__xludf.DUMMYFUNCTION("""COMPUTED_VALUE"""),3.42637778724315E8)</f>
        <v>342637778.7</v>
      </c>
      <c r="D57" s="3">
        <f t="shared" si="2"/>
        <v>-576.327474</v>
      </c>
      <c r="E57" s="3">
        <f t="shared" si="3"/>
        <v>-24093.23288</v>
      </c>
      <c r="F57" s="2" t="str">
        <f t="shared" si="1"/>
        <v>SOL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IFERROR(__xludf.DUMMYFUNCTION("""COMPUTED_VALUE"""),42.206675)</f>
        <v>42.206675</v>
      </c>
      <c r="C58" s="3">
        <f>IFERROR(__xludf.DUMMYFUNCTION("""COMPUTED_VALUE"""),3.42768759370501E8)</f>
        <v>342768759.4</v>
      </c>
      <c r="D58" s="3">
        <f t="shared" si="2"/>
        <v>130980.6462</v>
      </c>
      <c r="E58" s="3">
        <f t="shared" si="3"/>
        <v>5528257.565</v>
      </c>
      <c r="F58" s="2" t="str">
        <f t="shared" si="1"/>
        <v>SOL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IFERROR(__xludf.DUMMYFUNCTION("""COMPUTED_VALUE"""),39.359371)</f>
        <v>39.359371</v>
      </c>
      <c r="C59" s="3">
        <f>IFERROR(__xludf.DUMMYFUNCTION("""COMPUTED_VALUE"""),3.42769519675171E8)</f>
        <v>342769519.7</v>
      </c>
      <c r="D59" s="3">
        <f t="shared" si="2"/>
        <v>760.30467</v>
      </c>
      <c r="E59" s="3">
        <f t="shared" si="3"/>
        <v>29925.11358</v>
      </c>
      <c r="F59" s="2" t="str">
        <f t="shared" si="1"/>
        <v>SOL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IFERROR(__xludf.DUMMYFUNCTION("""COMPUTED_VALUE"""),38.466239)</f>
        <v>38.466239</v>
      </c>
      <c r="C60" s="3">
        <f>IFERROR(__xludf.DUMMYFUNCTION("""COMPUTED_VALUE"""),3.4276880275189E8)</f>
        <v>342768802.8</v>
      </c>
      <c r="D60" s="3">
        <f t="shared" si="2"/>
        <v>-716.923281</v>
      </c>
      <c r="E60" s="3">
        <f t="shared" si="3"/>
        <v>-27577.34227</v>
      </c>
      <c r="F60" s="2" t="str">
        <f t="shared" si="1"/>
        <v>SOL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IFERROR(__xludf.DUMMYFUNCTION("""COMPUTED_VALUE"""),35.282115)</f>
        <v>35.282115</v>
      </c>
      <c r="C61" s="3">
        <f>IFERROR(__xludf.DUMMYFUNCTION("""COMPUTED_VALUE"""),3.42899819433495E8)</f>
        <v>342899819.4</v>
      </c>
      <c r="D61" s="3">
        <f t="shared" si="2"/>
        <v>131016.6816</v>
      </c>
      <c r="E61" s="3">
        <f t="shared" si="3"/>
        <v>4622545.627</v>
      </c>
      <c r="F61" s="2" t="str">
        <f t="shared" si="1"/>
        <v>SOL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IFERROR(__xludf.DUMMYFUNCTION("""COMPUTED_VALUE"""),34.013169)</f>
        <v>34.013169</v>
      </c>
      <c r="C62" s="3">
        <f>IFERROR(__xludf.DUMMYFUNCTION("""COMPUTED_VALUE"""),3.42899201132956E8)</f>
        <v>342899201.1</v>
      </c>
      <c r="D62" s="3">
        <f t="shared" si="2"/>
        <v>-618.300539</v>
      </c>
      <c r="E62" s="3">
        <f t="shared" si="3"/>
        <v>-21030.36072</v>
      </c>
      <c r="F62" s="2" t="str">
        <f t="shared" si="1"/>
        <v>SOL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IFERROR(__xludf.DUMMYFUNCTION("""COMPUTED_VALUE"""),33.715618)</f>
        <v>33.715618</v>
      </c>
      <c r="C63" s="3">
        <f>IFERROR(__xludf.DUMMYFUNCTION("""COMPUTED_VALUE"""),3.43284542263902E8)</f>
        <v>343284542.3</v>
      </c>
      <c r="D63" s="3">
        <f t="shared" si="2"/>
        <v>385341.1309</v>
      </c>
      <c r="E63" s="3">
        <f t="shared" si="3"/>
        <v>12992014.37</v>
      </c>
      <c r="F63" s="2" t="str">
        <f t="shared" si="1"/>
        <v>SOL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IFERROR(__xludf.DUMMYFUNCTION("""COMPUTED_VALUE"""),32.807389)</f>
        <v>32.807389</v>
      </c>
      <c r="C64" s="3">
        <f>IFERROR(__xludf.DUMMYFUNCTION("""COMPUTED_VALUE"""),3.43416820191807E8)</f>
        <v>343416820.2</v>
      </c>
      <c r="D64" s="3">
        <f t="shared" si="2"/>
        <v>132277.9279</v>
      </c>
      <c r="E64" s="3">
        <f t="shared" si="3"/>
        <v>4339693.437</v>
      </c>
      <c r="F64" s="2" t="str">
        <f t="shared" si="1"/>
        <v>SOL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IFERROR(__xludf.DUMMYFUNCTION("""COMPUTED_VALUE"""),33.329921)</f>
        <v>33.329921</v>
      </c>
      <c r="C65" s="3">
        <f>IFERROR(__xludf.DUMMYFUNCTION("""COMPUTED_VALUE"""),3.43416607102484E8)</f>
        <v>343416607.1</v>
      </c>
      <c r="D65" s="3">
        <f t="shared" si="2"/>
        <v>-213.089323</v>
      </c>
      <c r="E65" s="3">
        <f t="shared" si="3"/>
        <v>-7102.250301</v>
      </c>
      <c r="F65" s="2" t="str">
        <f t="shared" si="1"/>
        <v>SOL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IFERROR(__xludf.DUMMYFUNCTION("""COMPUTED_VALUE"""),33.349764)</f>
        <v>33.349764</v>
      </c>
      <c r="C66" s="3">
        <f>IFERROR(__xludf.DUMMYFUNCTION("""COMPUTED_VALUE"""),3.43433379506559E8)</f>
        <v>343433379.5</v>
      </c>
      <c r="D66" s="3">
        <f t="shared" si="2"/>
        <v>16772.40408</v>
      </c>
      <c r="E66" s="3">
        <f t="shared" si="3"/>
        <v>559355.7176</v>
      </c>
      <c r="F66" s="2" t="str">
        <f t="shared" si="1"/>
        <v>SOL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IFERROR(__xludf.DUMMYFUNCTION("""COMPUTED_VALUE"""),36.676903)</f>
        <v>36.676903</v>
      </c>
      <c r="C67" s="3">
        <f>IFERROR(__xludf.DUMMYFUNCTION("""COMPUTED_VALUE"""),3.43144895879142E8)</f>
        <v>343144895.9</v>
      </c>
      <c r="D67" s="3">
        <f t="shared" si="2"/>
        <v>-288483.6274</v>
      </c>
      <c r="E67" s="3">
        <f t="shared" si="3"/>
        <v>-10580686.02</v>
      </c>
      <c r="F67" s="2" t="str">
        <f t="shared" si="1"/>
        <v>SOL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IFERROR(__xludf.DUMMYFUNCTION("""COMPUTED_VALUE"""),35.364436)</f>
        <v>35.364436</v>
      </c>
      <c r="C68" s="3">
        <f>IFERROR(__xludf.DUMMYFUNCTION("""COMPUTED_VALUE"""),3.43277336806308E8)</f>
        <v>343277336.8</v>
      </c>
      <c r="D68" s="3">
        <f t="shared" si="2"/>
        <v>132440.9272</v>
      </c>
      <c r="E68" s="3">
        <f t="shared" si="3"/>
        <v>4683698.693</v>
      </c>
      <c r="F68" s="2" t="str">
        <f t="shared" si="1"/>
        <v>SOL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IFERROR(__xludf.DUMMYFUNCTION("""COMPUTED_VALUE"""),37.012435)</f>
        <v>37.012435</v>
      </c>
      <c r="C69" s="3">
        <f>IFERROR(__xludf.DUMMYFUNCTION("""COMPUTED_VALUE"""),3.43806356909818E8)</f>
        <v>343806356.9</v>
      </c>
      <c r="D69" s="3">
        <f t="shared" si="2"/>
        <v>529020.1035</v>
      </c>
      <c r="E69" s="3">
        <f t="shared" si="3"/>
        <v>19580322.19</v>
      </c>
      <c r="F69" s="2" t="str">
        <f t="shared" si="1"/>
        <v>SOL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IFERROR(__xludf.DUMMYFUNCTION("""COMPUTED_VALUE"""),38.446775)</f>
        <v>38.446775</v>
      </c>
      <c r="C70" s="3">
        <f>IFERROR(__xludf.DUMMYFUNCTION("""COMPUTED_VALUE"""),3.45108092064429E8)</f>
        <v>345108092.1</v>
      </c>
      <c r="D70" s="3">
        <f t="shared" si="2"/>
        <v>1301735.155</v>
      </c>
      <c r="E70" s="3">
        <f t="shared" si="3"/>
        <v>50047518.6</v>
      </c>
      <c r="F70" s="2" t="str">
        <f t="shared" si="1"/>
        <v>SOL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IFERROR(__xludf.DUMMYFUNCTION("""COMPUTED_VALUE"""),38.102132)</f>
        <v>38.102132</v>
      </c>
      <c r="C71" s="3">
        <f>IFERROR(__xludf.DUMMYFUNCTION("""COMPUTED_VALUE"""),3.45241087126498E8)</f>
        <v>345241087.1</v>
      </c>
      <c r="D71" s="3">
        <f t="shared" si="2"/>
        <v>132995.0621</v>
      </c>
      <c r="E71" s="3">
        <f t="shared" si="3"/>
        <v>5067395.41</v>
      </c>
      <c r="F71" s="2" t="str">
        <f t="shared" si="1"/>
        <v>SOL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IFERROR(__xludf.DUMMYFUNCTION("""COMPUTED_VALUE"""),38.038791)</f>
        <v>38.038791</v>
      </c>
      <c r="C72" s="3">
        <f>IFERROR(__xludf.DUMMYFUNCTION("""COMPUTED_VALUE"""),3.45276356882607E8)</f>
        <v>345276356.9</v>
      </c>
      <c r="D72" s="3">
        <f t="shared" si="2"/>
        <v>35269.75611</v>
      </c>
      <c r="E72" s="3">
        <f t="shared" si="3"/>
        <v>1341618.881</v>
      </c>
      <c r="F72" s="2" t="str">
        <f t="shared" si="1"/>
        <v>SOL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IFERROR(__xludf.DUMMYFUNCTION("""COMPUTED_VALUE"""),36.684292)</f>
        <v>36.684292</v>
      </c>
      <c r="C73" s="3">
        <f>IFERROR(__xludf.DUMMYFUNCTION("""COMPUTED_VALUE"""),3.45442027724405E8)</f>
        <v>345442027.7</v>
      </c>
      <c r="D73" s="3">
        <f t="shared" si="2"/>
        <v>165670.8418</v>
      </c>
      <c r="E73" s="3">
        <f t="shared" si="3"/>
        <v>6077517.536</v>
      </c>
      <c r="F73" s="2" t="str">
        <f t="shared" si="1"/>
        <v>SOL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IFERROR(__xludf.DUMMYFUNCTION("""COMPUTED_VALUE"""),33.389058)</f>
        <v>33.389058</v>
      </c>
      <c r="C74" s="3">
        <f>IFERROR(__xludf.DUMMYFUNCTION("""COMPUTED_VALUE"""),3.45574842828218E8)</f>
        <v>345574842.8</v>
      </c>
      <c r="D74" s="3">
        <f t="shared" si="2"/>
        <v>132815.1038</v>
      </c>
      <c r="E74" s="3">
        <f t="shared" si="3"/>
        <v>4434571.204</v>
      </c>
      <c r="F74" s="2" t="str">
        <f t="shared" si="1"/>
        <v>SOL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IFERROR(__xludf.DUMMYFUNCTION("""COMPUTED_VALUE"""),32.653743)</f>
        <v>32.653743</v>
      </c>
      <c r="C75" s="3">
        <f>IFERROR(__xludf.DUMMYFUNCTION("""COMPUTED_VALUE"""),3.45574943574904E8)</f>
        <v>345574943.6</v>
      </c>
      <c r="D75" s="3">
        <f t="shared" si="2"/>
        <v>100.746686</v>
      </c>
      <c r="E75" s="3">
        <f t="shared" si="3"/>
        <v>3289.756394</v>
      </c>
      <c r="F75" s="2" t="str">
        <f t="shared" si="1"/>
        <v>SOL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IFERROR(__xludf.DUMMYFUNCTION("""COMPUTED_VALUE"""),34.91369)</f>
        <v>34.91369</v>
      </c>
      <c r="C76" s="3">
        <f>IFERROR(__xludf.DUMMYFUNCTION("""COMPUTED_VALUE"""),3.45575754381636E8)</f>
        <v>345575754.4</v>
      </c>
      <c r="D76" s="3">
        <f t="shared" si="2"/>
        <v>810.806732</v>
      </c>
      <c r="E76" s="3">
        <f t="shared" si="3"/>
        <v>28308.25489</v>
      </c>
      <c r="F76" s="2" t="str">
        <f t="shared" si="1"/>
        <v>SOL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IFERROR(__xludf.DUMMYFUNCTION("""COMPUTED_VALUE"""),37.111432)</f>
        <v>37.111432</v>
      </c>
      <c r="C77" s="3">
        <f>IFERROR(__xludf.DUMMYFUNCTION("""COMPUTED_VALUE"""),3.45708129301327E8)</f>
        <v>345708129.3</v>
      </c>
      <c r="D77" s="3">
        <f t="shared" si="2"/>
        <v>132374.9197</v>
      </c>
      <c r="E77" s="3">
        <f t="shared" si="3"/>
        <v>4912622.831</v>
      </c>
      <c r="F77" s="2" t="str">
        <f t="shared" si="1"/>
        <v>SOL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IFERROR(__xludf.DUMMYFUNCTION("""COMPUTED_VALUE"""),37.356993)</f>
        <v>37.356993</v>
      </c>
      <c r="C78" s="3">
        <f>IFERROR(__xludf.DUMMYFUNCTION("""COMPUTED_VALUE"""),3.4547034353283E8)</f>
        <v>345470343.5</v>
      </c>
      <c r="D78" s="3">
        <f t="shared" si="2"/>
        <v>-237785.7685</v>
      </c>
      <c r="E78" s="3">
        <f t="shared" si="3"/>
        <v>-8882961.289</v>
      </c>
      <c r="F78" s="2" t="str">
        <f t="shared" si="1"/>
        <v>SOL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IFERROR(__xludf.DUMMYFUNCTION("""COMPUTED_VALUE"""),39.578377)</f>
        <v>39.578377</v>
      </c>
      <c r="C79" s="3">
        <f>IFERROR(__xludf.DUMMYFUNCTION("""COMPUTED_VALUE"""),3.45476158521718E8)</f>
        <v>345476158.5</v>
      </c>
      <c r="D79" s="3">
        <f t="shared" si="2"/>
        <v>5814.988888</v>
      </c>
      <c r="E79" s="3">
        <f t="shared" si="3"/>
        <v>230147.8225</v>
      </c>
      <c r="F79" s="2" t="str">
        <f t="shared" si="1"/>
        <v>SOL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IFERROR(__xludf.DUMMYFUNCTION("""COMPUTED_VALUE"""),38.600358)</f>
        <v>38.600358</v>
      </c>
      <c r="C80" s="3">
        <f>IFERROR(__xludf.DUMMYFUNCTION("""COMPUTED_VALUE"""),3.45608799735194E8)</f>
        <v>345608799.7</v>
      </c>
      <c r="D80" s="3">
        <f t="shared" si="2"/>
        <v>132641.2135</v>
      </c>
      <c r="E80" s="3">
        <f t="shared" si="3"/>
        <v>5119998.326</v>
      </c>
      <c r="F80" s="2" t="str">
        <f t="shared" si="1"/>
        <v>SOL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IFERROR(__xludf.DUMMYFUNCTION("""COMPUTED_VALUE"""),43.531277)</f>
        <v>43.531277</v>
      </c>
      <c r="C81" s="3">
        <f>IFERROR(__xludf.DUMMYFUNCTION("""COMPUTED_VALUE"""),3.45608139292671E8)</f>
        <v>345608139.3</v>
      </c>
      <c r="D81" s="3">
        <f t="shared" si="2"/>
        <v>-660.442523</v>
      </c>
      <c r="E81" s="3">
        <f t="shared" si="3"/>
        <v>-28749.90641</v>
      </c>
      <c r="F81" s="2" t="str">
        <f t="shared" si="1"/>
        <v>SOL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IFERROR(__xludf.DUMMYFUNCTION("""COMPUTED_VALUE"""),44.863098)</f>
        <v>44.863098</v>
      </c>
      <c r="C82" s="3">
        <f>IFERROR(__xludf.DUMMYFUNCTION("""COMPUTED_VALUE"""),3.45607441746432E8)</f>
        <v>345607441.7</v>
      </c>
      <c r="D82" s="3">
        <f t="shared" si="2"/>
        <v>-697.546239</v>
      </c>
      <c r="E82" s="3">
        <f t="shared" si="3"/>
        <v>-31294.08528</v>
      </c>
      <c r="F82" s="2" t="str">
        <f t="shared" si="1"/>
        <v>SOL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IFERROR(__xludf.DUMMYFUNCTION("""COMPUTED_VALUE"""),42.03319)</f>
        <v>42.03319</v>
      </c>
      <c r="C83" s="3">
        <f>IFERROR(__xludf.DUMMYFUNCTION("""COMPUTED_VALUE"""),3.45745513080164E8)</f>
        <v>345745513.1</v>
      </c>
      <c r="D83" s="3">
        <f t="shared" si="2"/>
        <v>138071.3337</v>
      </c>
      <c r="E83" s="3">
        <f t="shared" si="3"/>
        <v>5803578.604</v>
      </c>
      <c r="F83" s="2" t="str">
        <f t="shared" si="1"/>
        <v>SOL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IFERROR(__xludf.DUMMYFUNCTION("""COMPUTED_VALUE"""),43.106726)</f>
        <v>43.106726</v>
      </c>
      <c r="C84" s="3">
        <f>IFERROR(__xludf.DUMMYFUNCTION("""COMPUTED_VALUE"""),3.45762618967499E8)</f>
        <v>345762619</v>
      </c>
      <c r="D84" s="3">
        <f t="shared" si="2"/>
        <v>17105.88734</v>
      </c>
      <c r="E84" s="3">
        <f t="shared" si="3"/>
        <v>737378.7983</v>
      </c>
      <c r="F84" s="2" t="str">
        <f t="shared" si="1"/>
        <v>SOL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IFERROR(__xludf.DUMMYFUNCTION("""COMPUTED_VALUE"""),40.504191)</f>
        <v>40.504191</v>
      </c>
      <c r="C85" s="3">
        <f>IFERROR(__xludf.DUMMYFUNCTION("""COMPUTED_VALUE"""),3.45761905788783E8)</f>
        <v>345761905.8</v>
      </c>
      <c r="D85" s="3">
        <f t="shared" si="2"/>
        <v>-713.178716</v>
      </c>
      <c r="E85" s="3">
        <f t="shared" si="3"/>
        <v>-28886.72693</v>
      </c>
      <c r="F85" s="2" t="str">
        <f t="shared" si="1"/>
        <v>SOL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IFERROR(__xludf.DUMMYFUNCTION("""COMPUTED_VALUE"""),39.922034)</f>
        <v>39.922034</v>
      </c>
      <c r="C86" s="3">
        <f>IFERROR(__xludf.DUMMYFUNCTION("""COMPUTED_VALUE"""),3.45893428328752E8)</f>
        <v>345893428.3</v>
      </c>
      <c r="D86" s="3">
        <f t="shared" si="2"/>
        <v>131522.54</v>
      </c>
      <c r="E86" s="3">
        <f t="shared" si="3"/>
        <v>5250647.312</v>
      </c>
      <c r="F86" s="2" t="str">
        <f t="shared" si="1"/>
        <v>SOL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IFERROR(__xludf.DUMMYFUNCTION("""COMPUTED_VALUE"""),40.926554)</f>
        <v>40.926554</v>
      </c>
      <c r="C87" s="3">
        <f>IFERROR(__xludf.DUMMYFUNCTION("""COMPUTED_VALUE"""),3.4589279526088E8)</f>
        <v>345892795.3</v>
      </c>
      <c r="D87" s="3">
        <f t="shared" si="2"/>
        <v>-633.067872</v>
      </c>
      <c r="E87" s="3">
        <f t="shared" si="3"/>
        <v>-25909.28645</v>
      </c>
      <c r="F87" s="2" t="str">
        <f t="shared" si="1"/>
        <v>SOL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IFERROR(__xludf.DUMMYFUNCTION("""COMPUTED_VALUE"""),36.655783)</f>
        <v>36.655783</v>
      </c>
      <c r="C88" s="3">
        <f>IFERROR(__xludf.DUMMYFUNCTION("""COMPUTED_VALUE"""),3.45896650953038E8)</f>
        <v>345896651</v>
      </c>
      <c r="D88" s="3">
        <f t="shared" si="2"/>
        <v>3855.692158</v>
      </c>
      <c r="E88" s="3">
        <f t="shared" si="3"/>
        <v>141333.4151</v>
      </c>
      <c r="F88" s="2" t="str">
        <f t="shared" si="1"/>
        <v>SOL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IFERROR(__xludf.DUMMYFUNCTION("""COMPUTED_VALUE"""),36.273582)</f>
        <v>36.273582</v>
      </c>
      <c r="C89" s="3">
        <f>IFERROR(__xludf.DUMMYFUNCTION("""COMPUTED_VALUE"""),3.46028772251411E8)</f>
        <v>346028772.3</v>
      </c>
      <c r="D89" s="3">
        <f t="shared" si="2"/>
        <v>132121.2984</v>
      </c>
      <c r="E89" s="3">
        <f t="shared" si="3"/>
        <v>4792512.75</v>
      </c>
      <c r="F89" s="2" t="str">
        <f t="shared" si="1"/>
        <v>SOL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IFERROR(__xludf.DUMMYFUNCTION("""COMPUTED_VALUE"""),40.297288)</f>
        <v>40.297288</v>
      </c>
      <c r="C90" s="3">
        <f>IFERROR(__xludf.DUMMYFUNCTION("""COMPUTED_VALUE"""),3.46028126103174E8)</f>
        <v>346028126.1</v>
      </c>
      <c r="D90" s="3">
        <f t="shared" si="2"/>
        <v>-646.148237</v>
      </c>
      <c r="E90" s="3">
        <f t="shared" si="3"/>
        <v>-26038.0216</v>
      </c>
      <c r="F90" s="2" t="str">
        <f t="shared" si="1"/>
        <v>SOL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IFERROR(__xludf.DUMMYFUNCTION("""COMPUTED_VALUE"""),42.941617)</f>
        <v>42.941617</v>
      </c>
      <c r="C91" s="3">
        <f>IFERROR(__xludf.DUMMYFUNCTION("""COMPUTED_VALUE"""),3.46027384154124E8)</f>
        <v>346027384.2</v>
      </c>
      <c r="D91" s="3">
        <f t="shared" si="2"/>
        <v>-741.9490499</v>
      </c>
      <c r="E91" s="3">
        <f t="shared" si="3"/>
        <v>-31860.49194</v>
      </c>
      <c r="F91" s="2" t="str">
        <f t="shared" si="1"/>
        <v>SOL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IFERROR(__xludf.DUMMYFUNCTION("""COMPUTED_VALUE"""),41.940819)</f>
        <v>41.940819</v>
      </c>
      <c r="C92" s="3">
        <f>IFERROR(__xludf.DUMMYFUNCTION("""COMPUTED_VALUE"""),3.46159898165344E8)</f>
        <v>346159898.2</v>
      </c>
      <c r="D92" s="3">
        <f t="shared" si="2"/>
        <v>132514.0112</v>
      </c>
      <c r="E92" s="3">
        <f t="shared" si="3"/>
        <v>5557746.16</v>
      </c>
      <c r="F92" s="2" t="str">
        <f t="shared" si="1"/>
        <v>SOL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IFERROR(__xludf.DUMMYFUNCTION("""COMPUTED_VALUE"""),43.846939)</f>
        <v>43.846939</v>
      </c>
      <c r="C93" s="3">
        <f>IFERROR(__xludf.DUMMYFUNCTION("""COMPUTED_VALUE"""),3.4615919429646E8)</f>
        <v>346159194.3</v>
      </c>
      <c r="D93" s="3">
        <f t="shared" si="2"/>
        <v>-703.868884</v>
      </c>
      <c r="E93" s="3">
        <f t="shared" si="3"/>
        <v>-30862.49602</v>
      </c>
      <c r="F93" s="2" t="str">
        <f t="shared" si="1"/>
        <v>SOL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IFERROR(__xludf.DUMMYFUNCTION("""COMPUTED_VALUE"""),42.357566)</f>
        <v>42.357566</v>
      </c>
      <c r="C94" s="3">
        <f>IFERROR(__xludf.DUMMYFUNCTION("""COMPUTED_VALUE"""),3.46520527292569E8)</f>
        <v>346520527.3</v>
      </c>
      <c r="D94" s="3">
        <f t="shared" si="2"/>
        <v>361332.9961</v>
      </c>
      <c r="E94" s="3">
        <f t="shared" si="3"/>
        <v>15305186.23</v>
      </c>
      <c r="F94" s="2" t="str">
        <f t="shared" si="1"/>
        <v>SOL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IFERROR(__xludf.DUMMYFUNCTION("""COMPUTED_VALUE"""),41.620507)</f>
        <v>41.620507</v>
      </c>
      <c r="C95" s="3">
        <f>IFERROR(__xludf.DUMMYFUNCTION("""COMPUTED_VALUE"""),3.46519845755235E8)</f>
        <v>346519845.8</v>
      </c>
      <c r="D95" s="3">
        <f t="shared" si="2"/>
        <v>-681.537334</v>
      </c>
      <c r="E95" s="3">
        <f t="shared" si="3"/>
        <v>-28365.92938</v>
      </c>
      <c r="F95" s="2" t="str">
        <f t="shared" si="1"/>
        <v>SOL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IFERROR(__xludf.DUMMYFUNCTION("""COMPUTED_VALUE"""),39.799312)</f>
        <v>39.799312</v>
      </c>
      <c r="C96" s="3">
        <f>IFERROR(__xludf.DUMMYFUNCTION("""COMPUTED_VALUE"""),3.46652443511433E8)</f>
        <v>346652443.5</v>
      </c>
      <c r="D96" s="3">
        <f t="shared" si="2"/>
        <v>132597.7562</v>
      </c>
      <c r="E96" s="3">
        <f t="shared" si="3"/>
        <v>5277299.469</v>
      </c>
      <c r="F96" s="2" t="str">
        <f t="shared" si="1"/>
        <v>SOL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IFERROR(__xludf.DUMMYFUNCTION("""COMPUTED_VALUE"""),38.572518)</f>
        <v>38.572518</v>
      </c>
      <c r="C97" s="3">
        <f>IFERROR(__xludf.DUMMYFUNCTION("""COMPUTED_VALUE"""),3.46339196906434E8)</f>
        <v>346339196.9</v>
      </c>
      <c r="D97" s="3">
        <f t="shared" si="2"/>
        <v>-313246.605</v>
      </c>
      <c r="E97" s="3">
        <f t="shared" si="3"/>
        <v>-12082710.31</v>
      </c>
      <c r="F97" s="2" t="str">
        <f t="shared" si="1"/>
        <v>SOL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IFERROR(__xludf.DUMMYFUNCTION("""COMPUTED_VALUE"""),38.81351)</f>
        <v>38.81351</v>
      </c>
      <c r="C98" s="3">
        <f>IFERROR(__xludf.DUMMYFUNCTION("""COMPUTED_VALUE"""),3.46472319309739E8)</f>
        <v>346472319.3</v>
      </c>
      <c r="D98" s="3">
        <f t="shared" si="2"/>
        <v>133122.4033</v>
      </c>
      <c r="E98" s="3">
        <f t="shared" si="3"/>
        <v>5166947.732</v>
      </c>
      <c r="F98" s="2" t="str">
        <f t="shared" si="1"/>
        <v>SOL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IFERROR(__xludf.DUMMYFUNCTION("""COMPUTED_VALUE"""),40.611819)</f>
        <v>40.611819</v>
      </c>
      <c r="C99" s="3">
        <f>IFERROR(__xludf.DUMMYFUNCTION("""COMPUTED_VALUE"""),3.46471544157969E8)</f>
        <v>346471544.2</v>
      </c>
      <c r="D99" s="3">
        <f t="shared" si="2"/>
        <v>-775.15177</v>
      </c>
      <c r="E99" s="3">
        <f t="shared" si="3"/>
        <v>-31480.32338</v>
      </c>
      <c r="F99" s="2" t="str">
        <f t="shared" si="1"/>
        <v>SOL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IFERROR(__xludf.DUMMYFUNCTION("""COMPUTED_VALUE"""),40.058646)</f>
        <v>40.058646</v>
      </c>
      <c r="C100" s="3">
        <f>IFERROR(__xludf.DUMMYFUNCTION("""COMPUTED_VALUE"""),3.4697191196546E8)</f>
        <v>346971912</v>
      </c>
      <c r="D100" s="3">
        <f t="shared" si="2"/>
        <v>500367.8075</v>
      </c>
      <c r="E100" s="3">
        <f t="shared" si="3"/>
        <v>20044056.87</v>
      </c>
      <c r="F100" s="2" t="str">
        <f t="shared" si="1"/>
        <v>SOL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IFERROR(__xludf.DUMMYFUNCTION("""COMPUTED_VALUE"""),40.618018)</f>
        <v>40.618018</v>
      </c>
      <c r="C101" s="3">
        <f>IFERROR(__xludf.DUMMYFUNCTION("""COMPUTED_VALUE"""),3.48407365720977E8)</f>
        <v>348407365.7</v>
      </c>
      <c r="D101" s="3">
        <f t="shared" si="2"/>
        <v>1435453.756</v>
      </c>
      <c r="E101" s="3">
        <f t="shared" si="3"/>
        <v>58305286.48</v>
      </c>
      <c r="F101" s="2" t="str">
        <f t="shared" si="1"/>
        <v>SOL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IFERROR(__xludf.DUMMYFUNCTION("""COMPUTED_VALUE"""),42.179469)</f>
        <v>42.179469</v>
      </c>
      <c r="C102" s="3">
        <f>IFERROR(__xludf.DUMMYFUNCTION("""COMPUTED_VALUE"""),3.4840664269399E8)</f>
        <v>348406642.7</v>
      </c>
      <c r="D102" s="3">
        <f t="shared" si="2"/>
        <v>-723.026987</v>
      </c>
      <c r="E102" s="3">
        <f t="shared" si="3"/>
        <v>-30496.89439</v>
      </c>
      <c r="F102" s="2" t="str">
        <f t="shared" si="1"/>
        <v>SOL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IFERROR(__xludf.DUMMYFUNCTION("""COMPUTED_VALUE"""),40.337737)</f>
        <v>40.337737</v>
      </c>
      <c r="C103" s="3">
        <f>IFERROR(__xludf.DUMMYFUNCTION("""COMPUTED_VALUE"""),3.48408342456003E8)</f>
        <v>348408342.5</v>
      </c>
      <c r="D103" s="3">
        <f t="shared" si="2"/>
        <v>1699.762013</v>
      </c>
      <c r="E103" s="3">
        <f t="shared" si="3"/>
        <v>68564.55304</v>
      </c>
      <c r="F103" s="2" t="str">
        <f t="shared" si="1"/>
        <v>SOL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IFERROR(__xludf.DUMMYFUNCTION("""COMPUTED_VALUE"""),42.470703)</f>
        <v>42.470703</v>
      </c>
      <c r="C104" s="3">
        <f>IFERROR(__xludf.DUMMYFUNCTION("""COMPUTED_VALUE"""),3.4857399262384E8)</f>
        <v>348573992.6</v>
      </c>
      <c r="D104" s="3">
        <f t="shared" si="2"/>
        <v>165650.1678</v>
      </c>
      <c r="E104" s="3">
        <f t="shared" si="3"/>
        <v>7035279.08</v>
      </c>
      <c r="F104" s="2" t="str">
        <f t="shared" si="1"/>
        <v>SOL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IFERROR(__xludf.DUMMYFUNCTION("""COMPUTED_VALUE"""),42.795253)</f>
        <v>42.795253</v>
      </c>
      <c r="C105" s="3">
        <f>IFERROR(__xludf.DUMMYFUNCTION("""COMPUTED_VALUE"""),3.4870691519817E8)</f>
        <v>348706915.2</v>
      </c>
      <c r="D105" s="3">
        <f t="shared" si="2"/>
        <v>132922.5743</v>
      </c>
      <c r="E105" s="3">
        <f t="shared" si="3"/>
        <v>5688455.198</v>
      </c>
      <c r="F105" s="2" t="str">
        <f t="shared" si="1"/>
        <v>SOL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IFERROR(__xludf.DUMMYFUNCTION("""COMPUTED_VALUE"""),45.518287)</f>
        <v>45.518287</v>
      </c>
      <c r="C106" s="3">
        <f>IFERROR(__xludf.DUMMYFUNCTION("""COMPUTED_VALUE"""),3.48706210496568E8)</f>
        <v>348706210.5</v>
      </c>
      <c r="D106" s="3">
        <f t="shared" si="2"/>
        <v>-704.701602</v>
      </c>
      <c r="E106" s="3">
        <f t="shared" si="3"/>
        <v>-32076.80977</v>
      </c>
      <c r="F106" s="2" t="str">
        <f t="shared" si="1"/>
        <v>SOL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IFERROR(__xludf.DUMMYFUNCTION("""COMPUTED_VALUE"""),46.619111)</f>
        <v>46.619111</v>
      </c>
      <c r="C107" s="3">
        <f>IFERROR(__xludf.DUMMYFUNCTION("""COMPUTED_VALUE"""),3.48705545319633E8)</f>
        <v>348705545.3</v>
      </c>
      <c r="D107" s="3">
        <f t="shared" si="2"/>
        <v>-665.176935</v>
      </c>
      <c r="E107" s="3">
        <f t="shared" si="3"/>
        <v>-31009.95737</v>
      </c>
      <c r="F107" s="2" t="str">
        <f t="shared" si="1"/>
        <v>SOL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IFERROR(__xludf.DUMMYFUNCTION("""COMPUTED_VALUE"""),44.862893)</f>
        <v>44.862893</v>
      </c>
      <c r="C108" s="3">
        <f>IFERROR(__xludf.DUMMYFUNCTION("""COMPUTED_VALUE"""),3.48838182705272E8)</f>
        <v>348838182.7</v>
      </c>
      <c r="D108" s="3">
        <f t="shared" si="2"/>
        <v>132637.3856</v>
      </c>
      <c r="E108" s="3">
        <f t="shared" si="3"/>
        <v>5950496.84</v>
      </c>
      <c r="F108" s="2" t="str">
        <f t="shared" si="1"/>
        <v>SOL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IFERROR(__xludf.DUMMYFUNCTION("""COMPUTED_VALUE"""),43.725798)</f>
        <v>43.725798</v>
      </c>
      <c r="C109" s="3">
        <f>IFERROR(__xludf.DUMMYFUNCTION("""COMPUTED_VALUE"""),3.48837486001298E8)</f>
        <v>348837486</v>
      </c>
      <c r="D109" s="3">
        <f t="shared" si="2"/>
        <v>-696.703974</v>
      </c>
      <c r="E109" s="3">
        <f t="shared" si="3"/>
        <v>-30463.93723</v>
      </c>
      <c r="F109" s="2" t="str">
        <f t="shared" si="1"/>
        <v>SOL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IFERROR(__xludf.DUMMYFUNCTION("""COMPUTED_VALUE"""),43.087128)</f>
        <v>43.087128</v>
      </c>
      <c r="C110" s="3">
        <f>IFERROR(__xludf.DUMMYFUNCTION("""COMPUTED_VALUE"""),3.48836770275971E8)</f>
        <v>348836770.3</v>
      </c>
      <c r="D110" s="3">
        <f t="shared" si="2"/>
        <v>-715.725327</v>
      </c>
      <c r="E110" s="3">
        <f t="shared" si="3"/>
        <v>-30838.54878</v>
      </c>
      <c r="F110" s="2" t="str">
        <f t="shared" si="1"/>
        <v>SOL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IFERROR(__xludf.DUMMYFUNCTION("""COMPUTED_VALUE"""),40.535039)</f>
        <v>40.535039</v>
      </c>
      <c r="C111" s="3">
        <f>IFERROR(__xludf.DUMMYFUNCTION("""COMPUTED_VALUE"""),3.48812757049775E8)</f>
        <v>348812757</v>
      </c>
      <c r="D111" s="3">
        <f t="shared" si="2"/>
        <v>-24013.2262</v>
      </c>
      <c r="E111" s="3">
        <f t="shared" si="3"/>
        <v>-973377.0604</v>
      </c>
      <c r="F111" s="2" t="str">
        <f t="shared" si="1"/>
        <v>SOL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IFERROR(__xludf.DUMMYFUNCTION("""COMPUTED_VALUE"""),39.513141)</f>
        <v>39.513141</v>
      </c>
      <c r="C112" s="3">
        <f>IFERROR(__xludf.DUMMYFUNCTION("""COMPUTED_VALUE"""),3.48812654465631E8)</f>
        <v>348812654.5</v>
      </c>
      <c r="D112" s="3">
        <f t="shared" si="2"/>
        <v>-102.584144</v>
      </c>
      <c r="E112" s="3">
        <f t="shared" si="3"/>
        <v>-4053.421746</v>
      </c>
      <c r="F112" s="2" t="str">
        <f t="shared" si="1"/>
        <v>SOL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IFERROR(__xludf.DUMMYFUNCTION("""COMPUTED_VALUE"""),35.812248)</f>
        <v>35.812248</v>
      </c>
      <c r="C113" s="3">
        <f>IFERROR(__xludf.DUMMYFUNCTION("""COMPUTED_VALUE"""),3.49120758204177E8)</f>
        <v>349120758.2</v>
      </c>
      <c r="D113" s="3">
        <f t="shared" si="2"/>
        <v>308103.7385</v>
      </c>
      <c r="E113" s="3">
        <f t="shared" si="3"/>
        <v>11033887.49</v>
      </c>
      <c r="F113" s="2" t="str">
        <f t="shared" si="1"/>
        <v>SOL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IFERROR(__xludf.DUMMYFUNCTION("""COMPUTED_VALUE"""),35.285242)</f>
        <v>35.285242</v>
      </c>
      <c r="C114" s="3">
        <f>IFERROR(__xludf.DUMMYFUNCTION("""COMPUTED_VALUE"""),3.49119939752156E8)</f>
        <v>349119939.8</v>
      </c>
      <c r="D114" s="3">
        <f t="shared" si="2"/>
        <v>-818.452021</v>
      </c>
      <c r="E114" s="3">
        <f t="shared" si="3"/>
        <v>-28879.27763</v>
      </c>
      <c r="F114" s="2" t="str">
        <f t="shared" si="1"/>
        <v>SOL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IFERROR(__xludf.DUMMYFUNCTION("""COMPUTED_VALUE"""),36.483106)</f>
        <v>36.483106</v>
      </c>
      <c r="C115" s="3">
        <f>IFERROR(__xludf.DUMMYFUNCTION("""COMPUTED_VALUE"""),3.49119204567048E8)</f>
        <v>349119204.6</v>
      </c>
      <c r="D115" s="3">
        <f t="shared" si="2"/>
        <v>-735.185108</v>
      </c>
      <c r="E115" s="3">
        <f t="shared" si="3"/>
        <v>-26821.83623</v>
      </c>
      <c r="F115" s="2" t="str">
        <f t="shared" si="1"/>
        <v>SOL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IFERROR(__xludf.DUMMYFUNCTION("""COMPUTED_VALUE"""),35.419967)</f>
        <v>35.419967</v>
      </c>
      <c r="C116" s="3">
        <f>IFERROR(__xludf.DUMMYFUNCTION("""COMPUTED_VALUE"""),3.49251416704408E8)</f>
        <v>349251416.7</v>
      </c>
      <c r="D116" s="3">
        <f t="shared" si="2"/>
        <v>132212.1374</v>
      </c>
      <c r="E116" s="3">
        <f t="shared" si="3"/>
        <v>4682949.542</v>
      </c>
      <c r="F116" s="2" t="str">
        <f t="shared" si="1"/>
        <v>SOL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IFERROR(__xludf.DUMMYFUNCTION("""COMPUTED_VALUE"""),35.68074)</f>
        <v>35.68074</v>
      </c>
      <c r="C117" s="3">
        <f>IFERROR(__xludf.DUMMYFUNCTION("""COMPUTED_VALUE"""),3.49250698303968E8)</f>
        <v>349250698.3</v>
      </c>
      <c r="D117" s="3">
        <f t="shared" si="2"/>
        <v>-718.40044</v>
      </c>
      <c r="E117" s="3">
        <f t="shared" si="3"/>
        <v>-25633.05931</v>
      </c>
      <c r="F117" s="2" t="str">
        <f t="shared" si="1"/>
        <v>SOL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IFERROR(__xludf.DUMMYFUNCTION("""COMPUTED_VALUE"""),34.889693)</f>
        <v>34.889693</v>
      </c>
      <c r="C118" s="3">
        <f>IFERROR(__xludf.DUMMYFUNCTION("""COMPUTED_VALUE"""),3.49249961187999E8)</f>
        <v>349249961.2</v>
      </c>
      <c r="D118" s="3">
        <f t="shared" si="2"/>
        <v>-737.115969</v>
      </c>
      <c r="E118" s="3">
        <f t="shared" si="3"/>
        <v>-25717.74986</v>
      </c>
      <c r="F118" s="2" t="str">
        <f t="shared" si="1"/>
        <v>SOL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IFERROR(__xludf.DUMMYFUNCTION("""COMPUTED_VALUE"""),35.254346)</f>
        <v>35.254346</v>
      </c>
      <c r="C119" s="3">
        <f>IFERROR(__xludf.DUMMYFUNCTION("""COMPUTED_VALUE"""),3.49381924822937E8)</f>
        <v>349381924.8</v>
      </c>
      <c r="D119" s="3">
        <f t="shared" si="2"/>
        <v>131963.6349</v>
      </c>
      <c r="E119" s="3">
        <f t="shared" si="3"/>
        <v>4652291.646</v>
      </c>
      <c r="F119" s="2" t="str">
        <f t="shared" si="1"/>
        <v>SOL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IFERROR(__xludf.DUMMYFUNCTION("""COMPUTED_VALUE"""),31.720964)</f>
        <v>31.720964</v>
      </c>
      <c r="C120" s="3">
        <f>IFERROR(__xludf.DUMMYFUNCTION("""COMPUTED_VALUE"""),3.49381149296461E8)</f>
        <v>349381149.3</v>
      </c>
      <c r="D120" s="3">
        <f t="shared" si="2"/>
        <v>-775.526476</v>
      </c>
      <c r="E120" s="3">
        <f t="shared" si="3"/>
        <v>-24600.44743</v>
      </c>
      <c r="F120" s="2" t="str">
        <f t="shared" si="1"/>
        <v>SOL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IFERROR(__xludf.DUMMYFUNCTION("""COMPUTED_VALUE"""),31.525458)</f>
        <v>31.525458</v>
      </c>
      <c r="C121" s="3">
        <f>IFERROR(__xludf.DUMMYFUNCTION("""COMPUTED_VALUE"""),3.49380291519339E8)</f>
        <v>349380291.5</v>
      </c>
      <c r="D121" s="3">
        <f t="shared" si="2"/>
        <v>-857.777122</v>
      </c>
      <c r="E121" s="3">
        <f t="shared" si="3"/>
        <v>-27041.81663</v>
      </c>
      <c r="F121" s="2" t="str">
        <f t="shared" si="1"/>
        <v>SOL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IFERROR(__xludf.DUMMYFUNCTION("""COMPUTED_VALUE"""),30.431159)</f>
        <v>30.431159</v>
      </c>
      <c r="C122" s="3">
        <f>IFERROR(__xludf.DUMMYFUNCTION("""COMPUTED_VALUE"""),3.49511496281362E8)</f>
        <v>349511496.3</v>
      </c>
      <c r="D122" s="3">
        <f t="shared" si="2"/>
        <v>131204.762</v>
      </c>
      <c r="E122" s="3">
        <f t="shared" si="3"/>
        <v>3992712.975</v>
      </c>
      <c r="F122" s="2" t="str">
        <f t="shared" si="1"/>
        <v>SOL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IFERROR(__xludf.DUMMYFUNCTION("""COMPUTED_VALUE"""),32.422963)</f>
        <v>32.422963</v>
      </c>
      <c r="C123" s="3">
        <f>IFERROR(__xludf.DUMMYFUNCTION("""COMPUTED_VALUE"""),3.49510726103285E8)</f>
        <v>349510726.1</v>
      </c>
      <c r="D123" s="3">
        <f t="shared" si="2"/>
        <v>-770.178077</v>
      </c>
      <c r="E123" s="3">
        <f t="shared" si="3"/>
        <v>-24971.45529</v>
      </c>
      <c r="F123" s="2" t="str">
        <f t="shared" si="1"/>
        <v>SOL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IFERROR(__xludf.DUMMYFUNCTION("""COMPUTED_VALUE"""),31.478698)</f>
        <v>31.478698</v>
      </c>
      <c r="C124" s="3">
        <f>IFERROR(__xludf.DUMMYFUNCTION("""COMPUTED_VALUE"""),3.49509975437165E8)</f>
        <v>349509975.4</v>
      </c>
      <c r="D124" s="3">
        <f t="shared" si="2"/>
        <v>-750.66612</v>
      </c>
      <c r="E124" s="3">
        <f t="shared" si="3"/>
        <v>-23629.99209</v>
      </c>
      <c r="F124" s="2" t="str">
        <f t="shared" si="1"/>
        <v>SOL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IFERROR(__xludf.DUMMYFUNCTION("""COMPUTED_VALUE"""),31.491334)</f>
        <v>31.491334</v>
      </c>
      <c r="C125" s="3">
        <f>IFERROR(__xludf.DUMMYFUNCTION("""COMPUTED_VALUE"""),3.49710186937185E8)</f>
        <v>349710186.9</v>
      </c>
      <c r="D125" s="3">
        <f t="shared" si="2"/>
        <v>200211.5</v>
      </c>
      <c r="E125" s="3">
        <f t="shared" si="3"/>
        <v>6304927.218</v>
      </c>
      <c r="F125" s="2" t="str">
        <f t="shared" si="1"/>
        <v>SOL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IFERROR(__xludf.DUMMYFUNCTION("""COMPUTED_VALUE"""),31.610667)</f>
        <v>31.610667</v>
      </c>
      <c r="C126" s="3">
        <f>IFERROR(__xludf.DUMMYFUNCTION("""COMPUTED_VALUE"""),3.49709496946003E8)</f>
        <v>349709496.9</v>
      </c>
      <c r="D126" s="3">
        <f t="shared" si="2"/>
        <v>-689.991182</v>
      </c>
      <c r="E126" s="3">
        <f t="shared" si="3"/>
        <v>-21811.08149</v>
      </c>
      <c r="F126" s="2" t="str">
        <f t="shared" si="1"/>
        <v>SOL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IFERROR(__xludf.DUMMYFUNCTION("""COMPUTED_VALUE"""),31.236831)</f>
        <v>31.236831</v>
      </c>
      <c r="C127" s="3">
        <f>IFERROR(__xludf.DUMMYFUNCTION("""COMPUTED_VALUE"""),3.49708651728436E8)</f>
        <v>349708651.7</v>
      </c>
      <c r="D127" s="3">
        <f t="shared" si="2"/>
        <v>-845.217567</v>
      </c>
      <c r="E127" s="3">
        <f t="shared" si="3"/>
        <v>-26401.9183</v>
      </c>
      <c r="F127" s="2" t="str">
        <f t="shared" si="1"/>
        <v>SOL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IFERROR(__xludf.DUMMYFUNCTION("""COMPUTED_VALUE"""),31.118638)</f>
        <v>31.118638</v>
      </c>
      <c r="C128" s="3">
        <f>IFERROR(__xludf.DUMMYFUNCTION("""COMPUTED_VALUE"""),3.4983970336158E8)</f>
        <v>349839703.4</v>
      </c>
      <c r="D128" s="3">
        <f t="shared" si="2"/>
        <v>131051.6331</v>
      </c>
      <c r="E128" s="3">
        <f t="shared" si="3"/>
        <v>4078148.331</v>
      </c>
      <c r="F128" s="2" t="str">
        <f t="shared" si="1"/>
        <v>SOL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IFERROR(__xludf.DUMMYFUNCTION("""COMPUTED_VALUE"""),32.170952)</f>
        <v>32.170952</v>
      </c>
      <c r="C129" s="3">
        <f>IFERROR(__xludf.DUMMYFUNCTION("""COMPUTED_VALUE"""),3.4983889347738E8)</f>
        <v>349838893.5</v>
      </c>
      <c r="D129" s="3">
        <f t="shared" si="2"/>
        <v>-809.8842</v>
      </c>
      <c r="E129" s="3">
        <f t="shared" si="3"/>
        <v>-26054.74572</v>
      </c>
      <c r="F129" s="2" t="str">
        <f t="shared" si="1"/>
        <v>SOL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IFERROR(__xludf.DUMMYFUNCTION("""COMPUTED_VALUE"""),32.174956)</f>
        <v>32.174956</v>
      </c>
      <c r="C130" s="3">
        <f>IFERROR(__xludf.DUMMYFUNCTION("""COMPUTED_VALUE"""),3.49969999195759E8)</f>
        <v>349969999.2</v>
      </c>
      <c r="D130" s="3">
        <f t="shared" si="2"/>
        <v>131105.7184</v>
      </c>
      <c r="E130" s="3">
        <f t="shared" si="3"/>
        <v>4218320.72</v>
      </c>
      <c r="F130" s="2" t="str">
        <f t="shared" si="1"/>
        <v>SOL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IFERROR(__xludf.DUMMYFUNCTION("""COMPUTED_VALUE"""),30.877388)</f>
        <v>30.877388</v>
      </c>
      <c r="C131" s="3">
        <f>IFERROR(__xludf.DUMMYFUNCTION("""COMPUTED_VALUE"""),3.52987862660599E8)</f>
        <v>352987862.7</v>
      </c>
      <c r="D131" s="3">
        <f t="shared" si="2"/>
        <v>3017863.465</v>
      </c>
      <c r="E131" s="3">
        <f t="shared" si="3"/>
        <v>93183741.13</v>
      </c>
      <c r="F131" s="2" t="str">
        <f t="shared" si="1"/>
        <v>SOL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IFERROR(__xludf.DUMMYFUNCTION("""COMPUTED_VALUE"""),32.698668)</f>
        <v>32.698668</v>
      </c>
      <c r="C132" s="3">
        <f>IFERROR(__xludf.DUMMYFUNCTION("""COMPUTED_VALUE"""),3.52987089515407E8)</f>
        <v>352987089.5</v>
      </c>
      <c r="D132" s="3">
        <f t="shared" si="2"/>
        <v>-773.145192</v>
      </c>
      <c r="E132" s="3">
        <f t="shared" si="3"/>
        <v>-25280.81795</v>
      </c>
      <c r="F132" s="2" t="str">
        <f t="shared" si="1"/>
        <v>SOL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IFERROR(__xludf.DUMMYFUNCTION("""COMPUTED_VALUE"""),33.612793)</f>
        <v>33.612793</v>
      </c>
      <c r="C133" s="3">
        <f>IFERROR(__xludf.DUMMYFUNCTION("""COMPUTED_VALUE"""),3.53118401501783E8)</f>
        <v>353118401.5</v>
      </c>
      <c r="D133" s="3">
        <f t="shared" si="2"/>
        <v>131311.9864</v>
      </c>
      <c r="E133" s="3">
        <f t="shared" si="3"/>
        <v>4413762.616</v>
      </c>
      <c r="F133" s="2" t="str">
        <f t="shared" si="1"/>
        <v>SOL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IFERROR(__xludf.DUMMYFUNCTION("""COMPUTED_VALUE"""),34.683081)</f>
        <v>34.683081</v>
      </c>
      <c r="C134" s="3">
        <f>IFERROR(__xludf.DUMMYFUNCTION("""COMPUTED_VALUE"""),3.53117630382696E8)</f>
        <v>353117630.4</v>
      </c>
      <c r="D134" s="3">
        <f t="shared" si="2"/>
        <v>-771.119087</v>
      </c>
      <c r="E134" s="3">
        <f t="shared" si="3"/>
        <v>-26744.78576</v>
      </c>
      <c r="F134" s="2" t="str">
        <f t="shared" si="1"/>
        <v>SOL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IFERROR(__xludf.DUMMYFUNCTION("""COMPUTED_VALUE"""),35.05807)</f>
        <v>35.05807</v>
      </c>
      <c r="C135" s="3">
        <f>IFERROR(__xludf.DUMMYFUNCTION("""COMPUTED_VALUE"""),3.53283611495146E8)</f>
        <v>353283611.5</v>
      </c>
      <c r="D135" s="3">
        <f t="shared" si="2"/>
        <v>165981.1125</v>
      </c>
      <c r="E135" s="3">
        <f t="shared" si="3"/>
        <v>5818977.459</v>
      </c>
      <c r="F135" s="2" t="str">
        <f t="shared" si="1"/>
        <v>SOL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IFERROR(__xludf.DUMMYFUNCTION("""COMPUTED_VALUE"""),34.996368)</f>
        <v>34.996368</v>
      </c>
      <c r="C136" s="3">
        <f>IFERROR(__xludf.DUMMYFUNCTION("""COMPUTED_VALUE"""),3.53415323025589E8)</f>
        <v>353415323</v>
      </c>
      <c r="D136" s="3">
        <f t="shared" si="2"/>
        <v>131711.5304</v>
      </c>
      <c r="E136" s="3">
        <f t="shared" si="3"/>
        <v>4609425.189</v>
      </c>
      <c r="F136" s="2" t="str">
        <f t="shared" si="1"/>
        <v>SOL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IFERROR(__xludf.DUMMYFUNCTION("""COMPUTED_VALUE"""),37.446481)</f>
        <v>37.446481</v>
      </c>
      <c r="C137" s="3">
        <f>IFERROR(__xludf.DUMMYFUNCTION("""COMPUTED_VALUE"""),3.53414572917467E8)</f>
        <v>353414572.9</v>
      </c>
      <c r="D137" s="3">
        <f t="shared" si="2"/>
        <v>-750.108122</v>
      </c>
      <c r="E137" s="3">
        <f t="shared" si="3"/>
        <v>-28088.90954</v>
      </c>
      <c r="F137" s="2" t="str">
        <f t="shared" si="1"/>
        <v>SOL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IFERROR(__xludf.DUMMYFUNCTION("""COMPUTED_VALUE"""),32.992148)</f>
        <v>32.992148</v>
      </c>
      <c r="C138" s="3">
        <f>IFERROR(__xludf.DUMMYFUNCTION("""COMPUTED_VALUE"""),3.53837253880994E8)</f>
        <v>353837253.9</v>
      </c>
      <c r="D138" s="3">
        <f t="shared" si="2"/>
        <v>422680.9635</v>
      </c>
      <c r="E138" s="3">
        <f t="shared" si="3"/>
        <v>13945152.91</v>
      </c>
      <c r="F138" s="2" t="str">
        <f t="shared" si="1"/>
        <v>SOL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IFERROR(__xludf.DUMMYFUNCTION("""COMPUTED_VALUE"""),34.123853)</f>
        <v>34.123853</v>
      </c>
      <c r="C139" s="3">
        <f>IFERROR(__xludf.DUMMYFUNCTION("""COMPUTED_VALUE"""),3.53979694592694E8)</f>
        <v>353979694.6</v>
      </c>
      <c r="D139" s="3">
        <f t="shared" si="2"/>
        <v>142440.7117</v>
      </c>
      <c r="E139" s="3">
        <f t="shared" si="3"/>
        <v>4860625.907</v>
      </c>
      <c r="F139" s="2" t="str">
        <f t="shared" si="1"/>
        <v>SOL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IFERROR(__xludf.DUMMYFUNCTION("""COMPUTED_VALUE"""),33.076746)</f>
        <v>33.076746</v>
      </c>
      <c r="C140" s="3">
        <f>IFERROR(__xludf.DUMMYFUNCTION("""COMPUTED_VALUE"""),3.53979028502667E8)</f>
        <v>353979028.5</v>
      </c>
      <c r="D140" s="3">
        <f t="shared" si="2"/>
        <v>-666.090027</v>
      </c>
      <c r="E140" s="3">
        <f t="shared" si="3"/>
        <v>-22032.09064</v>
      </c>
      <c r="F140" s="2" t="str">
        <f t="shared" si="1"/>
        <v>SOL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IFERROR(__xludf.DUMMYFUNCTION("""COMPUTED_VALUE"""),32.246361)</f>
        <v>32.246361</v>
      </c>
      <c r="C141" s="3">
        <f>IFERROR(__xludf.DUMMYFUNCTION("""COMPUTED_VALUE"""),3.53984474375567E8)</f>
        <v>353984474.4</v>
      </c>
      <c r="D141" s="3">
        <f t="shared" si="2"/>
        <v>5445.8729</v>
      </c>
      <c r="E141" s="3">
        <f t="shared" si="3"/>
        <v>175609.5835</v>
      </c>
      <c r="F141" s="2" t="str">
        <f t="shared" si="1"/>
        <v>SOL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IFERROR(__xludf.DUMMYFUNCTION("""COMPUTED_VALUE"""),33.700365)</f>
        <v>33.700365</v>
      </c>
      <c r="C142" s="3">
        <f>IFERROR(__xludf.DUMMYFUNCTION("""COMPUTED_VALUE"""),3.54115733383688E8)</f>
        <v>354115733.4</v>
      </c>
      <c r="D142" s="3">
        <f t="shared" si="2"/>
        <v>131259.0081</v>
      </c>
      <c r="E142" s="3">
        <f t="shared" si="3"/>
        <v>4423476.483</v>
      </c>
      <c r="F142" s="2" t="str">
        <f t="shared" si="1"/>
        <v>SOL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IFERROR(__xludf.DUMMYFUNCTION("""COMPUTED_VALUE"""),31.099861)</f>
        <v>31.099861</v>
      </c>
      <c r="C143" s="3">
        <f>IFERROR(__xludf.DUMMYFUNCTION("""COMPUTED_VALUE"""),3.53928176343029E8)</f>
        <v>353928176.3</v>
      </c>
      <c r="D143" s="3">
        <f t="shared" si="2"/>
        <v>-187557.0407</v>
      </c>
      <c r="E143" s="3">
        <f t="shared" si="3"/>
        <v>-5832997.894</v>
      </c>
      <c r="F143" s="2" t="str">
        <f t="shared" si="1"/>
        <v>SOL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IFERROR(__xludf.DUMMYFUNCTION("""COMPUTED_VALUE"""),32.639838)</f>
        <v>32.639838</v>
      </c>
      <c r="C144" s="3">
        <f>IFERROR(__xludf.DUMMYFUNCTION("""COMPUTED_VALUE"""),3.5392737023719E8)</f>
        <v>353927370.2</v>
      </c>
      <c r="D144" s="3">
        <f t="shared" si="2"/>
        <v>-806.105839</v>
      </c>
      <c r="E144" s="3">
        <f t="shared" si="3"/>
        <v>-26311.164</v>
      </c>
      <c r="F144" s="2" t="str">
        <f t="shared" si="1"/>
        <v>SOL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IFERROR(__xludf.DUMMYFUNCTION("""COMPUTED_VALUE"""),31.431021)</f>
        <v>31.431021</v>
      </c>
      <c r="C145" s="3">
        <f>IFERROR(__xludf.DUMMYFUNCTION("""COMPUTED_VALUE"""),3.54060839007578E8)</f>
        <v>354060839</v>
      </c>
      <c r="D145" s="2">
        <f t="shared" ref="D145:D1000" si="4">IF(ISBLANK(A145),"",C145-C144)</f>
        <v>133468.7704</v>
      </c>
      <c r="E145" s="2">
        <f t="shared" ref="E145:E1000" si="5">IF(ISBLANK(A145),"",B145*D145)</f>
        <v>4195059.725</v>
      </c>
      <c r="F145" s="2" t="str">
        <f t="shared" si="1"/>
        <v>SOL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IFERROR(__xludf.DUMMYFUNCTION("""COMPUTED_VALUE"""),30.656684)</f>
        <v>30.656684</v>
      </c>
      <c r="C146" s="3">
        <f>IFERROR(__xludf.DUMMYFUNCTION("""COMPUTED_VALUE"""),3.54522097521732E8)</f>
        <v>354522097.5</v>
      </c>
      <c r="D146" s="2">
        <f t="shared" si="4"/>
        <v>461258.5142</v>
      </c>
      <c r="E146" s="2">
        <f t="shared" si="5"/>
        <v>14140656.51</v>
      </c>
      <c r="F146" s="2" t="str">
        <f t="shared" si="1"/>
        <v>SOL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IFERROR(__xludf.DUMMYFUNCTION("""COMPUTED_VALUE"""),32.42101)</f>
        <v>32.42101</v>
      </c>
      <c r="C147" s="3">
        <f>IFERROR(__xludf.DUMMYFUNCTION("""COMPUTED_VALUE"""),3.54521226531255E8)</f>
        <v>354521226.5</v>
      </c>
      <c r="D147" s="2">
        <f t="shared" si="4"/>
        <v>-870.990477</v>
      </c>
      <c r="E147" s="2">
        <f t="shared" si="5"/>
        <v>-28238.39096</v>
      </c>
      <c r="F147" s="2" t="str">
        <f t="shared" si="1"/>
        <v>SOL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IFERROR(__xludf.DUMMYFUNCTION("""COMPUTED_VALUE"""),33.682108)</f>
        <v>33.682108</v>
      </c>
      <c r="C148" s="3">
        <f>IFERROR(__xludf.DUMMYFUNCTION("""COMPUTED_VALUE"""),3.54651897522932E8)</f>
        <v>354651897.5</v>
      </c>
      <c r="D148" s="2">
        <f t="shared" si="4"/>
        <v>130670.9917</v>
      </c>
      <c r="E148" s="2">
        <f t="shared" si="5"/>
        <v>4401274.454</v>
      </c>
      <c r="F148" s="2" t="str">
        <f t="shared" si="1"/>
        <v>SOL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IFERROR(__xludf.DUMMYFUNCTION("""COMPUTED_VALUE"""),33.390998)</f>
        <v>33.390998</v>
      </c>
      <c r="C149" s="3">
        <f>IFERROR(__xludf.DUMMYFUNCTION("""COMPUTED_VALUE"""),3.54651005560326E8)</f>
        <v>354651005.6</v>
      </c>
      <c r="D149" s="2">
        <f t="shared" si="4"/>
        <v>-891.962606</v>
      </c>
      <c r="E149" s="2">
        <f t="shared" si="5"/>
        <v>-29783.52159</v>
      </c>
      <c r="F149" s="2" t="str">
        <f t="shared" si="1"/>
        <v>SOL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2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2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2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2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2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2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2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2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2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2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2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2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2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2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2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2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2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2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2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2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2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2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2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2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2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2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2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2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2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2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2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2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2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2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2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2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2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2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2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2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2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2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2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2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2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2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2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2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2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2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2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2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2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2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2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2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2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2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2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2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2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2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2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2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2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2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2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2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2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2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2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2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2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2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2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2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2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2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2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2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2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2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2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2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2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2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2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2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2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2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2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2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2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2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2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2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2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2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2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2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2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2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2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2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2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2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2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2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2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2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2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2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2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2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2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2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2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2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2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2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2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2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2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2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2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2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2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2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2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2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2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2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2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2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2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2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2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2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2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2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2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2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2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2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2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2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2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2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2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2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2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2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2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2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2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2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2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2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2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2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2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2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2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2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2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2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2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2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2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2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2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2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2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2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2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2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2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2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2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2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2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2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2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2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2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2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2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2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2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2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2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2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2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2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2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2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2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2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2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2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2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2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2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2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2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2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2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2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2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2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2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2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2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2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2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2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2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2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2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2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2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2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2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2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2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2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2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2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2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2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2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2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2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2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2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2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2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2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2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2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2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2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2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2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2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2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2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2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2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2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2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2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2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2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2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2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2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2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2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2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2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2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2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2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2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2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2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2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2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2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2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2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2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2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2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2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2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2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2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2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2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2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2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2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2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2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2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2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2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2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2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2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2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2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2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2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2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2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2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2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2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2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2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2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2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2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2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2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2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2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2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2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2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2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2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2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2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2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2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2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2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2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2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2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2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2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2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2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2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2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2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2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2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2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2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2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2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2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2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2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2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2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2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2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2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2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2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2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2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2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2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2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2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2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2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2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2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2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2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2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2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2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2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2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2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2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2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2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2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2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2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2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2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2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2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2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2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2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2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2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2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2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2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2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2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2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2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2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2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2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2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2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2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2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2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2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2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2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2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2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2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2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2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2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2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2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2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2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2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2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2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2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2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2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2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2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2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2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2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2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2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2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2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2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2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2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2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2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2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2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2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2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2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2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2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2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2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2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2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2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2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2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2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2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2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2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2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2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2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2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2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2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2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2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2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2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2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2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2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2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2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2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2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2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2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2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2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2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2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2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2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2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2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2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2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2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2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2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2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2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2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2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2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2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2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2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2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2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2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2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2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2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2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2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2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2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2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2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2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2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2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2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2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2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2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2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2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2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2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2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2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2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2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2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2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2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2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2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2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2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2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2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2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2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2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2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2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2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2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2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2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2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2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2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2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2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2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2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2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2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2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2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2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2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2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2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2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2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2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2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2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2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2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2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2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2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2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2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2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2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2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2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2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2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2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2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2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2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2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2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2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2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2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2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2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2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2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2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2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2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2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2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2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2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2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2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2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2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2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2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2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2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2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2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2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2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2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2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2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2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2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2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2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2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2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2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2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2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2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2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2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2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2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2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2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2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2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2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2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2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2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2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2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2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2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2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2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2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2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2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2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2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2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2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2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2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2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2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2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2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2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2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2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2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2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2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2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2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2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2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2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2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2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2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2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2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2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2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2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2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2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2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2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2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2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2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2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2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2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2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2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2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2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2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2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2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2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2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2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2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2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2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2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2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2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2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2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2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2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2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2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2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2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2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2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2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2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2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2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2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2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2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2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2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2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2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2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2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2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2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2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2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2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2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2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2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2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2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2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2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2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2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2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2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2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2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2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2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2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2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2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2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2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2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2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2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2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2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2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2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2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2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2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2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2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2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2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2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2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2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2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2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2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2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2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2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2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2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2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2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2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2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2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2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2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2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2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2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2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2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2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2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2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2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2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2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2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2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2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2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2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2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2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2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2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2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2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2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2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2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2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2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2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2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2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2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2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2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2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2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2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2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2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2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2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2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2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2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2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2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2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2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2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2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2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2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2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2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2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2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2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2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2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2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2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2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2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2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2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2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2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2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2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2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2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2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2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2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2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2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2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2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2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2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2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2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2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2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2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2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2" t="str">
        <f t="shared" si="1"/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IFERROR(__xludf.DUMMYFUNCTION("QUERY({avax_price!A2:B1000,ARRAYFORMULA(IFERROR(VLOOKUP(avax_price!A2:A1000,avax_supply!$A:B,2,0),""""))},""SELECT *"",0)"),"2022-05-01T00:00:00Z")</f>
        <v>2022-05-01T00:00:00Z</v>
      </c>
      <c r="B2" s="3">
        <f>IFERROR(__xludf.DUMMYFUNCTION("""COMPUTED_VALUE"""),56.941065)</f>
        <v>56.941065</v>
      </c>
      <c r="C2" s="3">
        <f>IFERROR(__xludf.DUMMYFUNCTION("""COMPUTED_VALUE"""),2.68627128404892E8)</f>
        <v>268627128.4</v>
      </c>
      <c r="D2" s="1">
        <v>0.0</v>
      </c>
      <c r="E2" s="1">
        <v>0.0</v>
      </c>
      <c r="F2" s="2" t="str">
        <f t="shared" ref="F2:F1000" si="1">IF(ISBLANK(A2),"","AVAX")</f>
        <v>AVAX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IFERROR(__xludf.DUMMYFUNCTION("""COMPUTED_VALUE"""),58.757096)</f>
        <v>58.757096</v>
      </c>
      <c r="C3" s="3">
        <f>IFERROR(__xludf.DUMMYFUNCTION("""COMPUTED_VALUE"""),2.68623914966897E8)</f>
        <v>268623915</v>
      </c>
      <c r="D3" s="3">
        <f t="shared" ref="D3:D144" si="2">C3-C2</f>
        <v>-3213.437995</v>
      </c>
      <c r="E3" s="3">
        <f t="shared" ref="E3:E144" si="3">B3*D3</f>
        <v>-188812.2848</v>
      </c>
      <c r="F3" s="2" t="str">
        <f t="shared" si="1"/>
        <v>AVAX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IFERROR(__xludf.DUMMYFUNCTION("""COMPUTED_VALUE"""),60.336466)</f>
        <v>60.336466</v>
      </c>
      <c r="C4" s="3">
        <f>IFERROR(__xludf.DUMMYFUNCTION("""COMPUTED_VALUE"""),2.68623016892993E8)</f>
        <v>268623016.9</v>
      </c>
      <c r="D4" s="3">
        <f t="shared" si="2"/>
        <v>-898.073904</v>
      </c>
      <c r="E4" s="3">
        <f t="shared" si="3"/>
        <v>-54186.60558</v>
      </c>
      <c r="F4" s="2" t="str">
        <f t="shared" si="1"/>
        <v>AVAX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IFERROR(__xludf.DUMMYFUNCTION("""COMPUTED_VALUE"""),59.616967)</f>
        <v>59.616967</v>
      </c>
      <c r="C5" s="3">
        <f>IFERROR(__xludf.DUMMYFUNCTION("""COMPUTED_VALUE"""),2.68793826905417E8)</f>
        <v>268793826.9</v>
      </c>
      <c r="D5" s="3">
        <f t="shared" si="2"/>
        <v>170810.0124</v>
      </c>
      <c r="E5" s="3">
        <f t="shared" si="3"/>
        <v>10183174.87</v>
      </c>
      <c r="F5" s="2" t="str">
        <f t="shared" si="1"/>
        <v>AVAX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IFERROR(__xludf.DUMMYFUNCTION("""COMPUTED_VALUE"""),67.264816)</f>
        <v>67.264816</v>
      </c>
      <c r="C6" s="3">
        <f>IFERROR(__xludf.DUMMYFUNCTION("""COMPUTED_VALUE"""),2.68783959649463E8)</f>
        <v>268783959.6</v>
      </c>
      <c r="D6" s="3">
        <f t="shared" si="2"/>
        <v>-9867.255954</v>
      </c>
      <c r="E6" s="3">
        <f t="shared" si="3"/>
        <v>-663719.1562</v>
      </c>
      <c r="F6" s="2" t="str">
        <f t="shared" si="1"/>
        <v>AVAX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IFERROR(__xludf.DUMMYFUNCTION("""COMPUTED_VALUE"""),59.033554)</f>
        <v>59.033554</v>
      </c>
      <c r="C7" s="3">
        <f>IFERROR(__xludf.DUMMYFUNCTION("""COMPUTED_VALUE"""),2.68936889169057E8)</f>
        <v>268936889.2</v>
      </c>
      <c r="D7" s="3">
        <f t="shared" si="2"/>
        <v>152929.5196</v>
      </c>
      <c r="E7" s="3">
        <f t="shared" si="3"/>
        <v>9027973.053</v>
      </c>
      <c r="F7" s="2" t="str">
        <f t="shared" si="1"/>
        <v>AVAX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IFERROR(__xludf.DUMMYFUNCTION("""COMPUTED_VALUE"""),56.977128)</f>
        <v>56.977128</v>
      </c>
      <c r="C8" s="3">
        <f>IFERROR(__xludf.DUMMYFUNCTION("""COMPUTED_VALUE"""),2.68954393114351E8)</f>
        <v>268954393.1</v>
      </c>
      <c r="D8" s="3">
        <f t="shared" si="2"/>
        <v>17503.94529</v>
      </c>
      <c r="E8" s="3">
        <f t="shared" si="3"/>
        <v>997324.5315</v>
      </c>
      <c r="F8" s="2" t="str">
        <f t="shared" si="1"/>
        <v>AVAX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IFERROR(__xludf.DUMMYFUNCTION("""COMPUTED_VALUE"""),55.030184)</f>
        <v>55.030184</v>
      </c>
      <c r="C9" s="3">
        <f>IFERROR(__xludf.DUMMYFUNCTION("""COMPUTED_VALUE"""),2.6895160259934E8)</f>
        <v>268951602.6</v>
      </c>
      <c r="D9" s="3">
        <f t="shared" si="2"/>
        <v>-2790.515011</v>
      </c>
      <c r="E9" s="3">
        <f t="shared" si="3"/>
        <v>-153562.5545</v>
      </c>
      <c r="F9" s="2" t="str">
        <f t="shared" si="1"/>
        <v>AVAX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IFERROR(__xludf.DUMMYFUNCTION("""COMPUTED_VALUE"""),51.633207)</f>
        <v>51.633207</v>
      </c>
      <c r="C10" s="3">
        <f>IFERROR(__xludf.DUMMYFUNCTION("""COMPUTED_VALUE"""),2.68976332293419E8)</f>
        <v>268976332.3</v>
      </c>
      <c r="D10" s="3">
        <f t="shared" si="2"/>
        <v>24729.69408</v>
      </c>
      <c r="E10" s="3">
        <f t="shared" si="3"/>
        <v>1276873.413</v>
      </c>
      <c r="F10" s="2" t="str">
        <f t="shared" si="1"/>
        <v>AVAX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IFERROR(__xludf.DUMMYFUNCTION("""COMPUTED_VALUE"""),41.183864)</f>
        <v>41.183864</v>
      </c>
      <c r="C11" s="3">
        <f>IFERROR(__xludf.DUMMYFUNCTION("""COMPUTED_VALUE"""),2.68968457113569E8)</f>
        <v>268968457.1</v>
      </c>
      <c r="D11" s="3">
        <f t="shared" si="2"/>
        <v>-7875.17985</v>
      </c>
      <c r="E11" s="3">
        <f t="shared" si="3"/>
        <v>-324330.3359</v>
      </c>
      <c r="F11" s="2" t="str">
        <f t="shared" si="1"/>
        <v>AVAX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IFERROR(__xludf.DUMMYFUNCTION("""COMPUTED_VALUE"""),44.564502)</f>
        <v>44.564502</v>
      </c>
      <c r="C12" s="3">
        <f>IFERROR(__xludf.DUMMYFUNCTION("""COMPUTED_VALUE"""),2.68947954013449E8)</f>
        <v>268947954</v>
      </c>
      <c r="D12" s="3">
        <f t="shared" si="2"/>
        <v>-20503.10012</v>
      </c>
      <c r="E12" s="3">
        <f t="shared" si="3"/>
        <v>-913710.4463</v>
      </c>
      <c r="F12" s="2" t="str">
        <f t="shared" si="1"/>
        <v>AVAX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IFERROR(__xludf.DUMMYFUNCTION("""COMPUTED_VALUE"""),31.073369)</f>
        <v>31.073369</v>
      </c>
      <c r="C13" s="3">
        <f>IFERROR(__xludf.DUMMYFUNCTION("""COMPUTED_VALUE"""),2.68929095820024E8)</f>
        <v>268929095.8</v>
      </c>
      <c r="D13" s="3">
        <f t="shared" si="2"/>
        <v>-18858.19342</v>
      </c>
      <c r="E13" s="3">
        <f t="shared" si="3"/>
        <v>-585987.603</v>
      </c>
      <c r="F13" s="2" t="str">
        <f t="shared" si="1"/>
        <v>AVAX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IFERROR(__xludf.DUMMYFUNCTION("""COMPUTED_VALUE"""),30.211758)</f>
        <v>30.211758</v>
      </c>
      <c r="C14" s="3">
        <f>IFERROR(__xludf.DUMMYFUNCTION("""COMPUTED_VALUE"""),2.68931907541479E8)</f>
        <v>268931907.5</v>
      </c>
      <c r="D14" s="3">
        <f t="shared" si="2"/>
        <v>2811.721455</v>
      </c>
      <c r="E14" s="3">
        <f t="shared" si="3"/>
        <v>84947.04816</v>
      </c>
      <c r="F14" s="2" t="str">
        <f t="shared" si="1"/>
        <v>AVAX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IFERROR(__xludf.DUMMYFUNCTION("""COMPUTED_VALUE"""),32.176331)</f>
        <v>32.176331</v>
      </c>
      <c r="C15" s="3">
        <f>IFERROR(__xludf.DUMMYFUNCTION("""COMPUTED_VALUE"""),2.68945820341468E8)</f>
        <v>268945820.3</v>
      </c>
      <c r="D15" s="3">
        <f t="shared" si="2"/>
        <v>13912.79999</v>
      </c>
      <c r="E15" s="3">
        <f t="shared" si="3"/>
        <v>447662.8576</v>
      </c>
      <c r="F15" s="2" t="str">
        <f t="shared" si="1"/>
        <v>AVAX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IFERROR(__xludf.DUMMYFUNCTION("""COMPUTED_VALUE"""),33.890399)</f>
        <v>33.890399</v>
      </c>
      <c r="C16" s="3">
        <f>IFERROR(__xludf.DUMMYFUNCTION("""COMPUTED_VALUE"""),2.69103397061479E8)</f>
        <v>269103397.1</v>
      </c>
      <c r="D16" s="3">
        <f t="shared" si="2"/>
        <v>157576.72</v>
      </c>
      <c r="E16" s="3">
        <f t="shared" si="3"/>
        <v>5340337.914</v>
      </c>
      <c r="F16" s="2" t="str">
        <f t="shared" si="1"/>
        <v>AVAX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IFERROR(__xludf.DUMMYFUNCTION("""COMPUTED_VALUE"""),36.497746)</f>
        <v>36.497746</v>
      </c>
      <c r="C17" s="3">
        <f>IFERROR(__xludf.DUMMYFUNCTION("""COMPUTED_VALUE"""),2.69112211327227E8)</f>
        <v>269112211.3</v>
      </c>
      <c r="D17" s="3">
        <f t="shared" si="2"/>
        <v>8814.265748</v>
      </c>
      <c r="E17" s="3">
        <f t="shared" si="3"/>
        <v>321700.8324</v>
      </c>
      <c r="F17" s="2" t="str">
        <f t="shared" si="1"/>
        <v>AVAX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IFERROR(__xludf.DUMMYFUNCTION("""COMPUTED_VALUE"""),32.530583)</f>
        <v>32.530583</v>
      </c>
      <c r="C18" s="3">
        <f>IFERROR(__xludf.DUMMYFUNCTION("""COMPUTED_VALUE"""),2.69113069320703E8)</f>
        <v>269113069.3</v>
      </c>
      <c r="D18" s="3">
        <f t="shared" si="2"/>
        <v>857.993476</v>
      </c>
      <c r="E18" s="3">
        <f t="shared" si="3"/>
        <v>27911.02799</v>
      </c>
      <c r="F18" s="2" t="str">
        <f t="shared" si="1"/>
        <v>AVAX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IFERROR(__xludf.DUMMYFUNCTION("""COMPUTED_VALUE"""),34.346256)</f>
        <v>34.346256</v>
      </c>
      <c r="C19" s="3">
        <f>IFERROR(__xludf.DUMMYFUNCTION("""COMPUTED_VALUE"""),2.69113150669948E8)</f>
        <v>269113150.7</v>
      </c>
      <c r="D19" s="3">
        <f t="shared" si="2"/>
        <v>81.34924495</v>
      </c>
      <c r="E19" s="3">
        <f t="shared" si="3"/>
        <v>2794.041993</v>
      </c>
      <c r="F19" s="2" t="str">
        <f t="shared" si="1"/>
        <v>AVAX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IFERROR(__xludf.DUMMYFUNCTION("""COMPUTED_VALUE"""),29.557985)</f>
        <v>29.557985</v>
      </c>
      <c r="C20" s="3">
        <f>IFERROR(__xludf.DUMMYFUNCTION("""COMPUTED_VALUE"""),2.69113027620529E8)</f>
        <v>269113027.6</v>
      </c>
      <c r="D20" s="3">
        <f t="shared" si="2"/>
        <v>-123.049419</v>
      </c>
      <c r="E20" s="3">
        <f t="shared" si="3"/>
        <v>-3637.092881</v>
      </c>
      <c r="F20" s="2" t="str">
        <f t="shared" si="1"/>
        <v>AVAX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IFERROR(__xludf.DUMMYFUNCTION("""COMPUTED_VALUE"""),30.354531)</f>
        <v>30.354531</v>
      </c>
      <c r="C21" s="3">
        <f>IFERROR(__xludf.DUMMYFUNCTION("""COMPUTED_VALUE"""),2.69119627119384E8)</f>
        <v>269119627.1</v>
      </c>
      <c r="D21" s="3">
        <f t="shared" si="2"/>
        <v>6599.498855</v>
      </c>
      <c r="E21" s="3">
        <f t="shared" si="3"/>
        <v>200324.6926</v>
      </c>
      <c r="F21" s="2" t="str">
        <f t="shared" si="1"/>
        <v>AVAX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IFERROR(__xludf.DUMMYFUNCTION("""COMPUTED_VALUE"""),28.756221)</f>
        <v>28.756221</v>
      </c>
      <c r="C22" s="3">
        <f>IFERROR(__xludf.DUMMYFUNCTION("""COMPUTED_VALUE"""),2.69119447848031E8)</f>
        <v>269119447.8</v>
      </c>
      <c r="D22" s="3">
        <f t="shared" si="2"/>
        <v>-179.271353</v>
      </c>
      <c r="E22" s="3">
        <f t="shared" si="3"/>
        <v>-5155.166646</v>
      </c>
      <c r="F22" s="2" t="str">
        <f t="shared" si="1"/>
        <v>AVAX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IFERROR(__xludf.DUMMYFUNCTION("""COMPUTED_VALUE"""),29.856778)</f>
        <v>29.856778</v>
      </c>
      <c r="C23" s="3">
        <f>IFERROR(__xludf.DUMMYFUNCTION("""COMPUTED_VALUE"""),2.6933112631268E8)</f>
        <v>269331126.3</v>
      </c>
      <c r="D23" s="3">
        <f t="shared" si="2"/>
        <v>211678.4646</v>
      </c>
      <c r="E23" s="3">
        <f t="shared" si="3"/>
        <v>6320036.926</v>
      </c>
      <c r="F23" s="2" t="str">
        <f t="shared" si="1"/>
        <v>AVAX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IFERROR(__xludf.DUMMYFUNCTION("""COMPUTED_VALUE"""),31.657938)</f>
        <v>31.657938</v>
      </c>
      <c r="C24" s="3">
        <f>IFERROR(__xludf.DUMMYFUNCTION("""COMPUTED_VALUE"""),2.69341150523917E8)</f>
        <v>269341150.5</v>
      </c>
      <c r="D24" s="3">
        <f t="shared" si="2"/>
        <v>10024.21124</v>
      </c>
      <c r="E24" s="3">
        <f t="shared" si="3"/>
        <v>317345.8578</v>
      </c>
      <c r="F24" s="2" t="str">
        <f t="shared" si="1"/>
        <v>AVAX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IFERROR(__xludf.DUMMYFUNCTION("""COMPUTED_VALUE"""),29.0286)</f>
        <v>29.0286</v>
      </c>
      <c r="C25" s="3">
        <f>IFERROR(__xludf.DUMMYFUNCTION("""COMPUTED_VALUE"""),2.70791540969178E8)</f>
        <v>270791541</v>
      </c>
      <c r="D25" s="3">
        <f t="shared" si="2"/>
        <v>1450390.445</v>
      </c>
      <c r="E25" s="3">
        <f t="shared" si="3"/>
        <v>42102804.08</v>
      </c>
      <c r="F25" s="2" t="str">
        <f t="shared" si="1"/>
        <v>AVAX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IFERROR(__xludf.DUMMYFUNCTION("""COMPUTED_VALUE"""),29.028598)</f>
        <v>29.028598</v>
      </c>
      <c r="C26" s="3">
        <f>IFERROR(__xludf.DUMMYFUNCTION("""COMPUTED_VALUE"""),2.70795742302213E8)</f>
        <v>270795742.3</v>
      </c>
      <c r="D26" s="3">
        <f t="shared" si="2"/>
        <v>4201.333035</v>
      </c>
      <c r="E26" s="3">
        <f t="shared" si="3"/>
        <v>121958.8077</v>
      </c>
      <c r="F26" s="2" t="str">
        <f t="shared" si="1"/>
        <v>AVAX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IFERROR(__xludf.DUMMYFUNCTION("""COMPUTED_VALUE"""),27.216433)</f>
        <v>27.216433</v>
      </c>
      <c r="C27" s="3">
        <f>IFERROR(__xludf.DUMMYFUNCTION("""COMPUTED_VALUE"""),2.70802215725872E8)</f>
        <v>270802215.7</v>
      </c>
      <c r="D27" s="3">
        <f t="shared" si="2"/>
        <v>6473.423659</v>
      </c>
      <c r="E27" s="3">
        <f t="shared" si="3"/>
        <v>176183.5013</v>
      </c>
      <c r="F27" s="2" t="str">
        <f t="shared" si="1"/>
        <v>AVAX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IFERROR(__xludf.DUMMYFUNCTION("""COMPUTED_VALUE"""),23.403581)</f>
        <v>23.403581</v>
      </c>
      <c r="C28" s="3">
        <f>IFERROR(__xludf.DUMMYFUNCTION("""COMPUTED_VALUE"""),2.70806872930745E8)</f>
        <v>270806872.9</v>
      </c>
      <c r="D28" s="3">
        <f t="shared" si="2"/>
        <v>4657.204873</v>
      </c>
      <c r="E28" s="3">
        <f t="shared" si="3"/>
        <v>108995.2715</v>
      </c>
      <c r="F28" s="2" t="str">
        <f t="shared" si="1"/>
        <v>AVAX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IFERROR(__xludf.DUMMYFUNCTION("""COMPUTED_VALUE"""),22.568763)</f>
        <v>22.568763</v>
      </c>
      <c r="C29" s="3">
        <f>IFERROR(__xludf.DUMMYFUNCTION("""COMPUTED_VALUE"""),2.71375213897582E8)</f>
        <v>271375213.9</v>
      </c>
      <c r="D29" s="3">
        <f t="shared" si="2"/>
        <v>568340.9668</v>
      </c>
      <c r="E29" s="3">
        <f t="shared" si="3"/>
        <v>12826752.58</v>
      </c>
      <c r="F29" s="2" t="str">
        <f t="shared" si="1"/>
        <v>AVAX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IFERROR(__xludf.DUMMYFUNCTION("""COMPUTED_VALUE"""),24.745245)</f>
        <v>24.745245</v>
      </c>
      <c r="C30" s="3">
        <f>IFERROR(__xludf.DUMMYFUNCTION("""COMPUTED_VALUE"""),2.71376393325005E8)</f>
        <v>271376393.3</v>
      </c>
      <c r="D30" s="3">
        <f t="shared" si="2"/>
        <v>1179.427423</v>
      </c>
      <c r="E30" s="3">
        <f t="shared" si="3"/>
        <v>29185.22054</v>
      </c>
      <c r="F30" s="2" t="str">
        <f t="shared" si="1"/>
        <v>AVAX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IFERROR(__xludf.DUMMYFUNCTION("""COMPUTED_VALUE"""),26.1629)</f>
        <v>26.1629</v>
      </c>
      <c r="C31" s="3">
        <f>IFERROR(__xludf.DUMMYFUNCTION("""COMPUTED_VALUE"""),2.71383996033269E8)</f>
        <v>271383996</v>
      </c>
      <c r="D31" s="3">
        <f t="shared" si="2"/>
        <v>7602.708264</v>
      </c>
      <c r="E31" s="3">
        <f t="shared" si="3"/>
        <v>198908.896</v>
      </c>
      <c r="F31" s="2" t="str">
        <f t="shared" si="1"/>
        <v>AVAX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IFERROR(__xludf.DUMMYFUNCTION("""COMPUTED_VALUE"""),27.664586)</f>
        <v>27.664586</v>
      </c>
      <c r="C32" s="3">
        <f>IFERROR(__xludf.DUMMYFUNCTION("""COMPUTED_VALUE"""),2.71400401420527E8)</f>
        <v>271400401.4</v>
      </c>
      <c r="D32" s="3">
        <f t="shared" si="2"/>
        <v>16405.38726</v>
      </c>
      <c r="E32" s="3">
        <f t="shared" si="3"/>
        <v>453848.2467</v>
      </c>
      <c r="F32" s="2" t="str">
        <f t="shared" si="1"/>
        <v>AVAX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IFERROR(__xludf.DUMMYFUNCTION("""COMPUTED_VALUE"""),26.409517)</f>
        <v>26.409517</v>
      </c>
      <c r="C33" s="3">
        <f>IFERROR(__xludf.DUMMYFUNCTION("""COMPUTED_VALUE"""),2.71408046751526E8)</f>
        <v>271408046.8</v>
      </c>
      <c r="D33" s="3">
        <f t="shared" si="2"/>
        <v>7645.330999</v>
      </c>
      <c r="E33" s="3">
        <f t="shared" si="3"/>
        <v>201909.499</v>
      </c>
      <c r="F33" s="2" t="str">
        <f t="shared" si="1"/>
        <v>AVAX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IFERROR(__xludf.DUMMYFUNCTION("""COMPUTED_VALUE"""),23.721279)</f>
        <v>23.721279</v>
      </c>
      <c r="C34" s="3">
        <f>IFERROR(__xludf.DUMMYFUNCTION("""COMPUTED_VALUE"""),2.80766753151298E8)</f>
        <v>280766753.2</v>
      </c>
      <c r="D34" s="3">
        <f t="shared" si="2"/>
        <v>9358706.4</v>
      </c>
      <c r="E34" s="3">
        <f t="shared" si="3"/>
        <v>222000485.6</v>
      </c>
      <c r="F34" s="2" t="str">
        <f t="shared" si="1"/>
        <v>AVAX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IFERROR(__xludf.DUMMYFUNCTION("""COMPUTED_VALUE"""),24.616337)</f>
        <v>24.616337</v>
      </c>
      <c r="C35" s="3">
        <f>IFERROR(__xludf.DUMMYFUNCTION("""COMPUTED_VALUE"""),2.80770973820404E8)</f>
        <v>280770973.8</v>
      </c>
      <c r="D35" s="3">
        <f t="shared" si="2"/>
        <v>4220.669106</v>
      </c>
      <c r="E35" s="3">
        <f t="shared" si="3"/>
        <v>103897.4131</v>
      </c>
      <c r="F35" s="2" t="str">
        <f t="shared" si="1"/>
        <v>AVAX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IFERROR(__xludf.DUMMYFUNCTION("""COMPUTED_VALUE"""),22.975042)</f>
        <v>22.975042</v>
      </c>
      <c r="C36" s="3">
        <f>IFERROR(__xludf.DUMMYFUNCTION("""COMPUTED_VALUE"""),2.80808944448041E8)</f>
        <v>280808944.4</v>
      </c>
      <c r="D36" s="3">
        <f t="shared" si="2"/>
        <v>37970.62764</v>
      </c>
      <c r="E36" s="3">
        <f t="shared" si="3"/>
        <v>872376.7647</v>
      </c>
      <c r="F36" s="2" t="str">
        <f t="shared" si="1"/>
        <v>AVAX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IFERROR(__xludf.DUMMYFUNCTION("""COMPUTED_VALUE"""),24.56346)</f>
        <v>24.56346</v>
      </c>
      <c r="C37" s="3">
        <f>IFERROR(__xludf.DUMMYFUNCTION("""COMPUTED_VALUE"""),2.80823930604573E8)</f>
        <v>280823930.6</v>
      </c>
      <c r="D37" s="3">
        <f t="shared" si="2"/>
        <v>14986.15653</v>
      </c>
      <c r="E37" s="3">
        <f t="shared" si="3"/>
        <v>368111.8565</v>
      </c>
      <c r="F37" s="2" t="str">
        <f t="shared" si="1"/>
        <v>AVAX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IFERROR(__xludf.DUMMYFUNCTION("""COMPUTED_VALUE"""),24.158524)</f>
        <v>24.158524</v>
      </c>
      <c r="C38" s="3">
        <f>IFERROR(__xludf.DUMMYFUNCTION("""COMPUTED_VALUE"""),2.80832160265884E8)</f>
        <v>280832160.3</v>
      </c>
      <c r="D38" s="3">
        <f t="shared" si="2"/>
        <v>8229.661311</v>
      </c>
      <c r="E38" s="3">
        <f t="shared" si="3"/>
        <v>198816.4703</v>
      </c>
      <c r="F38" s="2" t="str">
        <f t="shared" si="1"/>
        <v>AVAX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IFERROR(__xludf.DUMMYFUNCTION("""COMPUTED_VALUE"""),25.980069)</f>
        <v>25.980069</v>
      </c>
      <c r="C39" s="3">
        <f>IFERROR(__xludf.DUMMYFUNCTION("""COMPUTED_VALUE"""),2.80929443772301E8)</f>
        <v>280929443.8</v>
      </c>
      <c r="D39" s="3">
        <f t="shared" si="2"/>
        <v>97283.50642</v>
      </c>
      <c r="E39" s="3">
        <f t="shared" si="3"/>
        <v>2527432.209</v>
      </c>
      <c r="F39" s="2" t="str">
        <f t="shared" si="1"/>
        <v>AVAX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IFERROR(__xludf.DUMMYFUNCTION("""COMPUTED_VALUE"""),24.576673)</f>
        <v>24.576673</v>
      </c>
      <c r="C40" s="3">
        <f>IFERROR(__xludf.DUMMYFUNCTION("""COMPUTED_VALUE"""),2.80935705757848E8)</f>
        <v>280935705.8</v>
      </c>
      <c r="D40" s="3">
        <f t="shared" si="2"/>
        <v>6261.985547</v>
      </c>
      <c r="E40" s="3">
        <f t="shared" si="3"/>
        <v>153898.7711</v>
      </c>
      <c r="F40" s="2" t="str">
        <f t="shared" si="1"/>
        <v>AVAX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IFERROR(__xludf.DUMMYFUNCTION("""COMPUTED_VALUE"""),24.492165)</f>
        <v>24.492165</v>
      </c>
      <c r="C41" s="3">
        <f>IFERROR(__xludf.DUMMYFUNCTION("""COMPUTED_VALUE"""),2.80949960271285E8)</f>
        <v>280949960.3</v>
      </c>
      <c r="D41" s="3">
        <f t="shared" si="2"/>
        <v>14254.51344</v>
      </c>
      <c r="E41" s="3">
        <f t="shared" si="3"/>
        <v>349123.8951</v>
      </c>
      <c r="F41" s="2" t="str">
        <f t="shared" si="1"/>
        <v>AVAX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IFERROR(__xludf.DUMMYFUNCTION("""COMPUTED_VALUE"""),24.393867)</f>
        <v>24.393867</v>
      </c>
      <c r="C42" s="3">
        <f>IFERROR(__xludf.DUMMYFUNCTION("""COMPUTED_VALUE"""),2.80971596977603E8)</f>
        <v>280971597</v>
      </c>
      <c r="D42" s="3">
        <f t="shared" si="2"/>
        <v>21636.70632</v>
      </c>
      <c r="E42" s="3">
        <f t="shared" si="3"/>
        <v>527802.9362</v>
      </c>
      <c r="F42" s="2" t="str">
        <f t="shared" si="1"/>
        <v>AVAX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IFERROR(__xludf.DUMMYFUNCTION("""COMPUTED_VALUE"""),22.054148)</f>
        <v>22.054148</v>
      </c>
      <c r="C43" s="3">
        <f>IFERROR(__xludf.DUMMYFUNCTION("""COMPUTED_VALUE"""),2.80978229751759E8)</f>
        <v>280978229.8</v>
      </c>
      <c r="D43" s="3">
        <f t="shared" si="2"/>
        <v>6632.774156</v>
      </c>
      <c r="E43" s="3">
        <f t="shared" si="3"/>
        <v>146280.1829</v>
      </c>
      <c r="F43" s="2" t="str">
        <f t="shared" si="1"/>
        <v>AVAX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IFERROR(__xludf.DUMMYFUNCTION("""COMPUTED_VALUE"""),19.883947)</f>
        <v>19.883947</v>
      </c>
      <c r="C44" s="3">
        <f>IFERROR(__xludf.DUMMYFUNCTION("""COMPUTED_VALUE"""),2.80980345694292E8)</f>
        <v>280980345.7</v>
      </c>
      <c r="D44" s="3">
        <f t="shared" si="2"/>
        <v>2115.942533</v>
      </c>
      <c r="E44" s="3">
        <f t="shared" si="3"/>
        <v>42073.28918</v>
      </c>
      <c r="F44" s="2" t="str">
        <f t="shared" si="1"/>
        <v>AVAX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IFERROR(__xludf.DUMMYFUNCTION("""COMPUTED_VALUE"""),17.264363)</f>
        <v>17.264363</v>
      </c>
      <c r="C45" s="3">
        <f>IFERROR(__xludf.DUMMYFUNCTION("""COMPUTED_VALUE"""),2.80982716072991E8)</f>
        <v>280982716.1</v>
      </c>
      <c r="D45" s="3">
        <f t="shared" si="2"/>
        <v>2370.378699</v>
      </c>
      <c r="E45" s="3">
        <f t="shared" si="3"/>
        <v>40923.07831</v>
      </c>
      <c r="F45" s="2" t="str">
        <f t="shared" si="1"/>
        <v>AVAX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IFERROR(__xludf.DUMMYFUNCTION("""COMPUTED_VALUE"""),16.075291)</f>
        <v>16.075291</v>
      </c>
      <c r="C46" s="3">
        <f>IFERROR(__xludf.DUMMYFUNCTION("""COMPUTED_VALUE"""),2.80991851341308E8)</f>
        <v>280991851.3</v>
      </c>
      <c r="D46" s="3">
        <f t="shared" si="2"/>
        <v>9135.268317</v>
      </c>
      <c r="E46" s="3">
        <f t="shared" si="3"/>
        <v>146852.0966</v>
      </c>
      <c r="F46" s="2" t="str">
        <f t="shared" si="1"/>
        <v>AVAX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IFERROR(__xludf.DUMMYFUNCTION("""COMPUTED_VALUE"""),16.55134)</f>
        <v>16.55134</v>
      </c>
      <c r="C47" s="3">
        <f>IFERROR(__xludf.DUMMYFUNCTION("""COMPUTED_VALUE"""),2.80993230176532E8)</f>
        <v>280993230.2</v>
      </c>
      <c r="D47" s="3">
        <f t="shared" si="2"/>
        <v>1378.835224</v>
      </c>
      <c r="E47" s="3">
        <f t="shared" si="3"/>
        <v>22821.5706</v>
      </c>
      <c r="F47" s="2" t="str">
        <f t="shared" si="1"/>
        <v>AVAX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IFERROR(__xludf.DUMMYFUNCTION("""COMPUTED_VALUE"""),18.291265)</f>
        <v>18.291265</v>
      </c>
      <c r="C48" s="3">
        <f>IFERROR(__xludf.DUMMYFUNCTION("""COMPUTED_VALUE"""),2.81012028648612E8)</f>
        <v>281012028.6</v>
      </c>
      <c r="D48" s="3">
        <f t="shared" si="2"/>
        <v>18798.47208</v>
      </c>
      <c r="E48" s="3">
        <f t="shared" si="3"/>
        <v>343847.8344</v>
      </c>
      <c r="F48" s="2" t="str">
        <f t="shared" si="1"/>
        <v>AVAX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IFERROR(__xludf.DUMMYFUNCTION("""COMPUTED_VALUE"""),15.777156)</f>
        <v>15.777156</v>
      </c>
      <c r="C49" s="3">
        <f>IFERROR(__xludf.DUMMYFUNCTION("""COMPUTED_VALUE"""),2.81013153453492E8)</f>
        <v>281013153.5</v>
      </c>
      <c r="D49" s="3">
        <f t="shared" si="2"/>
        <v>1124.80488</v>
      </c>
      <c r="E49" s="3">
        <f t="shared" si="3"/>
        <v>17746.22206</v>
      </c>
      <c r="F49" s="2" t="str">
        <f t="shared" si="1"/>
        <v>AVAX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IFERROR(__xludf.DUMMYFUNCTION("""COMPUTED_VALUE"""),15.973566)</f>
        <v>15.973566</v>
      </c>
      <c r="C50" s="3">
        <f>IFERROR(__xludf.DUMMYFUNCTION("""COMPUTED_VALUE"""),2.81011091003218E8)</f>
        <v>281011091</v>
      </c>
      <c r="D50" s="3">
        <f t="shared" si="2"/>
        <v>-2062.450274</v>
      </c>
      <c r="E50" s="3">
        <f t="shared" si="3"/>
        <v>-32944.68557</v>
      </c>
      <c r="F50" s="2" t="str">
        <f t="shared" si="1"/>
        <v>AVAX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IFERROR(__xludf.DUMMYFUNCTION("""COMPUTED_VALUE"""),14.819876)</f>
        <v>14.819876</v>
      </c>
      <c r="C51" s="3">
        <f>IFERROR(__xludf.DUMMYFUNCTION("""COMPUTED_VALUE"""),2.81031218244532E8)</f>
        <v>281031218.2</v>
      </c>
      <c r="D51" s="3">
        <f t="shared" si="2"/>
        <v>20127.24131</v>
      </c>
      <c r="E51" s="3">
        <f t="shared" si="3"/>
        <v>298283.2205</v>
      </c>
      <c r="F51" s="2" t="str">
        <f t="shared" si="1"/>
        <v>AVAX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IFERROR(__xludf.DUMMYFUNCTION("""COMPUTED_VALUE"""),16.144077)</f>
        <v>16.144077</v>
      </c>
      <c r="C52" s="3">
        <f>IFERROR(__xludf.DUMMYFUNCTION("""COMPUTED_VALUE"""),2.81044415376601E8)</f>
        <v>281044415.4</v>
      </c>
      <c r="D52" s="3">
        <f t="shared" si="2"/>
        <v>13197.13207</v>
      </c>
      <c r="E52" s="3">
        <f t="shared" si="3"/>
        <v>213055.5163</v>
      </c>
      <c r="F52" s="2" t="str">
        <f t="shared" si="1"/>
        <v>AVAX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IFERROR(__xludf.DUMMYFUNCTION("""COMPUTED_VALUE"""),17.076136)</f>
        <v>17.076136</v>
      </c>
      <c r="C53" s="3">
        <f>IFERROR(__xludf.DUMMYFUNCTION("""COMPUTED_VALUE"""),2.81077769403529E8)</f>
        <v>281077769.4</v>
      </c>
      <c r="D53" s="3">
        <f t="shared" si="2"/>
        <v>33354.02693</v>
      </c>
      <c r="E53" s="3">
        <f t="shared" si="3"/>
        <v>569557.9</v>
      </c>
      <c r="F53" s="2" t="str">
        <f t="shared" si="1"/>
        <v>AVAX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IFERROR(__xludf.DUMMYFUNCTION("""COMPUTED_VALUE"""),16.894963)</f>
        <v>16.894963</v>
      </c>
      <c r="C54" s="3">
        <f>IFERROR(__xludf.DUMMYFUNCTION("""COMPUTED_VALUE"""),2.81199802954451E8)</f>
        <v>281199803</v>
      </c>
      <c r="D54" s="3">
        <f t="shared" si="2"/>
        <v>122033.5509</v>
      </c>
      <c r="E54" s="3">
        <f t="shared" si="3"/>
        <v>2061752.328</v>
      </c>
      <c r="F54" s="2" t="str">
        <f t="shared" si="1"/>
        <v>AVAX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IFERROR(__xludf.DUMMYFUNCTION("""COMPUTED_VALUE"""),16.069867)</f>
        <v>16.069867</v>
      </c>
      <c r="C55" s="3">
        <f>IFERROR(__xludf.DUMMYFUNCTION("""COMPUTED_VALUE"""),2.8136707118576E8)</f>
        <v>281367071.2</v>
      </c>
      <c r="D55" s="3">
        <f t="shared" si="2"/>
        <v>167268.2313</v>
      </c>
      <c r="E55" s="3">
        <f t="shared" si="3"/>
        <v>2687978.23</v>
      </c>
      <c r="F55" s="2" t="str">
        <f t="shared" si="1"/>
        <v>AVAX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IFERROR(__xludf.DUMMYFUNCTION("""COMPUTED_VALUE"""),18.271539)</f>
        <v>18.271539</v>
      </c>
      <c r="C56" s="3">
        <f>IFERROR(__xludf.DUMMYFUNCTION("""COMPUTED_VALUE"""),2.81534864536761E8)</f>
        <v>281534864.5</v>
      </c>
      <c r="D56" s="3">
        <f t="shared" si="2"/>
        <v>167793.351</v>
      </c>
      <c r="E56" s="3">
        <f t="shared" si="3"/>
        <v>3065842.757</v>
      </c>
      <c r="F56" s="2" t="str">
        <f t="shared" si="1"/>
        <v>AVAX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IFERROR(__xludf.DUMMYFUNCTION("""COMPUTED_VALUE"""),20.179812)</f>
        <v>20.179812</v>
      </c>
      <c r="C57" s="3">
        <f>IFERROR(__xludf.DUMMYFUNCTION("""COMPUTED_VALUE"""),2.81670708159019E8)</f>
        <v>281670708.2</v>
      </c>
      <c r="D57" s="3">
        <f t="shared" si="2"/>
        <v>135843.6223</v>
      </c>
      <c r="E57" s="3">
        <f t="shared" si="3"/>
        <v>2741298.759</v>
      </c>
      <c r="F57" s="2" t="str">
        <f t="shared" si="1"/>
        <v>AVAX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IFERROR(__xludf.DUMMYFUNCTION("""COMPUTED_VALUE"""),21.359284)</f>
        <v>21.359284</v>
      </c>
      <c r="C58" s="3">
        <f>IFERROR(__xludf.DUMMYFUNCTION("""COMPUTED_VALUE"""),2.81831368352135E8)</f>
        <v>281831368.4</v>
      </c>
      <c r="D58" s="3">
        <f t="shared" si="2"/>
        <v>160660.1931</v>
      </c>
      <c r="E58" s="3">
        <f t="shared" si="3"/>
        <v>3431586.692</v>
      </c>
      <c r="F58" s="2" t="str">
        <f t="shared" si="1"/>
        <v>AVAX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IFERROR(__xludf.DUMMYFUNCTION("""COMPUTED_VALUE"""),19.70914)</f>
        <v>19.70914</v>
      </c>
      <c r="C59" s="3">
        <f>IFERROR(__xludf.DUMMYFUNCTION("""COMPUTED_VALUE"""),2.81999094574317E8)</f>
        <v>281999094.6</v>
      </c>
      <c r="D59" s="3">
        <f t="shared" si="2"/>
        <v>167726.2222</v>
      </c>
      <c r="E59" s="3">
        <f t="shared" si="3"/>
        <v>3305739.595</v>
      </c>
      <c r="F59" s="2" t="str">
        <f t="shared" si="1"/>
        <v>AVAX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IFERROR(__xludf.DUMMYFUNCTION("""COMPUTED_VALUE"""),19.312528)</f>
        <v>19.312528</v>
      </c>
      <c r="C60" s="3">
        <f>IFERROR(__xludf.DUMMYFUNCTION("""COMPUTED_VALUE"""),2.82155185123696E8)</f>
        <v>282155185.1</v>
      </c>
      <c r="D60" s="3">
        <f t="shared" si="2"/>
        <v>156090.5494</v>
      </c>
      <c r="E60" s="3">
        <f t="shared" si="3"/>
        <v>3014503.105</v>
      </c>
      <c r="F60" s="2" t="str">
        <f t="shared" si="1"/>
        <v>AVAX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IFERROR(__xludf.DUMMYFUNCTION("""COMPUTED_VALUE"""),18.081175)</f>
        <v>18.081175</v>
      </c>
      <c r="C61" s="3">
        <f>IFERROR(__xludf.DUMMYFUNCTION("""COMPUTED_VALUE"""),2.82302525502339E8)</f>
        <v>282302525.5</v>
      </c>
      <c r="D61" s="3">
        <f t="shared" si="2"/>
        <v>147340.3786</v>
      </c>
      <c r="E61" s="3">
        <f t="shared" si="3"/>
        <v>2664087.171</v>
      </c>
      <c r="F61" s="2" t="str">
        <f t="shared" si="1"/>
        <v>AVAX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IFERROR(__xludf.DUMMYFUNCTION("""COMPUTED_VALUE"""),17.777767)</f>
        <v>17.777767</v>
      </c>
      <c r="C62" s="3">
        <f>IFERROR(__xludf.DUMMYFUNCTION("""COMPUTED_VALUE"""),2.82366821172595E8)</f>
        <v>282366821.2</v>
      </c>
      <c r="D62" s="3">
        <f t="shared" si="2"/>
        <v>64295.67026</v>
      </c>
      <c r="E62" s="3">
        <f t="shared" si="3"/>
        <v>1143033.445</v>
      </c>
      <c r="F62" s="2" t="str">
        <f t="shared" si="1"/>
        <v>AVAX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IFERROR(__xludf.DUMMYFUNCTION("""COMPUTED_VALUE"""),16.961424)</f>
        <v>16.961424</v>
      </c>
      <c r="C63" s="3">
        <f>IFERROR(__xludf.DUMMYFUNCTION("""COMPUTED_VALUE"""),2.82417305330826E8)</f>
        <v>282417305.3</v>
      </c>
      <c r="D63" s="3">
        <f t="shared" si="2"/>
        <v>50484.15823</v>
      </c>
      <c r="E63" s="3">
        <f t="shared" si="3"/>
        <v>856283.213</v>
      </c>
      <c r="F63" s="2" t="str">
        <f t="shared" si="1"/>
        <v>AVAX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IFERROR(__xludf.DUMMYFUNCTION("""COMPUTED_VALUE"""),16.101998)</f>
        <v>16.101998</v>
      </c>
      <c r="C64" s="3">
        <f>IFERROR(__xludf.DUMMYFUNCTION("""COMPUTED_VALUE"""),2.82469345255986E8)</f>
        <v>282469345.3</v>
      </c>
      <c r="D64" s="3">
        <f t="shared" si="2"/>
        <v>52039.92516</v>
      </c>
      <c r="E64" s="3">
        <f t="shared" si="3"/>
        <v>837946.7708</v>
      </c>
      <c r="F64" s="2" t="str">
        <f t="shared" si="1"/>
        <v>AVAX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IFERROR(__xludf.DUMMYFUNCTION("""COMPUTED_VALUE"""),16.309646)</f>
        <v>16.309646</v>
      </c>
      <c r="C65" s="3">
        <f>IFERROR(__xludf.DUMMYFUNCTION("""COMPUTED_VALUE"""),2.82573057720252E8)</f>
        <v>282573057.7</v>
      </c>
      <c r="D65" s="3">
        <f t="shared" si="2"/>
        <v>103712.4643</v>
      </c>
      <c r="E65" s="3">
        <f t="shared" si="3"/>
        <v>1691513.578</v>
      </c>
      <c r="F65" s="2" t="str">
        <f t="shared" si="1"/>
        <v>AVAX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IFERROR(__xludf.DUMMYFUNCTION("""COMPUTED_VALUE"""),16.629297)</f>
        <v>16.629297</v>
      </c>
      <c r="C66" s="3">
        <f>IFERROR(__xludf.DUMMYFUNCTION("""COMPUTED_VALUE"""),2.82651184443657E8)</f>
        <v>282651184.4</v>
      </c>
      <c r="D66" s="3">
        <f t="shared" si="2"/>
        <v>78126.72341</v>
      </c>
      <c r="E66" s="3">
        <f t="shared" si="3"/>
        <v>1299192.487</v>
      </c>
      <c r="F66" s="2" t="str">
        <f t="shared" si="1"/>
        <v>AVAX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IFERROR(__xludf.DUMMYFUNCTION("""COMPUTED_VALUE"""),17.902831)</f>
        <v>17.902831</v>
      </c>
      <c r="C67" s="3">
        <f>IFERROR(__xludf.DUMMYFUNCTION("""COMPUTED_VALUE"""),2.82882857195296E8)</f>
        <v>282882857.2</v>
      </c>
      <c r="D67" s="3">
        <f t="shared" si="2"/>
        <v>231672.7516</v>
      </c>
      <c r="E67" s="3">
        <f t="shared" si="3"/>
        <v>4147598.12</v>
      </c>
      <c r="F67" s="2" t="str">
        <f t="shared" si="1"/>
        <v>AVAX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IFERROR(__xludf.DUMMYFUNCTION("""COMPUTED_VALUE"""),18.023312)</f>
        <v>18.023312</v>
      </c>
      <c r="C68" s="3">
        <f>IFERROR(__xludf.DUMMYFUNCTION("""COMPUTED_VALUE"""),2.82965131597024E8)</f>
        <v>282965131.6</v>
      </c>
      <c r="D68" s="3">
        <f t="shared" si="2"/>
        <v>82274.40173</v>
      </c>
      <c r="E68" s="3">
        <f t="shared" si="3"/>
        <v>1482857.212</v>
      </c>
      <c r="F68" s="2" t="str">
        <f t="shared" si="1"/>
        <v>AVAX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IFERROR(__xludf.DUMMYFUNCTION("""COMPUTED_VALUE"""),19.158511)</f>
        <v>19.158511</v>
      </c>
      <c r="C69" s="3">
        <f>IFERROR(__xludf.DUMMYFUNCTION("""COMPUTED_VALUE"""),2.83037898990242E8)</f>
        <v>283037899</v>
      </c>
      <c r="D69" s="3">
        <f t="shared" si="2"/>
        <v>72767.39322</v>
      </c>
      <c r="E69" s="3">
        <f t="shared" si="3"/>
        <v>1394114.903</v>
      </c>
      <c r="F69" s="2" t="str">
        <f t="shared" si="1"/>
        <v>AVAX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IFERROR(__xludf.DUMMYFUNCTION("""COMPUTED_VALUE"""),20.180845)</f>
        <v>20.180845</v>
      </c>
      <c r="C70" s="3">
        <f>IFERROR(__xludf.DUMMYFUNCTION("""COMPUTED_VALUE"""),2.83131672677295E8)</f>
        <v>283131672.7</v>
      </c>
      <c r="D70" s="3">
        <f t="shared" si="2"/>
        <v>93773.68705</v>
      </c>
      <c r="E70" s="3">
        <f t="shared" si="3"/>
        <v>1892432.243</v>
      </c>
      <c r="F70" s="2" t="str">
        <f t="shared" si="1"/>
        <v>AVAX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IFERROR(__xludf.DUMMYFUNCTION("""COMPUTED_VALUE"""),19.710246)</f>
        <v>19.710246</v>
      </c>
      <c r="C71" s="3">
        <f>IFERROR(__xludf.DUMMYFUNCTION("""COMPUTED_VALUE"""),2.83229016247874E8)</f>
        <v>283229016.2</v>
      </c>
      <c r="D71" s="3">
        <f t="shared" si="2"/>
        <v>97343.57058</v>
      </c>
      <c r="E71" s="3">
        <f t="shared" si="3"/>
        <v>1918665.723</v>
      </c>
      <c r="F71" s="2" t="str">
        <f t="shared" si="1"/>
        <v>AVAX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IFERROR(__xludf.DUMMYFUNCTION("""COMPUTED_VALUE"""),19.889906)</f>
        <v>19.889906</v>
      </c>
      <c r="C72" s="3">
        <f>IFERROR(__xludf.DUMMYFUNCTION("""COMPUTED_VALUE"""),2.83315157315312E8)</f>
        <v>283315157.3</v>
      </c>
      <c r="D72" s="3">
        <f t="shared" si="2"/>
        <v>86141.06744</v>
      </c>
      <c r="E72" s="3">
        <f t="shared" si="3"/>
        <v>1713337.734</v>
      </c>
      <c r="F72" s="2" t="str">
        <f t="shared" si="1"/>
        <v>AVAX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IFERROR(__xludf.DUMMYFUNCTION("""COMPUTED_VALUE"""),19.157698)</f>
        <v>19.157698</v>
      </c>
      <c r="C73" s="3">
        <f>IFERROR(__xludf.DUMMYFUNCTION("""COMPUTED_VALUE"""),2.8337613045985E8)</f>
        <v>283376130.5</v>
      </c>
      <c r="D73" s="3">
        <f t="shared" si="2"/>
        <v>60973.14454</v>
      </c>
      <c r="E73" s="3">
        <f t="shared" si="3"/>
        <v>1168105.089</v>
      </c>
      <c r="F73" s="2" t="str">
        <f t="shared" si="1"/>
        <v>AVAX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IFERROR(__xludf.DUMMYFUNCTION("""COMPUTED_VALUE"""),17.314704)</f>
        <v>17.314704</v>
      </c>
      <c r="C74" s="3">
        <f>IFERROR(__xludf.DUMMYFUNCTION("""COMPUTED_VALUE"""),2.83452828663794E8)</f>
        <v>283452828.7</v>
      </c>
      <c r="D74" s="3">
        <f t="shared" si="2"/>
        <v>76698.20394</v>
      </c>
      <c r="E74" s="3">
        <f t="shared" si="3"/>
        <v>1328006.699</v>
      </c>
      <c r="F74" s="2" t="str">
        <f t="shared" si="1"/>
        <v>AVAX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IFERROR(__xludf.DUMMYFUNCTION("""COMPUTED_VALUE"""),16.730529)</f>
        <v>16.730529</v>
      </c>
      <c r="C75" s="3">
        <f>IFERROR(__xludf.DUMMYFUNCTION("""COMPUTED_VALUE"""),2.83538565223786E8)</f>
        <v>283538565.2</v>
      </c>
      <c r="D75" s="3">
        <f t="shared" si="2"/>
        <v>85736.55999</v>
      </c>
      <c r="E75" s="3">
        <f t="shared" si="3"/>
        <v>1434418.003</v>
      </c>
      <c r="F75" s="2" t="str">
        <f t="shared" si="1"/>
        <v>AVAX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IFERROR(__xludf.DUMMYFUNCTION("""COMPUTED_VALUE"""),18.811775)</f>
        <v>18.811775</v>
      </c>
      <c r="C76" s="3">
        <f>IFERROR(__xludf.DUMMYFUNCTION("""COMPUTED_VALUE"""),2.8362960077586E8)</f>
        <v>283629600.8</v>
      </c>
      <c r="D76" s="3">
        <f t="shared" si="2"/>
        <v>91035.55207</v>
      </c>
      <c r="E76" s="3">
        <f t="shared" si="3"/>
        <v>1712540.323</v>
      </c>
      <c r="F76" s="2" t="str">
        <f t="shared" si="1"/>
        <v>AVAX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IFERROR(__xludf.DUMMYFUNCTION("""COMPUTED_VALUE"""),19.74532)</f>
        <v>19.74532</v>
      </c>
      <c r="C77" s="3">
        <f>IFERROR(__xludf.DUMMYFUNCTION("""COMPUTED_VALUE"""),2.83720446866376E8)</f>
        <v>283720446.9</v>
      </c>
      <c r="D77" s="3">
        <f t="shared" si="2"/>
        <v>90846.09052</v>
      </c>
      <c r="E77" s="3">
        <f t="shared" si="3"/>
        <v>1793785.128</v>
      </c>
      <c r="F77" s="2" t="str">
        <f t="shared" si="1"/>
        <v>AVAX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IFERROR(__xludf.DUMMYFUNCTION("""COMPUTED_VALUE"""),19.364371)</f>
        <v>19.364371</v>
      </c>
      <c r="C78" s="3">
        <f>IFERROR(__xludf.DUMMYFUNCTION("""COMPUTED_VALUE"""),2.83839215123174E8)</f>
        <v>283839215.1</v>
      </c>
      <c r="D78" s="3">
        <f t="shared" si="2"/>
        <v>118768.2568</v>
      </c>
      <c r="E78" s="3">
        <f t="shared" si="3"/>
        <v>2299872.588</v>
      </c>
      <c r="F78" s="2" t="str">
        <f t="shared" si="1"/>
        <v>AVAX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IFERROR(__xludf.DUMMYFUNCTION("""COMPUTED_VALUE"""),21.240712)</f>
        <v>21.240712</v>
      </c>
      <c r="C79" s="3">
        <f>IFERROR(__xludf.DUMMYFUNCTION("""COMPUTED_VALUE"""),2.83842803573867E8)</f>
        <v>283842803.6</v>
      </c>
      <c r="D79" s="3">
        <f t="shared" si="2"/>
        <v>3588.450693</v>
      </c>
      <c r="E79" s="3">
        <f t="shared" si="3"/>
        <v>76221.2477</v>
      </c>
      <c r="F79" s="2" t="str">
        <f t="shared" si="1"/>
        <v>AVAX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IFERROR(__xludf.DUMMYFUNCTION("""COMPUTED_VALUE"""),20.617041)</f>
        <v>20.617041</v>
      </c>
      <c r="C80" s="3">
        <f>IFERROR(__xludf.DUMMYFUNCTION("""COMPUTED_VALUE"""),2.83854148057464E8)</f>
        <v>283854148.1</v>
      </c>
      <c r="D80" s="3">
        <f t="shared" si="2"/>
        <v>11344.4836</v>
      </c>
      <c r="E80" s="3">
        <f t="shared" si="3"/>
        <v>233889.6834</v>
      </c>
      <c r="F80" s="2" t="str">
        <f t="shared" si="1"/>
        <v>AVAX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IFERROR(__xludf.DUMMYFUNCTION("""COMPUTED_VALUE"""),23.951779)</f>
        <v>23.951779</v>
      </c>
      <c r="C81" s="3">
        <f>IFERROR(__xludf.DUMMYFUNCTION("""COMPUTED_VALUE"""),2.83857595515193E8)</f>
        <v>283857595.5</v>
      </c>
      <c r="D81" s="3">
        <f t="shared" si="2"/>
        <v>3447.457729</v>
      </c>
      <c r="E81" s="3">
        <f t="shared" si="3"/>
        <v>82572.74564</v>
      </c>
      <c r="F81" s="2" t="str">
        <f t="shared" si="1"/>
        <v>AVAX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IFERROR(__xludf.DUMMYFUNCTION("""COMPUTED_VALUE"""),24.71253)</f>
        <v>24.71253</v>
      </c>
      <c r="C82" s="3">
        <f>IFERROR(__xludf.DUMMYFUNCTION("""COMPUTED_VALUE"""),2.8387362335558E8)</f>
        <v>283873623.4</v>
      </c>
      <c r="D82" s="3">
        <f t="shared" si="2"/>
        <v>16027.84039</v>
      </c>
      <c r="E82" s="3">
        <f t="shared" si="3"/>
        <v>396088.4864</v>
      </c>
      <c r="F82" s="2" t="str">
        <f t="shared" si="1"/>
        <v>AVAX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IFERROR(__xludf.DUMMYFUNCTION("""COMPUTED_VALUE"""),23.584925)</f>
        <v>23.584925</v>
      </c>
      <c r="C83" s="3">
        <f>IFERROR(__xludf.DUMMYFUNCTION("""COMPUTED_VALUE"""),2.838770620183E8)</f>
        <v>283877062</v>
      </c>
      <c r="D83" s="3">
        <f t="shared" si="2"/>
        <v>3438.66272</v>
      </c>
      <c r="E83" s="3">
        <f t="shared" si="3"/>
        <v>81100.60235</v>
      </c>
      <c r="F83" s="2" t="str">
        <f t="shared" si="1"/>
        <v>AVAX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IFERROR(__xludf.DUMMYFUNCTION("""COMPUTED_VALUE"""),24.987522)</f>
        <v>24.987522</v>
      </c>
      <c r="C84" s="3">
        <f>IFERROR(__xludf.DUMMYFUNCTION("""COMPUTED_VALUE"""),2.83905767535898E8)</f>
        <v>283905767.5</v>
      </c>
      <c r="D84" s="3">
        <f t="shared" si="2"/>
        <v>28705.5176</v>
      </c>
      <c r="E84" s="3">
        <f t="shared" si="3"/>
        <v>717279.7525</v>
      </c>
      <c r="F84" s="2" t="str">
        <f t="shared" si="1"/>
        <v>AVAX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IFERROR(__xludf.DUMMYFUNCTION("""COMPUTED_VALUE"""),23.607178)</f>
        <v>23.607178</v>
      </c>
      <c r="C85" s="3">
        <f>IFERROR(__xludf.DUMMYFUNCTION("""COMPUTED_VALUE"""),2.83909498992937E8)</f>
        <v>283909499</v>
      </c>
      <c r="D85" s="3">
        <f t="shared" si="2"/>
        <v>3731.457039</v>
      </c>
      <c r="E85" s="3">
        <f t="shared" si="3"/>
        <v>88089.17052</v>
      </c>
      <c r="F85" s="2" t="str">
        <f t="shared" si="1"/>
        <v>AVAX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IFERROR(__xludf.DUMMYFUNCTION("""COMPUTED_VALUE"""),23.596442)</f>
        <v>23.596442</v>
      </c>
      <c r="C86" s="3">
        <f>IFERROR(__xludf.DUMMYFUNCTION("""COMPUTED_VALUE"""),2.8390957239145E8)</f>
        <v>283909572.4</v>
      </c>
      <c r="D86" s="3">
        <f t="shared" si="2"/>
        <v>73.39851296</v>
      </c>
      <c r="E86" s="3">
        <f t="shared" si="3"/>
        <v>1731.943754</v>
      </c>
      <c r="F86" s="2" t="str">
        <f t="shared" si="1"/>
        <v>AVAX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IFERROR(__xludf.DUMMYFUNCTION("""COMPUTED_VALUE"""),23.797924)</f>
        <v>23.797924</v>
      </c>
      <c r="C87" s="3">
        <f>IFERROR(__xludf.DUMMYFUNCTION("""COMPUTED_VALUE"""),2.83914843227659E8)</f>
        <v>283914843.2</v>
      </c>
      <c r="D87" s="3">
        <f t="shared" si="2"/>
        <v>5270.836209</v>
      </c>
      <c r="E87" s="3">
        <f t="shared" si="3"/>
        <v>125434.9595</v>
      </c>
      <c r="F87" s="2" t="str">
        <f t="shared" si="1"/>
        <v>AVAX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IFERROR(__xludf.DUMMYFUNCTION("""COMPUTED_VALUE"""),20.922223)</f>
        <v>20.922223</v>
      </c>
      <c r="C88" s="3">
        <f>IFERROR(__xludf.DUMMYFUNCTION("""COMPUTED_VALUE"""),2.83971695506935E8)</f>
        <v>283971695.5</v>
      </c>
      <c r="D88" s="3">
        <f t="shared" si="2"/>
        <v>56852.27928</v>
      </c>
      <c r="E88" s="3">
        <f t="shared" si="3"/>
        <v>1189476.065</v>
      </c>
      <c r="F88" s="2" t="str">
        <f t="shared" si="1"/>
        <v>AVAX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IFERROR(__xludf.DUMMYFUNCTION("""COMPUTED_VALUE"""),20.720398)</f>
        <v>20.720398</v>
      </c>
      <c r="C89" s="3">
        <f>IFERROR(__xludf.DUMMYFUNCTION("""COMPUTED_VALUE"""),2.83972790827875E8)</f>
        <v>283972790.8</v>
      </c>
      <c r="D89" s="3">
        <f t="shared" si="2"/>
        <v>1095.32094</v>
      </c>
      <c r="E89" s="3">
        <f t="shared" si="3"/>
        <v>22695.48581</v>
      </c>
      <c r="F89" s="2" t="str">
        <f t="shared" si="1"/>
        <v>AVAX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IFERROR(__xludf.DUMMYFUNCTION("""COMPUTED_VALUE"""),23.44806)</f>
        <v>23.44806</v>
      </c>
      <c r="C90" s="3">
        <f>IFERROR(__xludf.DUMMYFUNCTION("""COMPUTED_VALUE"""),2.84016940076875E8)</f>
        <v>284016940.1</v>
      </c>
      <c r="D90" s="3">
        <f t="shared" si="2"/>
        <v>44149.249</v>
      </c>
      <c r="E90" s="3">
        <f t="shared" si="3"/>
        <v>1035214.24</v>
      </c>
      <c r="F90" s="2" t="str">
        <f t="shared" si="1"/>
        <v>AVAX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IFERROR(__xludf.DUMMYFUNCTION("""COMPUTED_VALUE"""),24.252185)</f>
        <v>24.252185</v>
      </c>
      <c r="C91" s="3">
        <f>IFERROR(__xludf.DUMMYFUNCTION("""COMPUTED_VALUE"""),2.84320581594565E8)</f>
        <v>284320581.6</v>
      </c>
      <c r="D91" s="3">
        <f t="shared" si="2"/>
        <v>303641.5177</v>
      </c>
      <c r="E91" s="3">
        <f t="shared" si="3"/>
        <v>7363970.261</v>
      </c>
      <c r="F91" s="2" t="str">
        <f t="shared" si="1"/>
        <v>AVAX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IFERROR(__xludf.DUMMYFUNCTION("""COMPUTED_VALUE"""),24.509323)</f>
        <v>24.509323</v>
      </c>
      <c r="C92" s="3">
        <f>IFERROR(__xludf.DUMMYFUNCTION("""COMPUTED_VALUE"""),2.84322628158279E8)</f>
        <v>284322628.2</v>
      </c>
      <c r="D92" s="3">
        <f t="shared" si="2"/>
        <v>2046.563714</v>
      </c>
      <c r="E92" s="3">
        <f t="shared" si="3"/>
        <v>50159.89111</v>
      </c>
      <c r="F92" s="2" t="str">
        <f t="shared" si="1"/>
        <v>AVAX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IFERROR(__xludf.DUMMYFUNCTION("""COMPUTED_VALUE"""),24.241983)</f>
        <v>24.241983</v>
      </c>
      <c r="C93" s="3">
        <f>IFERROR(__xludf.DUMMYFUNCTION("""COMPUTED_VALUE"""),2.84343056445058E8)</f>
        <v>284343056.4</v>
      </c>
      <c r="D93" s="3">
        <f t="shared" si="2"/>
        <v>20428.28678</v>
      </c>
      <c r="E93" s="3">
        <f t="shared" si="3"/>
        <v>495222.1808</v>
      </c>
      <c r="F93" s="2" t="str">
        <f t="shared" si="1"/>
        <v>AVAX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IFERROR(__xludf.DUMMYFUNCTION("""COMPUTED_VALUE"""),23.732635)</f>
        <v>23.732635</v>
      </c>
      <c r="C94" s="3">
        <f>IFERROR(__xludf.DUMMYFUNCTION("""COMPUTED_VALUE"""),2.84352923352969E8)</f>
        <v>284352923.4</v>
      </c>
      <c r="D94" s="3">
        <f t="shared" si="2"/>
        <v>9866.907911</v>
      </c>
      <c r="E94" s="3">
        <f t="shared" si="3"/>
        <v>234167.724</v>
      </c>
      <c r="F94" s="2" t="str">
        <f t="shared" si="1"/>
        <v>AVAX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IFERROR(__xludf.DUMMYFUNCTION("""COMPUTED_VALUE"""),23.590889)</f>
        <v>23.590889</v>
      </c>
      <c r="C95" s="3">
        <f>IFERROR(__xludf.DUMMYFUNCTION("""COMPUTED_VALUE"""),2.84389608292323E8)</f>
        <v>284389608.3</v>
      </c>
      <c r="D95" s="3">
        <f t="shared" si="2"/>
        <v>36684.93935</v>
      </c>
      <c r="E95" s="3">
        <f t="shared" si="3"/>
        <v>865430.3323</v>
      </c>
      <c r="F95" s="2" t="str">
        <f t="shared" si="1"/>
        <v>AVAX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IFERROR(__xludf.DUMMYFUNCTION("""COMPUTED_VALUE"""),22.855865)</f>
        <v>22.855865</v>
      </c>
      <c r="C96" s="3">
        <f>IFERROR(__xludf.DUMMYFUNCTION("""COMPUTED_VALUE"""),2.84397457724775E8)</f>
        <v>284397457.7</v>
      </c>
      <c r="D96" s="3">
        <f t="shared" si="2"/>
        <v>7849.432452</v>
      </c>
      <c r="E96" s="3">
        <f t="shared" si="3"/>
        <v>179405.5685</v>
      </c>
      <c r="F96" s="2" t="str">
        <f t="shared" si="1"/>
        <v>AVAX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IFERROR(__xludf.DUMMYFUNCTION("""COMPUTED_VALUE"""),23.045197)</f>
        <v>23.045197</v>
      </c>
      <c r="C97" s="3">
        <f>IFERROR(__xludf.DUMMYFUNCTION("""COMPUTED_VALUE"""),2.84428379914703E8)</f>
        <v>284428379.9</v>
      </c>
      <c r="D97" s="3">
        <f t="shared" si="2"/>
        <v>30922.18993</v>
      </c>
      <c r="E97" s="3">
        <f t="shared" si="3"/>
        <v>712607.9586</v>
      </c>
      <c r="F97" s="2" t="str">
        <f t="shared" si="1"/>
        <v>AVAX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IFERROR(__xludf.DUMMYFUNCTION("""COMPUTED_VALUE"""),23.363659)</f>
        <v>23.363659</v>
      </c>
      <c r="C98" s="3">
        <f>IFERROR(__xludf.DUMMYFUNCTION("""COMPUTED_VALUE"""),2.84440611297775E8)</f>
        <v>284440611.3</v>
      </c>
      <c r="D98" s="3">
        <f t="shared" si="2"/>
        <v>12231.38307</v>
      </c>
      <c r="E98" s="3">
        <f t="shared" si="3"/>
        <v>285769.8632</v>
      </c>
      <c r="F98" s="2" t="str">
        <f t="shared" si="1"/>
        <v>AVAX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IFERROR(__xludf.DUMMYFUNCTION("""COMPUTED_VALUE"""),24.999777)</f>
        <v>24.999777</v>
      </c>
      <c r="C99" s="3">
        <f>IFERROR(__xludf.DUMMYFUNCTION("""COMPUTED_VALUE"""),2.84449584371769E8)</f>
        <v>284449584.4</v>
      </c>
      <c r="D99" s="3">
        <f t="shared" si="2"/>
        <v>8973.073994</v>
      </c>
      <c r="E99" s="3">
        <f t="shared" si="3"/>
        <v>224324.8489</v>
      </c>
      <c r="F99" s="2" t="str">
        <f t="shared" si="1"/>
        <v>AVAX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IFERROR(__xludf.DUMMYFUNCTION("""COMPUTED_VALUE"""),26.639017)</f>
        <v>26.639017</v>
      </c>
      <c r="C100" s="3">
        <f>IFERROR(__xludf.DUMMYFUNCTION("""COMPUTED_VALUE"""),2.84470937823405E8)</f>
        <v>284470937.8</v>
      </c>
      <c r="D100" s="3">
        <f t="shared" si="2"/>
        <v>21353.45164</v>
      </c>
      <c r="E100" s="3">
        <f t="shared" si="3"/>
        <v>568834.9611</v>
      </c>
      <c r="F100" s="2" t="str">
        <f t="shared" si="1"/>
        <v>AVAX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IFERROR(__xludf.DUMMYFUNCTION("""COMPUTED_VALUE"""),27.895884)</f>
        <v>27.895884</v>
      </c>
      <c r="C101" s="3">
        <f>IFERROR(__xludf.DUMMYFUNCTION("""COMPUTED_VALUE"""),2.84483306073272E8)</f>
        <v>284483306.1</v>
      </c>
      <c r="D101" s="3">
        <f t="shared" si="2"/>
        <v>12368.24987</v>
      </c>
      <c r="E101" s="3">
        <f t="shared" si="3"/>
        <v>345023.2636</v>
      </c>
      <c r="F101" s="2" t="str">
        <f t="shared" si="1"/>
        <v>AVAX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IFERROR(__xludf.DUMMYFUNCTION("""COMPUTED_VALUE"""),27.908204)</f>
        <v>27.908204</v>
      </c>
      <c r="C102" s="3">
        <f>IFERROR(__xludf.DUMMYFUNCTION("""COMPUTED_VALUE"""),2.84927551808713E8)</f>
        <v>284927551.8</v>
      </c>
      <c r="D102" s="3">
        <f t="shared" si="2"/>
        <v>444245.7354</v>
      </c>
      <c r="E102" s="3">
        <f t="shared" si="3"/>
        <v>12398100.61</v>
      </c>
      <c r="F102" s="2" t="str">
        <f t="shared" si="1"/>
        <v>AVAX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IFERROR(__xludf.DUMMYFUNCTION("""COMPUTED_VALUE"""),27.405902)</f>
        <v>27.405902</v>
      </c>
      <c r="C103" s="3">
        <f>IFERROR(__xludf.DUMMYFUNCTION("""COMPUTED_VALUE"""),2.84930548934146E8)</f>
        <v>284930548.9</v>
      </c>
      <c r="D103" s="3">
        <f t="shared" si="2"/>
        <v>2997.125433</v>
      </c>
      <c r="E103" s="3">
        <f t="shared" si="3"/>
        <v>82138.9259</v>
      </c>
      <c r="F103" s="2" t="str">
        <f t="shared" si="1"/>
        <v>AVAX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IFERROR(__xludf.DUMMYFUNCTION("""COMPUTED_VALUE"""),29.175582)</f>
        <v>29.175582</v>
      </c>
      <c r="C104" s="3">
        <f>IFERROR(__xludf.DUMMYFUNCTION("""COMPUTED_VALUE"""),2.8493047435398E8)</f>
        <v>284930474.4</v>
      </c>
      <c r="D104" s="3">
        <f t="shared" si="2"/>
        <v>-74.58016598</v>
      </c>
      <c r="E104" s="3">
        <f t="shared" si="3"/>
        <v>-2175.919748</v>
      </c>
      <c r="F104" s="2" t="str">
        <f t="shared" si="1"/>
        <v>AVAX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IFERROR(__xludf.DUMMYFUNCTION("""COMPUTED_VALUE"""),28.545856)</f>
        <v>28.545856</v>
      </c>
      <c r="C105" s="3">
        <f>IFERROR(__xludf.DUMMYFUNCTION("""COMPUTED_VALUE"""),2.84938145569407E8)</f>
        <v>284938145.6</v>
      </c>
      <c r="D105" s="3">
        <f t="shared" si="2"/>
        <v>7671.215427</v>
      </c>
      <c r="E105" s="3">
        <f t="shared" si="3"/>
        <v>218981.4109</v>
      </c>
      <c r="F105" s="2" t="str">
        <f t="shared" si="1"/>
        <v>AVAX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IFERROR(__xludf.DUMMYFUNCTION("""COMPUTED_VALUE"""),29.347312)</f>
        <v>29.347312</v>
      </c>
      <c r="C106" s="3">
        <f>IFERROR(__xludf.DUMMYFUNCTION("""COMPUTED_VALUE"""),2.84940041689509E8)</f>
        <v>284940041.7</v>
      </c>
      <c r="D106" s="3">
        <f t="shared" si="2"/>
        <v>1896.120102</v>
      </c>
      <c r="E106" s="3">
        <f t="shared" si="3"/>
        <v>55646.02822</v>
      </c>
      <c r="F106" s="2" t="str">
        <f t="shared" si="1"/>
        <v>AVAX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IFERROR(__xludf.DUMMYFUNCTION("""COMPUTED_VALUE"""),29.178951)</f>
        <v>29.178951</v>
      </c>
      <c r="C107" s="3">
        <f>IFERROR(__xludf.DUMMYFUNCTION("""COMPUTED_VALUE"""),2.84942622192795E8)</f>
        <v>284942622.2</v>
      </c>
      <c r="D107" s="3">
        <f t="shared" si="2"/>
        <v>2580.503286</v>
      </c>
      <c r="E107" s="3">
        <f t="shared" si="3"/>
        <v>75296.37894</v>
      </c>
      <c r="F107" s="2" t="str">
        <f t="shared" si="1"/>
        <v>AVAX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IFERROR(__xludf.DUMMYFUNCTION("""COMPUTED_VALUE"""),28.195056)</f>
        <v>28.195056</v>
      </c>
      <c r="C108" s="3">
        <f>IFERROR(__xludf.DUMMYFUNCTION("""COMPUTED_VALUE"""),2.86861278678361E8)</f>
        <v>286861278.7</v>
      </c>
      <c r="D108" s="3">
        <f t="shared" si="2"/>
        <v>1918656.486</v>
      </c>
      <c r="E108" s="3">
        <f t="shared" si="3"/>
        <v>54096627.06</v>
      </c>
      <c r="F108" s="2" t="str">
        <f t="shared" si="1"/>
        <v>AVAX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IFERROR(__xludf.DUMMYFUNCTION("""COMPUTED_VALUE"""),27.877038)</f>
        <v>27.877038</v>
      </c>
      <c r="C109" s="3">
        <f>IFERROR(__xludf.DUMMYFUNCTION("""COMPUTED_VALUE"""),2.84944532200581E8)</f>
        <v>284944532.2</v>
      </c>
      <c r="D109" s="3">
        <f t="shared" si="2"/>
        <v>-1916746.478</v>
      </c>
      <c r="E109" s="3">
        <f t="shared" si="3"/>
        <v>-53433214.4</v>
      </c>
      <c r="F109" s="2" t="str">
        <f t="shared" si="1"/>
        <v>AVAX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IFERROR(__xludf.DUMMYFUNCTION("""COMPUTED_VALUE"""),27.117121)</f>
        <v>27.117121</v>
      </c>
      <c r="C110" s="3">
        <f>IFERROR(__xludf.DUMMYFUNCTION("""COMPUTED_VALUE"""),2.8495643593604E8)</f>
        <v>284956435.9</v>
      </c>
      <c r="D110" s="3">
        <f t="shared" si="2"/>
        <v>11903.73546</v>
      </c>
      <c r="E110" s="3">
        <f t="shared" si="3"/>
        <v>322795.0348</v>
      </c>
      <c r="F110" s="2" t="str">
        <f t="shared" si="1"/>
        <v>AVAX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IFERROR(__xludf.DUMMYFUNCTION("""COMPUTED_VALUE"""),25.563838)</f>
        <v>25.563838</v>
      </c>
      <c r="C111" s="3">
        <f>IFERROR(__xludf.DUMMYFUNCTION("""COMPUTED_VALUE"""),2.84960643329337E8)</f>
        <v>284960643.3</v>
      </c>
      <c r="D111" s="3">
        <f t="shared" si="2"/>
        <v>4207.393297</v>
      </c>
      <c r="E111" s="3">
        <f t="shared" si="3"/>
        <v>107557.1206</v>
      </c>
      <c r="F111" s="2" t="str">
        <f t="shared" si="1"/>
        <v>AVAX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IFERROR(__xludf.DUMMYFUNCTION("""COMPUTED_VALUE"""),24.20345)</f>
        <v>24.20345</v>
      </c>
      <c r="C112" s="3">
        <f>IFERROR(__xludf.DUMMYFUNCTION("""COMPUTED_VALUE"""),2.8497089017821E8)</f>
        <v>284970890.2</v>
      </c>
      <c r="D112" s="3">
        <f t="shared" si="2"/>
        <v>10246.84887</v>
      </c>
      <c r="E112" s="3">
        <f t="shared" si="3"/>
        <v>248009.0944</v>
      </c>
      <c r="F112" s="2" t="str">
        <f t="shared" si="1"/>
        <v>AVAX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IFERROR(__xludf.DUMMYFUNCTION("""COMPUTED_VALUE"""),22.447271)</f>
        <v>22.447271</v>
      </c>
      <c r="C113" s="3">
        <f>IFERROR(__xludf.DUMMYFUNCTION("""COMPUTED_VALUE"""),2.84987457730397E8)</f>
        <v>284987457.7</v>
      </c>
      <c r="D113" s="3">
        <f t="shared" si="2"/>
        <v>16567.55219</v>
      </c>
      <c r="E113" s="3">
        <f t="shared" si="3"/>
        <v>371896.3337</v>
      </c>
      <c r="F113" s="2" t="str">
        <f t="shared" si="1"/>
        <v>AVAX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IFERROR(__xludf.DUMMYFUNCTION("""COMPUTED_VALUE"""),22.309797)</f>
        <v>22.309797</v>
      </c>
      <c r="C114" s="3">
        <f>IFERROR(__xludf.DUMMYFUNCTION("""COMPUTED_VALUE"""),2.84990406383151E8)</f>
        <v>284990406.4</v>
      </c>
      <c r="D114" s="3">
        <f t="shared" si="2"/>
        <v>2948.652754</v>
      </c>
      <c r="E114" s="3">
        <f t="shared" si="3"/>
        <v>65783.84437</v>
      </c>
      <c r="F114" s="2" t="str">
        <f t="shared" si="1"/>
        <v>AVAX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IFERROR(__xludf.DUMMYFUNCTION("""COMPUTED_VALUE"""),22.980526)</f>
        <v>22.980526</v>
      </c>
      <c r="C115" s="3">
        <f>IFERROR(__xludf.DUMMYFUNCTION("""COMPUTED_VALUE"""),2.85014681688343E8)</f>
        <v>285014681.7</v>
      </c>
      <c r="D115" s="3">
        <f t="shared" si="2"/>
        <v>24275.30519</v>
      </c>
      <c r="E115" s="3">
        <f t="shared" si="3"/>
        <v>557859.2821</v>
      </c>
      <c r="F115" s="2" t="str">
        <f t="shared" si="1"/>
        <v>AVAX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IFERROR(__xludf.DUMMYFUNCTION("""COMPUTED_VALUE"""),22.562349)</f>
        <v>22.562349</v>
      </c>
      <c r="C116" s="3">
        <f>IFERROR(__xludf.DUMMYFUNCTION("""COMPUTED_VALUE"""),2.85024481005929E8)</f>
        <v>285024481</v>
      </c>
      <c r="D116" s="3">
        <f t="shared" si="2"/>
        <v>9799.317586</v>
      </c>
      <c r="E116" s="3">
        <f t="shared" si="3"/>
        <v>221095.6233</v>
      </c>
      <c r="F116" s="2" t="str">
        <f t="shared" si="1"/>
        <v>AVAX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IFERROR(__xludf.DUMMYFUNCTION("""COMPUTED_VALUE"""),23.520357)</f>
        <v>23.520357</v>
      </c>
      <c r="C117" s="3">
        <f>IFERROR(__xludf.DUMMYFUNCTION("""COMPUTED_VALUE"""),2.85031163960546E8)</f>
        <v>285031164</v>
      </c>
      <c r="D117" s="3">
        <f t="shared" si="2"/>
        <v>6682.954617</v>
      </c>
      <c r="E117" s="3">
        <f t="shared" si="3"/>
        <v>157185.4784</v>
      </c>
      <c r="F117" s="2" t="str">
        <f t="shared" si="1"/>
        <v>AVAX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IFERROR(__xludf.DUMMYFUNCTION("""COMPUTED_VALUE"""),23.005865)</f>
        <v>23.005865</v>
      </c>
      <c r="C118" s="3">
        <f>IFERROR(__xludf.DUMMYFUNCTION("""COMPUTED_VALUE"""),2.85032621496812E8)</f>
        <v>285032621.5</v>
      </c>
      <c r="D118" s="3">
        <f t="shared" si="2"/>
        <v>1457.536266</v>
      </c>
      <c r="E118" s="3">
        <f t="shared" si="3"/>
        <v>33531.88257</v>
      </c>
      <c r="F118" s="2" t="str">
        <f t="shared" si="1"/>
        <v>AVAX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IFERROR(__xludf.DUMMYFUNCTION("""COMPUTED_VALUE"""),22.986977)</f>
        <v>22.986977</v>
      </c>
      <c r="C119" s="3">
        <f>IFERROR(__xludf.DUMMYFUNCTION("""COMPUTED_VALUE"""),2.850367653808E8)</f>
        <v>285036765.4</v>
      </c>
      <c r="D119" s="3">
        <f t="shared" si="2"/>
        <v>4143.883988</v>
      </c>
      <c r="E119" s="3">
        <f t="shared" si="3"/>
        <v>95255.36592</v>
      </c>
      <c r="F119" s="2" t="str">
        <f t="shared" si="1"/>
        <v>AVAX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IFERROR(__xludf.DUMMYFUNCTION("""COMPUTED_VALUE"""),20.655555)</f>
        <v>20.655555</v>
      </c>
      <c r="C120" s="3">
        <f>IFERROR(__xludf.DUMMYFUNCTION("""COMPUTED_VALUE"""),2.85038192992963E8)</f>
        <v>285038193</v>
      </c>
      <c r="D120" s="3">
        <f t="shared" si="2"/>
        <v>1427.612163</v>
      </c>
      <c r="E120" s="3">
        <f t="shared" si="3"/>
        <v>29488.12155</v>
      </c>
      <c r="F120" s="2" t="str">
        <f t="shared" si="1"/>
        <v>AVAX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IFERROR(__xludf.DUMMYFUNCTION("""COMPUTED_VALUE"""),20.066664)</f>
        <v>20.066664</v>
      </c>
      <c r="C121" s="3">
        <f>IFERROR(__xludf.DUMMYFUNCTION("""COMPUTED_VALUE"""),2.85065770894713E8)</f>
        <v>285065770.9</v>
      </c>
      <c r="D121" s="3">
        <f t="shared" si="2"/>
        <v>27577.90175</v>
      </c>
      <c r="E121" s="3">
        <f t="shared" si="3"/>
        <v>553396.4882</v>
      </c>
      <c r="F121" s="2" t="str">
        <f t="shared" si="1"/>
        <v>AVAX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IFERROR(__xludf.DUMMYFUNCTION("""COMPUTED_VALUE"""),18.531719)</f>
        <v>18.531719</v>
      </c>
      <c r="C122" s="3">
        <f>IFERROR(__xludf.DUMMYFUNCTION("""COMPUTED_VALUE"""),2.85072539282861E8)</f>
        <v>285072539.3</v>
      </c>
      <c r="D122" s="3">
        <f t="shared" si="2"/>
        <v>6768.388148</v>
      </c>
      <c r="E122" s="3">
        <f t="shared" si="3"/>
        <v>125429.8672</v>
      </c>
      <c r="F122" s="2" t="str">
        <f t="shared" si="1"/>
        <v>AVAX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IFERROR(__xludf.DUMMYFUNCTION("""COMPUTED_VALUE"""),19.323519)</f>
        <v>19.323519</v>
      </c>
      <c r="C123" s="3">
        <f>IFERROR(__xludf.DUMMYFUNCTION("""COMPUTED_VALUE"""),2.85073777808137E8)</f>
        <v>285073777.8</v>
      </c>
      <c r="D123" s="3">
        <f t="shared" si="2"/>
        <v>1238.525276</v>
      </c>
      <c r="E123" s="3">
        <f t="shared" si="3"/>
        <v>23932.6667</v>
      </c>
      <c r="F123" s="2" t="str">
        <f t="shared" si="1"/>
        <v>AVAX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IFERROR(__xludf.DUMMYFUNCTION("""COMPUTED_VALUE"""),19.402014)</f>
        <v>19.402014</v>
      </c>
      <c r="C124" s="3">
        <f>IFERROR(__xludf.DUMMYFUNCTION("""COMPUTED_VALUE"""),2.9443358685391E8)</f>
        <v>294433586.9</v>
      </c>
      <c r="D124" s="3">
        <f t="shared" si="2"/>
        <v>9359809.046</v>
      </c>
      <c r="E124" s="3">
        <f t="shared" si="3"/>
        <v>181599146.1</v>
      </c>
      <c r="F124" s="2" t="str">
        <f t="shared" si="1"/>
        <v>AVAX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IFERROR(__xludf.DUMMYFUNCTION("""COMPUTED_VALUE"""),19.137109)</f>
        <v>19.137109</v>
      </c>
      <c r="C125" s="3">
        <f>IFERROR(__xludf.DUMMYFUNCTION("""COMPUTED_VALUE"""),2.94466929390292E8)</f>
        <v>294466929.4</v>
      </c>
      <c r="D125" s="3">
        <f t="shared" si="2"/>
        <v>33342.53638</v>
      </c>
      <c r="E125" s="3">
        <f t="shared" si="3"/>
        <v>638079.7531</v>
      </c>
      <c r="F125" s="2" t="str">
        <f t="shared" si="1"/>
        <v>AVAX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IFERROR(__xludf.DUMMYFUNCTION("""COMPUTED_VALUE"""),19.323803)</f>
        <v>19.323803</v>
      </c>
      <c r="C126" s="3">
        <f>IFERROR(__xludf.DUMMYFUNCTION("""COMPUTED_VALUE"""),2.94469028819008E8)</f>
        <v>294469028.8</v>
      </c>
      <c r="D126" s="3">
        <f t="shared" si="2"/>
        <v>2099.428716</v>
      </c>
      <c r="E126" s="3">
        <f t="shared" si="3"/>
        <v>40568.94692</v>
      </c>
      <c r="F126" s="2" t="str">
        <f t="shared" si="1"/>
        <v>AVAX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IFERROR(__xludf.DUMMYFUNCTION("""COMPUTED_VALUE"""),18.862589)</f>
        <v>18.862589</v>
      </c>
      <c r="C127" s="3">
        <f>IFERROR(__xludf.DUMMYFUNCTION("""COMPUTED_VALUE"""),2.94485393156821E8)</f>
        <v>294485393.2</v>
      </c>
      <c r="D127" s="3">
        <f t="shared" si="2"/>
        <v>16364.33781</v>
      </c>
      <c r="E127" s="3">
        <f t="shared" si="3"/>
        <v>308673.7784</v>
      </c>
      <c r="F127" s="2" t="str">
        <f t="shared" si="1"/>
        <v>AVAX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IFERROR(__xludf.DUMMYFUNCTION("""COMPUTED_VALUE"""),18.888687)</f>
        <v>18.888687</v>
      </c>
      <c r="C128" s="3">
        <f>IFERROR(__xludf.DUMMYFUNCTION("""COMPUTED_VALUE"""),2.94497841575414E8)</f>
        <v>294497841.6</v>
      </c>
      <c r="D128" s="3">
        <f t="shared" si="2"/>
        <v>12448.41859</v>
      </c>
      <c r="E128" s="3">
        <f t="shared" si="3"/>
        <v>235134.2824</v>
      </c>
      <c r="F128" s="2" t="str">
        <f t="shared" si="1"/>
        <v>AVAX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IFERROR(__xludf.DUMMYFUNCTION("""COMPUTED_VALUE"""),19.024016)</f>
        <v>19.024016</v>
      </c>
      <c r="C129" s="3">
        <f>IFERROR(__xludf.DUMMYFUNCTION("""COMPUTED_VALUE"""),2.94514217746805E8)</f>
        <v>294514217.7</v>
      </c>
      <c r="D129" s="3">
        <f t="shared" si="2"/>
        <v>16376.17139</v>
      </c>
      <c r="E129" s="3">
        <f t="shared" si="3"/>
        <v>311540.5466</v>
      </c>
      <c r="F129" s="2" t="str">
        <f t="shared" si="1"/>
        <v>AVAX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IFERROR(__xludf.DUMMYFUNCTION("""COMPUTED_VALUE"""),19.452503)</f>
        <v>19.452503</v>
      </c>
      <c r="C130" s="3">
        <f>IFERROR(__xludf.DUMMYFUNCTION("""COMPUTED_VALUE"""),2.94710331169196E8)</f>
        <v>294710331.2</v>
      </c>
      <c r="D130" s="3">
        <f t="shared" si="2"/>
        <v>196113.4224</v>
      </c>
      <c r="E130" s="3">
        <f t="shared" si="3"/>
        <v>3814896.937</v>
      </c>
      <c r="F130" s="2" t="str">
        <f t="shared" si="1"/>
        <v>AVAX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IFERROR(__xludf.DUMMYFUNCTION("""COMPUTED_VALUE"""),18.208902)</f>
        <v>18.208902</v>
      </c>
      <c r="C131" s="3">
        <f>IFERROR(__xludf.DUMMYFUNCTION("""COMPUTED_VALUE"""),2.94792547250921E8)</f>
        <v>294792547.3</v>
      </c>
      <c r="D131" s="3">
        <f t="shared" si="2"/>
        <v>82216.08173</v>
      </c>
      <c r="E131" s="3">
        <f t="shared" si="3"/>
        <v>1497064.575</v>
      </c>
      <c r="F131" s="2" t="str">
        <f t="shared" si="1"/>
        <v>AVAX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IFERROR(__xludf.DUMMYFUNCTION("""COMPUTED_VALUE"""),18.998738)</f>
        <v>18.998738</v>
      </c>
      <c r="C132" s="3">
        <f>IFERROR(__xludf.DUMMYFUNCTION("""COMPUTED_VALUE"""),2.95331534571332E8)</f>
        <v>295331534.6</v>
      </c>
      <c r="D132" s="3">
        <f t="shared" si="2"/>
        <v>538987.3204</v>
      </c>
      <c r="E132" s="3">
        <f t="shared" si="3"/>
        <v>10240078.89</v>
      </c>
      <c r="F132" s="2" t="str">
        <f t="shared" si="1"/>
        <v>AVAX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IFERROR(__xludf.DUMMYFUNCTION("""COMPUTED_VALUE"""),19.139017)</f>
        <v>19.139017</v>
      </c>
      <c r="C133" s="3">
        <f>IFERROR(__xludf.DUMMYFUNCTION("""COMPUTED_VALUE"""),2.9565564615322E8)</f>
        <v>295655646.2</v>
      </c>
      <c r="D133" s="3">
        <f t="shared" si="2"/>
        <v>324111.5819</v>
      </c>
      <c r="E133" s="3">
        <f t="shared" si="3"/>
        <v>6203177.076</v>
      </c>
      <c r="F133" s="2" t="str">
        <f t="shared" si="1"/>
        <v>AVAX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IFERROR(__xludf.DUMMYFUNCTION("""COMPUTED_VALUE"""),20.39888)</f>
        <v>20.39888</v>
      </c>
      <c r="C134" s="3">
        <f>IFERROR(__xludf.DUMMYFUNCTION("""COMPUTED_VALUE"""),2.95658820619495E8)</f>
        <v>295658820.6</v>
      </c>
      <c r="D134" s="3">
        <f t="shared" si="2"/>
        <v>3174.466275</v>
      </c>
      <c r="E134" s="3">
        <f t="shared" si="3"/>
        <v>64755.55661</v>
      </c>
      <c r="F134" s="2" t="str">
        <f t="shared" si="1"/>
        <v>AVAX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IFERROR(__xludf.DUMMYFUNCTION("""COMPUTED_VALUE"""),20.454861)</f>
        <v>20.454861</v>
      </c>
      <c r="C135" s="3">
        <f>IFERROR(__xludf.DUMMYFUNCTION("""COMPUTED_VALUE"""),2.95663121996459E8)</f>
        <v>295663122</v>
      </c>
      <c r="D135" s="3">
        <f t="shared" si="2"/>
        <v>4301.376964</v>
      </c>
      <c r="E135" s="3">
        <f t="shared" si="3"/>
        <v>87984.06791</v>
      </c>
      <c r="F135" s="2" t="str">
        <f t="shared" si="1"/>
        <v>AVAX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IFERROR(__xludf.DUMMYFUNCTION("""COMPUTED_VALUE"""),20.680922)</f>
        <v>20.680922</v>
      </c>
      <c r="C136" s="3">
        <f>IFERROR(__xludf.DUMMYFUNCTION("""COMPUTED_VALUE"""),2.95669129756622E8)</f>
        <v>295669129.8</v>
      </c>
      <c r="D136" s="3">
        <f t="shared" si="2"/>
        <v>6007.760163</v>
      </c>
      <c r="E136" s="3">
        <f t="shared" si="3"/>
        <v>124246.0193</v>
      </c>
      <c r="F136" s="2" t="str">
        <f t="shared" si="1"/>
        <v>AVAX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IFERROR(__xludf.DUMMYFUNCTION("""COMPUTED_VALUE"""),21.383722)</f>
        <v>21.383722</v>
      </c>
      <c r="C137" s="3">
        <f>IFERROR(__xludf.DUMMYFUNCTION("""COMPUTED_VALUE"""),2.95674882326404E8)</f>
        <v>295674882.3</v>
      </c>
      <c r="D137" s="3">
        <f t="shared" si="2"/>
        <v>5752.569782</v>
      </c>
      <c r="E137" s="3">
        <f t="shared" si="3"/>
        <v>123011.353</v>
      </c>
      <c r="F137" s="2" t="str">
        <f t="shared" si="1"/>
        <v>AVAX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IFERROR(__xludf.DUMMYFUNCTION("""COMPUTED_VALUE"""),18.866133)</f>
        <v>18.866133</v>
      </c>
      <c r="C138" s="3">
        <f>IFERROR(__xludf.DUMMYFUNCTION("""COMPUTED_VALUE"""),2.95692204937408E8)</f>
        <v>295692204.9</v>
      </c>
      <c r="D138" s="3">
        <f t="shared" si="2"/>
        <v>17322.611</v>
      </c>
      <c r="E138" s="3">
        <f t="shared" si="3"/>
        <v>326810.6831</v>
      </c>
      <c r="F138" s="2" t="str">
        <f t="shared" si="1"/>
        <v>AVAX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IFERROR(__xludf.DUMMYFUNCTION("""COMPUTED_VALUE"""),19.118054)</f>
        <v>19.118054</v>
      </c>
      <c r="C139" s="3">
        <f>IFERROR(__xludf.DUMMYFUNCTION("""COMPUTED_VALUE"""),2.9570658997196E8)</f>
        <v>295706590</v>
      </c>
      <c r="D139" s="3">
        <f t="shared" si="2"/>
        <v>14385.03455</v>
      </c>
      <c r="E139" s="3">
        <f t="shared" si="3"/>
        <v>275013.8674</v>
      </c>
      <c r="F139" s="2" t="str">
        <f t="shared" si="1"/>
        <v>AVAX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IFERROR(__xludf.DUMMYFUNCTION("""COMPUTED_VALUE"""),18.204834)</f>
        <v>18.204834</v>
      </c>
      <c r="C140" s="3">
        <f>IFERROR(__xludf.DUMMYFUNCTION("""COMPUTED_VALUE"""),2.95714987890652E8)</f>
        <v>295714987.9</v>
      </c>
      <c r="D140" s="3">
        <f t="shared" si="2"/>
        <v>8397.918692</v>
      </c>
      <c r="E140" s="3">
        <f t="shared" si="3"/>
        <v>152882.7157</v>
      </c>
      <c r="F140" s="2" t="str">
        <f t="shared" si="1"/>
        <v>AVAX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IFERROR(__xludf.DUMMYFUNCTION("""COMPUTED_VALUE"""),18.050851)</f>
        <v>18.050851</v>
      </c>
      <c r="C141" s="3">
        <f>IFERROR(__xludf.DUMMYFUNCTION("""COMPUTED_VALUE"""),2.95726215248525E8)</f>
        <v>295726215.2</v>
      </c>
      <c r="D141" s="3">
        <f t="shared" si="2"/>
        <v>11227.35787</v>
      </c>
      <c r="E141" s="3">
        <f t="shared" si="3"/>
        <v>202663.3641</v>
      </c>
      <c r="F141" s="2" t="str">
        <f t="shared" si="1"/>
        <v>AVAX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IFERROR(__xludf.DUMMYFUNCTION("""COMPUTED_VALUE"""),18.479515)</f>
        <v>18.479515</v>
      </c>
      <c r="C142" s="3">
        <f>IFERROR(__xludf.DUMMYFUNCTION("""COMPUTED_VALUE"""),2.95729243551402E8)</f>
        <v>295729243.6</v>
      </c>
      <c r="D142" s="3">
        <f t="shared" si="2"/>
        <v>3028.302877</v>
      </c>
      <c r="E142" s="3">
        <f t="shared" si="3"/>
        <v>55961.56844</v>
      </c>
      <c r="F142" s="2" t="str">
        <f t="shared" si="1"/>
        <v>AVAX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IFERROR(__xludf.DUMMYFUNCTION("""COMPUTED_VALUE"""),16.707328)</f>
        <v>16.707328</v>
      </c>
      <c r="C143" s="3">
        <f>IFERROR(__xludf.DUMMYFUNCTION("""COMPUTED_VALUE"""),2.9575067254789E8)</f>
        <v>295750672.5</v>
      </c>
      <c r="D143" s="3">
        <f t="shared" si="2"/>
        <v>21428.99649</v>
      </c>
      <c r="E143" s="3">
        <f t="shared" si="3"/>
        <v>358021.273</v>
      </c>
      <c r="F143" s="2" t="str">
        <f t="shared" si="1"/>
        <v>AVAX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IFERROR(__xludf.DUMMYFUNCTION("""COMPUTED_VALUE"""),17.283267)</f>
        <v>17.283267</v>
      </c>
      <c r="C144" s="3">
        <f>IFERROR(__xludf.DUMMYFUNCTION("""COMPUTED_VALUE"""),2.95768410611556E8)</f>
        <v>295768410.6</v>
      </c>
      <c r="D144" s="3">
        <f t="shared" si="2"/>
        <v>17738.06367</v>
      </c>
      <c r="E144" s="3">
        <f t="shared" si="3"/>
        <v>306571.6904</v>
      </c>
      <c r="F144" s="2" t="str">
        <f t="shared" si="1"/>
        <v>AVAX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IFERROR(__xludf.DUMMYFUNCTION("""COMPUTED_VALUE"""),16.650762)</f>
        <v>16.650762</v>
      </c>
      <c r="C145" s="3">
        <f>IFERROR(__xludf.DUMMYFUNCTION("""COMPUTED_VALUE"""),2.95829968224493E8)</f>
        <v>295829968.2</v>
      </c>
      <c r="D145" s="2">
        <f t="shared" ref="D145:D1000" si="4">IF(ISBLANK(A145),"",C145-C144)</f>
        <v>61557.61294</v>
      </c>
      <c r="E145" s="2">
        <f>IF(ISBLANK(A145),"",B145*C145)</f>
        <v>4925794393</v>
      </c>
      <c r="F145" s="2" t="str">
        <f t="shared" si="1"/>
        <v>AVAX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IFERROR(__xludf.DUMMYFUNCTION("""COMPUTED_VALUE"""),16.540644)</f>
        <v>16.540644</v>
      </c>
      <c r="C146" s="3">
        <f>IFERROR(__xludf.DUMMYFUNCTION("""COMPUTED_VALUE"""),2.95863687218282E8)</f>
        <v>295863687.2</v>
      </c>
      <c r="D146" s="2">
        <f t="shared" si="4"/>
        <v>33718.99379</v>
      </c>
      <c r="E146" s="2">
        <f t="shared" ref="E146:E1000" si="5">IF(ISBLANK(A146),"",B146*D146)</f>
        <v>557733.8723</v>
      </c>
      <c r="F146" s="2" t="str">
        <f t="shared" si="1"/>
        <v>AVAX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IFERROR(__xludf.DUMMYFUNCTION("""COMPUTED_VALUE"""),17.684581)</f>
        <v>17.684581</v>
      </c>
      <c r="C147" s="3">
        <f>IFERROR(__xludf.DUMMYFUNCTION("""COMPUTED_VALUE"""),2.95870213964861E8)</f>
        <v>295870214</v>
      </c>
      <c r="D147" s="2">
        <f t="shared" si="4"/>
        <v>6526.746579</v>
      </c>
      <c r="E147" s="2">
        <f t="shared" si="5"/>
        <v>115422.7785</v>
      </c>
      <c r="F147" s="2" t="str">
        <f t="shared" si="1"/>
        <v>AVAX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IFERROR(__xludf.DUMMYFUNCTION("""COMPUTED_VALUE"""),17.972192)</f>
        <v>17.972192</v>
      </c>
      <c r="C148" s="3">
        <f>IFERROR(__xludf.DUMMYFUNCTION("""COMPUTED_VALUE"""),2.95879429900028E8)</f>
        <v>295879429.9</v>
      </c>
      <c r="D148" s="2">
        <f t="shared" si="4"/>
        <v>9215.935167</v>
      </c>
      <c r="E148" s="2">
        <f t="shared" si="5"/>
        <v>165630.5563</v>
      </c>
      <c r="F148" s="2" t="str">
        <f t="shared" si="1"/>
        <v>AVAX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IFERROR(__xludf.DUMMYFUNCTION("""COMPUTED_VALUE"""),17.606335)</f>
        <v>17.606335</v>
      </c>
      <c r="C149" s="3">
        <f>IFERROR(__xludf.DUMMYFUNCTION("""COMPUTED_VALUE"""),2.95884246255808E8)</f>
        <v>295884246.3</v>
      </c>
      <c r="D149" s="2">
        <f t="shared" si="4"/>
        <v>4816.35578</v>
      </c>
      <c r="E149" s="2">
        <f t="shared" si="5"/>
        <v>84798.37334</v>
      </c>
      <c r="F149" s="2" t="str">
        <f t="shared" si="1"/>
        <v>AVAX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2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2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2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2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2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2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2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2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2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2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2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2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2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2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2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2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2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2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2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2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2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2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2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2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2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2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2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2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2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2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2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2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2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2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2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2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2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2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2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2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2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2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2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2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2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2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2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2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2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2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2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2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2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2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2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2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2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2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2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2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2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2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2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2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2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2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2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2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2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2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2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2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2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2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2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2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2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2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2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2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2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2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2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2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2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2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2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2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2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2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2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2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2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2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2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2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2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2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2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2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2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2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2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2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2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2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2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2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2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2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2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2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2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2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2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2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2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2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2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2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2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2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2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2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2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2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2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2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2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2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2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2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2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2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2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2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2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2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2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2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2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2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2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2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2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2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2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2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2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2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2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2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2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2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2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2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2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2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2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2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2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2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2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2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2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2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2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2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2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2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2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2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2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2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2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2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2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2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2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2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2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2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2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2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2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2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2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2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2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2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2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2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2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2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2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2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2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2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2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2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2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2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2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2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2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2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2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2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2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2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2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2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2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2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2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2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2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2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2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2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2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2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2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2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2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2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2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2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2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2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2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2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2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2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2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2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2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2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2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2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2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2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2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2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2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2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2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2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2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2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2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2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2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2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2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2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2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2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2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2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2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2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2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2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2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2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2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2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2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2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2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2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2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2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2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2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2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2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2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2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2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2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2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2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2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2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2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2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2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2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2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2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2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2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2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2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2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2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2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2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2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2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2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2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2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2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2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2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2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2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2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2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2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2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2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2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2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2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2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2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2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2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2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2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2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2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2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2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2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2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2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2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2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2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2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2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2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2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2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2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2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2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2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2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2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2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2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2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2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2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2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2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2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2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2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2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2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2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2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2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2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2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2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2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2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2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2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2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2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2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2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2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2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2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2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2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2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2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2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2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2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2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2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2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2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2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2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2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2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2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2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2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2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2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2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2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2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2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2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2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2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2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2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2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2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2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2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2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2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2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2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2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2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2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2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2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2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2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2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2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2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2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2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2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2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2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2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2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2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2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2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2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2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2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2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2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2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2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2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2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2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2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2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2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2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2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2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2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2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2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2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2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2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2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2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2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2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2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2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2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2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2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2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2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2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2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2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2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2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2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2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2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2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2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2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2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2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2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2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2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2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2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2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2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2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2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2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2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2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2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2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2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2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2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2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2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2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2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2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2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2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2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2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2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2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2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2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2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2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2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2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2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2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2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2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2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2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2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2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2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2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2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2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2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2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2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2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2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2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2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2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2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2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2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2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2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2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2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2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2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2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2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2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2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2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2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2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2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2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2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2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2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2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2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2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2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2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2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2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2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2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2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2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2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2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2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2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2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2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2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2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2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2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2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2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2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2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2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2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2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2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2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2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2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2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2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2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2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2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2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2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2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2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2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2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2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2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2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2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2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2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2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2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2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2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2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2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2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2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2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2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2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2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2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2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2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2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2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2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2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2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2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2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2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2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2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2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2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2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2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2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2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2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2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2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2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2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2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2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2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2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2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2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2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2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2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2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2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2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2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2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2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2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2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2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2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2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2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2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2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2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2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2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2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2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2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2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2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2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2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2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2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2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2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2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2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2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2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2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2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2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2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2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2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2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2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2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2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2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2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2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2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2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2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2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2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2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2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2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2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2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2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2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2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2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2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2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2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2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2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2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2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2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2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2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2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2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2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2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2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2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2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2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2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2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2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2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2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2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2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2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2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2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2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2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2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2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2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2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2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2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2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2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2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2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2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2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2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2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2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2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2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2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2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2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2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2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2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2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2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2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2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2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2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2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2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2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2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2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2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2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2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2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2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2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2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2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2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2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2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2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2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2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2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2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2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2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2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2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2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2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2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2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2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2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2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2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2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2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2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2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2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2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2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2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2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2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2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2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2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2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2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2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2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2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2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2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2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2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2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2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2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2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2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2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2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2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2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2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2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2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2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2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2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2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2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2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2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2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2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2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2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2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2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2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2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2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2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2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2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2" t="str">
        <f t="shared" si="1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IFERROR(__xludf.DUMMYFUNCTION("QUERY({uni_price!A2:B1000,ARRAYFORMULA(IFERROR(VLOOKUP(uni_price!A2:A1000,uni_supply!$A:B,2,0),""""))},""SELECT *"",0)"),"2022-05-01T00:00:00Z")</f>
        <v>2022-05-01T00:00:00Z</v>
      </c>
      <c r="B2" s="3">
        <f>IFERROR(__xludf.DUMMYFUNCTION("""COMPUTED_VALUE"""),6.752732)</f>
        <v>6.752732</v>
      </c>
      <c r="C2" s="3">
        <f>IFERROR(__xludf.DUMMYFUNCTION("""COMPUTED_VALUE"""),4.56489583401055E8)</f>
        <v>456489583.4</v>
      </c>
      <c r="D2" s="1">
        <v>0.0</v>
      </c>
      <c r="E2" s="1">
        <v>0.0</v>
      </c>
      <c r="F2" s="2" t="str">
        <f t="shared" ref="F2:F1000" si="1">IF(ISBLANK(A2),"","UNI")</f>
        <v>UNI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IFERROR(__xludf.DUMMYFUNCTION("""COMPUTED_VALUE"""),7.114579)</f>
        <v>7.114579</v>
      </c>
      <c r="C3" s="3">
        <f>IFERROR(__xludf.DUMMYFUNCTION("""COMPUTED_VALUE"""),4.56489583401055E8)</f>
        <v>456489583.4</v>
      </c>
      <c r="D3" s="3">
        <f t="shared" ref="D3:D145" si="2">C3-C2</f>
        <v>0</v>
      </c>
      <c r="E3" s="3">
        <f t="shared" ref="E3:E145" si="3">B3*D3</f>
        <v>0</v>
      </c>
      <c r="F3" s="2" t="str">
        <f t="shared" si="1"/>
        <v>UNI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IFERROR(__xludf.DUMMYFUNCTION("""COMPUTED_VALUE"""),6.929338)</f>
        <v>6.929338</v>
      </c>
      <c r="C4" s="3">
        <f>IFERROR(__xludf.DUMMYFUNCTION("""COMPUTED_VALUE"""),4.56489583401055E8)</f>
        <v>456489583.4</v>
      </c>
      <c r="D4" s="3">
        <f t="shared" si="2"/>
        <v>0</v>
      </c>
      <c r="E4" s="3">
        <f t="shared" si="3"/>
        <v>0</v>
      </c>
      <c r="F4" s="2" t="str">
        <f t="shared" si="1"/>
        <v>UNI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IFERROR(__xludf.DUMMYFUNCTION("""COMPUTED_VALUE"""),6.856312)</f>
        <v>6.856312</v>
      </c>
      <c r="C5" s="3">
        <f>IFERROR(__xludf.DUMMYFUNCTION("""COMPUTED_VALUE"""),4.56489583401055E8)</f>
        <v>456489583.4</v>
      </c>
      <c r="D5" s="3">
        <f t="shared" si="2"/>
        <v>0</v>
      </c>
      <c r="E5" s="3">
        <f t="shared" si="3"/>
        <v>0</v>
      </c>
      <c r="F5" s="2" t="str">
        <f t="shared" si="1"/>
        <v>UNI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IFERROR(__xludf.DUMMYFUNCTION("""COMPUTED_VALUE"""),7.936684)</f>
        <v>7.936684</v>
      </c>
      <c r="C6" s="3">
        <f>IFERROR(__xludf.DUMMYFUNCTION("""COMPUTED_VALUE"""),4.56489583401055E8)</f>
        <v>456489583.4</v>
      </c>
      <c r="D6" s="3">
        <f t="shared" si="2"/>
        <v>0</v>
      </c>
      <c r="E6" s="3">
        <f t="shared" si="3"/>
        <v>0</v>
      </c>
      <c r="F6" s="2" t="str">
        <f t="shared" si="1"/>
        <v>UNI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IFERROR(__xludf.DUMMYFUNCTION("""COMPUTED_VALUE"""),7.347492)</f>
        <v>7.347492</v>
      </c>
      <c r="C7" s="3">
        <f>IFERROR(__xludf.DUMMYFUNCTION("""COMPUTED_VALUE"""),4.56489583401055E8)</f>
        <v>456489583.4</v>
      </c>
      <c r="D7" s="3">
        <f t="shared" si="2"/>
        <v>0</v>
      </c>
      <c r="E7" s="3">
        <f t="shared" si="3"/>
        <v>0</v>
      </c>
      <c r="F7" s="2" t="str">
        <f t="shared" si="1"/>
        <v>UNI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IFERROR(__xludf.DUMMYFUNCTION("""COMPUTED_VALUE"""),7.584601)</f>
        <v>7.584601</v>
      </c>
      <c r="C8" s="3">
        <f>IFERROR(__xludf.DUMMYFUNCTION("""COMPUTED_VALUE"""),4.56489583401055E8)</f>
        <v>456489583.4</v>
      </c>
      <c r="D8" s="3">
        <f t="shared" si="2"/>
        <v>0</v>
      </c>
      <c r="E8" s="3">
        <f t="shared" si="3"/>
        <v>0</v>
      </c>
      <c r="F8" s="2" t="str">
        <f t="shared" si="1"/>
        <v>UNI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IFERROR(__xludf.DUMMYFUNCTION("""COMPUTED_VALUE"""),7.171079)</f>
        <v>7.171079</v>
      </c>
      <c r="C9" s="3">
        <f>IFERROR(__xludf.DUMMYFUNCTION("""COMPUTED_VALUE"""),4.56489583401055E8)</f>
        <v>456489583.4</v>
      </c>
      <c r="D9" s="3">
        <f t="shared" si="2"/>
        <v>0</v>
      </c>
      <c r="E9" s="3">
        <f t="shared" si="3"/>
        <v>0</v>
      </c>
      <c r="F9" s="2" t="str">
        <f t="shared" si="1"/>
        <v>UNI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IFERROR(__xludf.DUMMYFUNCTION("""COMPUTED_VALUE"""),7.098135)</f>
        <v>7.098135</v>
      </c>
      <c r="C10" s="3">
        <f>IFERROR(__xludf.DUMMYFUNCTION("""COMPUTED_VALUE"""),4.56489583401055E8)</f>
        <v>456489583.4</v>
      </c>
      <c r="D10" s="3">
        <f t="shared" si="2"/>
        <v>0</v>
      </c>
      <c r="E10" s="3">
        <f t="shared" si="3"/>
        <v>0</v>
      </c>
      <c r="F10" s="2" t="str">
        <f t="shared" si="1"/>
        <v>UNI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IFERROR(__xludf.DUMMYFUNCTION("""COMPUTED_VALUE"""),5.954821)</f>
        <v>5.954821</v>
      </c>
      <c r="C11" s="3">
        <f>IFERROR(__xludf.DUMMYFUNCTION("""COMPUTED_VALUE"""),4.56489583401055E8)</f>
        <v>456489583.4</v>
      </c>
      <c r="D11" s="3">
        <f t="shared" si="2"/>
        <v>0</v>
      </c>
      <c r="E11" s="3">
        <f t="shared" si="3"/>
        <v>0</v>
      </c>
      <c r="F11" s="2" t="str">
        <f t="shared" si="1"/>
        <v>UNI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IFERROR(__xludf.DUMMYFUNCTION("""COMPUTED_VALUE"""),6.069774)</f>
        <v>6.069774</v>
      </c>
      <c r="C12" s="3">
        <f>IFERROR(__xludf.DUMMYFUNCTION("""COMPUTED_VALUE"""),4.56489583401055E8)</f>
        <v>456489583.4</v>
      </c>
      <c r="D12" s="3">
        <f t="shared" si="2"/>
        <v>0</v>
      </c>
      <c r="E12" s="3">
        <f t="shared" si="3"/>
        <v>0</v>
      </c>
      <c r="F12" s="2" t="str">
        <f t="shared" si="1"/>
        <v>UNI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IFERROR(__xludf.DUMMYFUNCTION("""COMPUTED_VALUE"""),4.892984)</f>
        <v>4.892984</v>
      </c>
      <c r="C13" s="3">
        <f>IFERROR(__xludf.DUMMYFUNCTION("""COMPUTED_VALUE"""),4.56489583401055E8)</f>
        <v>456489583.4</v>
      </c>
      <c r="D13" s="3">
        <f t="shared" si="2"/>
        <v>0</v>
      </c>
      <c r="E13" s="3">
        <f t="shared" si="3"/>
        <v>0</v>
      </c>
      <c r="F13" s="2" t="str">
        <f t="shared" si="1"/>
        <v>UNI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IFERROR(__xludf.DUMMYFUNCTION("""COMPUTED_VALUE"""),4.656379)</f>
        <v>4.656379</v>
      </c>
      <c r="C14" s="3">
        <f>IFERROR(__xludf.DUMMYFUNCTION("""COMPUTED_VALUE"""),4.56489583401055E8)</f>
        <v>456489583.4</v>
      </c>
      <c r="D14" s="3">
        <f t="shared" si="2"/>
        <v>0</v>
      </c>
      <c r="E14" s="3">
        <f t="shared" si="3"/>
        <v>0</v>
      </c>
      <c r="F14" s="2" t="str">
        <f t="shared" si="1"/>
        <v>UNI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IFERROR(__xludf.DUMMYFUNCTION("""COMPUTED_VALUE"""),5.127297)</f>
        <v>5.127297</v>
      </c>
      <c r="C15" s="3">
        <f>IFERROR(__xludf.DUMMYFUNCTION("""COMPUTED_VALUE"""),4.56489583401055E8)</f>
        <v>456489583.4</v>
      </c>
      <c r="D15" s="3">
        <f t="shared" si="2"/>
        <v>0</v>
      </c>
      <c r="E15" s="3">
        <f t="shared" si="3"/>
        <v>0</v>
      </c>
      <c r="F15" s="2" t="str">
        <f t="shared" si="1"/>
        <v>UNI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IFERROR(__xludf.DUMMYFUNCTION("""COMPUTED_VALUE"""),5.169285)</f>
        <v>5.169285</v>
      </c>
      <c r="C16" s="3">
        <f>IFERROR(__xludf.DUMMYFUNCTION("""COMPUTED_VALUE"""),4.56489583401055E8)</f>
        <v>456489583.4</v>
      </c>
      <c r="D16" s="3">
        <f t="shared" si="2"/>
        <v>0</v>
      </c>
      <c r="E16" s="3">
        <f t="shared" si="3"/>
        <v>0</v>
      </c>
      <c r="F16" s="2" t="str">
        <f t="shared" si="1"/>
        <v>UNI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IFERROR(__xludf.DUMMYFUNCTION("""COMPUTED_VALUE"""),5.443996)</f>
        <v>5.443996</v>
      </c>
      <c r="C17" s="3">
        <f>IFERROR(__xludf.DUMMYFUNCTION("""COMPUTED_VALUE"""),4.56489583401055E8)</f>
        <v>456489583.4</v>
      </c>
      <c r="D17" s="3">
        <f t="shared" si="2"/>
        <v>0</v>
      </c>
      <c r="E17" s="3">
        <f t="shared" si="3"/>
        <v>0</v>
      </c>
      <c r="F17" s="2" t="str">
        <f t="shared" si="1"/>
        <v>UNI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IFERROR(__xludf.DUMMYFUNCTION("""COMPUTED_VALUE"""),5.052133)</f>
        <v>5.052133</v>
      </c>
      <c r="C18" s="3">
        <f>IFERROR(__xludf.DUMMYFUNCTION("""COMPUTED_VALUE"""),4.56489583401055E8)</f>
        <v>456489583.4</v>
      </c>
      <c r="D18" s="3">
        <f t="shared" si="2"/>
        <v>0</v>
      </c>
      <c r="E18" s="3">
        <f t="shared" si="3"/>
        <v>0</v>
      </c>
      <c r="F18" s="2" t="str">
        <f t="shared" si="1"/>
        <v>UNI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IFERROR(__xludf.DUMMYFUNCTION("""COMPUTED_VALUE"""),5.459629)</f>
        <v>5.459629</v>
      </c>
      <c r="C19" s="3">
        <f>IFERROR(__xludf.DUMMYFUNCTION("""COMPUTED_VALUE"""),4.56489583401055E8)</f>
        <v>456489583.4</v>
      </c>
      <c r="D19" s="3">
        <f t="shared" si="2"/>
        <v>0</v>
      </c>
      <c r="E19" s="3">
        <f t="shared" si="3"/>
        <v>0</v>
      </c>
      <c r="F19" s="2" t="str">
        <f t="shared" si="1"/>
        <v>UNI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IFERROR(__xludf.DUMMYFUNCTION("""COMPUTED_VALUE"""),4.922264)</f>
        <v>4.922264</v>
      </c>
      <c r="C20" s="3">
        <f>IFERROR(__xludf.DUMMYFUNCTION("""COMPUTED_VALUE"""),4.56489583401055E8)</f>
        <v>456489583.4</v>
      </c>
      <c r="D20" s="3">
        <f t="shared" si="2"/>
        <v>0</v>
      </c>
      <c r="E20" s="3">
        <f t="shared" si="3"/>
        <v>0</v>
      </c>
      <c r="F20" s="2" t="str">
        <f t="shared" si="1"/>
        <v>UNI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IFERROR(__xludf.DUMMYFUNCTION("""COMPUTED_VALUE"""),5.185391)</f>
        <v>5.185391</v>
      </c>
      <c r="C21" s="3">
        <f>IFERROR(__xludf.DUMMYFUNCTION("""COMPUTED_VALUE"""),4.56489583401055E8)</f>
        <v>456489583.4</v>
      </c>
      <c r="D21" s="3">
        <f t="shared" si="2"/>
        <v>0</v>
      </c>
      <c r="E21" s="3">
        <f t="shared" si="3"/>
        <v>0</v>
      </c>
      <c r="F21" s="2" t="str">
        <f t="shared" si="1"/>
        <v>UNI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IFERROR(__xludf.DUMMYFUNCTION("""COMPUTED_VALUE"""),5.088243)</f>
        <v>5.088243</v>
      </c>
      <c r="C22" s="3">
        <f>IFERROR(__xludf.DUMMYFUNCTION("""COMPUTED_VALUE"""),4.56489583401055E8)</f>
        <v>456489583.4</v>
      </c>
      <c r="D22" s="3">
        <f t="shared" si="2"/>
        <v>0</v>
      </c>
      <c r="E22" s="3">
        <f t="shared" si="3"/>
        <v>0</v>
      </c>
      <c r="F22" s="2" t="str">
        <f t="shared" si="1"/>
        <v>UNI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IFERROR(__xludf.DUMMYFUNCTION("""COMPUTED_VALUE"""),5.22356)</f>
        <v>5.22356</v>
      </c>
      <c r="C23" s="3">
        <f>IFERROR(__xludf.DUMMYFUNCTION("""COMPUTED_VALUE"""),4.56489583401055E8)</f>
        <v>456489583.4</v>
      </c>
      <c r="D23" s="3">
        <f t="shared" si="2"/>
        <v>0</v>
      </c>
      <c r="E23" s="3">
        <f t="shared" si="3"/>
        <v>0</v>
      </c>
      <c r="F23" s="2" t="str">
        <f t="shared" si="1"/>
        <v>UNI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IFERROR(__xludf.DUMMYFUNCTION("""COMPUTED_VALUE"""),5.47627)</f>
        <v>5.47627</v>
      </c>
      <c r="C24" s="3">
        <f>IFERROR(__xludf.DUMMYFUNCTION("""COMPUTED_VALUE"""),4.56489583401055E8)</f>
        <v>456489583.4</v>
      </c>
      <c r="D24" s="3">
        <f t="shared" si="2"/>
        <v>0</v>
      </c>
      <c r="E24" s="3">
        <f t="shared" si="3"/>
        <v>0</v>
      </c>
      <c r="F24" s="2" t="str">
        <f t="shared" si="1"/>
        <v>UNI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IFERROR(__xludf.DUMMYFUNCTION("""COMPUTED_VALUE"""),5.625066)</f>
        <v>5.625066</v>
      </c>
      <c r="C25" s="3">
        <f>IFERROR(__xludf.DUMMYFUNCTION("""COMPUTED_VALUE"""),4.56489583401055E8)</f>
        <v>456489583.4</v>
      </c>
      <c r="D25" s="3">
        <f t="shared" si="2"/>
        <v>0</v>
      </c>
      <c r="E25" s="3">
        <f t="shared" si="3"/>
        <v>0</v>
      </c>
      <c r="F25" s="2" t="str">
        <f t="shared" si="1"/>
        <v>UNI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IFERROR(__xludf.DUMMYFUNCTION("""COMPUTED_VALUE"""),5.590588)</f>
        <v>5.590588</v>
      </c>
      <c r="C26" s="3">
        <f>IFERROR(__xludf.DUMMYFUNCTION("""COMPUTED_VALUE"""),4.56489583401055E8)</f>
        <v>456489583.4</v>
      </c>
      <c r="D26" s="3">
        <f t="shared" si="2"/>
        <v>0</v>
      </c>
      <c r="E26" s="3">
        <f t="shared" si="3"/>
        <v>0</v>
      </c>
      <c r="F26" s="2" t="str">
        <f t="shared" si="1"/>
        <v>UNI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IFERROR(__xludf.DUMMYFUNCTION("""COMPUTED_VALUE"""),5.618831)</f>
        <v>5.618831</v>
      </c>
      <c r="C27" s="3">
        <f>IFERROR(__xludf.DUMMYFUNCTION("""COMPUTED_VALUE"""),4.56489583401055E8)</f>
        <v>456489583.4</v>
      </c>
      <c r="D27" s="3">
        <f t="shared" si="2"/>
        <v>0</v>
      </c>
      <c r="E27" s="3">
        <f t="shared" si="3"/>
        <v>0</v>
      </c>
      <c r="F27" s="2" t="str">
        <f t="shared" si="1"/>
        <v>UNI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IFERROR(__xludf.DUMMYFUNCTION("""COMPUTED_VALUE"""),4.942806)</f>
        <v>4.942806</v>
      </c>
      <c r="C28" s="3">
        <f>IFERROR(__xludf.DUMMYFUNCTION("""COMPUTED_VALUE"""),4.56489583401055E8)</f>
        <v>456489583.4</v>
      </c>
      <c r="D28" s="3">
        <f t="shared" si="2"/>
        <v>0</v>
      </c>
      <c r="E28" s="3">
        <f t="shared" si="3"/>
        <v>0</v>
      </c>
      <c r="F28" s="2" t="str">
        <f t="shared" si="1"/>
        <v>UNI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IFERROR(__xludf.DUMMYFUNCTION("""COMPUTED_VALUE"""),4.692841)</f>
        <v>4.692841</v>
      </c>
      <c r="C29" s="3">
        <f>IFERROR(__xludf.DUMMYFUNCTION("""COMPUTED_VALUE"""),4.56489583401055E8)</f>
        <v>456489583.4</v>
      </c>
      <c r="D29" s="3">
        <f t="shared" si="2"/>
        <v>0</v>
      </c>
      <c r="E29" s="3">
        <f t="shared" si="3"/>
        <v>0</v>
      </c>
      <c r="F29" s="2" t="str">
        <f t="shared" si="1"/>
        <v>UNI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IFERROR(__xludf.DUMMYFUNCTION("""COMPUTED_VALUE"""),4.980048)</f>
        <v>4.980048</v>
      </c>
      <c r="C30" s="3">
        <f>IFERROR(__xludf.DUMMYFUNCTION("""COMPUTED_VALUE"""),4.56489583401055E8)</f>
        <v>456489583.4</v>
      </c>
      <c r="D30" s="3">
        <f t="shared" si="2"/>
        <v>0</v>
      </c>
      <c r="E30" s="3">
        <f t="shared" si="3"/>
        <v>0</v>
      </c>
      <c r="F30" s="2" t="str">
        <f t="shared" si="1"/>
        <v>UNI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IFERROR(__xludf.DUMMYFUNCTION("""COMPUTED_VALUE"""),4.942211)</f>
        <v>4.942211</v>
      </c>
      <c r="C31" s="3">
        <f>IFERROR(__xludf.DUMMYFUNCTION("""COMPUTED_VALUE"""),4.56489583401055E8)</f>
        <v>456489583.4</v>
      </c>
      <c r="D31" s="3">
        <f t="shared" si="2"/>
        <v>0</v>
      </c>
      <c r="E31" s="3">
        <f t="shared" si="3"/>
        <v>0</v>
      </c>
      <c r="F31" s="2" t="str">
        <f t="shared" si="1"/>
        <v>UNI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IFERROR(__xludf.DUMMYFUNCTION("""COMPUTED_VALUE"""),5.652219)</f>
        <v>5.652219</v>
      </c>
      <c r="C32" s="3">
        <f>IFERROR(__xludf.DUMMYFUNCTION("""COMPUTED_VALUE"""),4.56489583401055E8)</f>
        <v>456489583.4</v>
      </c>
      <c r="D32" s="3">
        <f t="shared" si="2"/>
        <v>0</v>
      </c>
      <c r="E32" s="3">
        <f t="shared" si="3"/>
        <v>0</v>
      </c>
      <c r="F32" s="2" t="str">
        <f t="shared" si="1"/>
        <v>UNI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IFERROR(__xludf.DUMMYFUNCTION("""COMPUTED_VALUE"""),5.687735)</f>
        <v>5.687735</v>
      </c>
      <c r="C33" s="3">
        <f>IFERROR(__xludf.DUMMYFUNCTION("""COMPUTED_VALUE"""),4.56489583401055E8)</f>
        <v>456489583.4</v>
      </c>
      <c r="D33" s="3">
        <f t="shared" si="2"/>
        <v>0</v>
      </c>
      <c r="E33" s="3">
        <f t="shared" si="3"/>
        <v>0</v>
      </c>
      <c r="F33" s="2" t="str">
        <f t="shared" si="1"/>
        <v>UNI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IFERROR(__xludf.DUMMYFUNCTION("""COMPUTED_VALUE"""),5.141428)</f>
        <v>5.141428</v>
      </c>
      <c r="C34" s="3">
        <f>IFERROR(__xludf.DUMMYFUNCTION("""COMPUTED_VALUE"""),4.56489583401055E8)</f>
        <v>456489583.4</v>
      </c>
      <c r="D34" s="3">
        <f t="shared" si="2"/>
        <v>0</v>
      </c>
      <c r="E34" s="3">
        <f t="shared" si="3"/>
        <v>0</v>
      </c>
      <c r="F34" s="2" t="str">
        <f t="shared" si="1"/>
        <v>UNI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IFERROR(__xludf.DUMMYFUNCTION("""COMPUTED_VALUE"""),5.280675)</f>
        <v>5.280675</v>
      </c>
      <c r="C35" s="3">
        <f>IFERROR(__xludf.DUMMYFUNCTION("""COMPUTED_VALUE"""),4.56489583401055E8)</f>
        <v>456489583.4</v>
      </c>
      <c r="D35" s="3">
        <f t="shared" si="2"/>
        <v>0</v>
      </c>
      <c r="E35" s="3">
        <f t="shared" si="3"/>
        <v>0</v>
      </c>
      <c r="F35" s="2" t="str">
        <f t="shared" si="1"/>
        <v>UNI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IFERROR(__xludf.DUMMYFUNCTION("""COMPUTED_VALUE"""),5.072912)</f>
        <v>5.072912</v>
      </c>
      <c r="C36" s="3">
        <f>IFERROR(__xludf.DUMMYFUNCTION("""COMPUTED_VALUE"""),4.56489583401055E8)</f>
        <v>456489583.4</v>
      </c>
      <c r="D36" s="3">
        <f t="shared" si="2"/>
        <v>0</v>
      </c>
      <c r="E36" s="3">
        <f t="shared" si="3"/>
        <v>0</v>
      </c>
      <c r="F36" s="2" t="str">
        <f t="shared" si="1"/>
        <v>UNI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IFERROR(__xludf.DUMMYFUNCTION("""COMPUTED_VALUE"""),5.112042)</f>
        <v>5.112042</v>
      </c>
      <c r="C37" s="3">
        <f>IFERROR(__xludf.DUMMYFUNCTION("""COMPUTED_VALUE"""),4.56489583401055E8)</f>
        <v>456489583.4</v>
      </c>
      <c r="D37" s="3">
        <f t="shared" si="2"/>
        <v>0</v>
      </c>
      <c r="E37" s="3">
        <f t="shared" si="3"/>
        <v>0</v>
      </c>
      <c r="F37" s="2" t="str">
        <f t="shared" si="1"/>
        <v>UNI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IFERROR(__xludf.DUMMYFUNCTION("""COMPUTED_VALUE"""),5.087729)</f>
        <v>5.087729</v>
      </c>
      <c r="C38" s="3">
        <f>IFERROR(__xludf.DUMMYFUNCTION("""COMPUTED_VALUE"""),4.56489583401055E8)</f>
        <v>456489583.4</v>
      </c>
      <c r="D38" s="3">
        <f t="shared" si="2"/>
        <v>0</v>
      </c>
      <c r="E38" s="3">
        <f t="shared" si="3"/>
        <v>0</v>
      </c>
      <c r="F38" s="2" t="str">
        <f t="shared" si="1"/>
        <v>UNI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IFERROR(__xludf.DUMMYFUNCTION("""COMPUTED_VALUE"""),5.346567)</f>
        <v>5.346567</v>
      </c>
      <c r="C39" s="3">
        <f>IFERROR(__xludf.DUMMYFUNCTION("""COMPUTED_VALUE"""),4.56489583401055E8)</f>
        <v>456489583.4</v>
      </c>
      <c r="D39" s="3">
        <f t="shared" si="2"/>
        <v>0</v>
      </c>
      <c r="E39" s="3">
        <f t="shared" si="3"/>
        <v>0</v>
      </c>
      <c r="F39" s="2" t="str">
        <f t="shared" si="1"/>
        <v>UNI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IFERROR(__xludf.DUMMYFUNCTION("""COMPUTED_VALUE"""),5.213563)</f>
        <v>5.213563</v>
      </c>
      <c r="C40" s="3">
        <f>IFERROR(__xludf.DUMMYFUNCTION("""COMPUTED_VALUE"""),4.56489583401055E8)</f>
        <v>456489583.4</v>
      </c>
      <c r="D40" s="3">
        <f t="shared" si="2"/>
        <v>0</v>
      </c>
      <c r="E40" s="3">
        <f t="shared" si="3"/>
        <v>0</v>
      </c>
      <c r="F40" s="2" t="str">
        <f t="shared" si="1"/>
        <v>UNI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IFERROR(__xludf.DUMMYFUNCTION("""COMPUTED_VALUE"""),5.079823)</f>
        <v>5.079823</v>
      </c>
      <c r="C41" s="3">
        <f>IFERROR(__xludf.DUMMYFUNCTION("""COMPUTED_VALUE"""),4.56489583401055E8)</f>
        <v>456489583.4</v>
      </c>
      <c r="D41" s="3">
        <f t="shared" si="2"/>
        <v>0</v>
      </c>
      <c r="E41" s="3">
        <f t="shared" si="3"/>
        <v>0</v>
      </c>
      <c r="F41" s="2" t="str">
        <f t="shared" si="1"/>
        <v>UNI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IFERROR(__xludf.DUMMYFUNCTION("""COMPUTED_VALUE"""),5.19541)</f>
        <v>5.19541</v>
      </c>
      <c r="C42" s="3">
        <f>IFERROR(__xludf.DUMMYFUNCTION("""COMPUTED_VALUE"""),4.56489583401055E8)</f>
        <v>456489583.4</v>
      </c>
      <c r="D42" s="3">
        <f t="shared" si="2"/>
        <v>0</v>
      </c>
      <c r="E42" s="3">
        <f t="shared" si="3"/>
        <v>0</v>
      </c>
      <c r="F42" s="2" t="str">
        <f t="shared" si="1"/>
        <v>UNI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IFERROR(__xludf.DUMMYFUNCTION("""COMPUTED_VALUE"""),4.812547)</f>
        <v>4.812547</v>
      </c>
      <c r="C43" s="3">
        <f>IFERROR(__xludf.DUMMYFUNCTION("""COMPUTED_VALUE"""),4.56489583401055E8)</f>
        <v>456489583.4</v>
      </c>
      <c r="D43" s="3">
        <f t="shared" si="2"/>
        <v>0</v>
      </c>
      <c r="E43" s="3">
        <f t="shared" si="3"/>
        <v>0</v>
      </c>
      <c r="F43" s="2" t="str">
        <f t="shared" si="1"/>
        <v>UNI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IFERROR(__xludf.DUMMYFUNCTION("""COMPUTED_VALUE"""),4.383471)</f>
        <v>4.383471</v>
      </c>
      <c r="C44" s="3">
        <f>IFERROR(__xludf.DUMMYFUNCTION("""COMPUTED_VALUE"""),4.56489583401055E8)</f>
        <v>456489583.4</v>
      </c>
      <c r="D44" s="3">
        <f t="shared" si="2"/>
        <v>0</v>
      </c>
      <c r="E44" s="3">
        <f t="shared" si="3"/>
        <v>0</v>
      </c>
      <c r="F44" s="2" t="str">
        <f t="shared" si="1"/>
        <v>UNI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IFERROR(__xludf.DUMMYFUNCTION("""COMPUTED_VALUE"""),4.056605)</f>
        <v>4.056605</v>
      </c>
      <c r="C45" s="3">
        <f>IFERROR(__xludf.DUMMYFUNCTION("""COMPUTED_VALUE"""),4.56489583401055E8)</f>
        <v>456489583.4</v>
      </c>
      <c r="D45" s="3">
        <f t="shared" si="2"/>
        <v>0</v>
      </c>
      <c r="E45" s="3">
        <f t="shared" si="3"/>
        <v>0</v>
      </c>
      <c r="F45" s="2" t="str">
        <f t="shared" si="1"/>
        <v>UNI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IFERROR(__xludf.DUMMYFUNCTION("""COMPUTED_VALUE"""),3.664061)</f>
        <v>3.664061</v>
      </c>
      <c r="C46" s="3">
        <f>IFERROR(__xludf.DUMMYFUNCTION("""COMPUTED_VALUE"""),4.56489583401055E8)</f>
        <v>456489583.4</v>
      </c>
      <c r="D46" s="3">
        <f t="shared" si="2"/>
        <v>0</v>
      </c>
      <c r="E46" s="3">
        <f t="shared" si="3"/>
        <v>0</v>
      </c>
      <c r="F46" s="2" t="str">
        <f t="shared" si="1"/>
        <v>UNI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IFERROR(__xludf.DUMMYFUNCTION("""COMPUTED_VALUE"""),3.861913)</f>
        <v>3.861913</v>
      </c>
      <c r="C47" s="3">
        <f>IFERROR(__xludf.DUMMYFUNCTION("""COMPUTED_VALUE"""),4.56489583401055E8)</f>
        <v>456489583.4</v>
      </c>
      <c r="D47" s="3">
        <f t="shared" si="2"/>
        <v>0</v>
      </c>
      <c r="E47" s="3">
        <f t="shared" si="3"/>
        <v>0</v>
      </c>
      <c r="F47" s="2" t="str">
        <f t="shared" si="1"/>
        <v>UNI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IFERROR(__xludf.DUMMYFUNCTION("""COMPUTED_VALUE"""),4.42163)</f>
        <v>4.42163</v>
      </c>
      <c r="C48" s="3">
        <f>IFERROR(__xludf.DUMMYFUNCTION("""COMPUTED_VALUE"""),4.56489583401055E8)</f>
        <v>456489583.4</v>
      </c>
      <c r="D48" s="3">
        <f t="shared" si="2"/>
        <v>0</v>
      </c>
      <c r="E48" s="3">
        <f t="shared" si="3"/>
        <v>0</v>
      </c>
      <c r="F48" s="2" t="str">
        <f t="shared" si="1"/>
        <v>UNI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IFERROR(__xludf.DUMMYFUNCTION("""COMPUTED_VALUE"""),3.835729)</f>
        <v>3.835729</v>
      </c>
      <c r="C49" s="3">
        <f>IFERROR(__xludf.DUMMYFUNCTION("""COMPUTED_VALUE"""),4.56489583401055E8)</f>
        <v>456489583.4</v>
      </c>
      <c r="D49" s="3">
        <f t="shared" si="2"/>
        <v>0</v>
      </c>
      <c r="E49" s="3">
        <f t="shared" si="3"/>
        <v>0</v>
      </c>
      <c r="F49" s="2" t="str">
        <f t="shared" si="1"/>
        <v>UNI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IFERROR(__xludf.DUMMYFUNCTION("""COMPUTED_VALUE"""),3.93036)</f>
        <v>3.93036</v>
      </c>
      <c r="C50" s="3">
        <f>IFERROR(__xludf.DUMMYFUNCTION("""COMPUTED_VALUE"""),4.56489583401055E8)</f>
        <v>456489583.4</v>
      </c>
      <c r="D50" s="3">
        <f t="shared" si="2"/>
        <v>0</v>
      </c>
      <c r="E50" s="3">
        <f t="shared" si="3"/>
        <v>0</v>
      </c>
      <c r="F50" s="2" t="str">
        <f t="shared" si="1"/>
        <v>UNI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IFERROR(__xludf.DUMMYFUNCTION("""COMPUTED_VALUE"""),3.642738)</f>
        <v>3.642738</v>
      </c>
      <c r="C51" s="3">
        <f>IFERROR(__xludf.DUMMYFUNCTION("""COMPUTED_VALUE"""),4.56489583401055E8)</f>
        <v>456489583.4</v>
      </c>
      <c r="D51" s="3">
        <f t="shared" si="2"/>
        <v>0</v>
      </c>
      <c r="E51" s="3">
        <f t="shared" si="3"/>
        <v>0</v>
      </c>
      <c r="F51" s="2" t="str">
        <f t="shared" si="1"/>
        <v>UNI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IFERROR(__xludf.DUMMYFUNCTION("""COMPUTED_VALUE"""),4.186464)</f>
        <v>4.186464</v>
      </c>
      <c r="C52" s="3">
        <f>IFERROR(__xludf.DUMMYFUNCTION("""COMPUTED_VALUE"""),4.56489583401055E8)</f>
        <v>456489583.4</v>
      </c>
      <c r="D52" s="3">
        <f t="shared" si="2"/>
        <v>0</v>
      </c>
      <c r="E52" s="3">
        <f t="shared" si="3"/>
        <v>0</v>
      </c>
      <c r="F52" s="2" t="str">
        <f t="shared" si="1"/>
        <v>UNI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IFERROR(__xludf.DUMMYFUNCTION("""COMPUTED_VALUE"""),4.289353)</f>
        <v>4.289353</v>
      </c>
      <c r="C53" s="3">
        <f>IFERROR(__xludf.DUMMYFUNCTION("""COMPUTED_VALUE"""),4.56489583401055E8)</f>
        <v>456489583.4</v>
      </c>
      <c r="D53" s="3">
        <f t="shared" si="2"/>
        <v>0</v>
      </c>
      <c r="E53" s="3">
        <f t="shared" si="3"/>
        <v>0</v>
      </c>
      <c r="F53" s="2" t="str">
        <f t="shared" si="1"/>
        <v>UNI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IFERROR(__xludf.DUMMYFUNCTION("""COMPUTED_VALUE"""),4.773112)</f>
        <v>4.773112</v>
      </c>
      <c r="C54" s="3">
        <f>IFERROR(__xludf.DUMMYFUNCTION("""COMPUTED_VALUE"""),4.56489583401055E8)</f>
        <v>456489583.4</v>
      </c>
      <c r="D54" s="3">
        <f t="shared" si="2"/>
        <v>0</v>
      </c>
      <c r="E54" s="3">
        <f t="shared" si="3"/>
        <v>0</v>
      </c>
      <c r="F54" s="2" t="str">
        <f t="shared" si="1"/>
        <v>UNI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IFERROR(__xludf.DUMMYFUNCTION("""COMPUTED_VALUE"""),4.982678)</f>
        <v>4.982678</v>
      </c>
      <c r="C55" s="3">
        <f>IFERROR(__xludf.DUMMYFUNCTION("""COMPUTED_VALUE"""),4.56489583401055E8)</f>
        <v>456489583.4</v>
      </c>
      <c r="D55" s="3">
        <f t="shared" si="2"/>
        <v>0</v>
      </c>
      <c r="E55" s="3">
        <f t="shared" si="3"/>
        <v>0</v>
      </c>
      <c r="F55" s="2" t="str">
        <f t="shared" si="1"/>
        <v>UNI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IFERROR(__xludf.DUMMYFUNCTION("""COMPUTED_VALUE"""),5.605006)</f>
        <v>5.605006</v>
      </c>
      <c r="C56" s="3">
        <f>IFERROR(__xludf.DUMMYFUNCTION("""COMPUTED_VALUE"""),4.56489583401055E8)</f>
        <v>456489583.4</v>
      </c>
      <c r="D56" s="3">
        <f t="shared" si="2"/>
        <v>0</v>
      </c>
      <c r="E56" s="3">
        <f t="shared" si="3"/>
        <v>0</v>
      </c>
      <c r="F56" s="2" t="str">
        <f t="shared" si="1"/>
        <v>UNI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IFERROR(__xludf.DUMMYFUNCTION("""COMPUTED_VALUE"""),5.455058)</f>
        <v>5.455058</v>
      </c>
      <c r="C57" s="3">
        <f>IFERROR(__xludf.DUMMYFUNCTION("""COMPUTED_VALUE"""),4.56489583401055E8)</f>
        <v>456489583.4</v>
      </c>
      <c r="D57" s="3">
        <f t="shared" si="2"/>
        <v>0</v>
      </c>
      <c r="E57" s="3">
        <f t="shared" si="3"/>
        <v>0</v>
      </c>
      <c r="F57" s="2" t="str">
        <f t="shared" si="1"/>
        <v>UNI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IFERROR(__xludf.DUMMYFUNCTION("""COMPUTED_VALUE"""),5.618101)</f>
        <v>5.618101</v>
      </c>
      <c r="C58" s="3">
        <f>IFERROR(__xludf.DUMMYFUNCTION("""COMPUTED_VALUE"""),4.56489583401055E8)</f>
        <v>456489583.4</v>
      </c>
      <c r="D58" s="3">
        <f t="shared" si="2"/>
        <v>0</v>
      </c>
      <c r="E58" s="3">
        <f t="shared" si="3"/>
        <v>0</v>
      </c>
      <c r="F58" s="2" t="str">
        <f t="shared" si="1"/>
        <v>UNI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IFERROR(__xludf.DUMMYFUNCTION("""COMPUTED_VALUE"""),5.591552)</f>
        <v>5.591552</v>
      </c>
      <c r="C59" s="3">
        <f>IFERROR(__xludf.DUMMYFUNCTION("""COMPUTED_VALUE"""),4.56489583401055E8)</f>
        <v>456489583.4</v>
      </c>
      <c r="D59" s="3">
        <f t="shared" si="2"/>
        <v>0</v>
      </c>
      <c r="E59" s="3">
        <f t="shared" si="3"/>
        <v>0</v>
      </c>
      <c r="F59" s="2" t="str">
        <f t="shared" si="1"/>
        <v>UNI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IFERROR(__xludf.DUMMYFUNCTION("""COMPUTED_VALUE"""),5.333516)</f>
        <v>5.333516</v>
      </c>
      <c r="C60" s="3">
        <f>IFERROR(__xludf.DUMMYFUNCTION("""COMPUTED_VALUE"""),4.56489583401055E8)</f>
        <v>456489583.4</v>
      </c>
      <c r="D60" s="3">
        <f t="shared" si="2"/>
        <v>0</v>
      </c>
      <c r="E60" s="3">
        <f t="shared" si="3"/>
        <v>0</v>
      </c>
      <c r="F60" s="2" t="str">
        <f t="shared" si="1"/>
        <v>UNI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IFERROR(__xludf.DUMMYFUNCTION("""COMPUTED_VALUE"""),4.915156)</f>
        <v>4.915156</v>
      </c>
      <c r="C61" s="3">
        <f>IFERROR(__xludf.DUMMYFUNCTION("""COMPUTED_VALUE"""),4.56489583401055E8)</f>
        <v>456489583.4</v>
      </c>
      <c r="D61" s="3">
        <f t="shared" si="2"/>
        <v>0</v>
      </c>
      <c r="E61" s="3">
        <f t="shared" si="3"/>
        <v>0</v>
      </c>
      <c r="F61" s="2" t="str">
        <f t="shared" si="1"/>
        <v>UNI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IFERROR(__xludf.DUMMYFUNCTION("""COMPUTED_VALUE"""),5.109)</f>
        <v>5.109</v>
      </c>
      <c r="C62" s="3">
        <f>IFERROR(__xludf.DUMMYFUNCTION("""COMPUTED_VALUE"""),4.56489583401055E8)</f>
        <v>456489583.4</v>
      </c>
      <c r="D62" s="3">
        <f t="shared" si="2"/>
        <v>0</v>
      </c>
      <c r="E62" s="3">
        <f t="shared" si="3"/>
        <v>0</v>
      </c>
      <c r="F62" s="2" t="str">
        <f t="shared" si="1"/>
        <v>UNI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IFERROR(__xludf.DUMMYFUNCTION("""COMPUTED_VALUE"""),4.996136)</f>
        <v>4.996136</v>
      </c>
      <c r="C63" s="3">
        <f>IFERROR(__xludf.DUMMYFUNCTION("""COMPUTED_VALUE"""),4.56489583401055E8)</f>
        <v>456489583.4</v>
      </c>
      <c r="D63" s="3">
        <f t="shared" si="2"/>
        <v>0</v>
      </c>
      <c r="E63" s="3">
        <f t="shared" si="3"/>
        <v>0</v>
      </c>
      <c r="F63" s="2" t="str">
        <f t="shared" si="1"/>
        <v>UNI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IFERROR(__xludf.DUMMYFUNCTION("""COMPUTED_VALUE"""),4.855572)</f>
        <v>4.855572</v>
      </c>
      <c r="C64" s="3">
        <f>IFERROR(__xludf.DUMMYFUNCTION("""COMPUTED_VALUE"""),4.56489583401055E8)</f>
        <v>456489583.4</v>
      </c>
      <c r="D64" s="3">
        <f t="shared" si="2"/>
        <v>0</v>
      </c>
      <c r="E64" s="3">
        <f t="shared" si="3"/>
        <v>0</v>
      </c>
      <c r="F64" s="2" t="str">
        <f t="shared" si="1"/>
        <v>UNI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IFERROR(__xludf.DUMMYFUNCTION("""COMPUTED_VALUE"""),4.90749)</f>
        <v>4.90749</v>
      </c>
      <c r="C65" s="3">
        <f>IFERROR(__xludf.DUMMYFUNCTION("""COMPUTED_VALUE"""),4.56489583401055E8)</f>
        <v>456489583.4</v>
      </c>
      <c r="D65" s="3">
        <f t="shared" si="2"/>
        <v>0</v>
      </c>
      <c r="E65" s="3">
        <f t="shared" si="3"/>
        <v>0</v>
      </c>
      <c r="F65" s="2" t="str">
        <f t="shared" si="1"/>
        <v>UNI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IFERROR(__xludf.DUMMYFUNCTION("""COMPUTED_VALUE"""),4.912893)</f>
        <v>4.912893</v>
      </c>
      <c r="C66" s="3">
        <f>IFERROR(__xludf.DUMMYFUNCTION("""COMPUTED_VALUE"""),4.56489583401055E8)</f>
        <v>456489583.4</v>
      </c>
      <c r="D66" s="3">
        <f t="shared" si="2"/>
        <v>0</v>
      </c>
      <c r="E66" s="3">
        <f t="shared" si="3"/>
        <v>0</v>
      </c>
      <c r="F66" s="2" t="str">
        <f t="shared" si="1"/>
        <v>UNI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IFERROR(__xludf.DUMMYFUNCTION("""COMPUTED_VALUE"""),5.324687)</f>
        <v>5.324687</v>
      </c>
      <c r="C67" s="3">
        <f>IFERROR(__xludf.DUMMYFUNCTION("""COMPUTED_VALUE"""),4.56489583401055E8)</f>
        <v>456489583.4</v>
      </c>
      <c r="D67" s="3">
        <f t="shared" si="2"/>
        <v>0</v>
      </c>
      <c r="E67" s="3">
        <f t="shared" si="3"/>
        <v>0</v>
      </c>
      <c r="F67" s="2" t="str">
        <f t="shared" si="1"/>
        <v>UNI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IFERROR(__xludf.DUMMYFUNCTION("""COMPUTED_VALUE"""),5.301804)</f>
        <v>5.301804</v>
      </c>
      <c r="C68" s="3">
        <f>IFERROR(__xludf.DUMMYFUNCTION("""COMPUTED_VALUE"""),4.56489583401055E8)</f>
        <v>456489583.4</v>
      </c>
      <c r="D68" s="3">
        <f t="shared" si="2"/>
        <v>0</v>
      </c>
      <c r="E68" s="3">
        <f t="shared" si="3"/>
        <v>0</v>
      </c>
      <c r="F68" s="2" t="str">
        <f t="shared" si="1"/>
        <v>UNI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IFERROR(__xludf.DUMMYFUNCTION("""COMPUTED_VALUE"""),5.349806)</f>
        <v>5.349806</v>
      </c>
      <c r="C69" s="3">
        <f>IFERROR(__xludf.DUMMYFUNCTION("""COMPUTED_VALUE"""),4.56489583401055E8)</f>
        <v>456489583.4</v>
      </c>
      <c r="D69" s="3">
        <f t="shared" si="2"/>
        <v>0</v>
      </c>
      <c r="E69" s="3">
        <f t="shared" si="3"/>
        <v>0</v>
      </c>
      <c r="F69" s="2" t="str">
        <f t="shared" si="1"/>
        <v>UNI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IFERROR(__xludf.DUMMYFUNCTION("""COMPUTED_VALUE"""),5.729551)</f>
        <v>5.729551</v>
      </c>
      <c r="C70" s="3">
        <f>IFERROR(__xludf.DUMMYFUNCTION("""COMPUTED_VALUE"""),4.56489583401055E8)</f>
        <v>456489583.4</v>
      </c>
      <c r="D70" s="3">
        <f t="shared" si="2"/>
        <v>0</v>
      </c>
      <c r="E70" s="3">
        <f t="shared" si="3"/>
        <v>0</v>
      </c>
      <c r="F70" s="2" t="str">
        <f t="shared" si="1"/>
        <v>UNI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IFERROR(__xludf.DUMMYFUNCTION("""COMPUTED_VALUE"""),5.796142)</f>
        <v>5.796142</v>
      </c>
      <c r="C71" s="3">
        <f>IFERROR(__xludf.DUMMYFUNCTION("""COMPUTED_VALUE"""),4.56489583401055E8)</f>
        <v>456489583.4</v>
      </c>
      <c r="D71" s="3">
        <f t="shared" si="2"/>
        <v>0</v>
      </c>
      <c r="E71" s="3">
        <f t="shared" si="3"/>
        <v>0</v>
      </c>
      <c r="F71" s="2" t="str">
        <f t="shared" si="1"/>
        <v>UNI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IFERROR(__xludf.DUMMYFUNCTION("""COMPUTED_VALUE"""),6.452374)</f>
        <v>6.452374</v>
      </c>
      <c r="C72" s="3">
        <f>IFERROR(__xludf.DUMMYFUNCTION("""COMPUTED_VALUE"""),4.56489583401055E8)</f>
        <v>456489583.4</v>
      </c>
      <c r="D72" s="3">
        <f t="shared" si="2"/>
        <v>0</v>
      </c>
      <c r="E72" s="3">
        <f t="shared" si="3"/>
        <v>0</v>
      </c>
      <c r="F72" s="2" t="str">
        <f t="shared" si="1"/>
        <v>UNI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IFERROR(__xludf.DUMMYFUNCTION("""COMPUTED_VALUE"""),6.232659)</f>
        <v>6.232659</v>
      </c>
      <c r="C73" s="3">
        <f>IFERROR(__xludf.DUMMYFUNCTION("""COMPUTED_VALUE"""),4.56489583401055E8)</f>
        <v>456489583.4</v>
      </c>
      <c r="D73" s="3">
        <f t="shared" si="2"/>
        <v>0</v>
      </c>
      <c r="E73" s="3">
        <f t="shared" si="3"/>
        <v>0</v>
      </c>
      <c r="F73" s="2" t="str">
        <f t="shared" si="1"/>
        <v>UNI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IFERROR(__xludf.DUMMYFUNCTION("""COMPUTED_VALUE"""),5.560908)</f>
        <v>5.560908</v>
      </c>
      <c r="C74" s="3">
        <f>IFERROR(__xludf.DUMMYFUNCTION("""COMPUTED_VALUE"""),4.56489583401055E8)</f>
        <v>456489583.4</v>
      </c>
      <c r="D74" s="3">
        <f t="shared" si="2"/>
        <v>0</v>
      </c>
      <c r="E74" s="3">
        <f t="shared" si="3"/>
        <v>0</v>
      </c>
      <c r="F74" s="2" t="str">
        <f t="shared" si="1"/>
        <v>UNI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IFERROR(__xludf.DUMMYFUNCTION("""COMPUTED_VALUE"""),5.531975)</f>
        <v>5.531975</v>
      </c>
      <c r="C75" s="3">
        <f>IFERROR(__xludf.DUMMYFUNCTION("""COMPUTED_VALUE"""),4.56489583401055E8)</f>
        <v>456489583.4</v>
      </c>
      <c r="D75" s="3">
        <f t="shared" si="2"/>
        <v>0</v>
      </c>
      <c r="E75" s="3">
        <f t="shared" si="3"/>
        <v>0</v>
      </c>
      <c r="F75" s="2" t="str">
        <f t="shared" si="1"/>
        <v>UNI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IFERROR(__xludf.DUMMYFUNCTION("""COMPUTED_VALUE"""),6.11417)</f>
        <v>6.11417</v>
      </c>
      <c r="C76" s="3">
        <f>IFERROR(__xludf.DUMMYFUNCTION("""COMPUTED_VALUE"""),4.56489583401055E8)</f>
        <v>456489583.4</v>
      </c>
      <c r="D76" s="3">
        <f t="shared" si="2"/>
        <v>0</v>
      </c>
      <c r="E76" s="3">
        <f t="shared" si="3"/>
        <v>0</v>
      </c>
      <c r="F76" s="2" t="str">
        <f t="shared" si="1"/>
        <v>UNI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IFERROR(__xludf.DUMMYFUNCTION("""COMPUTED_VALUE"""),7.009815)</f>
        <v>7.009815</v>
      </c>
      <c r="C77" s="3">
        <f>IFERROR(__xludf.DUMMYFUNCTION("""COMPUTED_VALUE"""),4.56489583401055E8)</f>
        <v>456489583.4</v>
      </c>
      <c r="D77" s="3">
        <f t="shared" si="2"/>
        <v>0</v>
      </c>
      <c r="E77" s="3">
        <f t="shared" si="3"/>
        <v>0</v>
      </c>
      <c r="F77" s="2" t="str">
        <f t="shared" si="1"/>
        <v>UNI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IFERROR(__xludf.DUMMYFUNCTION("""COMPUTED_VALUE"""),6.778151)</f>
        <v>6.778151</v>
      </c>
      <c r="C78" s="3">
        <f>IFERROR(__xludf.DUMMYFUNCTION("""COMPUTED_VALUE"""),4.56489583401055E8)</f>
        <v>456489583.4</v>
      </c>
      <c r="D78" s="3">
        <f t="shared" si="2"/>
        <v>0</v>
      </c>
      <c r="E78" s="3">
        <f t="shared" si="3"/>
        <v>0</v>
      </c>
      <c r="F78" s="2" t="str">
        <f t="shared" si="1"/>
        <v>UNI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IFERROR(__xludf.DUMMYFUNCTION("""COMPUTED_VALUE"""),7.374646)</f>
        <v>7.374646</v>
      </c>
      <c r="C79" s="3">
        <f>IFERROR(__xludf.DUMMYFUNCTION("""COMPUTED_VALUE"""),4.56489583401055E8)</f>
        <v>456489583.4</v>
      </c>
      <c r="D79" s="3">
        <f t="shared" si="2"/>
        <v>0</v>
      </c>
      <c r="E79" s="3">
        <f t="shared" si="3"/>
        <v>0</v>
      </c>
      <c r="F79" s="2" t="str">
        <f t="shared" si="1"/>
        <v>UNI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IFERROR(__xludf.DUMMYFUNCTION("""COMPUTED_VALUE"""),6.942805)</f>
        <v>6.942805</v>
      </c>
      <c r="C80" s="3">
        <f>IFERROR(__xludf.DUMMYFUNCTION("""COMPUTED_VALUE"""),4.56489583401055E8)</f>
        <v>456489583.4</v>
      </c>
      <c r="D80" s="3">
        <f t="shared" si="2"/>
        <v>0</v>
      </c>
      <c r="E80" s="3">
        <f t="shared" si="3"/>
        <v>0</v>
      </c>
      <c r="F80" s="2" t="str">
        <f t="shared" si="1"/>
        <v>UNI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IFERROR(__xludf.DUMMYFUNCTION("""COMPUTED_VALUE"""),7.324554)</f>
        <v>7.324554</v>
      </c>
      <c r="C81" s="3">
        <f>IFERROR(__xludf.DUMMYFUNCTION("""COMPUTED_VALUE"""),4.56489583401055E8)</f>
        <v>456489583.4</v>
      </c>
      <c r="D81" s="3">
        <f t="shared" si="2"/>
        <v>0</v>
      </c>
      <c r="E81" s="3">
        <f t="shared" si="3"/>
        <v>0</v>
      </c>
      <c r="F81" s="2" t="str">
        <f t="shared" si="1"/>
        <v>UNI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IFERROR(__xludf.DUMMYFUNCTION("""COMPUTED_VALUE"""),7.349089)</f>
        <v>7.349089</v>
      </c>
      <c r="C82" s="3">
        <f>IFERROR(__xludf.DUMMYFUNCTION("""COMPUTED_VALUE"""),4.56489583401055E8)</f>
        <v>456489583.4</v>
      </c>
      <c r="D82" s="3">
        <f t="shared" si="2"/>
        <v>0</v>
      </c>
      <c r="E82" s="3">
        <f t="shared" si="3"/>
        <v>0</v>
      </c>
      <c r="F82" s="2" t="str">
        <f t="shared" si="1"/>
        <v>UNI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IFERROR(__xludf.DUMMYFUNCTION("""COMPUTED_VALUE"""),6.858587)</f>
        <v>6.858587</v>
      </c>
      <c r="C83" s="3">
        <f>IFERROR(__xludf.DUMMYFUNCTION("""COMPUTED_VALUE"""),4.56489583401055E8)</f>
        <v>456489583.4</v>
      </c>
      <c r="D83" s="3">
        <f t="shared" si="2"/>
        <v>0</v>
      </c>
      <c r="E83" s="3">
        <f t="shared" si="3"/>
        <v>0</v>
      </c>
      <c r="F83" s="2" t="str">
        <f t="shared" si="1"/>
        <v>UNI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IFERROR(__xludf.DUMMYFUNCTION("""COMPUTED_VALUE"""),7.229573)</f>
        <v>7.229573</v>
      </c>
      <c r="C84" s="3">
        <f>IFERROR(__xludf.DUMMYFUNCTION("""COMPUTED_VALUE"""),4.56489583401055E8)</f>
        <v>456489583.4</v>
      </c>
      <c r="D84" s="3">
        <f t="shared" si="2"/>
        <v>0</v>
      </c>
      <c r="E84" s="3">
        <f t="shared" si="3"/>
        <v>0</v>
      </c>
      <c r="F84" s="2" t="str">
        <f t="shared" si="1"/>
        <v>UNI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IFERROR(__xludf.DUMMYFUNCTION("""COMPUTED_VALUE"""),6.889708)</f>
        <v>6.889708</v>
      </c>
      <c r="C85" s="3">
        <f>IFERROR(__xludf.DUMMYFUNCTION("""COMPUTED_VALUE"""),4.56489583401055E8)</f>
        <v>456489583.4</v>
      </c>
      <c r="D85" s="3">
        <f t="shared" si="2"/>
        <v>0</v>
      </c>
      <c r="E85" s="3">
        <f t="shared" si="3"/>
        <v>0</v>
      </c>
      <c r="F85" s="2" t="str">
        <f t="shared" si="1"/>
        <v>UNI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IFERROR(__xludf.DUMMYFUNCTION("""COMPUTED_VALUE"""),6.957151)</f>
        <v>6.957151</v>
      </c>
      <c r="C86" s="3">
        <f>IFERROR(__xludf.DUMMYFUNCTION("""COMPUTED_VALUE"""),4.56489583401055E8)</f>
        <v>456489583.4</v>
      </c>
      <c r="D86" s="3">
        <f t="shared" si="2"/>
        <v>0</v>
      </c>
      <c r="E86" s="3">
        <f t="shared" si="3"/>
        <v>0</v>
      </c>
      <c r="F86" s="2" t="str">
        <f t="shared" si="1"/>
        <v>UNI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IFERROR(__xludf.DUMMYFUNCTION("""COMPUTED_VALUE"""),7.246643)</f>
        <v>7.246643</v>
      </c>
      <c r="C87" s="3">
        <f>IFERROR(__xludf.DUMMYFUNCTION("""COMPUTED_VALUE"""),4.56489583401055E8)</f>
        <v>456489583.4</v>
      </c>
      <c r="D87" s="3">
        <f t="shared" si="2"/>
        <v>0</v>
      </c>
      <c r="E87" s="3">
        <f t="shared" si="3"/>
        <v>0</v>
      </c>
      <c r="F87" s="2" t="str">
        <f t="shared" si="1"/>
        <v>UNI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IFERROR(__xludf.DUMMYFUNCTION("""COMPUTED_VALUE"""),7.045829)</f>
        <v>7.045829</v>
      </c>
      <c r="C88" s="3">
        <f>IFERROR(__xludf.DUMMYFUNCTION("""COMPUTED_VALUE"""),4.56489583401055E8)</f>
        <v>456489583.4</v>
      </c>
      <c r="D88" s="3">
        <f t="shared" si="2"/>
        <v>0</v>
      </c>
      <c r="E88" s="3">
        <f t="shared" si="3"/>
        <v>0</v>
      </c>
      <c r="F88" s="2" t="str">
        <f t="shared" si="1"/>
        <v>UNI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IFERROR(__xludf.DUMMYFUNCTION("""COMPUTED_VALUE"""),6.654496)</f>
        <v>6.654496</v>
      </c>
      <c r="C89" s="3">
        <f>IFERROR(__xludf.DUMMYFUNCTION("""COMPUTED_VALUE"""),4.56489583401055E8)</f>
        <v>456489583.4</v>
      </c>
      <c r="D89" s="3">
        <f t="shared" si="2"/>
        <v>0</v>
      </c>
      <c r="E89" s="3">
        <f t="shared" si="3"/>
        <v>0</v>
      </c>
      <c r="F89" s="2" t="str">
        <f t="shared" si="1"/>
        <v>UNI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IFERROR(__xludf.DUMMYFUNCTION("""COMPUTED_VALUE"""),8.056056)</f>
        <v>8.056056</v>
      </c>
      <c r="C90" s="3">
        <f>IFERROR(__xludf.DUMMYFUNCTION("""COMPUTED_VALUE"""),4.56489583401055E8)</f>
        <v>456489583.4</v>
      </c>
      <c r="D90" s="3">
        <f t="shared" si="2"/>
        <v>0</v>
      </c>
      <c r="E90" s="3">
        <f t="shared" si="3"/>
        <v>0</v>
      </c>
      <c r="F90" s="2" t="str">
        <f t="shared" si="1"/>
        <v>UNI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IFERROR(__xludf.DUMMYFUNCTION("""COMPUTED_VALUE"""),9.284156)</f>
        <v>9.284156</v>
      </c>
      <c r="C91" s="3">
        <f>IFERROR(__xludf.DUMMYFUNCTION("""COMPUTED_VALUE"""),4.56489583401055E8)</f>
        <v>456489583.4</v>
      </c>
      <c r="D91" s="3">
        <f t="shared" si="2"/>
        <v>0</v>
      </c>
      <c r="E91" s="3">
        <f t="shared" si="3"/>
        <v>0</v>
      </c>
      <c r="F91" s="2" t="str">
        <f t="shared" si="1"/>
        <v>UNI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IFERROR(__xludf.DUMMYFUNCTION("""COMPUTED_VALUE"""),9.091775)</f>
        <v>9.091775</v>
      </c>
      <c r="C92" s="3">
        <f>IFERROR(__xludf.DUMMYFUNCTION("""COMPUTED_VALUE"""),4.56489583401055E8)</f>
        <v>456489583.4</v>
      </c>
      <c r="D92" s="3">
        <f t="shared" si="2"/>
        <v>0</v>
      </c>
      <c r="E92" s="3">
        <f t="shared" si="3"/>
        <v>0</v>
      </c>
      <c r="F92" s="2" t="str">
        <f t="shared" si="1"/>
        <v>UNI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IFERROR(__xludf.DUMMYFUNCTION("""COMPUTED_VALUE"""),8.777603)</f>
        <v>8.777603</v>
      </c>
      <c r="C93" s="3">
        <f>IFERROR(__xludf.DUMMYFUNCTION("""COMPUTED_VALUE"""),4.56489583401055E8)</f>
        <v>456489583.4</v>
      </c>
      <c r="D93" s="3">
        <f t="shared" si="2"/>
        <v>0</v>
      </c>
      <c r="E93" s="3">
        <f t="shared" si="3"/>
        <v>0</v>
      </c>
      <c r="F93" s="2" t="str">
        <f t="shared" si="1"/>
        <v>UNI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IFERROR(__xludf.DUMMYFUNCTION("""COMPUTED_VALUE"""),8.332774)</f>
        <v>8.332774</v>
      </c>
      <c r="C94" s="3">
        <f>IFERROR(__xludf.DUMMYFUNCTION("""COMPUTED_VALUE"""),4.56489583401055E8)</f>
        <v>456489583.4</v>
      </c>
      <c r="D94" s="3">
        <f t="shared" si="2"/>
        <v>0</v>
      </c>
      <c r="E94" s="3">
        <f t="shared" si="3"/>
        <v>0</v>
      </c>
      <c r="F94" s="2" t="str">
        <f t="shared" si="1"/>
        <v>UNI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IFERROR(__xludf.DUMMYFUNCTION("""COMPUTED_VALUE"""),8.347577)</f>
        <v>8.347577</v>
      </c>
      <c r="C95" s="3">
        <f>IFERROR(__xludf.DUMMYFUNCTION("""COMPUTED_VALUE"""),4.56489583401055E8)</f>
        <v>456489583.4</v>
      </c>
      <c r="D95" s="3">
        <f t="shared" si="2"/>
        <v>0</v>
      </c>
      <c r="E95" s="3">
        <f t="shared" si="3"/>
        <v>0</v>
      </c>
      <c r="F95" s="2" t="str">
        <f t="shared" si="1"/>
        <v>UNI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IFERROR(__xludf.DUMMYFUNCTION("""COMPUTED_VALUE"""),8.258928)</f>
        <v>8.258928</v>
      </c>
      <c r="C96" s="3">
        <f>IFERROR(__xludf.DUMMYFUNCTION("""COMPUTED_VALUE"""),4.56489583401055E8)</f>
        <v>456489583.4</v>
      </c>
      <c r="D96" s="3">
        <f t="shared" si="2"/>
        <v>0</v>
      </c>
      <c r="E96" s="3">
        <f t="shared" si="3"/>
        <v>0</v>
      </c>
      <c r="F96" s="2" t="str">
        <f t="shared" si="1"/>
        <v>UNI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IFERROR(__xludf.DUMMYFUNCTION("""COMPUTED_VALUE"""),8.927123)</f>
        <v>8.927123</v>
      </c>
      <c r="C97" s="3">
        <f>IFERROR(__xludf.DUMMYFUNCTION("""COMPUTED_VALUE"""),4.56489583401055E8)</f>
        <v>456489583.4</v>
      </c>
      <c r="D97" s="3">
        <f t="shared" si="2"/>
        <v>0</v>
      </c>
      <c r="E97" s="3">
        <f t="shared" si="3"/>
        <v>0</v>
      </c>
      <c r="F97" s="2" t="str">
        <f t="shared" si="1"/>
        <v>UNI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IFERROR(__xludf.DUMMYFUNCTION("""COMPUTED_VALUE"""),8.818838)</f>
        <v>8.818838</v>
      </c>
      <c r="C98" s="3">
        <f>IFERROR(__xludf.DUMMYFUNCTION("""COMPUTED_VALUE"""),4.56489583401055E8)</f>
        <v>456489583.4</v>
      </c>
      <c r="D98" s="3">
        <f t="shared" si="2"/>
        <v>0</v>
      </c>
      <c r="E98" s="3">
        <f t="shared" si="3"/>
        <v>0</v>
      </c>
      <c r="F98" s="2" t="str">
        <f t="shared" si="1"/>
        <v>UNI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IFERROR(__xludf.DUMMYFUNCTION("""COMPUTED_VALUE"""),8.978772)</f>
        <v>8.978772</v>
      </c>
      <c r="C99" s="3">
        <f>IFERROR(__xludf.DUMMYFUNCTION("""COMPUTED_VALUE"""),4.56489583401055E8)</f>
        <v>456489583.4</v>
      </c>
      <c r="D99" s="3">
        <f t="shared" si="2"/>
        <v>0</v>
      </c>
      <c r="E99" s="3">
        <f t="shared" si="3"/>
        <v>0</v>
      </c>
      <c r="F99" s="2" t="str">
        <f t="shared" si="1"/>
        <v>UNI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IFERROR(__xludf.DUMMYFUNCTION("""COMPUTED_VALUE"""),8.776418)</f>
        <v>8.776418</v>
      </c>
      <c r="C100" s="3">
        <f>IFERROR(__xludf.DUMMYFUNCTION("""COMPUTED_VALUE"""),4.56489583401055E8)</f>
        <v>456489583.4</v>
      </c>
      <c r="D100" s="3">
        <f t="shared" si="2"/>
        <v>0</v>
      </c>
      <c r="E100" s="3">
        <f t="shared" si="3"/>
        <v>0</v>
      </c>
      <c r="F100" s="2" t="str">
        <f t="shared" si="1"/>
        <v>UNI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IFERROR(__xludf.DUMMYFUNCTION("""COMPUTED_VALUE"""),8.790583)</f>
        <v>8.790583</v>
      </c>
      <c r="C101" s="3">
        <f>IFERROR(__xludf.DUMMYFUNCTION("""COMPUTED_VALUE"""),4.56489583401055E8)</f>
        <v>456489583.4</v>
      </c>
      <c r="D101" s="3">
        <f t="shared" si="2"/>
        <v>0</v>
      </c>
      <c r="E101" s="3">
        <f t="shared" si="3"/>
        <v>0</v>
      </c>
      <c r="F101" s="2" t="str">
        <f t="shared" si="1"/>
        <v>UNI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IFERROR(__xludf.DUMMYFUNCTION("""COMPUTED_VALUE"""),8.788493)</f>
        <v>8.788493</v>
      </c>
      <c r="C102" s="3">
        <f>IFERROR(__xludf.DUMMYFUNCTION("""COMPUTED_VALUE"""),4.56489583401055E8)</f>
        <v>456489583.4</v>
      </c>
      <c r="D102" s="3">
        <f t="shared" si="2"/>
        <v>0</v>
      </c>
      <c r="E102" s="3">
        <f t="shared" si="3"/>
        <v>0</v>
      </c>
      <c r="F102" s="2" t="str">
        <f t="shared" si="1"/>
        <v>UNI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IFERROR(__xludf.DUMMYFUNCTION("""COMPUTED_VALUE"""),8.44037)</f>
        <v>8.44037</v>
      </c>
      <c r="C103" s="3">
        <f>IFERROR(__xludf.DUMMYFUNCTION("""COMPUTED_VALUE"""),4.56489583401055E8)</f>
        <v>456489583.4</v>
      </c>
      <c r="D103" s="3">
        <f t="shared" si="2"/>
        <v>0</v>
      </c>
      <c r="E103" s="3">
        <f t="shared" si="3"/>
        <v>0</v>
      </c>
      <c r="F103" s="2" t="str">
        <f t="shared" si="1"/>
        <v>UNI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IFERROR(__xludf.DUMMYFUNCTION("""COMPUTED_VALUE"""),9.22111)</f>
        <v>9.22111</v>
      </c>
      <c r="C104" s="3">
        <f>IFERROR(__xludf.DUMMYFUNCTION("""COMPUTED_VALUE"""),4.56489583401055E8)</f>
        <v>456489583.4</v>
      </c>
      <c r="D104" s="3">
        <f t="shared" si="2"/>
        <v>0</v>
      </c>
      <c r="E104" s="3">
        <f t="shared" si="3"/>
        <v>0</v>
      </c>
      <c r="F104" s="2" t="str">
        <f t="shared" si="1"/>
        <v>UNI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IFERROR(__xludf.DUMMYFUNCTION("""COMPUTED_VALUE"""),8.964899)</f>
        <v>8.964899</v>
      </c>
      <c r="C105" s="3">
        <f>IFERROR(__xludf.DUMMYFUNCTION("""COMPUTED_VALUE"""),4.56489583401055E8)</f>
        <v>456489583.4</v>
      </c>
      <c r="D105" s="3">
        <f t="shared" si="2"/>
        <v>0</v>
      </c>
      <c r="E105" s="3">
        <f t="shared" si="3"/>
        <v>0</v>
      </c>
      <c r="F105" s="2" t="str">
        <f t="shared" si="1"/>
        <v>UNI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IFERROR(__xludf.DUMMYFUNCTION("""COMPUTED_VALUE"""),9.209798)</f>
        <v>9.209798</v>
      </c>
      <c r="C106" s="3">
        <f>IFERROR(__xludf.DUMMYFUNCTION("""COMPUTED_VALUE"""),4.56489583401055E8)</f>
        <v>456489583.4</v>
      </c>
      <c r="D106" s="3">
        <f t="shared" si="2"/>
        <v>0</v>
      </c>
      <c r="E106" s="3">
        <f t="shared" si="3"/>
        <v>0</v>
      </c>
      <c r="F106" s="2" t="str">
        <f t="shared" si="1"/>
        <v>UNI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IFERROR(__xludf.DUMMYFUNCTION("""COMPUTED_VALUE"""),8.987442)</f>
        <v>8.987442</v>
      </c>
      <c r="C107" s="3">
        <f>IFERROR(__xludf.DUMMYFUNCTION("""COMPUTED_VALUE"""),4.56489583401055E8)</f>
        <v>456489583.4</v>
      </c>
      <c r="D107" s="3">
        <f t="shared" si="2"/>
        <v>0</v>
      </c>
      <c r="E107" s="3">
        <f t="shared" si="3"/>
        <v>0</v>
      </c>
      <c r="F107" s="2" t="str">
        <f t="shared" si="1"/>
        <v>UNI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IFERROR(__xludf.DUMMYFUNCTION("""COMPUTED_VALUE"""),8.881124)</f>
        <v>8.881124</v>
      </c>
      <c r="C108" s="3">
        <f>IFERROR(__xludf.DUMMYFUNCTION("""COMPUTED_VALUE"""),4.56489583401055E8)</f>
        <v>456489583.4</v>
      </c>
      <c r="D108" s="3">
        <f t="shared" si="2"/>
        <v>0</v>
      </c>
      <c r="E108" s="3">
        <f t="shared" si="3"/>
        <v>0</v>
      </c>
      <c r="F108" s="2" t="str">
        <f t="shared" si="1"/>
        <v>UNI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IFERROR(__xludf.DUMMYFUNCTION("""COMPUTED_VALUE"""),8.468508)</f>
        <v>8.468508</v>
      </c>
      <c r="C109" s="3">
        <f>IFERROR(__xludf.DUMMYFUNCTION("""COMPUTED_VALUE"""),4.56489583401055E8)</f>
        <v>456489583.4</v>
      </c>
      <c r="D109" s="3">
        <f t="shared" si="2"/>
        <v>0</v>
      </c>
      <c r="E109" s="3">
        <f t="shared" si="3"/>
        <v>0</v>
      </c>
      <c r="F109" s="2" t="str">
        <f t="shared" si="1"/>
        <v>UNI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IFERROR(__xludf.DUMMYFUNCTION("""COMPUTED_VALUE"""),8.339581)</f>
        <v>8.339581</v>
      </c>
      <c r="C110" s="3">
        <f>IFERROR(__xludf.DUMMYFUNCTION("""COMPUTED_VALUE"""),4.56489583401055E8)</f>
        <v>456489583.4</v>
      </c>
      <c r="D110" s="3">
        <f t="shared" si="2"/>
        <v>0</v>
      </c>
      <c r="E110" s="3">
        <f t="shared" si="3"/>
        <v>0</v>
      </c>
      <c r="F110" s="2" t="str">
        <f t="shared" si="1"/>
        <v>UNI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IFERROR(__xludf.DUMMYFUNCTION("""COMPUTED_VALUE"""),7.958688)</f>
        <v>7.958688</v>
      </c>
      <c r="C111" s="3">
        <f>IFERROR(__xludf.DUMMYFUNCTION("""COMPUTED_VALUE"""),4.56489583401055E8)</f>
        <v>456489583.4</v>
      </c>
      <c r="D111" s="3">
        <f t="shared" si="2"/>
        <v>0</v>
      </c>
      <c r="E111" s="3">
        <f t="shared" si="3"/>
        <v>0</v>
      </c>
      <c r="F111" s="2" t="str">
        <f t="shared" si="1"/>
        <v>UNI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IFERROR(__xludf.DUMMYFUNCTION("""COMPUTED_VALUE"""),7.574364)</f>
        <v>7.574364</v>
      </c>
      <c r="C112" s="3">
        <f>IFERROR(__xludf.DUMMYFUNCTION("""COMPUTED_VALUE"""),4.56489583401055E8)</f>
        <v>456489583.4</v>
      </c>
      <c r="D112" s="3">
        <f t="shared" si="2"/>
        <v>0</v>
      </c>
      <c r="E112" s="3">
        <f t="shared" si="3"/>
        <v>0</v>
      </c>
      <c r="F112" s="2" t="str">
        <f t="shared" si="1"/>
        <v>UNI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IFERROR(__xludf.DUMMYFUNCTION("""COMPUTED_VALUE"""),6.896528)</f>
        <v>6.896528</v>
      </c>
      <c r="C113" s="3">
        <f>IFERROR(__xludf.DUMMYFUNCTION("""COMPUTED_VALUE"""),4.56489583401055E8)</f>
        <v>456489583.4</v>
      </c>
      <c r="D113" s="3">
        <f t="shared" si="2"/>
        <v>0</v>
      </c>
      <c r="E113" s="3">
        <f t="shared" si="3"/>
        <v>0</v>
      </c>
      <c r="F113" s="2" t="str">
        <f t="shared" si="1"/>
        <v>UNI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IFERROR(__xludf.DUMMYFUNCTION("""COMPUTED_VALUE"""),7.006636)</f>
        <v>7.006636</v>
      </c>
      <c r="C114" s="3">
        <f>IFERROR(__xludf.DUMMYFUNCTION("""COMPUTED_VALUE"""),4.56489583401055E8)</f>
        <v>456489583.4</v>
      </c>
      <c r="D114" s="3">
        <f t="shared" si="2"/>
        <v>0</v>
      </c>
      <c r="E114" s="3">
        <f t="shared" si="3"/>
        <v>0</v>
      </c>
      <c r="F114" s="2" t="str">
        <f t="shared" si="1"/>
        <v>UNI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IFERROR(__xludf.DUMMYFUNCTION("""COMPUTED_VALUE"""),7.210728)</f>
        <v>7.210728</v>
      </c>
      <c r="C115" s="3">
        <f>IFERROR(__xludf.DUMMYFUNCTION("""COMPUTED_VALUE"""),4.56489583401055E8)</f>
        <v>456489583.4</v>
      </c>
      <c r="D115" s="3">
        <f t="shared" si="2"/>
        <v>0</v>
      </c>
      <c r="E115" s="3">
        <f t="shared" si="3"/>
        <v>0</v>
      </c>
      <c r="F115" s="2" t="str">
        <f t="shared" si="1"/>
        <v>UNI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IFERROR(__xludf.DUMMYFUNCTION("""COMPUTED_VALUE"""),6.985236)</f>
        <v>6.985236</v>
      </c>
      <c r="C116" s="3">
        <f>IFERROR(__xludf.DUMMYFUNCTION("""COMPUTED_VALUE"""),4.56489583401055E8)</f>
        <v>456489583.4</v>
      </c>
      <c r="D116" s="3">
        <f t="shared" si="2"/>
        <v>0</v>
      </c>
      <c r="E116" s="3">
        <f t="shared" si="3"/>
        <v>0</v>
      </c>
      <c r="F116" s="2" t="str">
        <f t="shared" si="1"/>
        <v>UNI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IFERROR(__xludf.DUMMYFUNCTION("""COMPUTED_VALUE"""),7.11976)</f>
        <v>7.11976</v>
      </c>
      <c r="C117" s="3">
        <f>IFERROR(__xludf.DUMMYFUNCTION("""COMPUTED_VALUE"""),4.56489583401055E8)</f>
        <v>456489583.4</v>
      </c>
      <c r="D117" s="3">
        <f t="shared" si="2"/>
        <v>0</v>
      </c>
      <c r="E117" s="3">
        <f t="shared" si="3"/>
        <v>0</v>
      </c>
      <c r="F117" s="2" t="str">
        <f t="shared" si="1"/>
        <v>UNI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IFERROR(__xludf.DUMMYFUNCTION("""COMPUTED_VALUE"""),7.045186)</f>
        <v>7.045186</v>
      </c>
      <c r="C118" s="3">
        <f>IFERROR(__xludf.DUMMYFUNCTION("""COMPUTED_VALUE"""),4.56489583401055E8)</f>
        <v>456489583.4</v>
      </c>
      <c r="D118" s="3">
        <f t="shared" si="2"/>
        <v>0</v>
      </c>
      <c r="E118" s="3">
        <f t="shared" si="3"/>
        <v>0</v>
      </c>
      <c r="F118" s="2" t="str">
        <f t="shared" si="1"/>
        <v>UNI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IFERROR(__xludf.DUMMYFUNCTION("""COMPUTED_VALUE"""),7.023473)</f>
        <v>7.023473</v>
      </c>
      <c r="C119" s="3">
        <f>IFERROR(__xludf.DUMMYFUNCTION("""COMPUTED_VALUE"""),4.56489583401055E8)</f>
        <v>456489583.4</v>
      </c>
      <c r="D119" s="3">
        <f t="shared" si="2"/>
        <v>0</v>
      </c>
      <c r="E119" s="3">
        <f t="shared" si="3"/>
        <v>0</v>
      </c>
      <c r="F119" s="2" t="str">
        <f t="shared" si="1"/>
        <v>UNI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IFERROR(__xludf.DUMMYFUNCTION("""COMPUTED_VALUE"""),6.153411)</f>
        <v>6.153411</v>
      </c>
      <c r="C120" s="3">
        <f>IFERROR(__xludf.DUMMYFUNCTION("""COMPUTED_VALUE"""),4.56489583401055E8)</f>
        <v>456489583.4</v>
      </c>
      <c r="D120" s="3">
        <f t="shared" si="2"/>
        <v>0</v>
      </c>
      <c r="E120" s="3">
        <f t="shared" si="3"/>
        <v>0</v>
      </c>
      <c r="F120" s="2" t="str">
        <f t="shared" si="1"/>
        <v>UNI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IFERROR(__xludf.DUMMYFUNCTION("""COMPUTED_VALUE"""),6.057207)</f>
        <v>6.057207</v>
      </c>
      <c r="C121" s="3">
        <f>IFERROR(__xludf.DUMMYFUNCTION("""COMPUTED_VALUE"""),4.56489583401055E8)</f>
        <v>456489583.4</v>
      </c>
      <c r="D121" s="3">
        <f t="shared" si="2"/>
        <v>0</v>
      </c>
      <c r="E121" s="3">
        <f t="shared" si="3"/>
        <v>0</v>
      </c>
      <c r="F121" s="2" t="str">
        <f t="shared" si="1"/>
        <v>UNI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IFERROR(__xludf.DUMMYFUNCTION("""COMPUTED_VALUE"""),5.742847)</f>
        <v>5.742847</v>
      </c>
      <c r="C122" s="3">
        <f>IFERROR(__xludf.DUMMYFUNCTION("""COMPUTED_VALUE"""),4.56489583401055E8)</f>
        <v>456489583.4</v>
      </c>
      <c r="D122" s="3">
        <f t="shared" si="2"/>
        <v>0</v>
      </c>
      <c r="E122" s="3">
        <f t="shared" si="3"/>
        <v>0</v>
      </c>
      <c r="F122" s="2" t="str">
        <f t="shared" si="1"/>
        <v>UNI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IFERROR(__xludf.DUMMYFUNCTION("""COMPUTED_VALUE"""),6.334643)</f>
        <v>6.334643</v>
      </c>
      <c r="C123" s="3">
        <f>IFERROR(__xludf.DUMMYFUNCTION("""COMPUTED_VALUE"""),4.56489583401055E8)</f>
        <v>456489583.4</v>
      </c>
      <c r="D123" s="3">
        <f t="shared" si="2"/>
        <v>0</v>
      </c>
      <c r="E123" s="3">
        <f t="shared" si="3"/>
        <v>0</v>
      </c>
      <c r="F123" s="2" t="str">
        <f t="shared" si="1"/>
        <v>UNI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IFERROR(__xludf.DUMMYFUNCTION("""COMPUTED_VALUE"""),6.178623)</f>
        <v>6.178623</v>
      </c>
      <c r="C124" s="3">
        <f>IFERROR(__xludf.DUMMYFUNCTION("""COMPUTED_VALUE"""),4.56489583401055E8)</f>
        <v>456489583.4</v>
      </c>
      <c r="D124" s="3">
        <f t="shared" si="2"/>
        <v>0</v>
      </c>
      <c r="E124" s="3">
        <f t="shared" si="3"/>
        <v>0</v>
      </c>
      <c r="F124" s="2" t="str">
        <f t="shared" si="1"/>
        <v>UNI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IFERROR(__xludf.DUMMYFUNCTION("""COMPUTED_VALUE"""),6.141155)</f>
        <v>6.141155</v>
      </c>
      <c r="C125" s="3">
        <f>IFERROR(__xludf.DUMMYFUNCTION("""COMPUTED_VALUE"""),4.56489583401055E8)</f>
        <v>456489583.4</v>
      </c>
      <c r="D125" s="3">
        <f t="shared" si="2"/>
        <v>0</v>
      </c>
      <c r="E125" s="3">
        <f t="shared" si="3"/>
        <v>0</v>
      </c>
      <c r="F125" s="2" t="str">
        <f t="shared" si="1"/>
        <v>UNI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IFERROR(__xludf.DUMMYFUNCTION("""COMPUTED_VALUE"""),6.317773)</f>
        <v>6.317773</v>
      </c>
      <c r="C126" s="3">
        <f>IFERROR(__xludf.DUMMYFUNCTION("""COMPUTED_VALUE"""),4.56489583401055E8)</f>
        <v>456489583.4</v>
      </c>
      <c r="D126" s="3">
        <f t="shared" si="2"/>
        <v>0</v>
      </c>
      <c r="E126" s="3">
        <f t="shared" si="3"/>
        <v>0</v>
      </c>
      <c r="F126" s="2" t="str">
        <f t="shared" si="1"/>
        <v>UNI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IFERROR(__xludf.DUMMYFUNCTION("""COMPUTED_VALUE"""),6.406291)</f>
        <v>6.406291</v>
      </c>
      <c r="C127" s="3">
        <f>IFERROR(__xludf.DUMMYFUNCTION("""COMPUTED_VALUE"""),4.56489583401055E8)</f>
        <v>456489583.4</v>
      </c>
      <c r="D127" s="3">
        <f t="shared" si="2"/>
        <v>0</v>
      </c>
      <c r="E127" s="3">
        <f t="shared" si="3"/>
        <v>0</v>
      </c>
      <c r="F127" s="2" t="str">
        <f t="shared" si="1"/>
        <v>UNI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IFERROR(__xludf.DUMMYFUNCTION("""COMPUTED_VALUE"""),6.307268)</f>
        <v>6.307268</v>
      </c>
      <c r="C128" s="3">
        <f>IFERROR(__xludf.DUMMYFUNCTION("""COMPUTED_VALUE"""),4.56489583401055E8)</f>
        <v>456489583.4</v>
      </c>
      <c r="D128" s="3">
        <f t="shared" si="2"/>
        <v>0</v>
      </c>
      <c r="E128" s="3">
        <f t="shared" si="3"/>
        <v>0</v>
      </c>
      <c r="F128" s="2" t="str">
        <f t="shared" si="1"/>
        <v>UNI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IFERROR(__xludf.DUMMYFUNCTION("""COMPUTED_VALUE"""),6.486349)</f>
        <v>6.486349</v>
      </c>
      <c r="C129" s="3">
        <f>IFERROR(__xludf.DUMMYFUNCTION("""COMPUTED_VALUE"""),4.56489583401055E8)</f>
        <v>456489583.4</v>
      </c>
      <c r="D129" s="3">
        <f t="shared" si="2"/>
        <v>0</v>
      </c>
      <c r="E129" s="3">
        <f t="shared" si="3"/>
        <v>0</v>
      </c>
      <c r="F129" s="2" t="str">
        <f t="shared" si="1"/>
        <v>UNI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IFERROR(__xludf.DUMMYFUNCTION("""COMPUTED_VALUE"""),6.581667)</f>
        <v>6.581667</v>
      </c>
      <c r="C130" s="3">
        <f>IFERROR(__xludf.DUMMYFUNCTION("""COMPUTED_VALUE"""),7.53766667E8)</f>
        <v>753766667</v>
      </c>
      <c r="D130" s="3">
        <f t="shared" si="2"/>
        <v>297277083.6</v>
      </c>
      <c r="E130" s="3">
        <f t="shared" si="3"/>
        <v>1956578771</v>
      </c>
      <c r="F130" s="2" t="str">
        <f t="shared" si="1"/>
        <v>UNI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IFERROR(__xludf.DUMMYFUNCTION("""COMPUTED_VALUE"""),5.832356)</f>
        <v>5.832356</v>
      </c>
      <c r="C131" s="3">
        <f>IFERROR(__xludf.DUMMYFUNCTION("""COMPUTED_VALUE"""),7.53766667E8)</f>
        <v>753766667</v>
      </c>
      <c r="D131" s="3">
        <f t="shared" si="2"/>
        <v>0</v>
      </c>
      <c r="E131" s="3">
        <f t="shared" si="3"/>
        <v>0</v>
      </c>
      <c r="F131" s="2" t="str">
        <f t="shared" si="1"/>
        <v>UNI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IFERROR(__xludf.DUMMYFUNCTION("""COMPUTED_VALUE"""),6.117602)</f>
        <v>6.117602</v>
      </c>
      <c r="C132" s="3">
        <f>IFERROR(__xludf.DUMMYFUNCTION("""COMPUTED_VALUE"""),7.53766667E8)</f>
        <v>753766667</v>
      </c>
      <c r="D132" s="3">
        <f t="shared" si="2"/>
        <v>0</v>
      </c>
      <c r="E132" s="3">
        <f t="shared" si="3"/>
        <v>0</v>
      </c>
      <c r="F132" s="2" t="str">
        <f t="shared" si="1"/>
        <v>UNI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IFERROR(__xludf.DUMMYFUNCTION("""COMPUTED_VALUE"""),6.172375)</f>
        <v>6.172375</v>
      </c>
      <c r="C133" s="3">
        <f>IFERROR(__xludf.DUMMYFUNCTION("""COMPUTED_VALUE"""),7.53766667E8)</f>
        <v>753766667</v>
      </c>
      <c r="D133" s="3">
        <f t="shared" si="2"/>
        <v>0</v>
      </c>
      <c r="E133" s="3">
        <f t="shared" si="3"/>
        <v>0</v>
      </c>
      <c r="F133" s="2" t="str">
        <f t="shared" si="1"/>
        <v>UNI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IFERROR(__xludf.DUMMYFUNCTION("""COMPUTED_VALUE"""),6.507156)</f>
        <v>6.507156</v>
      </c>
      <c r="C134" s="3">
        <f>IFERROR(__xludf.DUMMYFUNCTION("""COMPUTED_VALUE"""),7.53766667E8)</f>
        <v>753766667</v>
      </c>
      <c r="D134" s="3">
        <f t="shared" si="2"/>
        <v>0</v>
      </c>
      <c r="E134" s="3">
        <f t="shared" si="3"/>
        <v>0</v>
      </c>
      <c r="F134" s="2" t="str">
        <f t="shared" si="1"/>
        <v>UNI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IFERROR(__xludf.DUMMYFUNCTION("""COMPUTED_VALUE"""),6.679381)</f>
        <v>6.679381</v>
      </c>
      <c r="C135" s="3">
        <f>IFERROR(__xludf.DUMMYFUNCTION("""COMPUTED_VALUE"""),7.53766667E8)</f>
        <v>753766667</v>
      </c>
      <c r="D135" s="3">
        <f t="shared" si="2"/>
        <v>0</v>
      </c>
      <c r="E135" s="3">
        <f t="shared" si="3"/>
        <v>0</v>
      </c>
      <c r="F135" s="2" t="str">
        <f t="shared" si="1"/>
        <v>UNI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IFERROR(__xludf.DUMMYFUNCTION("""COMPUTED_VALUE"""),6.490423)</f>
        <v>6.490423</v>
      </c>
      <c r="C136" s="3">
        <f>IFERROR(__xludf.DUMMYFUNCTION("""COMPUTED_VALUE"""),7.53766667E8)</f>
        <v>753766667</v>
      </c>
      <c r="D136" s="3">
        <f t="shared" si="2"/>
        <v>0</v>
      </c>
      <c r="E136" s="3">
        <f t="shared" si="3"/>
        <v>0</v>
      </c>
      <c r="F136" s="2" t="str">
        <f t="shared" si="1"/>
        <v>UNI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IFERROR(__xludf.DUMMYFUNCTION("""COMPUTED_VALUE"""),6.659445)</f>
        <v>6.659445</v>
      </c>
      <c r="C137" s="3">
        <f>IFERROR(__xludf.DUMMYFUNCTION("""COMPUTED_VALUE"""),7.53766667E8)</f>
        <v>753766667</v>
      </c>
      <c r="D137" s="3">
        <f t="shared" si="2"/>
        <v>0</v>
      </c>
      <c r="E137" s="3">
        <f t="shared" si="3"/>
        <v>0</v>
      </c>
      <c r="F137" s="2" t="str">
        <f t="shared" si="1"/>
        <v>UNI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IFERROR(__xludf.DUMMYFUNCTION("""COMPUTED_VALUE"""),6.035812)</f>
        <v>6.035812</v>
      </c>
      <c r="C138" s="3">
        <f>IFERROR(__xludf.DUMMYFUNCTION("""COMPUTED_VALUE"""),7.53766667E8)</f>
        <v>753766667</v>
      </c>
      <c r="D138" s="3">
        <f t="shared" si="2"/>
        <v>0</v>
      </c>
      <c r="E138" s="3">
        <f t="shared" si="3"/>
        <v>0</v>
      </c>
      <c r="F138" s="2" t="str">
        <f t="shared" si="1"/>
        <v>UNI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IFERROR(__xludf.DUMMYFUNCTION("""COMPUTED_VALUE"""),6.178736)</f>
        <v>6.178736</v>
      </c>
      <c r="C139" s="3">
        <f>IFERROR(__xludf.DUMMYFUNCTION("""COMPUTED_VALUE"""),7.53766667E8)</f>
        <v>753766667</v>
      </c>
      <c r="D139" s="3">
        <f t="shared" si="2"/>
        <v>0</v>
      </c>
      <c r="E139" s="3">
        <f t="shared" si="3"/>
        <v>0</v>
      </c>
      <c r="F139" s="2" t="str">
        <f t="shared" si="1"/>
        <v>UNI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IFERROR(__xludf.DUMMYFUNCTION("""COMPUTED_VALUE"""),5.889071)</f>
        <v>5.889071</v>
      </c>
      <c r="C140" s="3">
        <f>IFERROR(__xludf.DUMMYFUNCTION("""COMPUTED_VALUE"""),7.53766667E8)</f>
        <v>753766667</v>
      </c>
      <c r="D140" s="3">
        <f t="shared" si="2"/>
        <v>0</v>
      </c>
      <c r="E140" s="3">
        <f t="shared" si="3"/>
        <v>0</v>
      </c>
      <c r="F140" s="2" t="str">
        <f t="shared" si="1"/>
        <v>UNI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IFERROR(__xludf.DUMMYFUNCTION("""COMPUTED_VALUE"""),5.82076)</f>
        <v>5.82076</v>
      </c>
      <c r="C141" s="3">
        <f>IFERROR(__xludf.DUMMYFUNCTION("""COMPUTED_VALUE"""),7.53766667E8)</f>
        <v>753766667</v>
      </c>
      <c r="D141" s="3">
        <f t="shared" si="2"/>
        <v>0</v>
      </c>
      <c r="E141" s="3">
        <f t="shared" si="3"/>
        <v>0</v>
      </c>
      <c r="F141" s="2" t="str">
        <f t="shared" si="1"/>
        <v>UNI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IFERROR(__xludf.DUMMYFUNCTION("""COMPUTED_VALUE"""),6.016193)</f>
        <v>6.016193</v>
      </c>
      <c r="C142" s="3">
        <f>IFERROR(__xludf.DUMMYFUNCTION("""COMPUTED_VALUE"""),7.53766667E8)</f>
        <v>753766667</v>
      </c>
      <c r="D142" s="3">
        <f t="shared" si="2"/>
        <v>0</v>
      </c>
      <c r="E142" s="3">
        <f t="shared" si="3"/>
        <v>0</v>
      </c>
      <c r="F142" s="2" t="str">
        <f t="shared" si="1"/>
        <v>UNI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IFERROR(__xludf.DUMMYFUNCTION("""COMPUTED_VALUE"""),5.466205)</f>
        <v>5.466205</v>
      </c>
      <c r="C143" s="3">
        <f>IFERROR(__xludf.DUMMYFUNCTION("""COMPUTED_VALUE"""),7.53766667E8)</f>
        <v>753766667</v>
      </c>
      <c r="D143" s="3">
        <f t="shared" si="2"/>
        <v>0</v>
      </c>
      <c r="E143" s="3">
        <f t="shared" si="3"/>
        <v>0</v>
      </c>
      <c r="F143" s="2" t="str">
        <f t="shared" si="1"/>
        <v>UNI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IFERROR(__xludf.DUMMYFUNCTION("""COMPUTED_VALUE"""),5.479943)</f>
        <v>5.479943</v>
      </c>
      <c r="C144" s="3">
        <f>IFERROR(__xludf.DUMMYFUNCTION("""COMPUTED_VALUE"""),7.53766667E8)</f>
        <v>753766667</v>
      </c>
      <c r="D144" s="3">
        <f t="shared" si="2"/>
        <v>0</v>
      </c>
      <c r="E144" s="3">
        <f t="shared" si="3"/>
        <v>0</v>
      </c>
      <c r="F144" s="2" t="str">
        <f t="shared" si="1"/>
        <v>UNI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IFERROR(__xludf.DUMMYFUNCTION("""COMPUTED_VALUE"""),5.296895)</f>
        <v>5.296895</v>
      </c>
      <c r="C145" s="3">
        <f>IFERROR(__xludf.DUMMYFUNCTION("""COMPUTED_VALUE"""),7.53766667E8)</f>
        <v>753766667</v>
      </c>
      <c r="D145" s="3">
        <f t="shared" si="2"/>
        <v>0</v>
      </c>
      <c r="E145" s="3">
        <f t="shared" si="3"/>
        <v>0</v>
      </c>
      <c r="F145" s="2" t="str">
        <f t="shared" si="1"/>
        <v>UNI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IFERROR(__xludf.DUMMYFUNCTION("""COMPUTED_VALUE"""),5.336488)</f>
        <v>5.336488</v>
      </c>
      <c r="C146" s="3">
        <f>IFERROR(__xludf.DUMMYFUNCTION("""COMPUTED_VALUE"""),7.53766667E8)</f>
        <v>753766667</v>
      </c>
      <c r="D146" s="2">
        <f t="shared" ref="D146:D1000" si="4">IF(ISBLANK(A146),"",C146-C145)</f>
        <v>0</v>
      </c>
      <c r="E146" s="2">
        <f t="shared" ref="E146:E1000" si="5">IF(ISBLANK(A146),"",B146*D146)</f>
        <v>0</v>
      </c>
      <c r="F146" s="2" t="str">
        <f t="shared" si="1"/>
        <v>UNI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IFERROR(__xludf.DUMMYFUNCTION("""COMPUTED_VALUE"""),5.732318)</f>
        <v>5.732318</v>
      </c>
      <c r="C147" s="3">
        <f>IFERROR(__xludf.DUMMYFUNCTION("""COMPUTED_VALUE"""),7.53766667E8)</f>
        <v>753766667</v>
      </c>
      <c r="D147" s="2">
        <f t="shared" si="4"/>
        <v>0</v>
      </c>
      <c r="E147" s="2">
        <f t="shared" si="5"/>
        <v>0</v>
      </c>
      <c r="F147" s="2" t="str">
        <f t="shared" si="1"/>
        <v>UNI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IFERROR(__xludf.DUMMYFUNCTION("""COMPUTED_VALUE"""),5.916344)</f>
        <v>5.916344</v>
      </c>
      <c r="C148" s="3">
        <f>IFERROR(__xludf.DUMMYFUNCTION("""COMPUTED_VALUE"""),7.53766667E8)</f>
        <v>753766667</v>
      </c>
      <c r="D148" s="2">
        <f t="shared" si="4"/>
        <v>0</v>
      </c>
      <c r="E148" s="2">
        <f t="shared" si="5"/>
        <v>0</v>
      </c>
      <c r="F148" s="2" t="str">
        <f t="shared" si="1"/>
        <v>UNI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IFERROR(__xludf.DUMMYFUNCTION("""COMPUTED_VALUE"""),5.797094)</f>
        <v>5.797094</v>
      </c>
      <c r="C149" s="3">
        <f>IFERROR(__xludf.DUMMYFUNCTION("""COMPUTED_VALUE"""),7.53766667E8)</f>
        <v>753766667</v>
      </c>
      <c r="D149" s="2">
        <f t="shared" si="4"/>
        <v>0</v>
      </c>
      <c r="E149" s="2">
        <f t="shared" si="5"/>
        <v>0</v>
      </c>
      <c r="F149" s="2" t="str">
        <f t="shared" si="1"/>
        <v>UNI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2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2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2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2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2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2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2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2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2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2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2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2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2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2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2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2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2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2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2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2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2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2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2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2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2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2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2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2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2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2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2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2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2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2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2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2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2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2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2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2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2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2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2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2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2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2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2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2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2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2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2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2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2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2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2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2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2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2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2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2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2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2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2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2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2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2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2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2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2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2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2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2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2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2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2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2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2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2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2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2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2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2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2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2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2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2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2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2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2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2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2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2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2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2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2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2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2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2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2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2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2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2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2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2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2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2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2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2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2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2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2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2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2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2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2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2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2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2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2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2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2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2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2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2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2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2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2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2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2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2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2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2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2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2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2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2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2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2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2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2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2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2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2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2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2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2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2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2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2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2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2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2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2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2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2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2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2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2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2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2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2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2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2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2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2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2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2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2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2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2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2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2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2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2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2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2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2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2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2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2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2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2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2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2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2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2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2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2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2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2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2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2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2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2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2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2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2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2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2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2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2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2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2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2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2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2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2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2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2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2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2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2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2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2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2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2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2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2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2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2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2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2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2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2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2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2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2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2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2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2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2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2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2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2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2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2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2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2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2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2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2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2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2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2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2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2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2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2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2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2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2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2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2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2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2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2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2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2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2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2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2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2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2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2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2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2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2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2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2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2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2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2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2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2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2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2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2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2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2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2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2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2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2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2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2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2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2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2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2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2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2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2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2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2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2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2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2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2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2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2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2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2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2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2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2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2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2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2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2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2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2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2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2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2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2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2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2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2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2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2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2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2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2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2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2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2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2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2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2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2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2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2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2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2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2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2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2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2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2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2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2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2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2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2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2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2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2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2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2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2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2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2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2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2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2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2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2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2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2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2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2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2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2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2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2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2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2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2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2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2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2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2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2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2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2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2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2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2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2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2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2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2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2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2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2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2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2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2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2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2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2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2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2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2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2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2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2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2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2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2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2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2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2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2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2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2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2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2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2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2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2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2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2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2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2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2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2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2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2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2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2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2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2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2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2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2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2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2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2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2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2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2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2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2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2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2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2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2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2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2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2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2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2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2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2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2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2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2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2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2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2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2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2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2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2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2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2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2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2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2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2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2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2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2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2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2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2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2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2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2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2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2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2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2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2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2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2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2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2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2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2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2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2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2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2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2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2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2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2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2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2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2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2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2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2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2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2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2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2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2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2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2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2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2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2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2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2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2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2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2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2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2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2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2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2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2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2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2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2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2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2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2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2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2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2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2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2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2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2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2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2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2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2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2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2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2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2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2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2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2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2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2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2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2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2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2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2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2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2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2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2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2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2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2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2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2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2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2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2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2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2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2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2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2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2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2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2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2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2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2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2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2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2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2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2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2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2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2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2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2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2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2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2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2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2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2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2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2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2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2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2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2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2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2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2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2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2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2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2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2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2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2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2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2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2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2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2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2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2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2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2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2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2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2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2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2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2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2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2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2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2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2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2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2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2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2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2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2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2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2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2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2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2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2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2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2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2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2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2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2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2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2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2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2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2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2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2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2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2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2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2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2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2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2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2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2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2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2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2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2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2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2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2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2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2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2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2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2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2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2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2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2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2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2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2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2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2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2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2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2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2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2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2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2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2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2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2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2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2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2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2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2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2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2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2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2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2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2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2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2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2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2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2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2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2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2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2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2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2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2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2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2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2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2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2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2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2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2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2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2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2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2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2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2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2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2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2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2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2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2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2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2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2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2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2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2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2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2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2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2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2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2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2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2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2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2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2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2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2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2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2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2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2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2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2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2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2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2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2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2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2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2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2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2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2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2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2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2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2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2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2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2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2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2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2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2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2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2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2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2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2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2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2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2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2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2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2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2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2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2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2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2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2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2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2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2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2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2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2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2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2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2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2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2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2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2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2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2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2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2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2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2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2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2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2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2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2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2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2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2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2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2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2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2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2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2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2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2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2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2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2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2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2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2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2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2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2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2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2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2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2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2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2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2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2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2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2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2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2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2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2" t="str">
        <f t="shared" si="1"/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IFERROR(__xludf.DUMMYFUNCTION("QUERY({aave_price!A2:B1000,ARRAYFORMULA(IFERROR(VLOOKUP(aave_price!A2:A1000,aave_supply!$A:B,2,0),""""))},""SELECT *"",0)"),"2022-05-01T00:00:00Z")</f>
        <v>2022-05-01T00:00:00Z</v>
      </c>
      <c r="B2" s="3">
        <f>IFERROR(__xludf.DUMMYFUNCTION("""COMPUTED_VALUE"""),142.232089)</f>
        <v>142.232089</v>
      </c>
      <c r="C2" s="3">
        <f>IFERROR(__xludf.DUMMYFUNCTION("""COMPUTED_VALUE"""),1.3699944191652E7)</f>
        <v>13699944.19</v>
      </c>
      <c r="D2" s="1">
        <v>0.0</v>
      </c>
      <c r="E2" s="1">
        <v>0.0</v>
      </c>
      <c r="F2" s="2" t="str">
        <f t="shared" ref="F2:F1000" si="1">IF(ISBLANK(A2),"","AAVE")</f>
        <v>AAVE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IFERROR(__xludf.DUMMYFUNCTION("""COMPUTED_VALUE"""),146.5505)</f>
        <v>146.5505</v>
      </c>
      <c r="C3" s="3">
        <f>IFERROR(__xludf.DUMMYFUNCTION("""COMPUTED_VALUE"""),1.3702598419827E7)</f>
        <v>13702598.42</v>
      </c>
      <c r="D3" s="3">
        <f t="shared" ref="D3:D145" si="2">C3-C2</f>
        <v>2654.228175</v>
      </c>
      <c r="E3" s="3">
        <f t="shared" ref="E3:E145" si="3">B3*D3</f>
        <v>388978.4662</v>
      </c>
      <c r="F3" s="2" t="str">
        <f t="shared" si="1"/>
        <v>AAVE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IFERROR(__xludf.DUMMYFUNCTION("""COMPUTED_VALUE"""),144.167525)</f>
        <v>144.167525</v>
      </c>
      <c r="C4" s="3">
        <f>IFERROR(__xludf.DUMMYFUNCTION("""COMPUTED_VALUE"""),1.3703063093253E7)</f>
        <v>13703063.09</v>
      </c>
      <c r="D4" s="3">
        <f t="shared" si="2"/>
        <v>464.673426</v>
      </c>
      <c r="E4" s="3">
        <f t="shared" si="3"/>
        <v>66990.81776</v>
      </c>
      <c r="F4" s="2" t="str">
        <f t="shared" si="1"/>
        <v>AAVE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IFERROR(__xludf.DUMMYFUNCTION("""COMPUTED_VALUE"""),141.11723)</f>
        <v>141.11723</v>
      </c>
      <c r="C5" s="3">
        <f>IFERROR(__xludf.DUMMYFUNCTION("""COMPUTED_VALUE"""),1.3703543949879E7)</f>
        <v>13703543.95</v>
      </c>
      <c r="D5" s="3">
        <f t="shared" si="2"/>
        <v>480.856626</v>
      </c>
      <c r="E5" s="3">
        <f t="shared" si="3"/>
        <v>67857.15509</v>
      </c>
      <c r="F5" s="2" t="str">
        <f t="shared" si="1"/>
        <v>AAVE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IFERROR(__xludf.DUMMYFUNCTION("""COMPUTED_VALUE"""),159.568297)</f>
        <v>159.568297</v>
      </c>
      <c r="C6" s="3">
        <f>IFERROR(__xludf.DUMMYFUNCTION("""COMPUTED_VALUE"""),1.3703786958541E7)</f>
        <v>13703786.96</v>
      </c>
      <c r="D6" s="3">
        <f t="shared" si="2"/>
        <v>243.008662</v>
      </c>
      <c r="E6" s="3">
        <f t="shared" si="3"/>
        <v>38776.47835</v>
      </c>
      <c r="F6" s="2" t="str">
        <f t="shared" si="1"/>
        <v>AAVE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IFERROR(__xludf.DUMMYFUNCTION("""COMPUTED_VALUE"""),141.347477)</f>
        <v>141.347477</v>
      </c>
      <c r="C7" s="3">
        <f>IFERROR(__xludf.DUMMYFUNCTION("""COMPUTED_VALUE"""),1.3703982686233E7)</f>
        <v>13703982.69</v>
      </c>
      <c r="D7" s="3">
        <f t="shared" si="2"/>
        <v>195.727692</v>
      </c>
      <c r="E7" s="3">
        <f t="shared" si="3"/>
        <v>27665.61544</v>
      </c>
      <c r="F7" s="2" t="str">
        <f t="shared" si="1"/>
        <v>AAVE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IFERROR(__xludf.DUMMYFUNCTION("""COMPUTED_VALUE"""),138.374756)</f>
        <v>138.374756</v>
      </c>
      <c r="C8" s="3">
        <f>IFERROR(__xludf.DUMMYFUNCTION("""COMPUTED_VALUE"""),1.3712569481324E7)</f>
        <v>13712569.48</v>
      </c>
      <c r="D8" s="3">
        <f t="shared" si="2"/>
        <v>8586.795091</v>
      </c>
      <c r="E8" s="3">
        <f t="shared" si="3"/>
        <v>1188195.676</v>
      </c>
      <c r="F8" s="2" t="str">
        <f t="shared" si="1"/>
        <v>AAVE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IFERROR(__xludf.DUMMYFUNCTION("""COMPUTED_VALUE"""),132.18587)</f>
        <v>132.18587</v>
      </c>
      <c r="C9" s="3">
        <f>IFERROR(__xludf.DUMMYFUNCTION("""COMPUTED_VALUE"""),1.3713001881858E7)</f>
        <v>13713001.88</v>
      </c>
      <c r="D9" s="3">
        <f t="shared" si="2"/>
        <v>432.400534</v>
      </c>
      <c r="E9" s="3">
        <f t="shared" si="3"/>
        <v>57157.24078</v>
      </c>
      <c r="F9" s="2" t="str">
        <f t="shared" si="1"/>
        <v>AAVE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IFERROR(__xludf.DUMMYFUNCTION("""COMPUTED_VALUE"""),125.988821)</f>
        <v>125.988821</v>
      </c>
      <c r="C10" s="3">
        <f>IFERROR(__xludf.DUMMYFUNCTION("""COMPUTED_VALUE"""),1.3713208650376E7)</f>
        <v>13713208.65</v>
      </c>
      <c r="D10" s="3">
        <f t="shared" si="2"/>
        <v>206.768518</v>
      </c>
      <c r="E10" s="3">
        <f t="shared" si="3"/>
        <v>26050.5218</v>
      </c>
      <c r="F10" s="2" t="str">
        <f t="shared" si="1"/>
        <v>AAVE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IFERROR(__xludf.DUMMYFUNCTION("""COMPUTED_VALUE"""),99.348682)</f>
        <v>99.348682</v>
      </c>
      <c r="C11" s="3">
        <f>IFERROR(__xludf.DUMMYFUNCTION("""COMPUTED_VALUE"""),1.371334374639E7)</f>
        <v>13713343.75</v>
      </c>
      <c r="D11" s="3">
        <f t="shared" si="2"/>
        <v>135.096014</v>
      </c>
      <c r="E11" s="3">
        <f t="shared" si="3"/>
        <v>13421.61093</v>
      </c>
      <c r="F11" s="2" t="str">
        <f t="shared" si="1"/>
        <v>AAVE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IFERROR(__xludf.DUMMYFUNCTION("""COMPUTED_VALUE"""),105.141455)</f>
        <v>105.141455</v>
      </c>
      <c r="C12" s="3">
        <f>IFERROR(__xludf.DUMMYFUNCTION("""COMPUTED_VALUE"""),1.3714930715086E7)</f>
        <v>13714930.72</v>
      </c>
      <c r="D12" s="3">
        <f t="shared" si="2"/>
        <v>1586.968696</v>
      </c>
      <c r="E12" s="3">
        <f t="shared" si="3"/>
        <v>166856.1977</v>
      </c>
      <c r="F12" s="2" t="str">
        <f t="shared" si="1"/>
        <v>AAVE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IFERROR(__xludf.DUMMYFUNCTION("""COMPUTED_VALUE"""),82.203149)</f>
        <v>82.203149</v>
      </c>
      <c r="C13" s="3">
        <f>IFERROR(__xludf.DUMMYFUNCTION("""COMPUTED_VALUE"""),1.3715328309443E7)</f>
        <v>13715328.31</v>
      </c>
      <c r="D13" s="3">
        <f t="shared" si="2"/>
        <v>397.594357</v>
      </c>
      <c r="E13" s="3">
        <f t="shared" si="3"/>
        <v>32683.50817</v>
      </c>
      <c r="F13" s="2" t="str">
        <f t="shared" si="1"/>
        <v>AAVE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IFERROR(__xludf.DUMMYFUNCTION("""COMPUTED_VALUE"""),76.900714)</f>
        <v>76.900714</v>
      </c>
      <c r="C14" s="3">
        <f>IFERROR(__xludf.DUMMYFUNCTION("""COMPUTED_VALUE"""),1.3715598184228E7)</f>
        <v>13715598.18</v>
      </c>
      <c r="D14" s="3">
        <f t="shared" si="2"/>
        <v>269.874785</v>
      </c>
      <c r="E14" s="3">
        <f t="shared" si="3"/>
        <v>20753.56366</v>
      </c>
      <c r="F14" s="2" t="str">
        <f t="shared" si="1"/>
        <v>AAVE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IFERROR(__xludf.DUMMYFUNCTION("""COMPUTED_VALUE"""),82.341252)</f>
        <v>82.341252</v>
      </c>
      <c r="C15" s="3">
        <f>IFERROR(__xludf.DUMMYFUNCTION("""COMPUTED_VALUE"""),1.3715737491974E7)</f>
        <v>13715737.49</v>
      </c>
      <c r="D15" s="3">
        <f t="shared" si="2"/>
        <v>139.307746</v>
      </c>
      <c r="E15" s="3">
        <f t="shared" si="3"/>
        <v>11470.77422</v>
      </c>
      <c r="F15" s="2" t="str">
        <f t="shared" si="1"/>
        <v>AAVE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IFERROR(__xludf.DUMMYFUNCTION("""COMPUTED_VALUE"""),86.515951)</f>
        <v>86.515951</v>
      </c>
      <c r="C16" s="3">
        <f>IFERROR(__xludf.DUMMYFUNCTION("""COMPUTED_VALUE"""),1.3715854964589E7)</f>
        <v>13715854.96</v>
      </c>
      <c r="D16" s="3">
        <f t="shared" si="2"/>
        <v>117.472615</v>
      </c>
      <c r="E16" s="3">
        <f t="shared" si="3"/>
        <v>10163.255</v>
      </c>
      <c r="F16" s="2" t="str">
        <f t="shared" si="1"/>
        <v>AAVE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IFERROR(__xludf.DUMMYFUNCTION("""COMPUTED_VALUE"""),91.982302)</f>
        <v>91.982302</v>
      </c>
      <c r="C17" s="3">
        <f>IFERROR(__xludf.DUMMYFUNCTION("""COMPUTED_VALUE"""),1.3738607957077E7)</f>
        <v>13738607.96</v>
      </c>
      <c r="D17" s="3">
        <f t="shared" si="2"/>
        <v>22752.99249</v>
      </c>
      <c r="E17" s="3">
        <f t="shared" si="3"/>
        <v>2092872.626</v>
      </c>
      <c r="F17" s="2" t="str">
        <f t="shared" si="1"/>
        <v>AAVE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IFERROR(__xludf.DUMMYFUNCTION("""COMPUTED_VALUE"""),83.895907)</f>
        <v>83.895907</v>
      </c>
      <c r="C18" s="3">
        <f>IFERROR(__xludf.DUMMYFUNCTION("""COMPUTED_VALUE"""),1.3739134444061E7)</f>
        <v>13739134.44</v>
      </c>
      <c r="D18" s="3">
        <f t="shared" si="2"/>
        <v>526.486984</v>
      </c>
      <c r="E18" s="3">
        <f t="shared" si="3"/>
        <v>44170.10305</v>
      </c>
      <c r="F18" s="2" t="str">
        <f t="shared" si="1"/>
        <v>AAVE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IFERROR(__xludf.DUMMYFUNCTION("""COMPUTED_VALUE"""),92.560855)</f>
        <v>92.560855</v>
      </c>
      <c r="C19" s="3">
        <f>IFERROR(__xludf.DUMMYFUNCTION("""COMPUTED_VALUE"""),1.3739430663771E7)</f>
        <v>13739430.66</v>
      </c>
      <c r="D19" s="3">
        <f t="shared" si="2"/>
        <v>296.21971</v>
      </c>
      <c r="E19" s="3">
        <f t="shared" si="3"/>
        <v>27418.34963</v>
      </c>
      <c r="F19" s="2" t="str">
        <f t="shared" si="1"/>
        <v>AAVE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IFERROR(__xludf.DUMMYFUNCTION("""COMPUTED_VALUE"""),81.870482)</f>
        <v>81.870482</v>
      </c>
      <c r="C20" s="3">
        <f>IFERROR(__xludf.DUMMYFUNCTION("""COMPUTED_VALUE"""),1.3739777975918E7)</f>
        <v>13739777.98</v>
      </c>
      <c r="D20" s="3">
        <f t="shared" si="2"/>
        <v>347.312147</v>
      </c>
      <c r="E20" s="3">
        <f t="shared" si="3"/>
        <v>28434.61288</v>
      </c>
      <c r="F20" s="2" t="str">
        <f t="shared" si="1"/>
        <v>AAVE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IFERROR(__xludf.DUMMYFUNCTION("""COMPUTED_VALUE"""),91.710091)</f>
        <v>91.710091</v>
      </c>
      <c r="C21" s="3">
        <f>IFERROR(__xludf.DUMMYFUNCTION("""COMPUTED_VALUE"""),1.3740264570167E7)</f>
        <v>13740264.57</v>
      </c>
      <c r="D21" s="3">
        <f t="shared" si="2"/>
        <v>486.594249</v>
      </c>
      <c r="E21" s="3">
        <f t="shared" si="3"/>
        <v>44625.60286</v>
      </c>
      <c r="F21" s="2" t="str">
        <f t="shared" si="1"/>
        <v>AAVE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IFERROR(__xludf.DUMMYFUNCTION("""COMPUTED_VALUE"""),90.133435)</f>
        <v>90.133435</v>
      </c>
      <c r="C22" s="3">
        <f>IFERROR(__xludf.DUMMYFUNCTION("""COMPUTED_VALUE"""),1.3740382806348E7)</f>
        <v>13740382.81</v>
      </c>
      <c r="D22" s="3">
        <f t="shared" si="2"/>
        <v>118.236181</v>
      </c>
      <c r="E22" s="3">
        <f t="shared" si="3"/>
        <v>10657.03313</v>
      </c>
      <c r="F22" s="2" t="str">
        <f t="shared" si="1"/>
        <v>AAVE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IFERROR(__xludf.DUMMYFUNCTION("""COMPUTED_VALUE"""),91.162551)</f>
        <v>91.162551</v>
      </c>
      <c r="C23" s="3">
        <f>IFERROR(__xludf.DUMMYFUNCTION("""COMPUTED_VALUE"""),1.374057886971E7)</f>
        <v>13740578.87</v>
      </c>
      <c r="D23" s="3">
        <f t="shared" si="2"/>
        <v>196.063362</v>
      </c>
      <c r="E23" s="3">
        <f t="shared" si="3"/>
        <v>17873.63624</v>
      </c>
      <c r="F23" s="2" t="str">
        <f t="shared" si="1"/>
        <v>AAVE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IFERROR(__xludf.DUMMYFUNCTION("""COMPUTED_VALUE"""),93.996349)</f>
        <v>93.996349</v>
      </c>
      <c r="C24" s="3">
        <f>IFERROR(__xludf.DUMMYFUNCTION("""COMPUTED_VALUE"""),1.3741188314339E7)</f>
        <v>13741188.31</v>
      </c>
      <c r="D24" s="3">
        <f t="shared" si="2"/>
        <v>609.444629</v>
      </c>
      <c r="E24" s="3">
        <f t="shared" si="3"/>
        <v>57285.57004</v>
      </c>
      <c r="F24" s="2" t="str">
        <f t="shared" si="1"/>
        <v>AAVE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IFERROR(__xludf.DUMMYFUNCTION("""COMPUTED_VALUE"""),99.176523)</f>
        <v>99.176523</v>
      </c>
      <c r="C25" s="3">
        <f>IFERROR(__xludf.DUMMYFUNCTION("""COMPUTED_VALUE"""),1.3741518392489E7)</f>
        <v>13741518.39</v>
      </c>
      <c r="D25" s="3">
        <f t="shared" si="2"/>
        <v>330.07815</v>
      </c>
      <c r="E25" s="3">
        <f t="shared" si="3"/>
        <v>32736.00324</v>
      </c>
      <c r="F25" s="2" t="str">
        <f t="shared" si="1"/>
        <v>AAVE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IFERROR(__xludf.DUMMYFUNCTION("""COMPUTED_VALUE"""),106.403542)</f>
        <v>106.403542</v>
      </c>
      <c r="C26" s="3">
        <f>IFERROR(__xludf.DUMMYFUNCTION("""COMPUTED_VALUE"""),1.38678387261E7)</f>
        <v>13867838.73</v>
      </c>
      <c r="D26" s="3">
        <f t="shared" si="2"/>
        <v>126320.3336</v>
      </c>
      <c r="E26" s="3">
        <f t="shared" si="3"/>
        <v>13440930.92</v>
      </c>
      <c r="F26" s="2" t="str">
        <f t="shared" si="1"/>
        <v>AAVE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IFERROR(__xludf.DUMMYFUNCTION("""COMPUTED_VALUE"""),101.925442)</f>
        <v>101.925442</v>
      </c>
      <c r="C27" s="3">
        <f>IFERROR(__xludf.DUMMYFUNCTION("""COMPUTED_VALUE"""),1.3868266051267E7)</f>
        <v>13868266.05</v>
      </c>
      <c r="D27" s="3">
        <f t="shared" si="2"/>
        <v>427.325167</v>
      </c>
      <c r="E27" s="3">
        <f t="shared" si="3"/>
        <v>43555.30652</v>
      </c>
      <c r="F27" s="2" t="str">
        <f t="shared" si="1"/>
        <v>AAVE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IFERROR(__xludf.DUMMYFUNCTION("""COMPUTED_VALUE"""),100.896645)</f>
        <v>100.896645</v>
      </c>
      <c r="C28" s="3">
        <f>IFERROR(__xludf.DUMMYFUNCTION("""COMPUTED_VALUE"""),1.3868450653964E7)</f>
        <v>13868450.65</v>
      </c>
      <c r="D28" s="3">
        <f t="shared" si="2"/>
        <v>184.602697</v>
      </c>
      <c r="E28" s="3">
        <f t="shared" si="3"/>
        <v>18625.79279</v>
      </c>
      <c r="F28" s="2" t="str">
        <f t="shared" si="1"/>
        <v>AAVE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IFERROR(__xludf.DUMMYFUNCTION("""COMPUTED_VALUE"""),92.320174)</f>
        <v>92.320174</v>
      </c>
      <c r="C29" s="3">
        <f>IFERROR(__xludf.DUMMYFUNCTION("""COMPUTED_VALUE"""),1.3868571145333E7)</f>
        <v>13868571.15</v>
      </c>
      <c r="D29" s="3">
        <f t="shared" si="2"/>
        <v>120.491369</v>
      </c>
      <c r="E29" s="3">
        <f t="shared" si="3"/>
        <v>11123.78415</v>
      </c>
      <c r="F29" s="2" t="str">
        <f t="shared" si="1"/>
        <v>AAVE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IFERROR(__xludf.DUMMYFUNCTION("""COMPUTED_VALUE"""),95.399369)</f>
        <v>95.399369</v>
      </c>
      <c r="C30" s="3">
        <f>IFERROR(__xludf.DUMMYFUNCTION("""COMPUTED_VALUE"""),1.3868703616022E7)</f>
        <v>13868703.62</v>
      </c>
      <c r="D30" s="3">
        <f t="shared" si="2"/>
        <v>132.470689</v>
      </c>
      <c r="E30" s="3">
        <f t="shared" si="3"/>
        <v>12637.62014</v>
      </c>
      <c r="F30" s="2" t="str">
        <f t="shared" si="1"/>
        <v>AAVE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IFERROR(__xludf.DUMMYFUNCTION("""COMPUTED_VALUE"""),95.413491)</f>
        <v>95.413491</v>
      </c>
      <c r="C31" s="3">
        <f>IFERROR(__xludf.DUMMYFUNCTION("""COMPUTED_VALUE"""),1.3869745501634E7)</f>
        <v>13869745.5</v>
      </c>
      <c r="D31" s="3">
        <f t="shared" si="2"/>
        <v>1041.885612</v>
      </c>
      <c r="E31" s="3">
        <f t="shared" si="3"/>
        <v>99409.94346</v>
      </c>
      <c r="F31" s="2" t="str">
        <f t="shared" si="1"/>
        <v>AAVE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IFERROR(__xludf.DUMMYFUNCTION("""COMPUTED_VALUE"""),117.207908)</f>
        <v>117.207908</v>
      </c>
      <c r="C32" s="3">
        <f>IFERROR(__xludf.DUMMYFUNCTION("""COMPUTED_VALUE"""),1.388106468028E7)</f>
        <v>13881064.68</v>
      </c>
      <c r="D32" s="3">
        <f t="shared" si="2"/>
        <v>11319.17865</v>
      </c>
      <c r="E32" s="3">
        <f t="shared" si="3"/>
        <v>1326697.249</v>
      </c>
      <c r="F32" s="2" t="str">
        <f t="shared" si="1"/>
        <v>AAVE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IFERROR(__xludf.DUMMYFUNCTION("""COMPUTED_VALUE"""),112.828191)</f>
        <v>112.828191</v>
      </c>
      <c r="C33" s="3">
        <f>IFERROR(__xludf.DUMMYFUNCTION("""COMPUTED_VALUE"""),1.388131789986E7)</f>
        <v>13881317.9</v>
      </c>
      <c r="D33" s="3">
        <f t="shared" si="2"/>
        <v>253.21958</v>
      </c>
      <c r="E33" s="3">
        <f t="shared" si="3"/>
        <v>28570.30714</v>
      </c>
      <c r="F33" s="2" t="str">
        <f t="shared" si="1"/>
        <v>AAVE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IFERROR(__xludf.DUMMYFUNCTION("""COMPUTED_VALUE"""),106.318607)</f>
        <v>106.318607</v>
      </c>
      <c r="C34" s="3">
        <f>IFERROR(__xludf.DUMMYFUNCTION("""COMPUTED_VALUE"""),1.3882130317065E7)</f>
        <v>13882130.32</v>
      </c>
      <c r="D34" s="3">
        <f t="shared" si="2"/>
        <v>812.417205</v>
      </c>
      <c r="E34" s="3">
        <f t="shared" si="3"/>
        <v>86375.06554</v>
      </c>
      <c r="F34" s="2" t="str">
        <f t="shared" si="1"/>
        <v>AAVE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IFERROR(__xludf.DUMMYFUNCTION("""COMPUTED_VALUE"""),110.963515)</f>
        <v>110.963515</v>
      </c>
      <c r="C35" s="3">
        <f>IFERROR(__xludf.DUMMYFUNCTION("""COMPUTED_VALUE"""),1.3882270073301E7)</f>
        <v>13882270.07</v>
      </c>
      <c r="D35" s="3">
        <f t="shared" si="2"/>
        <v>139.756236</v>
      </c>
      <c r="E35" s="3">
        <f t="shared" si="3"/>
        <v>15507.84319</v>
      </c>
      <c r="F35" s="2" t="str">
        <f t="shared" si="1"/>
        <v>AAVE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IFERROR(__xludf.DUMMYFUNCTION("""COMPUTED_VALUE"""),106.888531)</f>
        <v>106.888531</v>
      </c>
      <c r="C36" s="3">
        <f>IFERROR(__xludf.DUMMYFUNCTION("""COMPUTED_VALUE"""),1.3882311792519E7)</f>
        <v>13882311.79</v>
      </c>
      <c r="D36" s="3">
        <f t="shared" si="2"/>
        <v>41.719218</v>
      </c>
      <c r="E36" s="3">
        <f t="shared" si="3"/>
        <v>4459.305926</v>
      </c>
      <c r="F36" s="2" t="str">
        <f t="shared" si="1"/>
        <v>AAVE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IFERROR(__xludf.DUMMYFUNCTION("""COMPUTED_VALUE"""),106.904204)</f>
        <v>106.904204</v>
      </c>
      <c r="C37" s="3">
        <f>IFERROR(__xludf.DUMMYFUNCTION("""COMPUTED_VALUE"""),1.3882529140867E7)</f>
        <v>13882529.14</v>
      </c>
      <c r="D37" s="3">
        <f t="shared" si="2"/>
        <v>217.348348</v>
      </c>
      <c r="E37" s="3">
        <f t="shared" si="3"/>
        <v>23235.45213</v>
      </c>
      <c r="F37" s="2" t="str">
        <f t="shared" si="1"/>
        <v>AAVE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IFERROR(__xludf.DUMMYFUNCTION("""COMPUTED_VALUE"""),103.559044)</f>
        <v>103.559044</v>
      </c>
      <c r="C38" s="3">
        <f>IFERROR(__xludf.DUMMYFUNCTION("""COMPUTED_VALUE"""),1.3882811051638E7)</f>
        <v>13882811.05</v>
      </c>
      <c r="D38" s="3">
        <f t="shared" si="2"/>
        <v>281.910771</v>
      </c>
      <c r="E38" s="3">
        <f t="shared" si="3"/>
        <v>29194.40994</v>
      </c>
      <c r="F38" s="2" t="str">
        <f t="shared" si="1"/>
        <v>AAVE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IFERROR(__xludf.DUMMYFUNCTION("""COMPUTED_VALUE"""),105.896453)</f>
        <v>105.896453</v>
      </c>
      <c r="C39" s="3">
        <f>IFERROR(__xludf.DUMMYFUNCTION("""COMPUTED_VALUE"""),1.388291972502E7)</f>
        <v>13882919.73</v>
      </c>
      <c r="D39" s="3">
        <f t="shared" si="2"/>
        <v>108.673382</v>
      </c>
      <c r="E39" s="3">
        <f t="shared" si="3"/>
        <v>11508.12569</v>
      </c>
      <c r="F39" s="2" t="str">
        <f t="shared" si="1"/>
        <v>AAVE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IFERROR(__xludf.DUMMYFUNCTION("""COMPUTED_VALUE"""),99.179132)</f>
        <v>99.179132</v>
      </c>
      <c r="C40" s="3">
        <f>IFERROR(__xludf.DUMMYFUNCTION("""COMPUTED_VALUE"""),1.3882989913355E7)</f>
        <v>13882989.91</v>
      </c>
      <c r="D40" s="3">
        <f t="shared" si="2"/>
        <v>70.188335</v>
      </c>
      <c r="E40" s="3">
        <f t="shared" si="3"/>
        <v>6961.218142</v>
      </c>
      <c r="F40" s="2" t="str">
        <f t="shared" si="1"/>
        <v>AAVE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IFERROR(__xludf.DUMMYFUNCTION("""COMPUTED_VALUE"""),96.458873)</f>
        <v>96.458873</v>
      </c>
      <c r="C41" s="3">
        <f>IFERROR(__xludf.DUMMYFUNCTION("""COMPUTED_VALUE"""),1.3883056283663E7)</f>
        <v>13883056.28</v>
      </c>
      <c r="D41" s="3">
        <f t="shared" si="2"/>
        <v>66.370308</v>
      </c>
      <c r="E41" s="3">
        <f t="shared" si="3"/>
        <v>6402.00511</v>
      </c>
      <c r="F41" s="2" t="str">
        <f t="shared" si="1"/>
        <v>AAVE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IFERROR(__xludf.DUMMYFUNCTION("""COMPUTED_VALUE"""),95.631085)</f>
        <v>95.631085</v>
      </c>
      <c r="C42" s="3">
        <f>IFERROR(__xludf.DUMMYFUNCTION("""COMPUTED_VALUE"""),1.3883915936695E7)</f>
        <v>13883915.94</v>
      </c>
      <c r="D42" s="3">
        <f t="shared" si="2"/>
        <v>859.653032</v>
      </c>
      <c r="E42" s="3">
        <f t="shared" si="3"/>
        <v>82209.55217</v>
      </c>
      <c r="F42" s="2" t="str">
        <f t="shared" si="1"/>
        <v>AAVE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IFERROR(__xludf.DUMMYFUNCTION("""COMPUTED_VALUE"""),88.053995)</f>
        <v>88.053995</v>
      </c>
      <c r="C43" s="3">
        <f>IFERROR(__xludf.DUMMYFUNCTION("""COMPUTED_VALUE"""),1.3884614839317E7)</f>
        <v>13884614.84</v>
      </c>
      <c r="D43" s="3">
        <f t="shared" si="2"/>
        <v>698.902622</v>
      </c>
      <c r="E43" s="3">
        <f t="shared" si="3"/>
        <v>61541.16798</v>
      </c>
      <c r="F43" s="2" t="str">
        <f t="shared" si="1"/>
        <v>AAVE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IFERROR(__xludf.DUMMYFUNCTION("""COMPUTED_VALUE"""),77.181857)</f>
        <v>77.181857</v>
      </c>
      <c r="C44" s="3">
        <f>IFERROR(__xludf.DUMMYFUNCTION("""COMPUTED_VALUE"""),1.3885058104627E7)</f>
        <v>13885058.1</v>
      </c>
      <c r="D44" s="3">
        <f t="shared" si="2"/>
        <v>443.26531</v>
      </c>
      <c r="E44" s="3">
        <f t="shared" si="3"/>
        <v>34212.03977</v>
      </c>
      <c r="F44" s="2" t="str">
        <f t="shared" si="1"/>
        <v>AAVE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IFERROR(__xludf.DUMMYFUNCTION("""COMPUTED_VALUE"""),70.333355)</f>
        <v>70.333355</v>
      </c>
      <c r="C45" s="3">
        <f>IFERROR(__xludf.DUMMYFUNCTION("""COMPUTED_VALUE"""),1.3885466334848E7)</f>
        <v>13885466.33</v>
      </c>
      <c r="D45" s="3">
        <f t="shared" si="2"/>
        <v>408.230221</v>
      </c>
      <c r="E45" s="3">
        <f t="shared" si="3"/>
        <v>28712.20106</v>
      </c>
      <c r="F45" s="2" t="str">
        <f t="shared" si="1"/>
        <v>AAVE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IFERROR(__xludf.DUMMYFUNCTION("""COMPUTED_VALUE"""),59.655845)</f>
        <v>59.655845</v>
      </c>
      <c r="C46" s="3">
        <f>IFERROR(__xludf.DUMMYFUNCTION("""COMPUTED_VALUE"""),1.388580839075E7)</f>
        <v>13885808.39</v>
      </c>
      <c r="D46" s="3">
        <f t="shared" si="2"/>
        <v>342.055902</v>
      </c>
      <c r="E46" s="3">
        <f t="shared" si="3"/>
        <v>20405.63387</v>
      </c>
      <c r="F46" s="2" t="str">
        <f t="shared" si="1"/>
        <v>AAVE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IFERROR(__xludf.DUMMYFUNCTION("""COMPUTED_VALUE"""),62.114023)</f>
        <v>62.114023</v>
      </c>
      <c r="C47" s="3">
        <f>IFERROR(__xludf.DUMMYFUNCTION("""COMPUTED_VALUE"""),1.3886053937994E7)</f>
        <v>13886053.94</v>
      </c>
      <c r="D47" s="3">
        <f t="shared" si="2"/>
        <v>245.547244</v>
      </c>
      <c r="E47" s="3">
        <f t="shared" si="3"/>
        <v>15251.92716</v>
      </c>
      <c r="F47" s="2" t="str">
        <f t="shared" si="1"/>
        <v>AAVE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IFERROR(__xludf.DUMMYFUNCTION("""COMPUTED_VALUE"""),66.547277)</f>
        <v>66.547277</v>
      </c>
      <c r="C48" s="3">
        <f>IFERROR(__xludf.DUMMYFUNCTION("""COMPUTED_VALUE"""),1.3889091434545E7)</f>
        <v>13889091.43</v>
      </c>
      <c r="D48" s="3">
        <f t="shared" si="2"/>
        <v>3037.496551</v>
      </c>
      <c r="E48" s="3">
        <f t="shared" si="3"/>
        <v>202137.1244</v>
      </c>
      <c r="F48" s="2" t="str">
        <f t="shared" si="1"/>
        <v>AAVE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IFERROR(__xludf.DUMMYFUNCTION("""COMPUTED_VALUE"""),56.569649)</f>
        <v>56.569649</v>
      </c>
      <c r="C49" s="3">
        <f>IFERROR(__xludf.DUMMYFUNCTION("""COMPUTED_VALUE"""),1.3889417595406E7)</f>
        <v>13889417.6</v>
      </c>
      <c r="D49" s="3">
        <f t="shared" si="2"/>
        <v>326.160861</v>
      </c>
      <c r="E49" s="3">
        <f t="shared" si="3"/>
        <v>18450.80542</v>
      </c>
      <c r="F49" s="2" t="str">
        <f t="shared" si="1"/>
        <v>AAVE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IFERROR(__xludf.DUMMYFUNCTION("""COMPUTED_VALUE"""),57.303359)</f>
        <v>57.303359</v>
      </c>
      <c r="C50" s="3">
        <f>IFERROR(__xludf.DUMMYFUNCTION("""COMPUTED_VALUE"""),1.3889592206744E7)</f>
        <v>13889592.21</v>
      </c>
      <c r="D50" s="3">
        <f t="shared" si="2"/>
        <v>174.611338</v>
      </c>
      <c r="E50" s="3">
        <f t="shared" si="3"/>
        <v>10005.81619</v>
      </c>
      <c r="F50" s="2" t="str">
        <f t="shared" si="1"/>
        <v>AAVE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IFERROR(__xludf.DUMMYFUNCTION("""COMPUTED_VALUE"""),49.579584)</f>
        <v>49.579584</v>
      </c>
      <c r="C51" s="3">
        <f>IFERROR(__xludf.DUMMYFUNCTION("""COMPUTED_VALUE"""),1.3890139150933E7)</f>
        <v>13890139.15</v>
      </c>
      <c r="D51" s="3">
        <f t="shared" si="2"/>
        <v>546.944189</v>
      </c>
      <c r="E51" s="3">
        <f t="shared" si="3"/>
        <v>27117.26536</v>
      </c>
      <c r="F51" s="2" t="str">
        <f t="shared" si="1"/>
        <v>AAVE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IFERROR(__xludf.DUMMYFUNCTION("""COMPUTED_VALUE"""),53.989446)</f>
        <v>53.989446</v>
      </c>
      <c r="C52" s="3">
        <f>IFERROR(__xludf.DUMMYFUNCTION("""COMPUTED_VALUE"""),1.3896884734533E7)</f>
        <v>13896884.73</v>
      </c>
      <c r="D52" s="3">
        <f t="shared" si="2"/>
        <v>6745.5836</v>
      </c>
      <c r="E52" s="3">
        <f t="shared" si="3"/>
        <v>364190.3215</v>
      </c>
      <c r="F52" s="2" t="str">
        <f t="shared" si="1"/>
        <v>AAVE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IFERROR(__xludf.DUMMYFUNCTION("""COMPUTED_VALUE"""),61.513371)</f>
        <v>61.513371</v>
      </c>
      <c r="C53" s="3">
        <f>IFERROR(__xludf.DUMMYFUNCTION("""COMPUTED_VALUE"""),1.3897329082054E7)</f>
        <v>13897329.08</v>
      </c>
      <c r="D53" s="3">
        <f t="shared" si="2"/>
        <v>444.347521</v>
      </c>
      <c r="E53" s="3">
        <f t="shared" si="3"/>
        <v>27333.31391</v>
      </c>
      <c r="F53" s="2" t="str">
        <f t="shared" si="1"/>
        <v>AAVE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IFERROR(__xludf.DUMMYFUNCTION("""COMPUTED_VALUE"""),66.324997)</f>
        <v>66.324997</v>
      </c>
      <c r="C54" s="3">
        <f>IFERROR(__xludf.DUMMYFUNCTION("""COMPUTED_VALUE"""),1.3898117592803E7)</f>
        <v>13898117.59</v>
      </c>
      <c r="D54" s="3">
        <f t="shared" si="2"/>
        <v>788.510749</v>
      </c>
      <c r="E54" s="3">
        <f t="shared" si="3"/>
        <v>52297.97306</v>
      </c>
      <c r="F54" s="2" t="str">
        <f t="shared" si="1"/>
        <v>AAVE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IFERROR(__xludf.DUMMYFUNCTION("""COMPUTED_VALUE"""),61.898415)</f>
        <v>61.898415</v>
      </c>
      <c r="C55" s="3">
        <f>IFERROR(__xludf.DUMMYFUNCTION("""COMPUTED_VALUE"""),1.389826379441E7)</f>
        <v>13898263.79</v>
      </c>
      <c r="D55" s="3">
        <f t="shared" si="2"/>
        <v>146.201607</v>
      </c>
      <c r="E55" s="3">
        <f t="shared" si="3"/>
        <v>9049.647744</v>
      </c>
      <c r="F55" s="2" t="str">
        <f t="shared" si="1"/>
        <v>AAVE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IFERROR(__xludf.DUMMYFUNCTION("""COMPUTED_VALUE"""),67.949347)</f>
        <v>67.949347</v>
      </c>
      <c r="C56" s="3">
        <f>IFERROR(__xludf.DUMMYFUNCTION("""COMPUTED_VALUE"""),1.3898463061216E7)</f>
        <v>13898463.06</v>
      </c>
      <c r="D56" s="3">
        <f t="shared" si="2"/>
        <v>199.266806</v>
      </c>
      <c r="E56" s="3">
        <f t="shared" si="3"/>
        <v>13540.04935</v>
      </c>
      <c r="F56" s="2" t="str">
        <f t="shared" si="1"/>
        <v>AAVE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IFERROR(__xludf.DUMMYFUNCTION("""COMPUTED_VALUE"""),70.911279)</f>
        <v>70.911279</v>
      </c>
      <c r="C57" s="3">
        <f>IFERROR(__xludf.DUMMYFUNCTION("""COMPUTED_VALUE"""),1.3899035201451E7)</f>
        <v>13899035.2</v>
      </c>
      <c r="D57" s="3">
        <f t="shared" si="2"/>
        <v>572.140235</v>
      </c>
      <c r="E57" s="3">
        <f t="shared" si="3"/>
        <v>40571.19583</v>
      </c>
      <c r="F57" s="2" t="str">
        <f t="shared" si="1"/>
        <v>AAVE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IFERROR(__xludf.DUMMYFUNCTION("""COMPUTED_VALUE"""),69.950212)</f>
        <v>69.950212</v>
      </c>
      <c r="C58" s="3">
        <f>IFERROR(__xludf.DUMMYFUNCTION("""COMPUTED_VALUE"""),1.3899456645666E7)</f>
        <v>13899456.65</v>
      </c>
      <c r="D58" s="3">
        <f t="shared" si="2"/>
        <v>421.444215</v>
      </c>
      <c r="E58" s="3">
        <f t="shared" si="3"/>
        <v>29480.11219</v>
      </c>
      <c r="F58" s="2" t="str">
        <f t="shared" si="1"/>
        <v>AAVE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IFERROR(__xludf.DUMMYFUNCTION("""COMPUTED_VALUE"""),65.356454)</f>
        <v>65.356454</v>
      </c>
      <c r="C59" s="3">
        <f>IFERROR(__xludf.DUMMYFUNCTION("""COMPUTED_VALUE"""),1.3899626193E7)</f>
        <v>13899626.19</v>
      </c>
      <c r="D59" s="3">
        <f t="shared" si="2"/>
        <v>169.547334</v>
      </c>
      <c r="E59" s="3">
        <f t="shared" si="3"/>
        <v>11081.01254</v>
      </c>
      <c r="F59" s="2" t="str">
        <f t="shared" si="1"/>
        <v>AAVE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IFERROR(__xludf.DUMMYFUNCTION("""COMPUTED_VALUE"""),65.52729)</f>
        <v>65.52729</v>
      </c>
      <c r="C60" s="3">
        <f>IFERROR(__xludf.DUMMYFUNCTION("""COMPUTED_VALUE"""),1.3900908443032E7)</f>
        <v>13900908.44</v>
      </c>
      <c r="D60" s="3">
        <f t="shared" si="2"/>
        <v>1282.250032</v>
      </c>
      <c r="E60" s="3">
        <f t="shared" si="3"/>
        <v>84022.3697</v>
      </c>
      <c r="F60" s="2" t="str">
        <f t="shared" si="1"/>
        <v>AAVE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IFERROR(__xludf.DUMMYFUNCTION("""COMPUTED_VALUE"""),60.006214)</f>
        <v>60.006214</v>
      </c>
      <c r="C61" s="3">
        <f>IFERROR(__xludf.DUMMYFUNCTION("""COMPUTED_VALUE"""),1.3901055822138E7)</f>
        <v>13901055.82</v>
      </c>
      <c r="D61" s="3">
        <f t="shared" si="2"/>
        <v>147.379106</v>
      </c>
      <c r="E61" s="3">
        <f t="shared" si="3"/>
        <v>8843.662174</v>
      </c>
      <c r="F61" s="2" t="str">
        <f t="shared" si="1"/>
        <v>AAVE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IFERROR(__xludf.DUMMYFUNCTION("""COMPUTED_VALUE"""),59.820593)</f>
        <v>59.820593</v>
      </c>
      <c r="C62" s="3">
        <f>IFERROR(__xludf.DUMMYFUNCTION("""COMPUTED_VALUE"""),1.3916738547813E7)</f>
        <v>13916738.55</v>
      </c>
      <c r="D62" s="3">
        <f t="shared" si="2"/>
        <v>15682.72567</v>
      </c>
      <c r="E62" s="3">
        <f t="shared" si="3"/>
        <v>938149.9497</v>
      </c>
      <c r="F62" s="2" t="str">
        <f t="shared" si="1"/>
        <v>AAVE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IFERROR(__xludf.DUMMYFUNCTION("""COMPUTED_VALUE"""),56.972626)</f>
        <v>56.972626</v>
      </c>
      <c r="C63" s="3">
        <f>IFERROR(__xludf.DUMMYFUNCTION("""COMPUTED_VALUE"""),1.3916977627046E7)</f>
        <v>13916977.63</v>
      </c>
      <c r="D63" s="3">
        <f t="shared" si="2"/>
        <v>239.079233</v>
      </c>
      <c r="E63" s="3">
        <f t="shared" si="3"/>
        <v>13620.97173</v>
      </c>
      <c r="F63" s="2" t="str">
        <f t="shared" si="1"/>
        <v>AAVE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IFERROR(__xludf.DUMMYFUNCTION("""COMPUTED_VALUE"""),56.308116)</f>
        <v>56.308116</v>
      </c>
      <c r="C64" s="3">
        <f>IFERROR(__xludf.DUMMYFUNCTION("""COMPUTED_VALUE"""),1.3919520801604E7)</f>
        <v>13919520.8</v>
      </c>
      <c r="D64" s="3">
        <f t="shared" si="2"/>
        <v>2543.174558</v>
      </c>
      <c r="E64" s="3">
        <f t="shared" si="3"/>
        <v>143201.368</v>
      </c>
      <c r="F64" s="2" t="str">
        <f t="shared" si="1"/>
        <v>AAVE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IFERROR(__xludf.DUMMYFUNCTION("""COMPUTED_VALUE"""),57.821796)</f>
        <v>57.821796</v>
      </c>
      <c r="C65" s="3">
        <f>IFERROR(__xludf.DUMMYFUNCTION("""COMPUTED_VALUE"""),1.3920097321374E7)</f>
        <v>13920097.32</v>
      </c>
      <c r="D65" s="3">
        <f t="shared" si="2"/>
        <v>576.51977</v>
      </c>
      <c r="E65" s="3">
        <f t="shared" si="3"/>
        <v>33335.40853</v>
      </c>
      <c r="F65" s="2" t="str">
        <f t="shared" si="1"/>
        <v>AAVE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IFERROR(__xludf.DUMMYFUNCTION("""COMPUTED_VALUE"""),57.573546)</f>
        <v>57.573546</v>
      </c>
      <c r="C66" s="3">
        <f>IFERROR(__xludf.DUMMYFUNCTION("""COMPUTED_VALUE"""),1.3920237281877E7)</f>
        <v>13920237.28</v>
      </c>
      <c r="D66" s="3">
        <f t="shared" si="2"/>
        <v>139.960503</v>
      </c>
      <c r="E66" s="3">
        <f t="shared" si="3"/>
        <v>8058.022458</v>
      </c>
      <c r="F66" s="2" t="str">
        <f t="shared" si="1"/>
        <v>AAVE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IFERROR(__xludf.DUMMYFUNCTION("""COMPUTED_VALUE"""),63.051996)</f>
        <v>63.051996</v>
      </c>
      <c r="C67" s="3">
        <f>IFERROR(__xludf.DUMMYFUNCTION("""COMPUTED_VALUE"""),1.3935294532885E7)</f>
        <v>13935294.53</v>
      </c>
      <c r="D67" s="3">
        <f t="shared" si="2"/>
        <v>15057.25101</v>
      </c>
      <c r="E67" s="3">
        <f t="shared" si="3"/>
        <v>949389.7303</v>
      </c>
      <c r="F67" s="2" t="str">
        <f t="shared" si="1"/>
        <v>AAVE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IFERROR(__xludf.DUMMYFUNCTION("""COMPUTED_VALUE"""),60.559089)</f>
        <v>60.559089</v>
      </c>
      <c r="C68" s="3">
        <f>IFERROR(__xludf.DUMMYFUNCTION("""COMPUTED_VALUE"""),1.3935543494584E7)</f>
        <v>13935543.49</v>
      </c>
      <c r="D68" s="3">
        <f t="shared" si="2"/>
        <v>248.961699</v>
      </c>
      <c r="E68" s="3">
        <f t="shared" si="3"/>
        <v>15076.89369</v>
      </c>
      <c r="F68" s="2" t="str">
        <f t="shared" si="1"/>
        <v>AAVE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IFERROR(__xludf.DUMMYFUNCTION("""COMPUTED_VALUE"""),62.943331)</f>
        <v>62.943331</v>
      </c>
      <c r="C69" s="3">
        <f>IFERROR(__xludf.DUMMYFUNCTION("""COMPUTED_VALUE"""),1.3936168559492E7)</f>
        <v>13936168.56</v>
      </c>
      <c r="D69" s="3">
        <f t="shared" si="2"/>
        <v>625.064908</v>
      </c>
      <c r="E69" s="3">
        <f t="shared" si="3"/>
        <v>39343.6674</v>
      </c>
      <c r="F69" s="2" t="str">
        <f t="shared" si="1"/>
        <v>AAVE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IFERROR(__xludf.DUMMYFUNCTION("""COMPUTED_VALUE"""),71.152454)</f>
        <v>71.152454</v>
      </c>
      <c r="C70" s="3">
        <f>IFERROR(__xludf.DUMMYFUNCTION("""COMPUTED_VALUE"""),1.393737922517E7)</f>
        <v>13937379.23</v>
      </c>
      <c r="D70" s="3">
        <f t="shared" si="2"/>
        <v>1210.665678</v>
      </c>
      <c r="E70" s="3">
        <f t="shared" si="3"/>
        <v>86141.83396</v>
      </c>
      <c r="F70" s="2" t="str">
        <f t="shared" si="1"/>
        <v>AAVE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IFERROR(__xludf.DUMMYFUNCTION("""COMPUTED_VALUE"""),71.585682)</f>
        <v>71.585682</v>
      </c>
      <c r="C71" s="3">
        <f>IFERROR(__xludf.DUMMYFUNCTION("""COMPUTED_VALUE"""),1.3938807236841E7)</f>
        <v>13938807.24</v>
      </c>
      <c r="D71" s="3">
        <f t="shared" si="2"/>
        <v>1428.011671</v>
      </c>
      <c r="E71" s="3">
        <f t="shared" si="3"/>
        <v>102225.1894</v>
      </c>
      <c r="F71" s="2" t="str">
        <f t="shared" si="1"/>
        <v>AAVE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IFERROR(__xludf.DUMMYFUNCTION("""COMPUTED_VALUE"""),81.925378)</f>
        <v>81.925378</v>
      </c>
      <c r="C72" s="3">
        <f>IFERROR(__xludf.DUMMYFUNCTION("""COMPUTED_VALUE"""),1.3939449655278E7)</f>
        <v>13939449.66</v>
      </c>
      <c r="D72" s="3">
        <f t="shared" si="2"/>
        <v>642.418437</v>
      </c>
      <c r="E72" s="3">
        <f t="shared" si="3"/>
        <v>52630.37329</v>
      </c>
      <c r="F72" s="2" t="str">
        <f t="shared" si="1"/>
        <v>AAVE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IFERROR(__xludf.DUMMYFUNCTION("""COMPUTED_VALUE"""),77.75512)</f>
        <v>77.75512</v>
      </c>
      <c r="C73" s="3">
        <f>IFERROR(__xludf.DUMMYFUNCTION("""COMPUTED_VALUE"""),1.3939960450084E7)</f>
        <v>13939960.45</v>
      </c>
      <c r="D73" s="3">
        <f t="shared" si="2"/>
        <v>510.794806</v>
      </c>
      <c r="E73" s="3">
        <f t="shared" si="3"/>
        <v>39716.91144</v>
      </c>
      <c r="F73" s="2" t="str">
        <f t="shared" si="1"/>
        <v>AAVE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IFERROR(__xludf.DUMMYFUNCTION("""COMPUTED_VALUE"""),69.812984)</f>
        <v>69.812984</v>
      </c>
      <c r="C74" s="3">
        <f>IFERROR(__xludf.DUMMYFUNCTION("""COMPUTED_VALUE"""),1.394059370686E7)</f>
        <v>13940593.71</v>
      </c>
      <c r="D74" s="3">
        <f t="shared" si="2"/>
        <v>633.256776</v>
      </c>
      <c r="E74" s="3">
        <f t="shared" si="3"/>
        <v>44209.54517</v>
      </c>
      <c r="F74" s="2" t="str">
        <f t="shared" si="1"/>
        <v>AAVE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IFERROR(__xludf.DUMMYFUNCTION("""COMPUTED_VALUE"""),68.318888)</f>
        <v>68.318888</v>
      </c>
      <c r="C75" s="3">
        <f>IFERROR(__xludf.DUMMYFUNCTION("""COMPUTED_VALUE"""),1.3940983739218E7)</f>
        <v>13940983.74</v>
      </c>
      <c r="D75" s="3">
        <f t="shared" si="2"/>
        <v>390.032358</v>
      </c>
      <c r="E75" s="3">
        <f t="shared" si="3"/>
        <v>26646.57698</v>
      </c>
      <c r="F75" s="2" t="str">
        <f t="shared" si="1"/>
        <v>AAVE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IFERROR(__xludf.DUMMYFUNCTION("""COMPUTED_VALUE"""),79.725446)</f>
        <v>79.725446</v>
      </c>
      <c r="C76" s="3">
        <f>IFERROR(__xludf.DUMMYFUNCTION("""COMPUTED_VALUE"""),1.3941382602635E7)</f>
        <v>13941382.6</v>
      </c>
      <c r="D76" s="3">
        <f t="shared" si="2"/>
        <v>398.863417</v>
      </c>
      <c r="E76" s="3">
        <f t="shared" si="3"/>
        <v>31799.56381</v>
      </c>
      <c r="F76" s="2" t="str">
        <f t="shared" si="1"/>
        <v>AAVE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IFERROR(__xludf.DUMMYFUNCTION("""COMPUTED_VALUE"""),91.189318)</f>
        <v>91.189318</v>
      </c>
      <c r="C77" s="3">
        <f>IFERROR(__xludf.DUMMYFUNCTION("""COMPUTED_VALUE"""),1.3947716238479E7)</f>
        <v>13947716.24</v>
      </c>
      <c r="D77" s="3">
        <f t="shared" si="2"/>
        <v>6333.635844</v>
      </c>
      <c r="E77" s="3">
        <f t="shared" si="3"/>
        <v>577559.9331</v>
      </c>
      <c r="F77" s="2" t="str">
        <f t="shared" si="1"/>
        <v>AAVE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IFERROR(__xludf.DUMMYFUNCTION("""COMPUTED_VALUE"""),90.390505)</f>
        <v>90.390505</v>
      </c>
      <c r="C78" s="3">
        <f>IFERROR(__xludf.DUMMYFUNCTION("""COMPUTED_VALUE"""),1.3948032327888E7)</f>
        <v>13948032.33</v>
      </c>
      <c r="D78" s="3">
        <f t="shared" si="2"/>
        <v>316.089409</v>
      </c>
      <c r="E78" s="3">
        <f t="shared" si="3"/>
        <v>28571.4813</v>
      </c>
      <c r="F78" s="2" t="str">
        <f t="shared" si="1"/>
        <v>AAVE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IFERROR(__xludf.DUMMYFUNCTION("""COMPUTED_VALUE"""),92.851955)</f>
        <v>92.851955</v>
      </c>
      <c r="C79" s="3">
        <f>IFERROR(__xludf.DUMMYFUNCTION("""COMPUTED_VALUE"""),1.3948351936471E7)</f>
        <v>13948351.94</v>
      </c>
      <c r="D79" s="3">
        <f t="shared" si="2"/>
        <v>319.608583</v>
      </c>
      <c r="E79" s="3">
        <f t="shared" si="3"/>
        <v>29676.28177</v>
      </c>
      <c r="F79" s="2" t="str">
        <f t="shared" si="1"/>
        <v>AAVE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IFERROR(__xludf.DUMMYFUNCTION("""COMPUTED_VALUE"""),88.260836)</f>
        <v>88.260836</v>
      </c>
      <c r="C80" s="3">
        <f>IFERROR(__xludf.DUMMYFUNCTION("""COMPUTED_VALUE"""),1.3948605151412E7)</f>
        <v>13948605.15</v>
      </c>
      <c r="D80" s="3">
        <f t="shared" si="2"/>
        <v>253.214941</v>
      </c>
      <c r="E80" s="3">
        <f t="shared" si="3"/>
        <v>22348.96238</v>
      </c>
      <c r="F80" s="2" t="str">
        <f t="shared" si="1"/>
        <v>AAVE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IFERROR(__xludf.DUMMYFUNCTION("""COMPUTED_VALUE"""),96.180348)</f>
        <v>96.180348</v>
      </c>
      <c r="C81" s="3">
        <f>IFERROR(__xludf.DUMMYFUNCTION("""COMPUTED_VALUE"""),1.39657753517E7)</f>
        <v>13965775.35</v>
      </c>
      <c r="D81" s="3">
        <f t="shared" si="2"/>
        <v>17170.20029</v>
      </c>
      <c r="E81" s="3">
        <f t="shared" si="3"/>
        <v>1651435.839</v>
      </c>
      <c r="F81" s="2" t="str">
        <f t="shared" si="1"/>
        <v>AAVE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IFERROR(__xludf.DUMMYFUNCTION("""COMPUTED_VALUE"""),95.774096)</f>
        <v>95.774096</v>
      </c>
      <c r="C82" s="3">
        <f>IFERROR(__xludf.DUMMYFUNCTION("""COMPUTED_VALUE"""),1.396596177834E7)</f>
        <v>13965961.78</v>
      </c>
      <c r="D82" s="3">
        <f t="shared" si="2"/>
        <v>186.42664</v>
      </c>
      <c r="E82" s="3">
        <f t="shared" si="3"/>
        <v>17854.84292</v>
      </c>
      <c r="F82" s="2" t="str">
        <f t="shared" si="1"/>
        <v>AAVE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IFERROR(__xludf.DUMMYFUNCTION("""COMPUTED_VALUE"""),90.820371)</f>
        <v>90.820371</v>
      </c>
      <c r="C83" s="3">
        <f>IFERROR(__xludf.DUMMYFUNCTION("""COMPUTED_VALUE"""),1.396620323491E7)</f>
        <v>13966203.23</v>
      </c>
      <c r="D83" s="3">
        <f t="shared" si="2"/>
        <v>241.45657</v>
      </c>
      <c r="E83" s="3">
        <f t="shared" si="3"/>
        <v>21929.17527</v>
      </c>
      <c r="F83" s="2" t="str">
        <f t="shared" si="1"/>
        <v>AAVE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IFERROR(__xludf.DUMMYFUNCTION("""COMPUTED_VALUE"""),95.388771)</f>
        <v>95.388771</v>
      </c>
      <c r="C84" s="3">
        <f>IFERROR(__xludf.DUMMYFUNCTION("""COMPUTED_VALUE"""),1.3967238845596E7)</f>
        <v>13967238.85</v>
      </c>
      <c r="D84" s="3">
        <f t="shared" si="2"/>
        <v>1035.610686</v>
      </c>
      <c r="E84" s="3">
        <f t="shared" si="3"/>
        <v>98785.63057</v>
      </c>
      <c r="F84" s="2" t="str">
        <f t="shared" si="1"/>
        <v>AAVE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IFERROR(__xludf.DUMMYFUNCTION("""COMPUTED_VALUE"""),89.511739)</f>
        <v>89.511739</v>
      </c>
      <c r="C85" s="3">
        <f>IFERROR(__xludf.DUMMYFUNCTION("""COMPUTED_VALUE"""),1.396748868251E7)</f>
        <v>13967488.68</v>
      </c>
      <c r="D85" s="3">
        <f t="shared" si="2"/>
        <v>249.836914</v>
      </c>
      <c r="E85" s="3">
        <f t="shared" si="3"/>
        <v>22363.33664</v>
      </c>
      <c r="F85" s="2" t="str">
        <f t="shared" si="1"/>
        <v>AAVE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IFERROR(__xludf.DUMMYFUNCTION("""COMPUTED_VALUE"""),89.224045)</f>
        <v>89.224045</v>
      </c>
      <c r="C86" s="3">
        <f>IFERROR(__xludf.DUMMYFUNCTION("""COMPUTED_VALUE"""),1.3967630476793E7)</f>
        <v>13967630.48</v>
      </c>
      <c r="D86" s="3">
        <f t="shared" si="2"/>
        <v>141.794283</v>
      </c>
      <c r="E86" s="3">
        <f t="shared" si="3"/>
        <v>12651.45949</v>
      </c>
      <c r="F86" s="2" t="str">
        <f t="shared" si="1"/>
        <v>AAVE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IFERROR(__xludf.DUMMYFUNCTION("""COMPUTED_VALUE"""),90.574826)</f>
        <v>90.574826</v>
      </c>
      <c r="C87" s="3">
        <f>IFERROR(__xludf.DUMMYFUNCTION("""COMPUTED_VALUE"""),1.3967845849607E7)</f>
        <v>13967845.85</v>
      </c>
      <c r="D87" s="3">
        <f t="shared" si="2"/>
        <v>215.372814</v>
      </c>
      <c r="E87" s="3">
        <f t="shared" si="3"/>
        <v>19507.35515</v>
      </c>
      <c r="F87" s="2" t="str">
        <f t="shared" si="1"/>
        <v>AAVE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IFERROR(__xludf.DUMMYFUNCTION("""COMPUTED_VALUE"""),81.367184)</f>
        <v>81.367184</v>
      </c>
      <c r="C88" s="3">
        <f>IFERROR(__xludf.DUMMYFUNCTION("""COMPUTED_VALUE"""),1.3968093794384E7)</f>
        <v>13968093.79</v>
      </c>
      <c r="D88" s="3">
        <f t="shared" si="2"/>
        <v>247.944777</v>
      </c>
      <c r="E88" s="3">
        <f t="shared" si="3"/>
        <v>20174.56829</v>
      </c>
      <c r="F88" s="2" t="str">
        <f t="shared" si="1"/>
        <v>AAVE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IFERROR(__xludf.DUMMYFUNCTION("""COMPUTED_VALUE"""),81.202389)</f>
        <v>81.202389</v>
      </c>
      <c r="C89" s="3">
        <f>IFERROR(__xludf.DUMMYFUNCTION("""COMPUTED_VALUE"""),1.3969492334459E7)</f>
        <v>13969492.33</v>
      </c>
      <c r="D89" s="3">
        <f t="shared" si="2"/>
        <v>1398.540075</v>
      </c>
      <c r="E89" s="3">
        <f t="shared" si="3"/>
        <v>113564.7952</v>
      </c>
      <c r="F89" s="2" t="str">
        <f t="shared" si="1"/>
        <v>AAVE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IFERROR(__xludf.DUMMYFUNCTION("""COMPUTED_VALUE"""),94.953621)</f>
        <v>94.953621</v>
      </c>
      <c r="C90" s="3">
        <f>IFERROR(__xludf.DUMMYFUNCTION("""COMPUTED_VALUE"""),1.3969987657148E7)</f>
        <v>13969987.66</v>
      </c>
      <c r="D90" s="3">
        <f t="shared" si="2"/>
        <v>495.322689</v>
      </c>
      <c r="E90" s="3">
        <f t="shared" si="3"/>
        <v>47032.68288</v>
      </c>
      <c r="F90" s="2" t="str">
        <f t="shared" si="1"/>
        <v>AAVE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IFERROR(__xludf.DUMMYFUNCTION("""COMPUTED_VALUE"""),100.588593)</f>
        <v>100.588593</v>
      </c>
      <c r="C91" s="3">
        <f>IFERROR(__xludf.DUMMYFUNCTION("""COMPUTED_VALUE"""),1.3970457623399E7)</f>
        <v>13970457.62</v>
      </c>
      <c r="D91" s="3">
        <f t="shared" si="2"/>
        <v>469.966251</v>
      </c>
      <c r="E91" s="3">
        <f t="shared" si="3"/>
        <v>47273.24395</v>
      </c>
      <c r="F91" s="2" t="str">
        <f t="shared" si="1"/>
        <v>AAVE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IFERROR(__xludf.DUMMYFUNCTION("""COMPUTED_VALUE"""),95.679284)</f>
        <v>95.679284</v>
      </c>
      <c r="C92" s="3">
        <f>IFERROR(__xludf.DUMMYFUNCTION("""COMPUTED_VALUE"""),1.3970634233726E7)</f>
        <v>13970634.23</v>
      </c>
      <c r="D92" s="3">
        <f t="shared" si="2"/>
        <v>176.610327</v>
      </c>
      <c r="E92" s="3">
        <f t="shared" si="3"/>
        <v>16897.94963</v>
      </c>
      <c r="F92" s="2" t="str">
        <f t="shared" si="1"/>
        <v>AAVE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IFERROR(__xludf.DUMMYFUNCTION("""COMPUTED_VALUE"""),95.34354)</f>
        <v>95.34354</v>
      </c>
      <c r="C93" s="3">
        <f>IFERROR(__xludf.DUMMYFUNCTION("""COMPUTED_VALUE"""),1.3971684612636E7)</f>
        <v>13971684.61</v>
      </c>
      <c r="D93" s="3">
        <f t="shared" si="2"/>
        <v>1050.37891</v>
      </c>
      <c r="E93" s="3">
        <f t="shared" si="3"/>
        <v>100146.8436</v>
      </c>
      <c r="F93" s="2" t="str">
        <f t="shared" si="1"/>
        <v>AAVE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IFERROR(__xludf.DUMMYFUNCTION("""COMPUTED_VALUE"""),97.59643)</f>
        <v>97.59643</v>
      </c>
      <c r="C94" s="3">
        <f>IFERROR(__xludf.DUMMYFUNCTION("""COMPUTED_VALUE"""),1.3979116401164E7)</f>
        <v>13979116.4</v>
      </c>
      <c r="D94" s="3">
        <f t="shared" si="2"/>
        <v>7431.788528</v>
      </c>
      <c r="E94" s="3">
        <f t="shared" si="3"/>
        <v>725316.0288</v>
      </c>
      <c r="F94" s="2" t="str">
        <f t="shared" si="1"/>
        <v>AAVE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IFERROR(__xludf.DUMMYFUNCTION("""COMPUTED_VALUE"""),96.595081)</f>
        <v>96.595081</v>
      </c>
      <c r="C95" s="3">
        <f>IFERROR(__xludf.DUMMYFUNCTION("""COMPUTED_VALUE"""),1.3979201451471E7)</f>
        <v>13979201.45</v>
      </c>
      <c r="D95" s="3">
        <f t="shared" si="2"/>
        <v>85.050307</v>
      </c>
      <c r="E95" s="3">
        <f t="shared" si="3"/>
        <v>8215.441294</v>
      </c>
      <c r="F95" s="2" t="str">
        <f t="shared" si="1"/>
        <v>AAVE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IFERROR(__xludf.DUMMYFUNCTION("""COMPUTED_VALUE"""),93.492857)</f>
        <v>93.492857</v>
      </c>
      <c r="C96" s="3">
        <f>IFERROR(__xludf.DUMMYFUNCTION("""COMPUTED_VALUE"""),1.397965521628E7)</f>
        <v>13979655.22</v>
      </c>
      <c r="D96" s="3">
        <f t="shared" si="2"/>
        <v>453.764809</v>
      </c>
      <c r="E96" s="3">
        <f t="shared" si="3"/>
        <v>42423.7684</v>
      </c>
      <c r="F96" s="2" t="str">
        <f t="shared" si="1"/>
        <v>AAVE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IFERROR(__xludf.DUMMYFUNCTION("""COMPUTED_VALUE"""),94.92456)</f>
        <v>94.92456</v>
      </c>
      <c r="C97" s="3">
        <f>IFERROR(__xludf.DUMMYFUNCTION("""COMPUTED_VALUE"""),1.3981273942187E7)</f>
        <v>13981273.94</v>
      </c>
      <c r="D97" s="3">
        <f t="shared" si="2"/>
        <v>1618.725907</v>
      </c>
      <c r="E97" s="3">
        <f t="shared" si="3"/>
        <v>153656.8445</v>
      </c>
      <c r="F97" s="2" t="str">
        <f t="shared" si="1"/>
        <v>AAVE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IFERROR(__xludf.DUMMYFUNCTION("""COMPUTED_VALUE"""),96.40166)</f>
        <v>96.40166</v>
      </c>
      <c r="C98" s="3">
        <f>IFERROR(__xludf.DUMMYFUNCTION("""COMPUTED_VALUE"""),1.3981879010132E7)</f>
        <v>13981879.01</v>
      </c>
      <c r="D98" s="3">
        <f t="shared" si="2"/>
        <v>605.067945</v>
      </c>
      <c r="E98" s="3">
        <f t="shared" si="3"/>
        <v>58329.55431</v>
      </c>
      <c r="F98" s="2" t="str">
        <f t="shared" si="1"/>
        <v>AAVE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IFERROR(__xludf.DUMMYFUNCTION("""COMPUTED_VALUE"""),102.823614)</f>
        <v>102.823614</v>
      </c>
      <c r="C99" s="3">
        <f>IFERROR(__xludf.DUMMYFUNCTION("""COMPUTED_VALUE"""),1.3982062159139E7)</f>
        <v>13982062.16</v>
      </c>
      <c r="D99" s="3">
        <f t="shared" si="2"/>
        <v>183.149007</v>
      </c>
      <c r="E99" s="3">
        <f t="shared" si="3"/>
        <v>18832.0428</v>
      </c>
      <c r="F99" s="2" t="str">
        <f t="shared" si="1"/>
        <v>AAVE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IFERROR(__xludf.DUMMYFUNCTION("""COMPUTED_VALUE"""),99.045797)</f>
        <v>99.045797</v>
      </c>
      <c r="C100" s="3">
        <f>IFERROR(__xludf.DUMMYFUNCTION("""COMPUTED_VALUE"""),1.3982526729287E7)</f>
        <v>13982526.73</v>
      </c>
      <c r="D100" s="3">
        <f t="shared" si="2"/>
        <v>464.570148</v>
      </c>
      <c r="E100" s="3">
        <f t="shared" si="3"/>
        <v>46013.72057</v>
      </c>
      <c r="F100" s="2" t="str">
        <f t="shared" si="1"/>
        <v>AAVE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IFERROR(__xludf.DUMMYFUNCTION("""COMPUTED_VALUE"""),101.314926)</f>
        <v>101.314926</v>
      </c>
      <c r="C101" s="3">
        <f>IFERROR(__xludf.DUMMYFUNCTION("""COMPUTED_VALUE"""),1.3983251850727E7)</f>
        <v>13983251.85</v>
      </c>
      <c r="D101" s="3">
        <f t="shared" si="2"/>
        <v>725.12144</v>
      </c>
      <c r="E101" s="3">
        <f t="shared" si="3"/>
        <v>73465.62503</v>
      </c>
      <c r="F101" s="2" t="str">
        <f t="shared" si="1"/>
        <v>AAVE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IFERROR(__xludf.DUMMYFUNCTION("""COMPUTED_VALUE"""),102.513976)</f>
        <v>102.513976</v>
      </c>
      <c r="C102" s="3">
        <f>IFERROR(__xludf.DUMMYFUNCTION("""COMPUTED_VALUE"""),1.3984389853509E7)</f>
        <v>13984389.85</v>
      </c>
      <c r="D102" s="3">
        <f t="shared" si="2"/>
        <v>1138.002782</v>
      </c>
      <c r="E102" s="3">
        <f t="shared" si="3"/>
        <v>116661.1899</v>
      </c>
      <c r="F102" s="2" t="str">
        <f t="shared" si="1"/>
        <v>AAVE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IFERROR(__xludf.DUMMYFUNCTION("""COMPUTED_VALUE"""),97.861442)</f>
        <v>97.861442</v>
      </c>
      <c r="C103" s="3">
        <f>IFERROR(__xludf.DUMMYFUNCTION("""COMPUTED_VALUE"""),1.3985115713716E7)</f>
        <v>13985115.71</v>
      </c>
      <c r="D103" s="3">
        <f t="shared" si="2"/>
        <v>725.860207</v>
      </c>
      <c r="E103" s="3">
        <f t="shared" si="3"/>
        <v>71033.72655</v>
      </c>
      <c r="F103" s="2" t="str">
        <f t="shared" si="1"/>
        <v>AAVE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IFERROR(__xludf.DUMMYFUNCTION("""COMPUTED_VALUE"""),111.121577)</f>
        <v>111.121577</v>
      </c>
      <c r="C104" s="3">
        <f>IFERROR(__xludf.DUMMYFUNCTION("""COMPUTED_VALUE"""),1.3985739718079E7)</f>
        <v>13985739.72</v>
      </c>
      <c r="D104" s="3">
        <f t="shared" si="2"/>
        <v>624.004363</v>
      </c>
      <c r="E104" s="3">
        <f t="shared" si="3"/>
        <v>69340.34887</v>
      </c>
      <c r="F104" s="2" t="str">
        <f t="shared" si="1"/>
        <v>AAVE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IFERROR(__xludf.DUMMYFUNCTION("""COMPUTED_VALUE"""),107.609485)</f>
        <v>107.609485</v>
      </c>
      <c r="C105" s="3">
        <f>IFERROR(__xludf.DUMMYFUNCTION("""COMPUTED_VALUE"""),1.3986421258289E7)</f>
        <v>13986421.26</v>
      </c>
      <c r="D105" s="3">
        <f t="shared" si="2"/>
        <v>681.54021</v>
      </c>
      <c r="E105" s="3">
        <f t="shared" si="3"/>
        <v>73340.191</v>
      </c>
      <c r="F105" s="2" t="str">
        <f t="shared" si="1"/>
        <v>AAVE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IFERROR(__xludf.DUMMYFUNCTION("""COMPUTED_VALUE"""),114.777628)</f>
        <v>114.777628</v>
      </c>
      <c r="C106" s="3">
        <f>IFERROR(__xludf.DUMMYFUNCTION("""COMPUTED_VALUE"""),1.398712499968E7)</f>
        <v>13987125</v>
      </c>
      <c r="D106" s="3">
        <f t="shared" si="2"/>
        <v>703.741391</v>
      </c>
      <c r="E106" s="3">
        <f t="shared" si="3"/>
        <v>80773.76758</v>
      </c>
      <c r="F106" s="2" t="str">
        <f t="shared" si="1"/>
        <v>AAVE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IFERROR(__xludf.DUMMYFUNCTION("""COMPUTED_VALUE"""),110.571893)</f>
        <v>110.571893</v>
      </c>
      <c r="C107" s="3">
        <f>IFERROR(__xludf.DUMMYFUNCTION("""COMPUTED_VALUE"""),1.3987700923547E7)</f>
        <v>13987700.92</v>
      </c>
      <c r="D107" s="3">
        <f t="shared" si="2"/>
        <v>575.923867</v>
      </c>
      <c r="E107" s="3">
        <f t="shared" si="3"/>
        <v>63680.9922</v>
      </c>
      <c r="F107" s="2" t="str">
        <f t="shared" si="1"/>
        <v>AAVE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IFERROR(__xludf.DUMMYFUNCTION("""COMPUTED_VALUE"""),107.470623)</f>
        <v>107.470623</v>
      </c>
      <c r="C108" s="3">
        <f>IFERROR(__xludf.DUMMYFUNCTION("""COMPUTED_VALUE"""),1.3987862289871E7)</f>
        <v>13987862.29</v>
      </c>
      <c r="D108" s="3">
        <f t="shared" si="2"/>
        <v>161.366324</v>
      </c>
      <c r="E108" s="3">
        <f t="shared" si="3"/>
        <v>17342.13937</v>
      </c>
      <c r="F108" s="2" t="str">
        <f t="shared" si="1"/>
        <v>AAVE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IFERROR(__xludf.DUMMYFUNCTION("""COMPUTED_VALUE"""),107.070623)</f>
        <v>107.070623</v>
      </c>
      <c r="C109" s="3">
        <f>IFERROR(__xludf.DUMMYFUNCTION("""COMPUTED_VALUE"""),1.3988088977518E7)</f>
        <v>13988088.98</v>
      </c>
      <c r="D109" s="3">
        <f t="shared" si="2"/>
        <v>226.687647</v>
      </c>
      <c r="E109" s="3">
        <f t="shared" si="3"/>
        <v>24271.58759</v>
      </c>
      <c r="F109" s="2" t="str">
        <f t="shared" si="1"/>
        <v>AAVE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IFERROR(__xludf.DUMMYFUNCTION("""COMPUTED_VALUE"""),109.81409)</f>
        <v>109.81409</v>
      </c>
      <c r="C110" s="3">
        <f>IFERROR(__xludf.DUMMYFUNCTION("""COMPUTED_VALUE"""),1.3988486504207E7)</f>
        <v>13988486.5</v>
      </c>
      <c r="D110" s="3">
        <f t="shared" si="2"/>
        <v>397.526689</v>
      </c>
      <c r="E110" s="3">
        <f t="shared" si="3"/>
        <v>43654.0316</v>
      </c>
      <c r="F110" s="2" t="str">
        <f t="shared" si="1"/>
        <v>AAVE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IFERROR(__xludf.DUMMYFUNCTION("""COMPUTED_VALUE"""),100.236673)</f>
        <v>100.236673</v>
      </c>
      <c r="C111" s="3">
        <f>IFERROR(__xludf.DUMMYFUNCTION("""COMPUTED_VALUE"""),1.3989189081466E7)</f>
        <v>13989189.08</v>
      </c>
      <c r="D111" s="3">
        <f t="shared" si="2"/>
        <v>702.577259</v>
      </c>
      <c r="E111" s="3">
        <f t="shared" si="3"/>
        <v>70424.00697</v>
      </c>
      <c r="F111" s="2" t="str">
        <f t="shared" si="1"/>
        <v>AAVE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IFERROR(__xludf.DUMMYFUNCTION("""COMPUTED_VALUE"""),94.896121)</f>
        <v>94.896121</v>
      </c>
      <c r="C112" s="3">
        <f>IFERROR(__xludf.DUMMYFUNCTION("""COMPUTED_VALUE"""),1.3990342556468E7)</f>
        <v>13990342.56</v>
      </c>
      <c r="D112" s="3">
        <f t="shared" si="2"/>
        <v>1153.475002</v>
      </c>
      <c r="E112" s="3">
        <f t="shared" si="3"/>
        <v>109460.3034</v>
      </c>
      <c r="F112" s="2" t="str">
        <f t="shared" si="1"/>
        <v>AAVE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IFERROR(__xludf.DUMMYFUNCTION("""COMPUTED_VALUE"""),83.428304)</f>
        <v>83.428304</v>
      </c>
      <c r="C113" s="3">
        <f>IFERROR(__xludf.DUMMYFUNCTION("""COMPUTED_VALUE"""),1.3990484496281E7)</f>
        <v>13990484.5</v>
      </c>
      <c r="D113" s="3">
        <f t="shared" si="2"/>
        <v>141.939813</v>
      </c>
      <c r="E113" s="3">
        <f t="shared" si="3"/>
        <v>11841.79787</v>
      </c>
      <c r="F113" s="2" t="str">
        <f t="shared" si="1"/>
        <v>AAVE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IFERROR(__xludf.DUMMYFUNCTION("""COMPUTED_VALUE"""),82.875698)</f>
        <v>82.875698</v>
      </c>
      <c r="C114" s="3">
        <f>IFERROR(__xludf.DUMMYFUNCTION("""COMPUTED_VALUE"""),1.3991017734324E7)</f>
        <v>13991017.73</v>
      </c>
      <c r="D114" s="3">
        <f t="shared" si="2"/>
        <v>533.238043</v>
      </c>
      <c r="E114" s="3">
        <f t="shared" si="3"/>
        <v>44192.47501</v>
      </c>
      <c r="F114" s="2" t="str">
        <f t="shared" si="1"/>
        <v>AAVE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IFERROR(__xludf.DUMMYFUNCTION("""COMPUTED_VALUE"""),85.930625)</f>
        <v>85.930625</v>
      </c>
      <c r="C115" s="3">
        <f>IFERROR(__xludf.DUMMYFUNCTION("""COMPUTED_VALUE"""),1.3991275888879E7)</f>
        <v>13991275.89</v>
      </c>
      <c r="D115" s="3">
        <f t="shared" si="2"/>
        <v>258.154555</v>
      </c>
      <c r="E115" s="3">
        <f t="shared" si="3"/>
        <v>22183.38226</v>
      </c>
      <c r="F115" s="2" t="str">
        <f t="shared" si="1"/>
        <v>AAVE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IFERROR(__xludf.DUMMYFUNCTION("""COMPUTED_VALUE"""),88.496144)</f>
        <v>88.496144</v>
      </c>
      <c r="C116" s="3">
        <f>IFERROR(__xludf.DUMMYFUNCTION("""COMPUTED_VALUE"""),1.3992043840385E7)</f>
        <v>13992043.84</v>
      </c>
      <c r="D116" s="3">
        <f t="shared" si="2"/>
        <v>767.951506</v>
      </c>
      <c r="E116" s="3">
        <f t="shared" si="3"/>
        <v>67960.74706</v>
      </c>
      <c r="F116" s="2" t="str">
        <f t="shared" si="1"/>
        <v>AAVE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IFERROR(__xludf.DUMMYFUNCTION("""COMPUTED_VALUE"""),89.474443)</f>
        <v>89.474443</v>
      </c>
      <c r="C117" s="3">
        <f>IFERROR(__xludf.DUMMYFUNCTION("""COMPUTED_VALUE"""),1.3993549108061E7)</f>
        <v>13993549.11</v>
      </c>
      <c r="D117" s="3">
        <f t="shared" si="2"/>
        <v>1505.267676</v>
      </c>
      <c r="E117" s="3">
        <f t="shared" si="3"/>
        <v>134682.9869</v>
      </c>
      <c r="F117" s="2" t="str">
        <f t="shared" si="1"/>
        <v>AAVE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IFERROR(__xludf.DUMMYFUNCTION("""COMPUTED_VALUE"""),88.450553)</f>
        <v>88.450553</v>
      </c>
      <c r="C118" s="3">
        <f>IFERROR(__xludf.DUMMYFUNCTION("""COMPUTED_VALUE"""),1.3994097500391E7)</f>
        <v>13994097.5</v>
      </c>
      <c r="D118" s="3">
        <f t="shared" si="2"/>
        <v>548.39233</v>
      </c>
      <c r="E118" s="3">
        <f t="shared" si="3"/>
        <v>48505.60485</v>
      </c>
      <c r="F118" s="2" t="str">
        <f t="shared" si="1"/>
        <v>AAVE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IFERROR(__xludf.DUMMYFUNCTION("""COMPUTED_VALUE"""),93.201105)</f>
        <v>93.201105</v>
      </c>
      <c r="C119" s="3">
        <f>IFERROR(__xludf.DUMMYFUNCTION("""COMPUTED_VALUE"""),1.3994333080523E7)</f>
        <v>13994333.08</v>
      </c>
      <c r="D119" s="3">
        <f t="shared" si="2"/>
        <v>235.580132</v>
      </c>
      <c r="E119" s="3">
        <f t="shared" si="3"/>
        <v>21956.32862</v>
      </c>
      <c r="F119" s="2" t="str">
        <f t="shared" si="1"/>
        <v>AAVE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IFERROR(__xludf.DUMMYFUNCTION("""COMPUTED_VALUE"""),82.65821)</f>
        <v>82.65821</v>
      </c>
      <c r="C120" s="3">
        <f>IFERROR(__xludf.DUMMYFUNCTION("""COMPUTED_VALUE"""),1.399522381859E7)</f>
        <v>13995223.82</v>
      </c>
      <c r="D120" s="3">
        <f t="shared" si="2"/>
        <v>890.738067</v>
      </c>
      <c r="E120" s="3">
        <f t="shared" si="3"/>
        <v>73626.8142</v>
      </c>
      <c r="F120" s="2" t="str">
        <f t="shared" si="1"/>
        <v>AAVE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IFERROR(__xludf.DUMMYFUNCTION("""COMPUTED_VALUE"""),82.117996)</f>
        <v>82.117996</v>
      </c>
      <c r="C121" s="3">
        <f>IFERROR(__xludf.DUMMYFUNCTION("""COMPUTED_VALUE"""),1.3995554568004E7)</f>
        <v>13995554.57</v>
      </c>
      <c r="D121" s="3">
        <f t="shared" si="2"/>
        <v>330.749414</v>
      </c>
      <c r="E121" s="3">
        <f t="shared" si="3"/>
        <v>27160.47906</v>
      </c>
      <c r="F121" s="2" t="str">
        <f t="shared" si="1"/>
        <v>AAVE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IFERROR(__xludf.DUMMYFUNCTION("""COMPUTED_VALUE"""),78.637305)</f>
        <v>78.637305</v>
      </c>
      <c r="C122" s="3">
        <f>IFERROR(__xludf.DUMMYFUNCTION("""COMPUTED_VALUE"""),1.399661249055E7)</f>
        <v>13996612.49</v>
      </c>
      <c r="D122" s="3">
        <f t="shared" si="2"/>
        <v>1057.922546</v>
      </c>
      <c r="E122" s="3">
        <f t="shared" si="3"/>
        <v>83192.17792</v>
      </c>
      <c r="F122" s="2" t="str">
        <f t="shared" si="1"/>
        <v>AAVE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IFERROR(__xludf.DUMMYFUNCTION("""COMPUTED_VALUE"""),85.777637)</f>
        <v>85.777637</v>
      </c>
      <c r="C123" s="3">
        <f>IFERROR(__xludf.DUMMYFUNCTION("""COMPUTED_VALUE"""),1.3997306065618E7)</f>
        <v>13997306.07</v>
      </c>
      <c r="D123" s="3">
        <f t="shared" si="2"/>
        <v>693.575068</v>
      </c>
      <c r="E123" s="3">
        <f t="shared" si="3"/>
        <v>59493.23042</v>
      </c>
      <c r="F123" s="2" t="str">
        <f t="shared" si="1"/>
        <v>AAVE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IFERROR(__xludf.DUMMYFUNCTION("""COMPUTED_VALUE"""),84.36241)</f>
        <v>84.36241</v>
      </c>
      <c r="C124" s="3">
        <f>IFERROR(__xludf.DUMMYFUNCTION("""COMPUTED_VALUE"""),1.4008350125591E7)</f>
        <v>14008350.13</v>
      </c>
      <c r="D124" s="3">
        <f t="shared" si="2"/>
        <v>11044.05997</v>
      </c>
      <c r="E124" s="3">
        <f t="shared" si="3"/>
        <v>931703.5155</v>
      </c>
      <c r="F124" s="2" t="str">
        <f t="shared" si="1"/>
        <v>AAVE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IFERROR(__xludf.DUMMYFUNCTION("""COMPUTED_VALUE"""),84.810393)</f>
        <v>84.810393</v>
      </c>
      <c r="C125" s="3">
        <f>IFERROR(__xludf.DUMMYFUNCTION("""COMPUTED_VALUE"""),1.4009676410361E7)</f>
        <v>14009676.41</v>
      </c>
      <c r="D125" s="3">
        <f t="shared" si="2"/>
        <v>1326.28477</v>
      </c>
      <c r="E125" s="3">
        <f t="shared" si="3"/>
        <v>112482.7326</v>
      </c>
      <c r="F125" s="2" t="str">
        <f t="shared" si="1"/>
        <v>AAVE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IFERROR(__xludf.DUMMYFUNCTION("""COMPUTED_VALUE"""),86.508004)</f>
        <v>86.508004</v>
      </c>
      <c r="C126" s="3">
        <f>IFERROR(__xludf.DUMMYFUNCTION("""COMPUTED_VALUE"""),1.4010194682942E7)</f>
        <v>14010194.68</v>
      </c>
      <c r="D126" s="3">
        <f t="shared" si="2"/>
        <v>518.272581</v>
      </c>
      <c r="E126" s="3">
        <f t="shared" si="3"/>
        <v>44834.72651</v>
      </c>
      <c r="F126" s="2" t="str">
        <f t="shared" si="1"/>
        <v>AAVE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IFERROR(__xludf.DUMMYFUNCTION("""COMPUTED_VALUE"""),88.377727)</f>
        <v>88.377727</v>
      </c>
      <c r="C127" s="3">
        <f>IFERROR(__xludf.DUMMYFUNCTION("""COMPUTED_VALUE"""),1.4010465987198E7)</f>
        <v>14010465.99</v>
      </c>
      <c r="D127" s="3">
        <f t="shared" si="2"/>
        <v>271.304256</v>
      </c>
      <c r="E127" s="3">
        <f t="shared" si="3"/>
        <v>23977.25347</v>
      </c>
      <c r="F127" s="2" t="str">
        <f t="shared" si="1"/>
        <v>AAVE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IFERROR(__xludf.DUMMYFUNCTION("""COMPUTED_VALUE"""),87.20147)</f>
        <v>87.20147</v>
      </c>
      <c r="C128" s="3">
        <f>IFERROR(__xludf.DUMMYFUNCTION("""COMPUTED_VALUE"""),1.4010940851499E7)</f>
        <v>14010940.85</v>
      </c>
      <c r="D128" s="3">
        <f t="shared" si="2"/>
        <v>474.864301</v>
      </c>
      <c r="E128" s="3">
        <f t="shared" si="3"/>
        <v>41408.8651</v>
      </c>
      <c r="F128" s="2" t="str">
        <f t="shared" si="1"/>
        <v>AAVE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IFERROR(__xludf.DUMMYFUNCTION("""COMPUTED_VALUE"""),88.869482)</f>
        <v>88.869482</v>
      </c>
      <c r="C129" s="3">
        <f>IFERROR(__xludf.DUMMYFUNCTION("""COMPUTED_VALUE"""),1.4011236322944E7)</f>
        <v>14011236.32</v>
      </c>
      <c r="D129" s="3">
        <f t="shared" si="2"/>
        <v>295.471445</v>
      </c>
      <c r="E129" s="3">
        <f t="shared" si="3"/>
        <v>26258.39426</v>
      </c>
      <c r="F129" s="2" t="str">
        <f t="shared" si="1"/>
        <v>AAVE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IFERROR(__xludf.DUMMYFUNCTION("""COMPUTED_VALUE"""),91.21155)</f>
        <v>91.21155</v>
      </c>
      <c r="C130" s="3">
        <f>IFERROR(__xludf.DUMMYFUNCTION("""COMPUTED_VALUE"""),1.4011547569346E7)</f>
        <v>14011547.57</v>
      </c>
      <c r="D130" s="3">
        <f t="shared" si="2"/>
        <v>311.246402</v>
      </c>
      <c r="E130" s="3">
        <f t="shared" si="3"/>
        <v>28389.26676</v>
      </c>
      <c r="F130" s="2" t="str">
        <f t="shared" si="1"/>
        <v>AAVE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IFERROR(__xludf.DUMMYFUNCTION("""COMPUTED_VALUE"""),83.568943)</f>
        <v>83.568943</v>
      </c>
      <c r="C131" s="3">
        <f>IFERROR(__xludf.DUMMYFUNCTION("""COMPUTED_VALUE"""),1.4012257325205E7)</f>
        <v>14012257.33</v>
      </c>
      <c r="D131" s="3">
        <f t="shared" si="2"/>
        <v>709.755859</v>
      </c>
      <c r="E131" s="3">
        <f t="shared" si="3"/>
        <v>59313.54692</v>
      </c>
      <c r="F131" s="2" t="str">
        <f t="shared" si="1"/>
        <v>AAVE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IFERROR(__xludf.DUMMYFUNCTION("""COMPUTED_VALUE"""),87.532969)</f>
        <v>87.532969</v>
      </c>
      <c r="C132" s="3">
        <f>IFERROR(__xludf.DUMMYFUNCTION("""COMPUTED_VALUE"""),1.4012398309206E7)</f>
        <v>14012398.31</v>
      </c>
      <c r="D132" s="3">
        <f t="shared" si="2"/>
        <v>140.984001</v>
      </c>
      <c r="E132" s="3">
        <f t="shared" si="3"/>
        <v>12340.74819</v>
      </c>
      <c r="F132" s="2" t="str">
        <f t="shared" si="1"/>
        <v>AAVE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IFERROR(__xludf.DUMMYFUNCTION("""COMPUTED_VALUE"""),88.323727)</f>
        <v>88.323727</v>
      </c>
      <c r="C133" s="3">
        <f>IFERROR(__xludf.DUMMYFUNCTION("""COMPUTED_VALUE"""),1.4089119601841E7)</f>
        <v>14089119.6</v>
      </c>
      <c r="D133" s="3">
        <f t="shared" si="2"/>
        <v>76721.29264</v>
      </c>
      <c r="E133" s="3">
        <f t="shared" si="3"/>
        <v>6776310.506</v>
      </c>
      <c r="F133" s="2" t="str">
        <f t="shared" si="1"/>
        <v>AAVE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IFERROR(__xludf.DUMMYFUNCTION("""COMPUTED_VALUE"""),91.183871)</f>
        <v>91.183871</v>
      </c>
      <c r="C134" s="3">
        <f>IFERROR(__xludf.DUMMYFUNCTION("""COMPUTED_VALUE"""),1.4089364905908E7)</f>
        <v>14089364.91</v>
      </c>
      <c r="D134" s="3">
        <f t="shared" si="2"/>
        <v>245.304067</v>
      </c>
      <c r="E134" s="3">
        <f t="shared" si="3"/>
        <v>22367.7744</v>
      </c>
      <c r="F134" s="2" t="str">
        <f t="shared" si="1"/>
        <v>AAVE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IFERROR(__xludf.DUMMYFUNCTION("""COMPUTED_VALUE"""),92.74011)</f>
        <v>92.74011</v>
      </c>
      <c r="C135" s="3">
        <f>IFERROR(__xludf.DUMMYFUNCTION("""COMPUTED_VALUE"""),1.4090787575286E7)</f>
        <v>14090787.58</v>
      </c>
      <c r="D135" s="3">
        <f t="shared" si="2"/>
        <v>1422.669378</v>
      </c>
      <c r="E135" s="3">
        <f t="shared" si="3"/>
        <v>131938.5146</v>
      </c>
      <c r="F135" s="2" t="str">
        <f t="shared" si="1"/>
        <v>AAVE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IFERROR(__xludf.DUMMYFUNCTION("""COMPUTED_VALUE"""),91.542967)</f>
        <v>91.542967</v>
      </c>
      <c r="C136" s="3">
        <f>IFERROR(__xludf.DUMMYFUNCTION("""COMPUTED_VALUE"""),1.4092329949595E7)</f>
        <v>14092329.95</v>
      </c>
      <c r="D136" s="3">
        <f t="shared" si="2"/>
        <v>1542.374309</v>
      </c>
      <c r="E136" s="3">
        <f t="shared" si="3"/>
        <v>141193.5205</v>
      </c>
      <c r="F136" s="2" t="str">
        <f t="shared" si="1"/>
        <v>AAVE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IFERROR(__xludf.DUMMYFUNCTION("""COMPUTED_VALUE"""),91.050483)</f>
        <v>91.050483</v>
      </c>
      <c r="C137" s="3">
        <f>IFERROR(__xludf.DUMMYFUNCTION("""COMPUTED_VALUE"""),1.409286526279E7)</f>
        <v>14092865.26</v>
      </c>
      <c r="D137" s="3">
        <f t="shared" si="2"/>
        <v>535.313195</v>
      </c>
      <c r="E137" s="3">
        <f t="shared" si="3"/>
        <v>48740.52496</v>
      </c>
      <c r="F137" s="2" t="str">
        <f t="shared" si="1"/>
        <v>AAVE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IFERROR(__xludf.DUMMYFUNCTION("""COMPUTED_VALUE"""),82.947613)</f>
        <v>82.947613</v>
      </c>
      <c r="C138" s="3">
        <f>IFERROR(__xludf.DUMMYFUNCTION("""COMPUTED_VALUE"""),1.4093158599071E7)</f>
        <v>14093158.6</v>
      </c>
      <c r="D138" s="3">
        <f t="shared" si="2"/>
        <v>293.336281</v>
      </c>
      <c r="E138" s="3">
        <f t="shared" si="3"/>
        <v>24331.54432</v>
      </c>
      <c r="F138" s="2" t="str">
        <f t="shared" si="1"/>
        <v>AAVE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IFERROR(__xludf.DUMMYFUNCTION("""COMPUTED_VALUE"""),83.681054)</f>
        <v>83.681054</v>
      </c>
      <c r="C139" s="3">
        <f>IFERROR(__xludf.DUMMYFUNCTION("""COMPUTED_VALUE"""),1.4097001994444E7)</f>
        <v>14097001.99</v>
      </c>
      <c r="D139" s="3">
        <f t="shared" si="2"/>
        <v>3843.395373</v>
      </c>
      <c r="E139" s="3">
        <f t="shared" si="3"/>
        <v>321619.3758</v>
      </c>
      <c r="F139" s="2" t="str">
        <f t="shared" si="1"/>
        <v>AAVE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IFERROR(__xludf.DUMMYFUNCTION("""COMPUTED_VALUE"""),78.543687)</f>
        <v>78.543687</v>
      </c>
      <c r="C140" s="3">
        <f>IFERROR(__xludf.DUMMYFUNCTION("""COMPUTED_VALUE"""),1.4097248130859E7)</f>
        <v>14097248.13</v>
      </c>
      <c r="D140" s="3">
        <f t="shared" si="2"/>
        <v>246.136415</v>
      </c>
      <c r="E140" s="3">
        <f t="shared" si="3"/>
        <v>19332.46154</v>
      </c>
      <c r="F140" s="2" t="str">
        <f t="shared" si="1"/>
        <v>AAVE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IFERROR(__xludf.DUMMYFUNCTION("""COMPUTED_VALUE"""),79.371301)</f>
        <v>79.371301</v>
      </c>
      <c r="C141" s="3">
        <f>IFERROR(__xludf.DUMMYFUNCTION("""COMPUTED_VALUE"""),1.4098083060079E7)</f>
        <v>14098083.06</v>
      </c>
      <c r="D141" s="3">
        <f t="shared" si="2"/>
        <v>834.92922</v>
      </c>
      <c r="E141" s="3">
        <f t="shared" si="3"/>
        <v>66269.41843</v>
      </c>
      <c r="F141" s="2" t="str">
        <f t="shared" si="1"/>
        <v>AAVE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IFERROR(__xludf.DUMMYFUNCTION("""COMPUTED_VALUE"""),81.403371)</f>
        <v>81.403371</v>
      </c>
      <c r="C142" s="3">
        <f>IFERROR(__xludf.DUMMYFUNCTION("""COMPUTED_VALUE"""),1.4098372136706E7)</f>
        <v>14098372.14</v>
      </c>
      <c r="D142" s="3">
        <f t="shared" si="2"/>
        <v>289.076627</v>
      </c>
      <c r="E142" s="3">
        <f t="shared" si="3"/>
        <v>23531.81192</v>
      </c>
      <c r="F142" s="2" t="str">
        <f t="shared" si="1"/>
        <v>AAVE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IFERROR(__xludf.DUMMYFUNCTION("""COMPUTED_VALUE"""),73.060545)</f>
        <v>73.060545</v>
      </c>
      <c r="C143" s="3">
        <f>IFERROR(__xludf.DUMMYFUNCTION("""COMPUTED_VALUE"""),1.4098891982367E7)</f>
        <v>14098891.98</v>
      </c>
      <c r="D143" s="3">
        <f t="shared" si="2"/>
        <v>519.845661</v>
      </c>
      <c r="E143" s="3">
        <f t="shared" si="3"/>
        <v>37980.20731</v>
      </c>
      <c r="F143" s="2" t="str">
        <f t="shared" si="1"/>
        <v>AAVE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IFERROR(__xludf.DUMMYFUNCTION("""COMPUTED_VALUE"""),76.389237)</f>
        <v>76.389237</v>
      </c>
      <c r="C144" s="3">
        <f>IFERROR(__xludf.DUMMYFUNCTION("""COMPUTED_VALUE"""),1.4099232584558E7)</f>
        <v>14099232.58</v>
      </c>
      <c r="D144" s="3">
        <f t="shared" si="2"/>
        <v>340.602191</v>
      </c>
      <c r="E144" s="3">
        <f t="shared" si="3"/>
        <v>26018.34149</v>
      </c>
      <c r="F144" s="2" t="str">
        <f t="shared" si="1"/>
        <v>AAVE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IFERROR(__xludf.DUMMYFUNCTION("""COMPUTED_VALUE"""),74.035436)</f>
        <v>74.035436</v>
      </c>
      <c r="C145" s="3">
        <f>IFERROR(__xludf.DUMMYFUNCTION("""COMPUTED_VALUE"""),1.4099539848541E7)</f>
        <v>14099539.85</v>
      </c>
      <c r="D145" s="3">
        <f t="shared" si="2"/>
        <v>307.263983</v>
      </c>
      <c r="E145" s="3">
        <f t="shared" si="3"/>
        <v>22748.42295</v>
      </c>
      <c r="F145" s="2" t="str">
        <f t="shared" si="1"/>
        <v>AAVE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IFERROR(__xludf.DUMMYFUNCTION("""COMPUTED_VALUE"""),71.602362)</f>
        <v>71.602362</v>
      </c>
      <c r="C146" s="3">
        <f>IFERROR(__xludf.DUMMYFUNCTION("""COMPUTED_VALUE"""),1.4100474400879E7)</f>
        <v>14100474.4</v>
      </c>
      <c r="D146" s="2">
        <f t="shared" ref="D146:D1000" si="4">IF(ISBLANK(A146),"",C146-C145)</f>
        <v>934.552338</v>
      </c>
      <c r="E146" s="2">
        <f t="shared" ref="E146:E1000" si="5">IF(ISBLANK(A146),"",B146*D146)</f>
        <v>66916.15481</v>
      </c>
      <c r="F146" s="2" t="str">
        <f t="shared" si="1"/>
        <v>AAVE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IFERROR(__xludf.DUMMYFUNCTION("""COMPUTED_VALUE"""),76.704591)</f>
        <v>76.704591</v>
      </c>
      <c r="C147" s="3">
        <f>IFERROR(__xludf.DUMMYFUNCTION("""COMPUTED_VALUE"""),1.4100880536948E7)</f>
        <v>14100880.54</v>
      </c>
      <c r="D147" s="2">
        <f t="shared" si="4"/>
        <v>406.136069</v>
      </c>
      <c r="E147" s="2">
        <f t="shared" si="5"/>
        <v>31152.50106</v>
      </c>
      <c r="F147" s="2" t="str">
        <f t="shared" si="1"/>
        <v>AAVE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IFERROR(__xludf.DUMMYFUNCTION("""COMPUTED_VALUE"""),77.062006)</f>
        <v>77.062006</v>
      </c>
      <c r="C148" s="3">
        <f>IFERROR(__xludf.DUMMYFUNCTION("""COMPUTED_VALUE"""),1.4101022454604E7)</f>
        <v>14101022.45</v>
      </c>
      <c r="D148" s="2">
        <f t="shared" si="4"/>
        <v>141.917656</v>
      </c>
      <c r="E148" s="2">
        <f t="shared" si="5"/>
        <v>10936.45926</v>
      </c>
      <c r="F148" s="2" t="str">
        <f t="shared" si="1"/>
        <v>AAVE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IFERROR(__xludf.DUMMYFUNCTION("""COMPUTED_VALUE"""),74.962434)</f>
        <v>74.962434</v>
      </c>
      <c r="C149" s="3">
        <f>IFERROR(__xludf.DUMMYFUNCTION("""COMPUTED_VALUE"""),1.4101300353004E7)</f>
        <v>14101300.35</v>
      </c>
      <c r="D149" s="2">
        <f t="shared" si="4"/>
        <v>277.8984</v>
      </c>
      <c r="E149" s="2">
        <f t="shared" si="5"/>
        <v>20831.94047</v>
      </c>
      <c r="F149" s="2" t="str">
        <f t="shared" si="1"/>
        <v>AAVE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2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2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2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2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2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2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2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2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2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2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2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2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2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2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2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2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2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2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2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2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2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2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2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2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2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2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2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2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2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2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2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2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2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2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2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2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2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2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2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2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2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2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2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2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2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2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2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2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2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2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2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2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2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2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2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2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2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2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2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2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2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2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2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2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2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2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2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2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2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2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2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2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2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2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2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2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2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2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2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2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2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2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2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2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2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2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2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2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2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2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2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2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2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2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2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2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2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2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2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2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2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2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2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2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2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2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2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2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2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2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2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2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2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2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2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2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2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2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2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2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2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2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2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2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2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2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2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2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2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2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2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2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2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2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2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2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2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2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2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2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2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2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2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2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2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2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2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2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2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2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2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2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2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2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2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2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2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2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2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2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2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2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2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2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2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2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2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2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2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2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2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2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2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2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2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2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2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2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2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2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2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2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2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2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2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2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2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2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2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2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2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2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2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2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2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2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2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2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2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2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2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2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2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2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2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2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2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2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2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2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2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2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2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2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2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2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2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2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2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2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2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2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2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2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2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2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2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2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2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2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2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2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2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2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2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2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2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2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2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2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2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2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2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2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2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2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2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2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2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2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2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2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2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2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2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2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2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2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2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2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2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2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2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2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2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2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2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2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2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2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2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2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2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2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2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2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2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2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2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2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2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2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2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2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2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2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2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2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2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2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2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2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2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2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2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2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2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2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2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2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2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2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2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2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2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2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2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2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2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2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2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2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2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2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2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2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2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2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2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2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2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2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2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2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2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2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2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2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2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2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2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2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2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2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2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2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2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2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2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2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2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2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2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2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2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2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2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2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2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2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2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2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2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2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2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2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2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2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2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2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2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2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2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2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2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2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2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2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2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2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2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2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2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2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2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2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2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2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2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2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2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2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2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2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2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2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2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2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2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2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2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2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2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2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2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2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2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2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2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2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2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2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2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2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2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2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2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2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2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2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2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2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2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2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2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2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2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2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2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2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2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2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2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2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2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2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2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2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2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2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2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2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2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2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2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2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2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2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2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2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2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2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2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2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2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2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2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2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2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2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2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2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2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2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2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2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2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2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2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2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2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2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2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2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2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2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2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2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2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2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2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2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2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2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2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2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2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2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2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2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2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2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2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2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2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2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2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2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2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2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2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2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2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2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2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2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2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2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2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2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2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2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2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2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2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2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2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2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2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2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2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2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2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2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2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2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2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2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2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2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2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2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2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2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2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2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2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2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2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2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2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2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2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2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2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2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2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2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2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2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2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2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2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2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2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2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2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2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2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2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2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2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2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2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2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2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2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2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2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2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2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2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2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2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2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2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2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2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2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2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2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2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2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2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2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2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2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2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2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2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2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2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2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2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2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2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2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2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2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2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2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2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2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2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2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2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2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2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2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2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2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2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2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2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2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2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2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2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2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2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2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2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2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2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2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2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2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2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2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2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2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2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2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2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2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2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2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2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2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2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2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2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2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2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2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2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2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2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2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2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2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2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2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2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2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2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2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2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2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2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2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2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2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2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2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2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2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2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2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2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2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2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2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2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2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2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2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2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2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2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2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2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2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2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2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2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2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2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2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2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2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2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2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2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2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2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2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2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2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2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2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2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2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2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2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2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2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2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2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2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2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2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2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2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2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2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2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2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2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2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2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2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2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2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2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2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2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2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2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2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2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2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2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2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2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2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2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2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2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2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2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2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2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2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2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2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2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2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2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2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2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2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2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2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2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2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2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2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2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2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2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2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2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2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2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2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2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2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2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2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2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2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2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2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2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2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2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2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2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2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2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2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2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2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2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2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2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2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2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2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2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2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2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2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2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2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2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2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2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2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2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2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2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2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2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2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2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2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2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2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2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2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2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2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2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2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2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2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2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2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2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2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2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2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2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2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2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2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2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2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2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2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2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2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2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2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2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2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2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2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2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2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2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2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2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2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2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2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2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2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2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2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2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2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2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2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2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2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2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2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2" t="str">
        <f t="shared" si="1"/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tr">
        <f>IFERROR(__xludf.DUMMYFUNCTION("QUERY({crv_price!A2:B1000,ARRAYFORMULA(IFERROR(VLOOKUP(crv_price!A2:A1000,crv_supply!$A:B,2,0),""""))},""SELECT *"",0)"),"2022-05-01T00:00:00Z")</f>
        <v>2022-05-01T00:00:00Z</v>
      </c>
      <c r="B2" s="3">
        <f>IFERROR(__xludf.DUMMYFUNCTION("""COMPUTED_VALUE"""),1.994207)</f>
        <v>1.994207</v>
      </c>
      <c r="C2" s="3">
        <f>IFERROR(__xludf.DUMMYFUNCTION("""COMPUTED_VALUE"""),3.91958099393145E8)</f>
        <v>391958099.4</v>
      </c>
      <c r="D2" s="1">
        <v>0.0</v>
      </c>
      <c r="E2" s="1">
        <v>0.0</v>
      </c>
      <c r="F2" s="2" t="str">
        <f t="shared" ref="F2:F1000" si="1">IF(ISBLANK(A2),"","CRV")</f>
        <v>CRV</v>
      </c>
    </row>
    <row r="3">
      <c r="A3" s="3" t="str">
        <f>IFERROR(__xludf.DUMMYFUNCTION("""COMPUTED_VALUE"""),"2022-05-02T00:00:00Z")</f>
        <v>2022-05-02T00:00:00Z</v>
      </c>
      <c r="B3" s="3">
        <f>IFERROR(__xludf.DUMMYFUNCTION("""COMPUTED_VALUE"""),2.066509)</f>
        <v>2.066509</v>
      </c>
      <c r="C3" s="3">
        <f>IFERROR(__xludf.DUMMYFUNCTION("""COMPUTED_VALUE"""),3.91958099393145E8)</f>
        <v>391958099.4</v>
      </c>
      <c r="D3" s="3">
        <f t="shared" ref="D3:D145" si="2">C3-C2</f>
        <v>0</v>
      </c>
      <c r="E3" s="3">
        <f t="shared" ref="E3:E145" si="3">B3*D3</f>
        <v>0</v>
      </c>
      <c r="F3" s="2" t="str">
        <f t="shared" si="1"/>
        <v>CRV</v>
      </c>
    </row>
    <row r="4">
      <c r="A4" s="3" t="str">
        <f>IFERROR(__xludf.DUMMYFUNCTION("""COMPUTED_VALUE"""),"2022-05-03T00:00:00Z")</f>
        <v>2022-05-03T00:00:00Z</v>
      </c>
      <c r="B4" s="3">
        <f>IFERROR(__xludf.DUMMYFUNCTION("""COMPUTED_VALUE"""),2.100397)</f>
        <v>2.100397</v>
      </c>
      <c r="C4" s="3">
        <f>IFERROR(__xludf.DUMMYFUNCTION("""COMPUTED_VALUE"""),3.91958099393145E8)</f>
        <v>391958099.4</v>
      </c>
      <c r="D4" s="3">
        <f t="shared" si="2"/>
        <v>0</v>
      </c>
      <c r="E4" s="3">
        <f t="shared" si="3"/>
        <v>0</v>
      </c>
      <c r="F4" s="2" t="str">
        <f t="shared" si="1"/>
        <v>CRV</v>
      </c>
    </row>
    <row r="5">
      <c r="A5" s="3" t="str">
        <f>IFERROR(__xludf.DUMMYFUNCTION("""COMPUTED_VALUE"""),"2022-05-04T00:00:00Z")</f>
        <v>2022-05-04T00:00:00Z</v>
      </c>
      <c r="B5" s="3">
        <f>IFERROR(__xludf.DUMMYFUNCTION("""COMPUTED_VALUE"""),2.15616)</f>
        <v>2.15616</v>
      </c>
      <c r="C5" s="3">
        <f>IFERROR(__xludf.DUMMYFUNCTION("""COMPUTED_VALUE"""),3.91958099393145E8)</f>
        <v>391958099.4</v>
      </c>
      <c r="D5" s="3">
        <f t="shared" si="2"/>
        <v>0</v>
      </c>
      <c r="E5" s="3">
        <f t="shared" si="3"/>
        <v>0</v>
      </c>
      <c r="F5" s="2" t="str">
        <f t="shared" si="1"/>
        <v>CRV</v>
      </c>
    </row>
    <row r="6">
      <c r="A6" s="3" t="str">
        <f>IFERROR(__xludf.DUMMYFUNCTION("""COMPUTED_VALUE"""),"2022-05-05T00:00:00Z")</f>
        <v>2022-05-05T00:00:00Z</v>
      </c>
      <c r="B6" s="3">
        <f>IFERROR(__xludf.DUMMYFUNCTION("""COMPUTED_VALUE"""),2.595929)</f>
        <v>2.595929</v>
      </c>
      <c r="C6" s="3">
        <f>IFERROR(__xludf.DUMMYFUNCTION("""COMPUTED_VALUE"""),3.91958099393145E8)</f>
        <v>391958099.4</v>
      </c>
      <c r="D6" s="3">
        <f t="shared" si="2"/>
        <v>0</v>
      </c>
      <c r="E6" s="3">
        <f t="shared" si="3"/>
        <v>0</v>
      </c>
      <c r="F6" s="2" t="str">
        <f t="shared" si="1"/>
        <v>CRV</v>
      </c>
    </row>
    <row r="7">
      <c r="A7" s="3" t="str">
        <f>IFERROR(__xludf.DUMMYFUNCTION("""COMPUTED_VALUE"""),"2022-05-06T00:00:00Z")</f>
        <v>2022-05-06T00:00:00Z</v>
      </c>
      <c r="B7" s="3">
        <f>IFERROR(__xludf.DUMMYFUNCTION("""COMPUTED_VALUE"""),2.458675)</f>
        <v>2.458675</v>
      </c>
      <c r="C7" s="3">
        <f>IFERROR(__xludf.DUMMYFUNCTION("""COMPUTED_VALUE"""),3.91958099393145E8)</f>
        <v>391958099.4</v>
      </c>
      <c r="D7" s="3">
        <f t="shared" si="2"/>
        <v>0</v>
      </c>
      <c r="E7" s="3">
        <f t="shared" si="3"/>
        <v>0</v>
      </c>
      <c r="F7" s="2" t="str">
        <f t="shared" si="1"/>
        <v>CRV</v>
      </c>
    </row>
    <row r="8">
      <c r="A8" s="3" t="str">
        <f>IFERROR(__xludf.DUMMYFUNCTION("""COMPUTED_VALUE"""),"2022-05-07T00:00:00Z")</f>
        <v>2022-05-07T00:00:00Z</v>
      </c>
      <c r="B8" s="3">
        <f>IFERROR(__xludf.DUMMYFUNCTION("""COMPUTED_VALUE"""),2.29207)</f>
        <v>2.29207</v>
      </c>
      <c r="C8" s="3">
        <f>IFERROR(__xludf.DUMMYFUNCTION("""COMPUTED_VALUE"""),3.91958099393145E8)</f>
        <v>391958099.4</v>
      </c>
      <c r="D8" s="3">
        <f t="shared" si="2"/>
        <v>0</v>
      </c>
      <c r="E8" s="3">
        <f t="shared" si="3"/>
        <v>0</v>
      </c>
      <c r="F8" s="2" t="str">
        <f t="shared" si="1"/>
        <v>CRV</v>
      </c>
    </row>
    <row r="9">
      <c r="A9" s="3" t="str">
        <f>IFERROR(__xludf.DUMMYFUNCTION("""COMPUTED_VALUE"""),"2022-05-08T00:00:00Z")</f>
        <v>2022-05-08T00:00:00Z</v>
      </c>
      <c r="B9" s="3">
        <f>IFERROR(__xludf.DUMMYFUNCTION("""COMPUTED_VALUE"""),2.226843)</f>
        <v>2.226843</v>
      </c>
      <c r="C9" s="3">
        <f>IFERROR(__xludf.DUMMYFUNCTION("""COMPUTED_VALUE"""),3.91958099393145E8)</f>
        <v>391958099.4</v>
      </c>
      <c r="D9" s="3">
        <f t="shared" si="2"/>
        <v>0</v>
      </c>
      <c r="E9" s="3">
        <f t="shared" si="3"/>
        <v>0</v>
      </c>
      <c r="F9" s="2" t="str">
        <f t="shared" si="1"/>
        <v>CRV</v>
      </c>
    </row>
    <row r="10">
      <c r="A10" s="3" t="str">
        <f>IFERROR(__xludf.DUMMYFUNCTION("""COMPUTED_VALUE"""),"2022-05-09T00:00:00Z")</f>
        <v>2022-05-09T00:00:00Z</v>
      </c>
      <c r="B10" s="3">
        <f>IFERROR(__xludf.DUMMYFUNCTION("""COMPUTED_VALUE"""),2.34783)</f>
        <v>2.34783</v>
      </c>
      <c r="C10" s="3">
        <f>IFERROR(__xludf.DUMMYFUNCTION("""COMPUTED_VALUE"""),3.91958099393145E8)</f>
        <v>391958099.4</v>
      </c>
      <c r="D10" s="3">
        <f t="shared" si="2"/>
        <v>0</v>
      </c>
      <c r="E10" s="3">
        <f t="shared" si="3"/>
        <v>0</v>
      </c>
      <c r="F10" s="2" t="str">
        <f t="shared" si="1"/>
        <v>CRV</v>
      </c>
    </row>
    <row r="11">
      <c r="A11" s="3" t="str">
        <f>IFERROR(__xludf.DUMMYFUNCTION("""COMPUTED_VALUE"""),"2022-05-10T00:00:00Z")</f>
        <v>2022-05-10T00:00:00Z</v>
      </c>
      <c r="B11" s="3">
        <f>IFERROR(__xludf.DUMMYFUNCTION("""COMPUTED_VALUE"""),1.910542)</f>
        <v>1.910542</v>
      </c>
      <c r="C11" s="3">
        <f>IFERROR(__xludf.DUMMYFUNCTION("""COMPUTED_VALUE"""),3.91958099393145E8)</f>
        <v>391958099.4</v>
      </c>
      <c r="D11" s="3">
        <f t="shared" si="2"/>
        <v>0</v>
      </c>
      <c r="E11" s="3">
        <f t="shared" si="3"/>
        <v>0</v>
      </c>
      <c r="F11" s="2" t="str">
        <f t="shared" si="1"/>
        <v>CRV</v>
      </c>
    </row>
    <row r="12">
      <c r="A12" s="3" t="str">
        <f>IFERROR(__xludf.DUMMYFUNCTION("""COMPUTED_VALUE"""),"2022-05-11T00:00:00Z")</f>
        <v>2022-05-11T00:00:00Z</v>
      </c>
      <c r="B12" s="3">
        <f>IFERROR(__xludf.DUMMYFUNCTION("""COMPUTED_VALUE"""),1.974685)</f>
        <v>1.974685</v>
      </c>
      <c r="C12" s="3">
        <f>IFERROR(__xludf.DUMMYFUNCTION("""COMPUTED_VALUE"""),3.91958099393145E8)</f>
        <v>391958099.4</v>
      </c>
      <c r="D12" s="3">
        <f t="shared" si="2"/>
        <v>0</v>
      </c>
      <c r="E12" s="3">
        <f t="shared" si="3"/>
        <v>0</v>
      </c>
      <c r="F12" s="2" t="str">
        <f t="shared" si="1"/>
        <v>CRV</v>
      </c>
    </row>
    <row r="13">
      <c r="A13" s="3" t="str">
        <f>IFERROR(__xludf.DUMMYFUNCTION("""COMPUTED_VALUE"""),"2022-05-12T00:00:00Z")</f>
        <v>2022-05-12T00:00:00Z</v>
      </c>
      <c r="B13" s="3">
        <f>IFERROR(__xludf.DUMMYFUNCTION("""COMPUTED_VALUE"""),1.501801)</f>
        <v>1.501801</v>
      </c>
      <c r="C13" s="3">
        <f>IFERROR(__xludf.DUMMYFUNCTION("""COMPUTED_VALUE"""),3.91958099393145E8)</f>
        <v>391958099.4</v>
      </c>
      <c r="D13" s="3">
        <f t="shared" si="2"/>
        <v>0</v>
      </c>
      <c r="E13" s="3">
        <f t="shared" si="3"/>
        <v>0</v>
      </c>
      <c r="F13" s="2" t="str">
        <f t="shared" si="1"/>
        <v>CRV</v>
      </c>
    </row>
    <row r="14">
      <c r="A14" s="3" t="str">
        <f>IFERROR(__xludf.DUMMYFUNCTION("""COMPUTED_VALUE"""),"2022-05-13T00:00:00Z")</f>
        <v>2022-05-13T00:00:00Z</v>
      </c>
      <c r="B14" s="3">
        <f>IFERROR(__xludf.DUMMYFUNCTION("""COMPUTED_VALUE"""),1.304043)</f>
        <v>1.304043</v>
      </c>
      <c r="C14" s="3">
        <f>IFERROR(__xludf.DUMMYFUNCTION("""COMPUTED_VALUE"""),3.91958099393145E8)</f>
        <v>391958099.4</v>
      </c>
      <c r="D14" s="3">
        <f t="shared" si="2"/>
        <v>0</v>
      </c>
      <c r="E14" s="3">
        <f t="shared" si="3"/>
        <v>0</v>
      </c>
      <c r="F14" s="2" t="str">
        <f t="shared" si="1"/>
        <v>CRV</v>
      </c>
    </row>
    <row r="15">
      <c r="A15" s="3" t="str">
        <f>IFERROR(__xludf.DUMMYFUNCTION("""COMPUTED_VALUE"""),"2022-05-14T00:00:00Z")</f>
        <v>2022-05-14T00:00:00Z</v>
      </c>
      <c r="B15" s="3">
        <f>IFERROR(__xludf.DUMMYFUNCTION("""COMPUTED_VALUE"""),1.31615)</f>
        <v>1.31615</v>
      </c>
      <c r="C15" s="3">
        <f>IFERROR(__xludf.DUMMYFUNCTION("""COMPUTED_VALUE"""),3.91958099393145E8)</f>
        <v>391958099.4</v>
      </c>
      <c r="D15" s="3">
        <f t="shared" si="2"/>
        <v>0</v>
      </c>
      <c r="E15" s="3">
        <f t="shared" si="3"/>
        <v>0</v>
      </c>
      <c r="F15" s="2" t="str">
        <f t="shared" si="1"/>
        <v>CRV</v>
      </c>
    </row>
    <row r="16">
      <c r="A16" s="3" t="str">
        <f>IFERROR(__xludf.DUMMYFUNCTION("""COMPUTED_VALUE"""),"2022-05-15T00:00:00Z")</f>
        <v>2022-05-15T00:00:00Z</v>
      </c>
      <c r="B16" s="3">
        <f>IFERROR(__xludf.DUMMYFUNCTION("""COMPUTED_VALUE"""),1.414553)</f>
        <v>1.414553</v>
      </c>
      <c r="C16" s="3">
        <f>IFERROR(__xludf.DUMMYFUNCTION("""COMPUTED_VALUE"""),3.91958099393145E8)</f>
        <v>391958099.4</v>
      </c>
      <c r="D16" s="3">
        <f t="shared" si="2"/>
        <v>0</v>
      </c>
      <c r="E16" s="3">
        <f t="shared" si="3"/>
        <v>0</v>
      </c>
      <c r="F16" s="2" t="str">
        <f t="shared" si="1"/>
        <v>CRV</v>
      </c>
    </row>
    <row r="17">
      <c r="A17" s="3" t="str">
        <f>IFERROR(__xludf.DUMMYFUNCTION("""COMPUTED_VALUE"""),"2022-05-16T00:00:00Z")</f>
        <v>2022-05-16T00:00:00Z</v>
      </c>
      <c r="B17" s="3">
        <f>IFERROR(__xludf.DUMMYFUNCTION("""COMPUTED_VALUE"""),1.507382)</f>
        <v>1.507382</v>
      </c>
      <c r="C17" s="3">
        <f>IFERROR(__xludf.DUMMYFUNCTION("""COMPUTED_VALUE"""),3.91958099393145E8)</f>
        <v>391958099.4</v>
      </c>
      <c r="D17" s="3">
        <f t="shared" si="2"/>
        <v>0</v>
      </c>
      <c r="E17" s="3">
        <f t="shared" si="3"/>
        <v>0</v>
      </c>
      <c r="F17" s="2" t="str">
        <f t="shared" si="1"/>
        <v>CRV</v>
      </c>
    </row>
    <row r="18">
      <c r="A18" s="3" t="str">
        <f>IFERROR(__xludf.DUMMYFUNCTION("""COMPUTED_VALUE"""),"2022-05-17T00:00:00Z")</f>
        <v>2022-05-17T00:00:00Z</v>
      </c>
      <c r="B18" s="3">
        <f>IFERROR(__xludf.DUMMYFUNCTION("""COMPUTED_VALUE"""),1.362627)</f>
        <v>1.362627</v>
      </c>
      <c r="C18" s="3">
        <f>IFERROR(__xludf.DUMMYFUNCTION("""COMPUTED_VALUE"""),3.91958099393145E8)</f>
        <v>391958099.4</v>
      </c>
      <c r="D18" s="3">
        <f t="shared" si="2"/>
        <v>0</v>
      </c>
      <c r="E18" s="3">
        <f t="shared" si="3"/>
        <v>0</v>
      </c>
      <c r="F18" s="2" t="str">
        <f t="shared" si="1"/>
        <v>CRV</v>
      </c>
    </row>
    <row r="19">
      <c r="A19" s="3" t="str">
        <f>IFERROR(__xludf.DUMMYFUNCTION("""COMPUTED_VALUE"""),"2022-05-18T00:00:00Z")</f>
        <v>2022-05-18T00:00:00Z</v>
      </c>
      <c r="B19" s="3">
        <f>IFERROR(__xludf.DUMMYFUNCTION("""COMPUTED_VALUE"""),1.389919)</f>
        <v>1.389919</v>
      </c>
      <c r="C19" s="3">
        <f>IFERROR(__xludf.DUMMYFUNCTION("""COMPUTED_VALUE"""),3.91958099393145E8)</f>
        <v>391958099.4</v>
      </c>
      <c r="D19" s="3">
        <f t="shared" si="2"/>
        <v>0</v>
      </c>
      <c r="E19" s="3">
        <f t="shared" si="3"/>
        <v>0</v>
      </c>
      <c r="F19" s="2" t="str">
        <f t="shared" si="1"/>
        <v>CRV</v>
      </c>
    </row>
    <row r="20">
      <c r="A20" s="3" t="str">
        <f>IFERROR(__xludf.DUMMYFUNCTION("""COMPUTED_VALUE"""),"2022-05-19T00:00:00Z")</f>
        <v>2022-05-19T00:00:00Z</v>
      </c>
      <c r="B20" s="3">
        <f>IFERROR(__xludf.DUMMYFUNCTION("""COMPUTED_VALUE"""),1.228163)</f>
        <v>1.228163</v>
      </c>
      <c r="C20" s="3">
        <f>IFERROR(__xludf.DUMMYFUNCTION("""COMPUTED_VALUE"""),3.91958099393145E8)</f>
        <v>391958099.4</v>
      </c>
      <c r="D20" s="3">
        <f t="shared" si="2"/>
        <v>0</v>
      </c>
      <c r="E20" s="3">
        <f t="shared" si="3"/>
        <v>0</v>
      </c>
      <c r="F20" s="2" t="str">
        <f t="shared" si="1"/>
        <v>CRV</v>
      </c>
    </row>
    <row r="21">
      <c r="A21" s="3" t="str">
        <f>IFERROR(__xludf.DUMMYFUNCTION("""COMPUTED_VALUE"""),"2022-05-20T00:00:00Z")</f>
        <v>2022-05-20T00:00:00Z</v>
      </c>
      <c r="B21" s="3">
        <f>IFERROR(__xludf.DUMMYFUNCTION("""COMPUTED_VALUE"""),1.079349)</f>
        <v>1.079349</v>
      </c>
      <c r="C21" s="3">
        <f>IFERROR(__xludf.DUMMYFUNCTION("""COMPUTED_VALUE"""),3.91958099393145E8)</f>
        <v>391958099.4</v>
      </c>
      <c r="D21" s="3">
        <f t="shared" si="2"/>
        <v>0</v>
      </c>
      <c r="E21" s="3">
        <f t="shared" si="3"/>
        <v>0</v>
      </c>
      <c r="F21" s="2" t="str">
        <f t="shared" si="1"/>
        <v>CRV</v>
      </c>
    </row>
    <row r="22">
      <c r="A22" s="3" t="str">
        <f>IFERROR(__xludf.DUMMYFUNCTION("""COMPUTED_VALUE"""),"2022-05-21T00:00:00Z")</f>
        <v>2022-05-21T00:00:00Z</v>
      </c>
      <c r="B22" s="3">
        <f>IFERROR(__xludf.DUMMYFUNCTION("""COMPUTED_VALUE"""),1.127977)</f>
        <v>1.127977</v>
      </c>
      <c r="C22" s="3">
        <f>IFERROR(__xludf.DUMMYFUNCTION("""COMPUTED_VALUE"""),3.91958099393145E8)</f>
        <v>391958099.4</v>
      </c>
      <c r="D22" s="3">
        <f t="shared" si="2"/>
        <v>0</v>
      </c>
      <c r="E22" s="3">
        <f t="shared" si="3"/>
        <v>0</v>
      </c>
      <c r="F22" s="2" t="str">
        <f t="shared" si="1"/>
        <v>CRV</v>
      </c>
    </row>
    <row r="23">
      <c r="A23" s="3" t="str">
        <f>IFERROR(__xludf.DUMMYFUNCTION("""COMPUTED_VALUE"""),"2022-05-22T00:00:00Z")</f>
        <v>2022-05-22T00:00:00Z</v>
      </c>
      <c r="B23" s="3">
        <f>IFERROR(__xludf.DUMMYFUNCTION("""COMPUTED_VALUE"""),1.211265)</f>
        <v>1.211265</v>
      </c>
      <c r="C23" s="3">
        <f>IFERROR(__xludf.DUMMYFUNCTION("""COMPUTED_VALUE"""),3.91958099393145E8)</f>
        <v>391958099.4</v>
      </c>
      <c r="D23" s="3">
        <f t="shared" si="2"/>
        <v>0</v>
      </c>
      <c r="E23" s="3">
        <f t="shared" si="3"/>
        <v>0</v>
      </c>
      <c r="F23" s="2" t="str">
        <f t="shared" si="1"/>
        <v>CRV</v>
      </c>
    </row>
    <row r="24">
      <c r="A24" s="3" t="str">
        <f>IFERROR(__xludf.DUMMYFUNCTION("""COMPUTED_VALUE"""),"2022-05-23T00:00:00Z")</f>
        <v>2022-05-23T00:00:00Z</v>
      </c>
      <c r="B24" s="3">
        <f>IFERROR(__xludf.DUMMYFUNCTION("""COMPUTED_VALUE"""),1.272592)</f>
        <v>1.272592</v>
      </c>
      <c r="C24" s="3">
        <f>IFERROR(__xludf.DUMMYFUNCTION("""COMPUTED_VALUE"""),3.91958099393145E8)</f>
        <v>391958099.4</v>
      </c>
      <c r="D24" s="3">
        <f t="shared" si="2"/>
        <v>0</v>
      </c>
      <c r="E24" s="3">
        <f t="shared" si="3"/>
        <v>0</v>
      </c>
      <c r="F24" s="2" t="str">
        <f t="shared" si="1"/>
        <v>CRV</v>
      </c>
    </row>
    <row r="25">
      <c r="A25" s="3" t="str">
        <f>IFERROR(__xludf.DUMMYFUNCTION("""COMPUTED_VALUE"""),"2022-05-24T00:00:00Z")</f>
        <v>2022-05-24T00:00:00Z</v>
      </c>
      <c r="B25" s="3">
        <f>IFERROR(__xludf.DUMMYFUNCTION("""COMPUTED_VALUE"""),1.29893)</f>
        <v>1.29893</v>
      </c>
      <c r="C25" s="3">
        <f>IFERROR(__xludf.DUMMYFUNCTION("""COMPUTED_VALUE"""),3.91958099393145E8)</f>
        <v>391958099.4</v>
      </c>
      <c r="D25" s="3">
        <f t="shared" si="2"/>
        <v>0</v>
      </c>
      <c r="E25" s="3">
        <f t="shared" si="3"/>
        <v>0</v>
      </c>
      <c r="F25" s="2" t="str">
        <f t="shared" si="1"/>
        <v>CRV</v>
      </c>
    </row>
    <row r="26">
      <c r="A26" s="3" t="str">
        <f>IFERROR(__xludf.DUMMYFUNCTION("""COMPUTED_VALUE"""),"2022-05-25T00:00:00Z")</f>
        <v>2022-05-25T00:00:00Z</v>
      </c>
      <c r="B26" s="3">
        <f>IFERROR(__xludf.DUMMYFUNCTION("""COMPUTED_VALUE"""),1.255562)</f>
        <v>1.255562</v>
      </c>
      <c r="C26" s="3">
        <f>IFERROR(__xludf.DUMMYFUNCTION("""COMPUTED_VALUE"""),3.91958099393145E8)</f>
        <v>391958099.4</v>
      </c>
      <c r="D26" s="3">
        <f t="shared" si="2"/>
        <v>0</v>
      </c>
      <c r="E26" s="3">
        <f t="shared" si="3"/>
        <v>0</v>
      </c>
      <c r="F26" s="2" t="str">
        <f t="shared" si="1"/>
        <v>CRV</v>
      </c>
    </row>
    <row r="27">
      <c r="A27" s="3" t="str">
        <f>IFERROR(__xludf.DUMMYFUNCTION("""COMPUTED_VALUE"""),"2022-05-26T00:00:00Z")</f>
        <v>2022-05-26T00:00:00Z</v>
      </c>
      <c r="B27" s="3">
        <f>IFERROR(__xludf.DUMMYFUNCTION("""COMPUTED_VALUE"""),1.232968)</f>
        <v>1.232968</v>
      </c>
      <c r="C27" s="3">
        <f>IFERROR(__xludf.DUMMYFUNCTION("""COMPUTED_VALUE"""),3.91958099393145E8)</f>
        <v>391958099.4</v>
      </c>
      <c r="D27" s="3">
        <f t="shared" si="2"/>
        <v>0</v>
      </c>
      <c r="E27" s="3">
        <f t="shared" si="3"/>
        <v>0</v>
      </c>
      <c r="F27" s="2" t="str">
        <f t="shared" si="1"/>
        <v>CRV</v>
      </c>
    </row>
    <row r="28">
      <c r="A28" s="3" t="str">
        <f>IFERROR(__xludf.DUMMYFUNCTION("""COMPUTED_VALUE"""),"2022-05-27T00:00:00Z")</f>
        <v>2022-05-27T00:00:00Z</v>
      </c>
      <c r="B28" s="3">
        <f>IFERROR(__xludf.DUMMYFUNCTION("""COMPUTED_VALUE"""),1.205091)</f>
        <v>1.205091</v>
      </c>
      <c r="C28" s="3">
        <f>IFERROR(__xludf.DUMMYFUNCTION("""COMPUTED_VALUE"""),3.91958099393145E8)</f>
        <v>391958099.4</v>
      </c>
      <c r="D28" s="3">
        <f t="shared" si="2"/>
        <v>0</v>
      </c>
      <c r="E28" s="3">
        <f t="shared" si="3"/>
        <v>0</v>
      </c>
      <c r="F28" s="2" t="str">
        <f t="shared" si="1"/>
        <v>CRV</v>
      </c>
    </row>
    <row r="29">
      <c r="A29" s="3" t="str">
        <f>IFERROR(__xludf.DUMMYFUNCTION("""COMPUTED_VALUE"""),"2022-05-28T00:00:00Z")</f>
        <v>2022-05-28T00:00:00Z</v>
      </c>
      <c r="B29" s="3">
        <f>IFERROR(__xludf.DUMMYFUNCTION("""COMPUTED_VALUE"""),1.171713)</f>
        <v>1.171713</v>
      </c>
      <c r="C29" s="3">
        <f>IFERROR(__xludf.DUMMYFUNCTION("""COMPUTED_VALUE"""),3.91958099393145E8)</f>
        <v>391958099.4</v>
      </c>
      <c r="D29" s="3">
        <f t="shared" si="2"/>
        <v>0</v>
      </c>
      <c r="E29" s="3">
        <f t="shared" si="3"/>
        <v>0</v>
      </c>
      <c r="F29" s="2" t="str">
        <f t="shared" si="1"/>
        <v>CRV</v>
      </c>
    </row>
    <row r="30">
      <c r="A30" s="3" t="str">
        <f>IFERROR(__xludf.DUMMYFUNCTION("""COMPUTED_VALUE"""),"2022-05-29T00:00:00Z")</f>
        <v>2022-05-29T00:00:00Z</v>
      </c>
      <c r="B30" s="3">
        <f>IFERROR(__xludf.DUMMYFUNCTION("""COMPUTED_VALUE"""),1.218375)</f>
        <v>1.218375</v>
      </c>
      <c r="C30" s="3">
        <f>IFERROR(__xludf.DUMMYFUNCTION("""COMPUTED_VALUE"""),3.91958099393145E8)</f>
        <v>391958099.4</v>
      </c>
      <c r="D30" s="3">
        <f t="shared" si="2"/>
        <v>0</v>
      </c>
      <c r="E30" s="3">
        <f t="shared" si="3"/>
        <v>0</v>
      </c>
      <c r="F30" s="2" t="str">
        <f t="shared" si="1"/>
        <v>CRV</v>
      </c>
    </row>
    <row r="31">
      <c r="A31" s="3" t="str">
        <f>IFERROR(__xludf.DUMMYFUNCTION("""COMPUTED_VALUE"""),"2022-05-30T00:00:00Z")</f>
        <v>2022-05-30T00:00:00Z</v>
      </c>
      <c r="B31" s="3">
        <f>IFERROR(__xludf.DUMMYFUNCTION("""COMPUTED_VALUE"""),1.254631)</f>
        <v>1.254631</v>
      </c>
      <c r="C31" s="3">
        <f>IFERROR(__xludf.DUMMYFUNCTION("""COMPUTED_VALUE"""),3.91958099393145E8)</f>
        <v>391958099.4</v>
      </c>
      <c r="D31" s="3">
        <f t="shared" si="2"/>
        <v>0</v>
      </c>
      <c r="E31" s="3">
        <f t="shared" si="3"/>
        <v>0</v>
      </c>
      <c r="F31" s="2" t="str">
        <f t="shared" si="1"/>
        <v>CRV</v>
      </c>
    </row>
    <row r="32">
      <c r="A32" s="3" t="str">
        <f>IFERROR(__xludf.DUMMYFUNCTION("""COMPUTED_VALUE"""),"2022-05-31T00:00:00Z")</f>
        <v>2022-05-31T00:00:00Z</v>
      </c>
      <c r="B32" s="3">
        <f>IFERROR(__xludf.DUMMYFUNCTION("""COMPUTED_VALUE"""),1.386603)</f>
        <v>1.386603</v>
      </c>
      <c r="C32" s="3">
        <f>IFERROR(__xludf.DUMMYFUNCTION("""COMPUTED_VALUE"""),3.91958099393145E8)</f>
        <v>391958099.4</v>
      </c>
      <c r="D32" s="3">
        <f t="shared" si="2"/>
        <v>0</v>
      </c>
      <c r="E32" s="3">
        <f t="shared" si="3"/>
        <v>0</v>
      </c>
      <c r="F32" s="2" t="str">
        <f t="shared" si="1"/>
        <v>CRV</v>
      </c>
    </row>
    <row r="33">
      <c r="A33" s="3" t="str">
        <f>IFERROR(__xludf.DUMMYFUNCTION("""COMPUTED_VALUE"""),"2022-06-01T00:00:00Z")</f>
        <v>2022-06-01T00:00:00Z</v>
      </c>
      <c r="B33" s="3">
        <f>IFERROR(__xludf.DUMMYFUNCTION("""COMPUTED_VALUE"""),1.380196)</f>
        <v>1.380196</v>
      </c>
      <c r="C33" s="3">
        <f>IFERROR(__xludf.DUMMYFUNCTION("""COMPUTED_VALUE"""),3.91958099393145E8)</f>
        <v>391958099.4</v>
      </c>
      <c r="D33" s="3">
        <f t="shared" si="2"/>
        <v>0</v>
      </c>
      <c r="E33" s="3">
        <f t="shared" si="3"/>
        <v>0</v>
      </c>
      <c r="F33" s="2" t="str">
        <f t="shared" si="1"/>
        <v>CRV</v>
      </c>
    </row>
    <row r="34">
      <c r="A34" s="3" t="str">
        <f>IFERROR(__xludf.DUMMYFUNCTION("""COMPUTED_VALUE"""),"2022-06-02T00:00:00Z")</f>
        <v>2022-06-02T00:00:00Z</v>
      </c>
      <c r="B34" s="3">
        <f>IFERROR(__xludf.DUMMYFUNCTION("""COMPUTED_VALUE"""),1.266987)</f>
        <v>1.266987</v>
      </c>
      <c r="C34" s="3">
        <f>IFERROR(__xludf.DUMMYFUNCTION("""COMPUTED_VALUE"""),3.91958099393145E8)</f>
        <v>391958099.4</v>
      </c>
      <c r="D34" s="3">
        <f t="shared" si="2"/>
        <v>0</v>
      </c>
      <c r="E34" s="3">
        <f t="shared" si="3"/>
        <v>0</v>
      </c>
      <c r="F34" s="2" t="str">
        <f t="shared" si="1"/>
        <v>CRV</v>
      </c>
    </row>
    <row r="35">
      <c r="A35" s="3" t="str">
        <f>IFERROR(__xludf.DUMMYFUNCTION("""COMPUTED_VALUE"""),"2022-06-03T00:00:00Z")</f>
        <v>2022-06-03T00:00:00Z</v>
      </c>
      <c r="B35" s="3">
        <f>IFERROR(__xludf.DUMMYFUNCTION("""COMPUTED_VALUE"""),1.255532)</f>
        <v>1.255532</v>
      </c>
      <c r="C35" s="3">
        <f>IFERROR(__xludf.DUMMYFUNCTION("""COMPUTED_VALUE"""),3.91958099393145E8)</f>
        <v>391958099.4</v>
      </c>
      <c r="D35" s="3">
        <f t="shared" si="2"/>
        <v>0</v>
      </c>
      <c r="E35" s="3">
        <f t="shared" si="3"/>
        <v>0</v>
      </c>
      <c r="F35" s="2" t="str">
        <f t="shared" si="1"/>
        <v>CRV</v>
      </c>
    </row>
    <row r="36">
      <c r="A36" s="3" t="str">
        <f>IFERROR(__xludf.DUMMYFUNCTION("""COMPUTED_VALUE"""),"2022-06-04T00:00:00Z")</f>
        <v>2022-06-04T00:00:00Z</v>
      </c>
      <c r="B36" s="3">
        <f>IFERROR(__xludf.DUMMYFUNCTION("""COMPUTED_VALUE"""),1.171612)</f>
        <v>1.171612</v>
      </c>
      <c r="C36" s="3">
        <f>IFERROR(__xludf.DUMMYFUNCTION("""COMPUTED_VALUE"""),3.91958099393145E8)</f>
        <v>391958099.4</v>
      </c>
      <c r="D36" s="3">
        <f t="shared" si="2"/>
        <v>0</v>
      </c>
      <c r="E36" s="3">
        <f t="shared" si="3"/>
        <v>0</v>
      </c>
      <c r="F36" s="2" t="str">
        <f t="shared" si="1"/>
        <v>CRV</v>
      </c>
    </row>
    <row r="37">
      <c r="A37" s="3" t="str">
        <f>IFERROR(__xludf.DUMMYFUNCTION("""COMPUTED_VALUE"""),"2022-06-05T00:00:00Z")</f>
        <v>2022-06-05T00:00:00Z</v>
      </c>
      <c r="B37" s="3">
        <f>IFERROR(__xludf.DUMMYFUNCTION("""COMPUTED_VALUE"""),1.17858)</f>
        <v>1.17858</v>
      </c>
      <c r="C37" s="3">
        <f>IFERROR(__xludf.DUMMYFUNCTION("""COMPUTED_VALUE"""),3.91958099393145E8)</f>
        <v>391958099.4</v>
      </c>
      <c r="D37" s="3">
        <f t="shared" si="2"/>
        <v>0</v>
      </c>
      <c r="E37" s="3">
        <f t="shared" si="3"/>
        <v>0</v>
      </c>
      <c r="F37" s="2" t="str">
        <f t="shared" si="1"/>
        <v>CRV</v>
      </c>
    </row>
    <row r="38">
      <c r="A38" s="3" t="str">
        <f>IFERROR(__xludf.DUMMYFUNCTION("""COMPUTED_VALUE"""),"2022-06-06T00:00:00Z")</f>
        <v>2022-06-06T00:00:00Z</v>
      </c>
      <c r="B38" s="3">
        <f>IFERROR(__xludf.DUMMYFUNCTION("""COMPUTED_VALUE"""),1.210666)</f>
        <v>1.210666</v>
      </c>
      <c r="C38" s="3">
        <f>IFERROR(__xludf.DUMMYFUNCTION("""COMPUTED_VALUE"""),3.91958099393145E8)</f>
        <v>391958099.4</v>
      </c>
      <c r="D38" s="3">
        <f t="shared" si="2"/>
        <v>0</v>
      </c>
      <c r="E38" s="3">
        <f t="shared" si="3"/>
        <v>0</v>
      </c>
      <c r="F38" s="2" t="str">
        <f t="shared" si="1"/>
        <v>CRV</v>
      </c>
    </row>
    <row r="39">
      <c r="A39" s="3" t="str">
        <f>IFERROR(__xludf.DUMMYFUNCTION("""COMPUTED_VALUE"""),"2022-06-07T00:00:00Z")</f>
        <v>2022-06-07T00:00:00Z</v>
      </c>
      <c r="B39" s="3">
        <f>IFERROR(__xludf.DUMMYFUNCTION("""COMPUTED_VALUE"""),1.2859)</f>
        <v>1.2859</v>
      </c>
      <c r="C39" s="3">
        <f>IFERROR(__xludf.DUMMYFUNCTION("""COMPUTED_VALUE"""),3.91958099393145E8)</f>
        <v>391958099.4</v>
      </c>
      <c r="D39" s="3">
        <f t="shared" si="2"/>
        <v>0</v>
      </c>
      <c r="E39" s="3">
        <f t="shared" si="3"/>
        <v>0</v>
      </c>
      <c r="F39" s="2" t="str">
        <f t="shared" si="1"/>
        <v>CRV</v>
      </c>
    </row>
    <row r="40">
      <c r="A40" s="3" t="str">
        <f>IFERROR(__xludf.DUMMYFUNCTION("""COMPUTED_VALUE"""),"2022-06-08T00:00:00Z")</f>
        <v>2022-06-08T00:00:00Z</v>
      </c>
      <c r="B40" s="3">
        <f>IFERROR(__xludf.DUMMYFUNCTION("""COMPUTED_VALUE"""),1.187618)</f>
        <v>1.187618</v>
      </c>
      <c r="C40" s="3">
        <f>IFERROR(__xludf.DUMMYFUNCTION("""COMPUTED_VALUE"""),3.91958099393145E8)</f>
        <v>391958099.4</v>
      </c>
      <c r="D40" s="3">
        <f t="shared" si="2"/>
        <v>0</v>
      </c>
      <c r="E40" s="3">
        <f t="shared" si="3"/>
        <v>0</v>
      </c>
      <c r="F40" s="2" t="str">
        <f t="shared" si="1"/>
        <v>CRV</v>
      </c>
    </row>
    <row r="41">
      <c r="A41" s="3" t="str">
        <f>IFERROR(__xludf.DUMMYFUNCTION("""COMPUTED_VALUE"""),"2022-06-09T00:00:00Z")</f>
        <v>2022-06-09T00:00:00Z</v>
      </c>
      <c r="B41" s="3">
        <f>IFERROR(__xludf.DUMMYFUNCTION("""COMPUTED_VALUE"""),1.158723)</f>
        <v>1.158723</v>
      </c>
      <c r="C41" s="3">
        <f>IFERROR(__xludf.DUMMYFUNCTION("""COMPUTED_VALUE"""),3.91958099393145E8)</f>
        <v>391958099.4</v>
      </c>
      <c r="D41" s="3">
        <f t="shared" si="2"/>
        <v>0</v>
      </c>
      <c r="E41" s="3">
        <f t="shared" si="3"/>
        <v>0</v>
      </c>
      <c r="F41" s="2" t="str">
        <f t="shared" si="1"/>
        <v>CRV</v>
      </c>
    </row>
    <row r="42">
      <c r="A42" s="3" t="str">
        <f>IFERROR(__xludf.DUMMYFUNCTION("""COMPUTED_VALUE"""),"2022-06-10T00:00:00Z")</f>
        <v>2022-06-10T00:00:00Z</v>
      </c>
      <c r="B42" s="3">
        <f>IFERROR(__xludf.DUMMYFUNCTION("""COMPUTED_VALUE"""),1.14643)</f>
        <v>1.14643</v>
      </c>
      <c r="C42" s="3">
        <f>IFERROR(__xludf.DUMMYFUNCTION("""COMPUTED_VALUE"""),3.91958099393145E8)</f>
        <v>391958099.4</v>
      </c>
      <c r="D42" s="3">
        <f t="shared" si="2"/>
        <v>0</v>
      </c>
      <c r="E42" s="3">
        <f t="shared" si="3"/>
        <v>0</v>
      </c>
      <c r="F42" s="2" t="str">
        <f t="shared" si="1"/>
        <v>CRV</v>
      </c>
    </row>
    <row r="43">
      <c r="A43" s="3" t="str">
        <f>IFERROR(__xludf.DUMMYFUNCTION("""COMPUTED_VALUE"""),"2022-06-11T00:00:00Z")</f>
        <v>2022-06-11T00:00:00Z</v>
      </c>
      <c r="B43" s="3">
        <f>IFERROR(__xludf.DUMMYFUNCTION("""COMPUTED_VALUE"""),1.026847)</f>
        <v>1.026847</v>
      </c>
      <c r="C43" s="3">
        <f>IFERROR(__xludf.DUMMYFUNCTION("""COMPUTED_VALUE"""),3.91958099393145E8)</f>
        <v>391958099.4</v>
      </c>
      <c r="D43" s="3">
        <f t="shared" si="2"/>
        <v>0</v>
      </c>
      <c r="E43" s="3">
        <f t="shared" si="3"/>
        <v>0</v>
      </c>
      <c r="F43" s="2" t="str">
        <f t="shared" si="1"/>
        <v>CRV</v>
      </c>
    </row>
    <row r="44">
      <c r="A44" s="3" t="str">
        <f>IFERROR(__xludf.DUMMYFUNCTION("""COMPUTED_VALUE"""),"2022-06-12T00:00:00Z")</f>
        <v>2022-06-12T00:00:00Z</v>
      </c>
      <c r="B44" s="3">
        <f>IFERROR(__xludf.DUMMYFUNCTION("""COMPUTED_VALUE"""),0.909303)</f>
        <v>0.909303</v>
      </c>
      <c r="C44" s="3">
        <f>IFERROR(__xludf.DUMMYFUNCTION("""COMPUTED_VALUE"""),3.91958099393145E8)</f>
        <v>391958099.4</v>
      </c>
      <c r="D44" s="3">
        <f t="shared" si="2"/>
        <v>0</v>
      </c>
      <c r="E44" s="3">
        <f t="shared" si="3"/>
        <v>0</v>
      </c>
      <c r="F44" s="2" t="str">
        <f t="shared" si="1"/>
        <v>CRV</v>
      </c>
    </row>
    <row r="45">
      <c r="A45" s="3" t="str">
        <f>IFERROR(__xludf.DUMMYFUNCTION("""COMPUTED_VALUE"""),"2022-06-13T00:00:00Z")</f>
        <v>2022-06-13T00:00:00Z</v>
      </c>
      <c r="B45" s="3">
        <f>IFERROR(__xludf.DUMMYFUNCTION("""COMPUTED_VALUE"""),0.863761)</f>
        <v>0.863761</v>
      </c>
      <c r="C45" s="3">
        <f>IFERROR(__xludf.DUMMYFUNCTION("""COMPUTED_VALUE"""),3.91958099393145E8)</f>
        <v>391958099.4</v>
      </c>
      <c r="D45" s="3">
        <f t="shared" si="2"/>
        <v>0</v>
      </c>
      <c r="E45" s="3">
        <f t="shared" si="3"/>
        <v>0</v>
      </c>
      <c r="F45" s="2" t="str">
        <f t="shared" si="1"/>
        <v>CRV</v>
      </c>
    </row>
    <row r="46">
      <c r="A46" s="3" t="str">
        <f>IFERROR(__xludf.DUMMYFUNCTION("""COMPUTED_VALUE"""),"2022-06-14T00:00:00Z")</f>
        <v>2022-06-14T00:00:00Z</v>
      </c>
      <c r="B46" s="3">
        <f>IFERROR(__xludf.DUMMYFUNCTION("""COMPUTED_VALUE"""),0.717807)</f>
        <v>0.717807</v>
      </c>
      <c r="C46" s="3">
        <f>IFERROR(__xludf.DUMMYFUNCTION("""COMPUTED_VALUE"""),3.91958099393145E8)</f>
        <v>391958099.4</v>
      </c>
      <c r="D46" s="3">
        <f t="shared" si="2"/>
        <v>0</v>
      </c>
      <c r="E46" s="3">
        <f t="shared" si="3"/>
        <v>0</v>
      </c>
      <c r="F46" s="2" t="str">
        <f t="shared" si="1"/>
        <v>CRV</v>
      </c>
    </row>
    <row r="47">
      <c r="A47" s="3" t="str">
        <f>IFERROR(__xludf.DUMMYFUNCTION("""COMPUTED_VALUE"""),"2022-06-15T00:00:00Z")</f>
        <v>2022-06-15T00:00:00Z</v>
      </c>
      <c r="B47" s="3">
        <f>IFERROR(__xludf.DUMMYFUNCTION("""COMPUTED_VALUE"""),0.730452)</f>
        <v>0.730452</v>
      </c>
      <c r="C47" s="3">
        <f>IFERROR(__xludf.DUMMYFUNCTION("""COMPUTED_VALUE"""),3.91958099393145E8)</f>
        <v>391958099.4</v>
      </c>
      <c r="D47" s="3">
        <f t="shared" si="2"/>
        <v>0</v>
      </c>
      <c r="E47" s="3">
        <f t="shared" si="3"/>
        <v>0</v>
      </c>
      <c r="F47" s="2" t="str">
        <f t="shared" si="1"/>
        <v>CRV</v>
      </c>
    </row>
    <row r="48">
      <c r="A48" s="3" t="str">
        <f>IFERROR(__xludf.DUMMYFUNCTION("""COMPUTED_VALUE"""),"2022-06-16T00:00:00Z")</f>
        <v>2022-06-16T00:00:00Z</v>
      </c>
      <c r="B48" s="3">
        <f>IFERROR(__xludf.DUMMYFUNCTION("""COMPUTED_VALUE"""),0.767285)</f>
        <v>0.767285</v>
      </c>
      <c r="C48" s="3">
        <f>IFERROR(__xludf.DUMMYFUNCTION("""COMPUTED_VALUE"""),3.91958099393145E8)</f>
        <v>391958099.4</v>
      </c>
      <c r="D48" s="3">
        <f t="shared" si="2"/>
        <v>0</v>
      </c>
      <c r="E48" s="3">
        <f t="shared" si="3"/>
        <v>0</v>
      </c>
      <c r="F48" s="2" t="str">
        <f t="shared" si="1"/>
        <v>CRV</v>
      </c>
    </row>
    <row r="49">
      <c r="A49" s="3" t="str">
        <f>IFERROR(__xludf.DUMMYFUNCTION("""COMPUTED_VALUE"""),"2022-06-17T00:00:00Z")</f>
        <v>2022-06-17T00:00:00Z</v>
      </c>
      <c r="B49" s="3">
        <f>IFERROR(__xludf.DUMMYFUNCTION("""COMPUTED_VALUE"""),0.664641)</f>
        <v>0.664641</v>
      </c>
      <c r="C49" s="3">
        <f>IFERROR(__xludf.DUMMYFUNCTION("""COMPUTED_VALUE"""),3.91958099393145E8)</f>
        <v>391958099.4</v>
      </c>
      <c r="D49" s="3">
        <f t="shared" si="2"/>
        <v>0</v>
      </c>
      <c r="E49" s="3">
        <f t="shared" si="3"/>
        <v>0</v>
      </c>
      <c r="F49" s="2" t="str">
        <f t="shared" si="1"/>
        <v>CRV</v>
      </c>
    </row>
    <row r="50">
      <c r="A50" s="3" t="str">
        <f>IFERROR(__xludf.DUMMYFUNCTION("""COMPUTED_VALUE"""),"2022-06-18T00:00:00Z")</f>
        <v>2022-06-18T00:00:00Z</v>
      </c>
      <c r="B50" s="3">
        <f>IFERROR(__xludf.DUMMYFUNCTION("""COMPUTED_VALUE"""),0.660001)</f>
        <v>0.660001</v>
      </c>
      <c r="C50" s="3">
        <f>IFERROR(__xludf.DUMMYFUNCTION("""COMPUTED_VALUE"""),3.91958099393145E8)</f>
        <v>391958099.4</v>
      </c>
      <c r="D50" s="3">
        <f t="shared" si="2"/>
        <v>0</v>
      </c>
      <c r="E50" s="3">
        <f t="shared" si="3"/>
        <v>0</v>
      </c>
      <c r="F50" s="2" t="str">
        <f t="shared" si="1"/>
        <v>CRV</v>
      </c>
    </row>
    <row r="51">
      <c r="A51" s="3" t="str">
        <f>IFERROR(__xludf.DUMMYFUNCTION("""COMPUTED_VALUE"""),"2022-06-19T00:00:00Z")</f>
        <v>2022-06-19T00:00:00Z</v>
      </c>
      <c r="B51" s="3">
        <f>IFERROR(__xludf.DUMMYFUNCTION("""COMPUTED_VALUE"""),0.582753)</f>
        <v>0.582753</v>
      </c>
      <c r="C51" s="3">
        <f>IFERROR(__xludf.DUMMYFUNCTION("""COMPUTED_VALUE"""),3.91958099393145E8)</f>
        <v>391958099.4</v>
      </c>
      <c r="D51" s="3">
        <f t="shared" si="2"/>
        <v>0</v>
      </c>
      <c r="E51" s="3">
        <f t="shared" si="3"/>
        <v>0</v>
      </c>
      <c r="F51" s="2" t="str">
        <f t="shared" si="1"/>
        <v>CRV</v>
      </c>
    </row>
    <row r="52">
      <c r="A52" s="3" t="str">
        <f>IFERROR(__xludf.DUMMYFUNCTION("""COMPUTED_VALUE"""),"2022-06-20T00:00:00Z")</f>
        <v>2022-06-20T00:00:00Z</v>
      </c>
      <c r="B52" s="3">
        <f>IFERROR(__xludf.DUMMYFUNCTION("""COMPUTED_VALUE"""),0.645372)</f>
        <v>0.645372</v>
      </c>
      <c r="C52" s="3">
        <f>IFERROR(__xludf.DUMMYFUNCTION("""COMPUTED_VALUE"""),3.91958099393145E8)</f>
        <v>391958099.4</v>
      </c>
      <c r="D52" s="3">
        <f t="shared" si="2"/>
        <v>0</v>
      </c>
      <c r="E52" s="3">
        <f t="shared" si="3"/>
        <v>0</v>
      </c>
      <c r="F52" s="2" t="str">
        <f t="shared" si="1"/>
        <v>CRV</v>
      </c>
    </row>
    <row r="53">
      <c r="A53" s="3" t="str">
        <f>IFERROR(__xludf.DUMMYFUNCTION("""COMPUTED_VALUE"""),"2022-06-21T00:00:00Z")</f>
        <v>2022-06-21T00:00:00Z</v>
      </c>
      <c r="B53" s="3">
        <f>IFERROR(__xludf.DUMMYFUNCTION("""COMPUTED_VALUE"""),0.701057)</f>
        <v>0.701057</v>
      </c>
      <c r="C53" s="3">
        <f>IFERROR(__xludf.DUMMYFUNCTION("""COMPUTED_VALUE"""),3.91958099393145E8)</f>
        <v>391958099.4</v>
      </c>
      <c r="D53" s="3">
        <f t="shared" si="2"/>
        <v>0</v>
      </c>
      <c r="E53" s="3">
        <f t="shared" si="3"/>
        <v>0</v>
      </c>
      <c r="F53" s="2" t="str">
        <f t="shared" si="1"/>
        <v>CRV</v>
      </c>
    </row>
    <row r="54">
      <c r="A54" s="3" t="str">
        <f>IFERROR(__xludf.DUMMYFUNCTION("""COMPUTED_VALUE"""),"2022-06-22T00:00:00Z")</f>
        <v>2022-06-22T00:00:00Z</v>
      </c>
      <c r="B54" s="3">
        <f>IFERROR(__xludf.DUMMYFUNCTION("""COMPUTED_VALUE"""),0.724939)</f>
        <v>0.724939</v>
      </c>
      <c r="C54" s="3">
        <f>IFERROR(__xludf.DUMMYFUNCTION("""COMPUTED_VALUE"""),3.91958099393145E8)</f>
        <v>391958099.4</v>
      </c>
      <c r="D54" s="3">
        <f t="shared" si="2"/>
        <v>0</v>
      </c>
      <c r="E54" s="3">
        <f t="shared" si="3"/>
        <v>0</v>
      </c>
      <c r="F54" s="2" t="str">
        <f t="shared" si="1"/>
        <v>CRV</v>
      </c>
    </row>
    <row r="55">
      <c r="A55" s="3" t="str">
        <f>IFERROR(__xludf.DUMMYFUNCTION("""COMPUTED_VALUE"""),"2022-06-23T00:00:00Z")</f>
        <v>2022-06-23T00:00:00Z</v>
      </c>
      <c r="B55" s="3">
        <f>IFERROR(__xludf.DUMMYFUNCTION("""COMPUTED_VALUE"""),0.699038)</f>
        <v>0.699038</v>
      </c>
      <c r="C55" s="3">
        <f>IFERROR(__xludf.DUMMYFUNCTION("""COMPUTED_VALUE"""),3.91958099393145E8)</f>
        <v>391958099.4</v>
      </c>
      <c r="D55" s="3">
        <f t="shared" si="2"/>
        <v>0</v>
      </c>
      <c r="E55" s="3">
        <f t="shared" si="3"/>
        <v>0</v>
      </c>
      <c r="F55" s="2" t="str">
        <f t="shared" si="1"/>
        <v>CRV</v>
      </c>
    </row>
    <row r="56">
      <c r="A56" s="3" t="str">
        <f>IFERROR(__xludf.DUMMYFUNCTION("""COMPUTED_VALUE"""),"2022-06-24T00:00:00Z")</f>
        <v>2022-06-24T00:00:00Z</v>
      </c>
      <c r="B56" s="3">
        <f>IFERROR(__xludf.DUMMYFUNCTION("""COMPUTED_VALUE"""),0.830443)</f>
        <v>0.830443</v>
      </c>
      <c r="C56" s="3">
        <f>IFERROR(__xludf.DUMMYFUNCTION("""COMPUTED_VALUE"""),3.91958099393145E8)</f>
        <v>391958099.4</v>
      </c>
      <c r="D56" s="3">
        <f t="shared" si="2"/>
        <v>0</v>
      </c>
      <c r="E56" s="3">
        <f t="shared" si="3"/>
        <v>0</v>
      </c>
      <c r="F56" s="2" t="str">
        <f t="shared" si="1"/>
        <v>CRV</v>
      </c>
    </row>
    <row r="57">
      <c r="A57" s="3" t="str">
        <f>IFERROR(__xludf.DUMMYFUNCTION("""COMPUTED_VALUE"""),"2022-06-25T00:00:00Z")</f>
        <v>2022-06-25T00:00:00Z</v>
      </c>
      <c r="B57" s="3">
        <f>IFERROR(__xludf.DUMMYFUNCTION("""COMPUTED_VALUE"""),0.839173)</f>
        <v>0.839173</v>
      </c>
      <c r="C57" s="3">
        <f>IFERROR(__xludf.DUMMYFUNCTION("""COMPUTED_VALUE"""),3.91958099393145E8)</f>
        <v>391958099.4</v>
      </c>
      <c r="D57" s="3">
        <f t="shared" si="2"/>
        <v>0</v>
      </c>
      <c r="E57" s="3">
        <f t="shared" si="3"/>
        <v>0</v>
      </c>
      <c r="F57" s="2" t="str">
        <f t="shared" si="1"/>
        <v>CRV</v>
      </c>
    </row>
    <row r="58">
      <c r="A58" s="3" t="str">
        <f>IFERROR(__xludf.DUMMYFUNCTION("""COMPUTED_VALUE"""),"2022-06-26T00:00:00Z")</f>
        <v>2022-06-26T00:00:00Z</v>
      </c>
      <c r="B58" s="3">
        <f>IFERROR(__xludf.DUMMYFUNCTION("""COMPUTED_VALUE"""),0.818784)</f>
        <v>0.818784</v>
      </c>
      <c r="C58" s="3">
        <f>IFERROR(__xludf.DUMMYFUNCTION("""COMPUTED_VALUE"""),3.91958099393145E8)</f>
        <v>391958099.4</v>
      </c>
      <c r="D58" s="3">
        <f t="shared" si="2"/>
        <v>0</v>
      </c>
      <c r="E58" s="3">
        <f t="shared" si="3"/>
        <v>0</v>
      </c>
      <c r="F58" s="2" t="str">
        <f t="shared" si="1"/>
        <v>CRV</v>
      </c>
    </row>
    <row r="59">
      <c r="A59" s="3" t="str">
        <f>IFERROR(__xludf.DUMMYFUNCTION("""COMPUTED_VALUE"""),"2022-06-27T00:00:00Z")</f>
        <v>2022-06-27T00:00:00Z</v>
      </c>
      <c r="B59" s="3">
        <f>IFERROR(__xludf.DUMMYFUNCTION("""COMPUTED_VALUE"""),0.747895)</f>
        <v>0.747895</v>
      </c>
      <c r="C59" s="3">
        <f>IFERROR(__xludf.DUMMYFUNCTION("""COMPUTED_VALUE"""),3.91958099393145E8)</f>
        <v>391958099.4</v>
      </c>
      <c r="D59" s="3">
        <f t="shared" si="2"/>
        <v>0</v>
      </c>
      <c r="E59" s="3">
        <f t="shared" si="3"/>
        <v>0</v>
      </c>
      <c r="F59" s="2" t="str">
        <f t="shared" si="1"/>
        <v>CRV</v>
      </c>
    </row>
    <row r="60">
      <c r="A60" s="3" t="str">
        <f>IFERROR(__xludf.DUMMYFUNCTION("""COMPUTED_VALUE"""),"2022-06-28T00:00:00Z")</f>
        <v>2022-06-28T00:00:00Z</v>
      </c>
      <c r="B60" s="3">
        <f>IFERROR(__xludf.DUMMYFUNCTION("""COMPUTED_VALUE"""),0.734849)</f>
        <v>0.734849</v>
      </c>
      <c r="C60" s="3">
        <f>IFERROR(__xludf.DUMMYFUNCTION("""COMPUTED_VALUE"""),3.91958099393145E8)</f>
        <v>391958099.4</v>
      </c>
      <c r="D60" s="3">
        <f t="shared" si="2"/>
        <v>0</v>
      </c>
      <c r="E60" s="3">
        <f t="shared" si="3"/>
        <v>0</v>
      </c>
      <c r="F60" s="2" t="str">
        <f t="shared" si="1"/>
        <v>CRV</v>
      </c>
    </row>
    <row r="61">
      <c r="A61" s="3" t="str">
        <f>IFERROR(__xludf.DUMMYFUNCTION("""COMPUTED_VALUE"""),"2022-06-29T00:00:00Z")</f>
        <v>2022-06-29T00:00:00Z</v>
      </c>
      <c r="B61" s="3">
        <f>IFERROR(__xludf.DUMMYFUNCTION("""COMPUTED_VALUE"""),0.695389)</f>
        <v>0.695389</v>
      </c>
      <c r="C61" s="3">
        <f>IFERROR(__xludf.DUMMYFUNCTION("""COMPUTED_VALUE"""),3.91958099393145E8)</f>
        <v>391958099.4</v>
      </c>
      <c r="D61" s="3">
        <f t="shared" si="2"/>
        <v>0</v>
      </c>
      <c r="E61" s="3">
        <f t="shared" si="3"/>
        <v>0</v>
      </c>
      <c r="F61" s="2" t="str">
        <f t="shared" si="1"/>
        <v>CRV</v>
      </c>
    </row>
    <row r="62">
      <c r="A62" s="3" t="str">
        <f>IFERROR(__xludf.DUMMYFUNCTION("""COMPUTED_VALUE"""),"2022-06-30T00:00:00Z")</f>
        <v>2022-06-30T00:00:00Z</v>
      </c>
      <c r="B62" s="3">
        <f>IFERROR(__xludf.DUMMYFUNCTION("""COMPUTED_VALUE"""),0.709674)</f>
        <v>0.709674</v>
      </c>
      <c r="C62" s="3">
        <f>IFERROR(__xludf.DUMMYFUNCTION("""COMPUTED_VALUE"""),3.91958099393145E8)</f>
        <v>391958099.4</v>
      </c>
      <c r="D62" s="3">
        <f t="shared" si="2"/>
        <v>0</v>
      </c>
      <c r="E62" s="3">
        <f t="shared" si="3"/>
        <v>0</v>
      </c>
      <c r="F62" s="2" t="str">
        <f t="shared" si="1"/>
        <v>CRV</v>
      </c>
    </row>
    <row r="63">
      <c r="A63" s="3" t="str">
        <f>IFERROR(__xludf.DUMMYFUNCTION("""COMPUTED_VALUE"""),"2022-07-01T00:00:00Z")</f>
        <v>2022-07-01T00:00:00Z</v>
      </c>
      <c r="B63" s="3">
        <f>IFERROR(__xludf.DUMMYFUNCTION("""COMPUTED_VALUE"""),0.686009)</f>
        <v>0.686009</v>
      </c>
      <c r="C63" s="3">
        <f>IFERROR(__xludf.DUMMYFUNCTION("""COMPUTED_VALUE"""),3.91958099393145E8)</f>
        <v>391958099.4</v>
      </c>
      <c r="D63" s="3">
        <f t="shared" si="2"/>
        <v>0</v>
      </c>
      <c r="E63" s="3">
        <f t="shared" si="3"/>
        <v>0</v>
      </c>
      <c r="F63" s="2" t="str">
        <f t="shared" si="1"/>
        <v>CRV</v>
      </c>
    </row>
    <row r="64">
      <c r="A64" s="3" t="str">
        <f>IFERROR(__xludf.DUMMYFUNCTION("""COMPUTED_VALUE"""),"2022-07-02T00:00:00Z")</f>
        <v>2022-07-02T00:00:00Z</v>
      </c>
      <c r="B64" s="3">
        <f>IFERROR(__xludf.DUMMYFUNCTION("""COMPUTED_VALUE"""),0.74583)</f>
        <v>0.74583</v>
      </c>
      <c r="C64" s="3">
        <f>IFERROR(__xludf.DUMMYFUNCTION("""COMPUTED_VALUE"""),3.91958099393145E8)</f>
        <v>391958099.4</v>
      </c>
      <c r="D64" s="3">
        <f t="shared" si="2"/>
        <v>0</v>
      </c>
      <c r="E64" s="3">
        <f t="shared" si="3"/>
        <v>0</v>
      </c>
      <c r="F64" s="2" t="str">
        <f t="shared" si="1"/>
        <v>CRV</v>
      </c>
    </row>
    <row r="65">
      <c r="A65" s="3" t="str">
        <f>IFERROR(__xludf.DUMMYFUNCTION("""COMPUTED_VALUE"""),"2022-07-03T00:00:00Z")</f>
        <v>2022-07-03T00:00:00Z</v>
      </c>
      <c r="B65" s="3">
        <f>IFERROR(__xludf.DUMMYFUNCTION("""COMPUTED_VALUE"""),0.77792)</f>
        <v>0.77792</v>
      </c>
      <c r="C65" s="3">
        <f>IFERROR(__xludf.DUMMYFUNCTION("""COMPUTED_VALUE"""),3.91958099393145E8)</f>
        <v>391958099.4</v>
      </c>
      <c r="D65" s="3">
        <f t="shared" si="2"/>
        <v>0</v>
      </c>
      <c r="E65" s="3">
        <f t="shared" si="3"/>
        <v>0</v>
      </c>
      <c r="F65" s="2" t="str">
        <f t="shared" si="1"/>
        <v>CRV</v>
      </c>
    </row>
    <row r="66">
      <c r="A66" s="3" t="str">
        <f>IFERROR(__xludf.DUMMYFUNCTION("""COMPUTED_VALUE"""),"2022-07-04T00:00:00Z")</f>
        <v>2022-07-04T00:00:00Z</v>
      </c>
      <c r="B66" s="3">
        <f>IFERROR(__xludf.DUMMYFUNCTION("""COMPUTED_VALUE"""),0.79559)</f>
        <v>0.79559</v>
      </c>
      <c r="C66" s="3">
        <f>IFERROR(__xludf.DUMMYFUNCTION("""COMPUTED_VALUE"""),3.91958099393145E8)</f>
        <v>391958099.4</v>
      </c>
      <c r="D66" s="3">
        <f t="shared" si="2"/>
        <v>0</v>
      </c>
      <c r="E66" s="3">
        <f t="shared" si="3"/>
        <v>0</v>
      </c>
      <c r="F66" s="2" t="str">
        <f t="shared" si="1"/>
        <v>CRV</v>
      </c>
    </row>
    <row r="67">
      <c r="A67" s="3" t="str">
        <f>IFERROR(__xludf.DUMMYFUNCTION("""COMPUTED_VALUE"""),"2022-07-05T00:00:00Z")</f>
        <v>2022-07-05T00:00:00Z</v>
      </c>
      <c r="B67" s="3">
        <f>IFERROR(__xludf.DUMMYFUNCTION("""COMPUTED_VALUE"""),0.864754)</f>
        <v>0.864754</v>
      </c>
      <c r="C67" s="3">
        <f>IFERROR(__xludf.DUMMYFUNCTION("""COMPUTED_VALUE"""),3.91958099393145E8)</f>
        <v>391958099.4</v>
      </c>
      <c r="D67" s="3">
        <f t="shared" si="2"/>
        <v>0</v>
      </c>
      <c r="E67" s="3">
        <f t="shared" si="3"/>
        <v>0</v>
      </c>
      <c r="F67" s="2" t="str">
        <f t="shared" si="1"/>
        <v>CRV</v>
      </c>
    </row>
    <row r="68">
      <c r="A68" s="3" t="str">
        <f>IFERROR(__xludf.DUMMYFUNCTION("""COMPUTED_VALUE"""),"2022-07-06T00:00:00Z")</f>
        <v>2022-07-06T00:00:00Z</v>
      </c>
      <c r="B68" s="3">
        <f>IFERROR(__xludf.DUMMYFUNCTION("""COMPUTED_VALUE"""),0.954846)</f>
        <v>0.954846</v>
      </c>
      <c r="C68" s="3">
        <f>IFERROR(__xludf.DUMMYFUNCTION("""COMPUTED_VALUE"""),3.91958099393145E8)</f>
        <v>391958099.4</v>
      </c>
      <c r="D68" s="3">
        <f t="shared" si="2"/>
        <v>0</v>
      </c>
      <c r="E68" s="3">
        <f t="shared" si="3"/>
        <v>0</v>
      </c>
      <c r="F68" s="2" t="str">
        <f t="shared" si="1"/>
        <v>CRV</v>
      </c>
    </row>
    <row r="69">
      <c r="A69" s="3" t="str">
        <f>IFERROR(__xludf.DUMMYFUNCTION("""COMPUTED_VALUE"""),"2022-07-07T00:00:00Z")</f>
        <v>2022-07-07T00:00:00Z</v>
      </c>
      <c r="B69" s="3">
        <f>IFERROR(__xludf.DUMMYFUNCTION("""COMPUTED_VALUE"""),0.960853)</f>
        <v>0.960853</v>
      </c>
      <c r="C69" s="3">
        <f>IFERROR(__xludf.DUMMYFUNCTION("""COMPUTED_VALUE"""),3.91958099393145E8)</f>
        <v>391958099.4</v>
      </c>
      <c r="D69" s="3">
        <f t="shared" si="2"/>
        <v>0</v>
      </c>
      <c r="E69" s="3">
        <f t="shared" si="3"/>
        <v>0</v>
      </c>
      <c r="F69" s="2" t="str">
        <f t="shared" si="1"/>
        <v>CRV</v>
      </c>
    </row>
    <row r="70">
      <c r="A70" s="3" t="str">
        <f>IFERROR(__xludf.DUMMYFUNCTION("""COMPUTED_VALUE"""),"2022-07-08T00:00:00Z")</f>
        <v>2022-07-08T00:00:00Z</v>
      </c>
      <c r="B70" s="3">
        <f>IFERROR(__xludf.DUMMYFUNCTION("""COMPUTED_VALUE"""),1.050134)</f>
        <v>1.050134</v>
      </c>
      <c r="C70" s="3">
        <f>IFERROR(__xludf.DUMMYFUNCTION("""COMPUTED_VALUE"""),3.91958099393145E8)</f>
        <v>391958099.4</v>
      </c>
      <c r="D70" s="3">
        <f t="shared" si="2"/>
        <v>0</v>
      </c>
      <c r="E70" s="3">
        <f t="shared" si="3"/>
        <v>0</v>
      </c>
      <c r="F70" s="2" t="str">
        <f t="shared" si="1"/>
        <v>CRV</v>
      </c>
    </row>
    <row r="71">
      <c r="A71" s="3" t="str">
        <f>IFERROR(__xludf.DUMMYFUNCTION("""COMPUTED_VALUE"""),"2022-07-09T00:00:00Z")</f>
        <v>2022-07-09T00:00:00Z</v>
      </c>
      <c r="B71" s="3">
        <f>IFERROR(__xludf.DUMMYFUNCTION("""COMPUTED_VALUE"""),1.007646)</f>
        <v>1.007646</v>
      </c>
      <c r="C71" s="3">
        <f>IFERROR(__xludf.DUMMYFUNCTION("""COMPUTED_VALUE"""),3.91958099393145E8)</f>
        <v>391958099.4</v>
      </c>
      <c r="D71" s="3">
        <f t="shared" si="2"/>
        <v>0</v>
      </c>
      <c r="E71" s="3">
        <f t="shared" si="3"/>
        <v>0</v>
      </c>
      <c r="F71" s="2" t="str">
        <f t="shared" si="1"/>
        <v>CRV</v>
      </c>
    </row>
    <row r="72">
      <c r="A72" s="3" t="str">
        <f>IFERROR(__xludf.DUMMYFUNCTION("""COMPUTED_VALUE"""),"2022-07-10T00:00:00Z")</f>
        <v>2022-07-10T00:00:00Z</v>
      </c>
      <c r="B72" s="3">
        <f>IFERROR(__xludf.DUMMYFUNCTION("""COMPUTED_VALUE"""),1.014689)</f>
        <v>1.014689</v>
      </c>
      <c r="C72" s="3">
        <f>IFERROR(__xludf.DUMMYFUNCTION("""COMPUTED_VALUE"""),3.91958099393145E8)</f>
        <v>391958099.4</v>
      </c>
      <c r="D72" s="3">
        <f t="shared" si="2"/>
        <v>0</v>
      </c>
      <c r="E72" s="3">
        <f t="shared" si="3"/>
        <v>0</v>
      </c>
      <c r="F72" s="2" t="str">
        <f t="shared" si="1"/>
        <v>CRV</v>
      </c>
    </row>
    <row r="73">
      <c r="A73" s="3" t="str">
        <f>IFERROR(__xludf.DUMMYFUNCTION("""COMPUTED_VALUE"""),"2022-07-11T00:00:00Z")</f>
        <v>2022-07-11T00:00:00Z</v>
      </c>
      <c r="B73" s="3">
        <f>IFERROR(__xludf.DUMMYFUNCTION("""COMPUTED_VALUE"""),0.954082)</f>
        <v>0.954082</v>
      </c>
      <c r="C73" s="3">
        <f>IFERROR(__xludf.DUMMYFUNCTION("""COMPUTED_VALUE"""),3.91958099393145E8)</f>
        <v>391958099.4</v>
      </c>
      <c r="D73" s="3">
        <f t="shared" si="2"/>
        <v>0</v>
      </c>
      <c r="E73" s="3">
        <f t="shared" si="3"/>
        <v>0</v>
      </c>
      <c r="F73" s="2" t="str">
        <f t="shared" si="1"/>
        <v>CRV</v>
      </c>
    </row>
    <row r="74">
      <c r="A74" s="3" t="str">
        <f>IFERROR(__xludf.DUMMYFUNCTION("""COMPUTED_VALUE"""),"2022-07-12T00:00:00Z")</f>
        <v>2022-07-12T00:00:00Z</v>
      </c>
      <c r="B74" s="3">
        <f>IFERROR(__xludf.DUMMYFUNCTION("""COMPUTED_VALUE"""),0.887373)</f>
        <v>0.887373</v>
      </c>
      <c r="C74" s="3">
        <f>IFERROR(__xludf.DUMMYFUNCTION("""COMPUTED_VALUE"""),3.91958099393145E8)</f>
        <v>391958099.4</v>
      </c>
      <c r="D74" s="3">
        <f t="shared" si="2"/>
        <v>0</v>
      </c>
      <c r="E74" s="3">
        <f t="shared" si="3"/>
        <v>0</v>
      </c>
      <c r="F74" s="2" t="str">
        <f t="shared" si="1"/>
        <v>CRV</v>
      </c>
    </row>
    <row r="75">
      <c r="A75" s="3" t="str">
        <f>IFERROR(__xludf.DUMMYFUNCTION("""COMPUTED_VALUE"""),"2022-07-13T00:00:00Z")</f>
        <v>2022-07-13T00:00:00Z</v>
      </c>
      <c r="B75" s="3">
        <f>IFERROR(__xludf.DUMMYFUNCTION("""COMPUTED_VALUE"""),0.875817)</f>
        <v>0.875817</v>
      </c>
      <c r="C75" s="3">
        <f>IFERROR(__xludf.DUMMYFUNCTION("""COMPUTED_VALUE"""),3.91958099393145E8)</f>
        <v>391958099.4</v>
      </c>
      <c r="D75" s="3">
        <f t="shared" si="2"/>
        <v>0</v>
      </c>
      <c r="E75" s="3">
        <f t="shared" si="3"/>
        <v>0</v>
      </c>
      <c r="F75" s="2" t="str">
        <f t="shared" si="1"/>
        <v>CRV</v>
      </c>
    </row>
    <row r="76">
      <c r="A76" s="3" t="str">
        <f>IFERROR(__xludf.DUMMYFUNCTION("""COMPUTED_VALUE"""),"2022-07-14T00:00:00Z")</f>
        <v>2022-07-14T00:00:00Z</v>
      </c>
      <c r="B76" s="3">
        <f>IFERROR(__xludf.DUMMYFUNCTION("""COMPUTED_VALUE"""),1.048413)</f>
        <v>1.048413</v>
      </c>
      <c r="C76" s="3">
        <f>IFERROR(__xludf.DUMMYFUNCTION("""COMPUTED_VALUE"""),3.91958099393145E8)</f>
        <v>391958099.4</v>
      </c>
      <c r="D76" s="3">
        <f t="shared" si="2"/>
        <v>0</v>
      </c>
      <c r="E76" s="3">
        <f t="shared" si="3"/>
        <v>0</v>
      </c>
      <c r="F76" s="2" t="str">
        <f t="shared" si="1"/>
        <v>CRV</v>
      </c>
    </row>
    <row r="77">
      <c r="A77" s="3" t="str">
        <f>IFERROR(__xludf.DUMMYFUNCTION("""COMPUTED_VALUE"""),"2022-07-15T00:00:00Z")</f>
        <v>2022-07-15T00:00:00Z</v>
      </c>
      <c r="B77" s="3">
        <f>IFERROR(__xludf.DUMMYFUNCTION("""COMPUTED_VALUE"""),1.166991)</f>
        <v>1.166991</v>
      </c>
      <c r="C77" s="3">
        <f>IFERROR(__xludf.DUMMYFUNCTION("""COMPUTED_VALUE"""),3.91958099393145E8)</f>
        <v>391958099.4</v>
      </c>
      <c r="D77" s="3">
        <f t="shared" si="2"/>
        <v>0</v>
      </c>
      <c r="E77" s="3">
        <f t="shared" si="3"/>
        <v>0</v>
      </c>
      <c r="F77" s="2" t="str">
        <f t="shared" si="1"/>
        <v>CRV</v>
      </c>
    </row>
    <row r="78">
      <c r="A78" s="3" t="str">
        <f>IFERROR(__xludf.DUMMYFUNCTION("""COMPUTED_VALUE"""),"2022-07-16T00:00:00Z")</f>
        <v>2022-07-16T00:00:00Z</v>
      </c>
      <c r="B78" s="3">
        <f>IFERROR(__xludf.DUMMYFUNCTION("""COMPUTED_VALUE"""),1.107834)</f>
        <v>1.107834</v>
      </c>
      <c r="C78" s="3">
        <f>IFERROR(__xludf.DUMMYFUNCTION("""COMPUTED_VALUE"""),3.91958099393145E8)</f>
        <v>391958099.4</v>
      </c>
      <c r="D78" s="3">
        <f t="shared" si="2"/>
        <v>0</v>
      </c>
      <c r="E78" s="3">
        <f t="shared" si="3"/>
        <v>0</v>
      </c>
      <c r="F78" s="2" t="str">
        <f t="shared" si="1"/>
        <v>CRV</v>
      </c>
    </row>
    <row r="79">
      <c r="A79" s="3" t="str">
        <f>IFERROR(__xludf.DUMMYFUNCTION("""COMPUTED_VALUE"""),"2022-07-17T00:00:00Z")</f>
        <v>2022-07-17T00:00:00Z</v>
      </c>
      <c r="B79" s="3">
        <f>IFERROR(__xludf.DUMMYFUNCTION("""COMPUTED_VALUE"""),1.173112)</f>
        <v>1.173112</v>
      </c>
      <c r="C79" s="3">
        <f>IFERROR(__xludf.DUMMYFUNCTION("""COMPUTED_VALUE"""),3.91958099393145E8)</f>
        <v>391958099.4</v>
      </c>
      <c r="D79" s="3">
        <f t="shared" si="2"/>
        <v>0</v>
      </c>
      <c r="E79" s="3">
        <f t="shared" si="3"/>
        <v>0</v>
      </c>
      <c r="F79" s="2" t="str">
        <f t="shared" si="1"/>
        <v>CRV</v>
      </c>
    </row>
    <row r="80">
      <c r="A80" s="3" t="str">
        <f>IFERROR(__xludf.DUMMYFUNCTION("""COMPUTED_VALUE"""),"2022-07-18T00:00:00Z")</f>
        <v>2022-07-18T00:00:00Z</v>
      </c>
      <c r="B80" s="3">
        <f>IFERROR(__xludf.DUMMYFUNCTION("""COMPUTED_VALUE"""),1.078301)</f>
        <v>1.078301</v>
      </c>
      <c r="C80" s="3">
        <f>IFERROR(__xludf.DUMMYFUNCTION("""COMPUTED_VALUE"""),3.91958099393145E8)</f>
        <v>391958099.4</v>
      </c>
      <c r="D80" s="3">
        <f t="shared" si="2"/>
        <v>0</v>
      </c>
      <c r="E80" s="3">
        <f t="shared" si="3"/>
        <v>0</v>
      </c>
      <c r="F80" s="2" t="str">
        <f t="shared" si="1"/>
        <v>CRV</v>
      </c>
    </row>
    <row r="81">
      <c r="A81" s="3" t="str">
        <f>IFERROR(__xludf.DUMMYFUNCTION("""COMPUTED_VALUE"""),"2022-07-19T00:00:00Z")</f>
        <v>2022-07-19T00:00:00Z</v>
      </c>
      <c r="B81" s="3">
        <f>IFERROR(__xludf.DUMMYFUNCTION("""COMPUTED_VALUE"""),1.341656)</f>
        <v>1.341656</v>
      </c>
      <c r="C81" s="3">
        <f>IFERROR(__xludf.DUMMYFUNCTION("""COMPUTED_VALUE"""),3.91958099393145E8)</f>
        <v>391958099.4</v>
      </c>
      <c r="D81" s="3">
        <f t="shared" si="2"/>
        <v>0</v>
      </c>
      <c r="E81" s="3">
        <f t="shared" si="3"/>
        <v>0</v>
      </c>
      <c r="F81" s="2" t="str">
        <f t="shared" si="1"/>
        <v>CRV</v>
      </c>
    </row>
    <row r="82">
      <c r="A82" s="3" t="str">
        <f>IFERROR(__xludf.DUMMYFUNCTION("""COMPUTED_VALUE"""),"2022-07-20T00:00:00Z")</f>
        <v>2022-07-20T00:00:00Z</v>
      </c>
      <c r="B82" s="3">
        <f>IFERROR(__xludf.DUMMYFUNCTION("""COMPUTED_VALUE"""),1.24993)</f>
        <v>1.24993</v>
      </c>
      <c r="C82" s="3">
        <f>IFERROR(__xludf.DUMMYFUNCTION("""COMPUTED_VALUE"""),3.91958099393145E8)</f>
        <v>391958099.4</v>
      </c>
      <c r="D82" s="3">
        <f t="shared" si="2"/>
        <v>0</v>
      </c>
      <c r="E82" s="3">
        <f t="shared" si="3"/>
        <v>0</v>
      </c>
      <c r="F82" s="2" t="str">
        <f t="shared" si="1"/>
        <v>CRV</v>
      </c>
    </row>
    <row r="83">
      <c r="A83" s="3" t="str">
        <f>IFERROR(__xludf.DUMMYFUNCTION("""COMPUTED_VALUE"""),"2022-07-21T00:00:00Z")</f>
        <v>2022-07-21T00:00:00Z</v>
      </c>
      <c r="B83" s="3">
        <f>IFERROR(__xludf.DUMMYFUNCTION("""COMPUTED_VALUE"""),1.158184)</f>
        <v>1.158184</v>
      </c>
      <c r="C83" s="3">
        <f>IFERROR(__xludf.DUMMYFUNCTION("""COMPUTED_VALUE"""),3.91958099393145E8)</f>
        <v>391958099.4</v>
      </c>
      <c r="D83" s="3">
        <f t="shared" si="2"/>
        <v>0</v>
      </c>
      <c r="E83" s="3">
        <f t="shared" si="3"/>
        <v>0</v>
      </c>
      <c r="F83" s="2" t="str">
        <f t="shared" si="1"/>
        <v>CRV</v>
      </c>
    </row>
    <row r="84">
      <c r="A84" s="3" t="str">
        <f>IFERROR(__xludf.DUMMYFUNCTION("""COMPUTED_VALUE"""),"2022-07-22T00:00:00Z")</f>
        <v>2022-07-22T00:00:00Z</v>
      </c>
      <c r="B84" s="3">
        <f>IFERROR(__xludf.DUMMYFUNCTION("""COMPUTED_VALUE"""),1.404088)</f>
        <v>1.404088</v>
      </c>
      <c r="C84" s="3">
        <f>IFERROR(__xludf.DUMMYFUNCTION("""COMPUTED_VALUE"""),3.91958099393145E8)</f>
        <v>391958099.4</v>
      </c>
      <c r="D84" s="3">
        <f t="shared" si="2"/>
        <v>0</v>
      </c>
      <c r="E84" s="3">
        <f t="shared" si="3"/>
        <v>0</v>
      </c>
      <c r="F84" s="2" t="str">
        <f t="shared" si="1"/>
        <v>CRV</v>
      </c>
    </row>
    <row r="85">
      <c r="A85" s="3" t="str">
        <f>IFERROR(__xludf.DUMMYFUNCTION("""COMPUTED_VALUE"""),"2022-07-23T00:00:00Z")</f>
        <v>2022-07-23T00:00:00Z</v>
      </c>
      <c r="B85" s="3">
        <f>IFERROR(__xludf.DUMMYFUNCTION("""COMPUTED_VALUE"""),1.433418)</f>
        <v>1.433418</v>
      </c>
      <c r="C85" s="3">
        <f>IFERROR(__xludf.DUMMYFUNCTION("""COMPUTED_VALUE"""),3.91958099393145E8)</f>
        <v>391958099.4</v>
      </c>
      <c r="D85" s="3">
        <f t="shared" si="2"/>
        <v>0</v>
      </c>
      <c r="E85" s="3">
        <f t="shared" si="3"/>
        <v>0</v>
      </c>
      <c r="F85" s="2" t="str">
        <f t="shared" si="1"/>
        <v>CRV</v>
      </c>
    </row>
    <row r="86">
      <c r="A86" s="3" t="str">
        <f>IFERROR(__xludf.DUMMYFUNCTION("""COMPUTED_VALUE"""),"2022-07-24T00:00:00Z")</f>
        <v>2022-07-24T00:00:00Z</v>
      </c>
      <c r="B86" s="3">
        <f>IFERROR(__xludf.DUMMYFUNCTION("""COMPUTED_VALUE"""),1.394773)</f>
        <v>1.394773</v>
      </c>
      <c r="C86" s="3">
        <f>IFERROR(__xludf.DUMMYFUNCTION("""COMPUTED_VALUE"""),3.91958099393145E8)</f>
        <v>391958099.4</v>
      </c>
      <c r="D86" s="3">
        <f t="shared" si="2"/>
        <v>0</v>
      </c>
      <c r="E86" s="3">
        <f t="shared" si="3"/>
        <v>0</v>
      </c>
      <c r="F86" s="2" t="str">
        <f t="shared" si="1"/>
        <v>CRV</v>
      </c>
    </row>
    <row r="87">
      <c r="A87" s="3" t="str">
        <f>IFERROR(__xludf.DUMMYFUNCTION("""COMPUTED_VALUE"""),"2022-07-25T00:00:00Z")</f>
        <v>2022-07-25T00:00:00Z</v>
      </c>
      <c r="B87" s="3">
        <f>IFERROR(__xludf.DUMMYFUNCTION("""COMPUTED_VALUE"""),1.375335)</f>
        <v>1.375335</v>
      </c>
      <c r="C87" s="3">
        <f>IFERROR(__xludf.DUMMYFUNCTION("""COMPUTED_VALUE"""),3.91958099393145E8)</f>
        <v>391958099.4</v>
      </c>
      <c r="D87" s="3">
        <f t="shared" si="2"/>
        <v>0</v>
      </c>
      <c r="E87" s="3">
        <f t="shared" si="3"/>
        <v>0</v>
      </c>
      <c r="F87" s="2" t="str">
        <f t="shared" si="1"/>
        <v>CRV</v>
      </c>
    </row>
    <row r="88">
      <c r="A88" s="3" t="str">
        <f>IFERROR(__xludf.DUMMYFUNCTION("""COMPUTED_VALUE"""),"2022-07-26T00:00:00Z")</f>
        <v>2022-07-26T00:00:00Z</v>
      </c>
      <c r="B88" s="3">
        <f>IFERROR(__xludf.DUMMYFUNCTION("""COMPUTED_VALUE"""),1.177037)</f>
        <v>1.177037</v>
      </c>
      <c r="C88" s="3">
        <f>IFERROR(__xludf.DUMMYFUNCTION("""COMPUTED_VALUE"""),3.91958099393145E8)</f>
        <v>391958099.4</v>
      </c>
      <c r="D88" s="3">
        <f t="shared" si="2"/>
        <v>0</v>
      </c>
      <c r="E88" s="3">
        <f t="shared" si="3"/>
        <v>0</v>
      </c>
      <c r="F88" s="2" t="str">
        <f t="shared" si="1"/>
        <v>CRV</v>
      </c>
    </row>
    <row r="89">
      <c r="A89" s="3" t="str">
        <f>IFERROR(__xludf.DUMMYFUNCTION("""COMPUTED_VALUE"""),"2022-07-27T00:00:00Z")</f>
        <v>2022-07-27T00:00:00Z</v>
      </c>
      <c r="B89" s="3">
        <f>IFERROR(__xludf.DUMMYFUNCTION("""COMPUTED_VALUE"""),1.167799)</f>
        <v>1.167799</v>
      </c>
      <c r="C89" s="3">
        <f>IFERROR(__xludf.DUMMYFUNCTION("""COMPUTED_VALUE"""),3.91958099393145E8)</f>
        <v>391958099.4</v>
      </c>
      <c r="D89" s="3">
        <f t="shared" si="2"/>
        <v>0</v>
      </c>
      <c r="E89" s="3">
        <f t="shared" si="3"/>
        <v>0</v>
      </c>
      <c r="F89" s="2" t="str">
        <f t="shared" si="1"/>
        <v>CRV</v>
      </c>
    </row>
    <row r="90">
      <c r="A90" s="3" t="str">
        <f>IFERROR(__xludf.DUMMYFUNCTION("""COMPUTED_VALUE"""),"2022-07-28T00:00:00Z")</f>
        <v>2022-07-28T00:00:00Z</v>
      </c>
      <c r="B90" s="3">
        <f>IFERROR(__xludf.DUMMYFUNCTION("""COMPUTED_VALUE"""),1.328814)</f>
        <v>1.328814</v>
      </c>
      <c r="C90" s="3">
        <f>IFERROR(__xludf.DUMMYFUNCTION("""COMPUTED_VALUE"""),3.91958099393145E8)</f>
        <v>391958099.4</v>
      </c>
      <c r="D90" s="3">
        <f t="shared" si="2"/>
        <v>0</v>
      </c>
      <c r="E90" s="3">
        <f t="shared" si="3"/>
        <v>0</v>
      </c>
      <c r="F90" s="2" t="str">
        <f t="shared" si="1"/>
        <v>CRV</v>
      </c>
    </row>
    <row r="91">
      <c r="A91" s="3" t="str">
        <f>IFERROR(__xludf.DUMMYFUNCTION("""COMPUTED_VALUE"""),"2022-07-29T00:00:00Z")</f>
        <v>2022-07-29T00:00:00Z</v>
      </c>
      <c r="B91" s="3">
        <f>IFERROR(__xludf.DUMMYFUNCTION("""COMPUTED_VALUE"""),1.548049)</f>
        <v>1.548049</v>
      </c>
      <c r="C91" s="3">
        <f>IFERROR(__xludf.DUMMYFUNCTION("""COMPUTED_VALUE"""),3.91958099393145E8)</f>
        <v>391958099.4</v>
      </c>
      <c r="D91" s="3">
        <f t="shared" si="2"/>
        <v>0</v>
      </c>
      <c r="E91" s="3">
        <f t="shared" si="3"/>
        <v>0</v>
      </c>
      <c r="F91" s="2" t="str">
        <f t="shared" si="1"/>
        <v>CRV</v>
      </c>
    </row>
    <row r="92">
      <c r="A92" s="3" t="str">
        <f>IFERROR(__xludf.DUMMYFUNCTION("""COMPUTED_VALUE"""),"2022-07-30T00:00:00Z")</f>
        <v>2022-07-30T00:00:00Z</v>
      </c>
      <c r="B92" s="3">
        <f>IFERROR(__xludf.DUMMYFUNCTION("""COMPUTED_VALUE"""),1.426349)</f>
        <v>1.426349</v>
      </c>
      <c r="C92" s="3">
        <f>IFERROR(__xludf.DUMMYFUNCTION("""COMPUTED_VALUE"""),3.91958099393145E8)</f>
        <v>391958099.4</v>
      </c>
      <c r="D92" s="3">
        <f t="shared" si="2"/>
        <v>0</v>
      </c>
      <c r="E92" s="3">
        <f t="shared" si="3"/>
        <v>0</v>
      </c>
      <c r="F92" s="2" t="str">
        <f t="shared" si="1"/>
        <v>CRV</v>
      </c>
    </row>
    <row r="93">
      <c r="A93" s="3" t="str">
        <f>IFERROR(__xludf.DUMMYFUNCTION("""COMPUTED_VALUE"""),"2022-07-31T00:00:00Z")</f>
        <v>2022-07-31T00:00:00Z</v>
      </c>
      <c r="B93" s="3">
        <f>IFERROR(__xludf.DUMMYFUNCTION("""COMPUTED_VALUE"""),1.359135)</f>
        <v>1.359135</v>
      </c>
      <c r="C93" s="3">
        <f>IFERROR(__xludf.DUMMYFUNCTION("""COMPUTED_VALUE"""),3.91958099393145E8)</f>
        <v>391958099.4</v>
      </c>
      <c r="D93" s="3">
        <f t="shared" si="2"/>
        <v>0</v>
      </c>
      <c r="E93" s="3">
        <f t="shared" si="3"/>
        <v>0</v>
      </c>
      <c r="F93" s="2" t="str">
        <f t="shared" si="1"/>
        <v>CRV</v>
      </c>
    </row>
    <row r="94">
      <c r="A94" s="3" t="str">
        <f>IFERROR(__xludf.DUMMYFUNCTION("""COMPUTED_VALUE"""),"2022-08-01T00:00:00Z")</f>
        <v>2022-08-01T00:00:00Z</v>
      </c>
      <c r="B94" s="3">
        <f>IFERROR(__xludf.DUMMYFUNCTION("""COMPUTED_VALUE"""),1.318436)</f>
        <v>1.318436</v>
      </c>
      <c r="C94" s="3">
        <f>IFERROR(__xludf.DUMMYFUNCTION("""COMPUTED_VALUE"""),3.91958099393145E8)</f>
        <v>391958099.4</v>
      </c>
      <c r="D94" s="3">
        <f t="shared" si="2"/>
        <v>0</v>
      </c>
      <c r="E94" s="3">
        <f t="shared" si="3"/>
        <v>0</v>
      </c>
      <c r="F94" s="2" t="str">
        <f t="shared" si="1"/>
        <v>CRV</v>
      </c>
    </row>
    <row r="95">
      <c r="A95" s="3" t="str">
        <f>IFERROR(__xludf.DUMMYFUNCTION("""COMPUTED_VALUE"""),"2022-08-02T00:00:00Z")</f>
        <v>2022-08-02T00:00:00Z</v>
      </c>
      <c r="B95" s="3">
        <f>IFERROR(__xludf.DUMMYFUNCTION("""COMPUTED_VALUE"""),1.305211)</f>
        <v>1.305211</v>
      </c>
      <c r="C95" s="3">
        <f>IFERROR(__xludf.DUMMYFUNCTION("""COMPUTED_VALUE"""),3.91958099393145E8)</f>
        <v>391958099.4</v>
      </c>
      <c r="D95" s="3">
        <f t="shared" si="2"/>
        <v>0</v>
      </c>
      <c r="E95" s="3">
        <f t="shared" si="3"/>
        <v>0</v>
      </c>
      <c r="F95" s="2" t="str">
        <f t="shared" si="1"/>
        <v>CRV</v>
      </c>
    </row>
    <row r="96">
      <c r="A96" s="3" t="str">
        <f>IFERROR(__xludf.DUMMYFUNCTION("""COMPUTED_VALUE"""),"2022-08-03T00:00:00Z")</f>
        <v>2022-08-03T00:00:00Z</v>
      </c>
      <c r="B96" s="3">
        <f>IFERROR(__xludf.DUMMYFUNCTION("""COMPUTED_VALUE"""),1.336127)</f>
        <v>1.336127</v>
      </c>
      <c r="C96" s="3">
        <f>IFERROR(__xludf.DUMMYFUNCTION("""COMPUTED_VALUE"""),3.91958099393145E8)</f>
        <v>391958099.4</v>
      </c>
      <c r="D96" s="3">
        <f t="shared" si="2"/>
        <v>0</v>
      </c>
      <c r="E96" s="3">
        <f t="shared" si="3"/>
        <v>0</v>
      </c>
      <c r="F96" s="2" t="str">
        <f t="shared" si="1"/>
        <v>CRV</v>
      </c>
    </row>
    <row r="97">
      <c r="A97" s="3" t="str">
        <f>IFERROR(__xludf.DUMMYFUNCTION("""COMPUTED_VALUE"""),"2022-08-04T00:00:00Z")</f>
        <v>2022-08-04T00:00:00Z</v>
      </c>
      <c r="B97" s="3">
        <f>IFERROR(__xludf.DUMMYFUNCTION("""COMPUTED_VALUE"""),1.333735)</f>
        <v>1.333735</v>
      </c>
      <c r="C97" s="3">
        <f>IFERROR(__xludf.DUMMYFUNCTION("""COMPUTED_VALUE"""),3.91958099393145E8)</f>
        <v>391958099.4</v>
      </c>
      <c r="D97" s="3">
        <f t="shared" si="2"/>
        <v>0</v>
      </c>
      <c r="E97" s="3">
        <f t="shared" si="3"/>
        <v>0</v>
      </c>
      <c r="F97" s="2" t="str">
        <f t="shared" si="1"/>
        <v>CRV</v>
      </c>
    </row>
    <row r="98">
      <c r="A98" s="3" t="str">
        <f>IFERROR(__xludf.DUMMYFUNCTION("""COMPUTED_VALUE"""),"2022-08-05T00:00:00Z")</f>
        <v>2022-08-05T00:00:00Z</v>
      </c>
      <c r="B98" s="3">
        <f>IFERROR(__xludf.DUMMYFUNCTION("""COMPUTED_VALUE"""),1.330201)</f>
        <v>1.330201</v>
      </c>
      <c r="C98" s="3">
        <f>IFERROR(__xludf.DUMMYFUNCTION("""COMPUTED_VALUE"""),3.91958099393145E8)</f>
        <v>391958099.4</v>
      </c>
      <c r="D98" s="3">
        <f t="shared" si="2"/>
        <v>0</v>
      </c>
      <c r="E98" s="3">
        <f t="shared" si="3"/>
        <v>0</v>
      </c>
      <c r="F98" s="2" t="str">
        <f t="shared" si="1"/>
        <v>CRV</v>
      </c>
    </row>
    <row r="99">
      <c r="A99" s="3" t="str">
        <f>IFERROR(__xludf.DUMMYFUNCTION("""COMPUTED_VALUE"""),"2022-08-06T00:00:00Z")</f>
        <v>2022-08-06T00:00:00Z</v>
      </c>
      <c r="B99" s="3">
        <f>IFERROR(__xludf.DUMMYFUNCTION("""COMPUTED_VALUE"""),1.445096)</f>
        <v>1.445096</v>
      </c>
      <c r="C99" s="3">
        <f>IFERROR(__xludf.DUMMYFUNCTION("""COMPUTED_VALUE"""),3.91958099393145E8)</f>
        <v>391958099.4</v>
      </c>
      <c r="D99" s="3">
        <f t="shared" si="2"/>
        <v>0</v>
      </c>
      <c r="E99" s="3">
        <f t="shared" si="3"/>
        <v>0</v>
      </c>
      <c r="F99" s="2" t="str">
        <f t="shared" si="1"/>
        <v>CRV</v>
      </c>
    </row>
    <row r="100">
      <c r="A100" s="3" t="str">
        <f>IFERROR(__xludf.DUMMYFUNCTION("""COMPUTED_VALUE"""),"2022-08-07T00:00:00Z")</f>
        <v>2022-08-07T00:00:00Z</v>
      </c>
      <c r="B100" s="3">
        <f>IFERROR(__xludf.DUMMYFUNCTION("""COMPUTED_VALUE"""),1.373439)</f>
        <v>1.373439</v>
      </c>
      <c r="C100" s="3">
        <f>IFERROR(__xludf.DUMMYFUNCTION("""COMPUTED_VALUE"""),3.91958099393145E8)</f>
        <v>391958099.4</v>
      </c>
      <c r="D100" s="3">
        <f t="shared" si="2"/>
        <v>0</v>
      </c>
      <c r="E100" s="3">
        <f t="shared" si="3"/>
        <v>0</v>
      </c>
      <c r="F100" s="2" t="str">
        <f t="shared" si="1"/>
        <v>CRV</v>
      </c>
    </row>
    <row r="101">
      <c r="A101" s="3" t="str">
        <f>IFERROR(__xludf.DUMMYFUNCTION("""COMPUTED_VALUE"""),"2022-08-08T00:00:00Z")</f>
        <v>2022-08-08T00:00:00Z</v>
      </c>
      <c r="B101" s="3">
        <f>IFERROR(__xludf.DUMMYFUNCTION("""COMPUTED_VALUE"""),1.404065)</f>
        <v>1.404065</v>
      </c>
      <c r="C101" s="3">
        <f>IFERROR(__xludf.DUMMYFUNCTION("""COMPUTED_VALUE"""),3.91958099393145E8)</f>
        <v>391958099.4</v>
      </c>
      <c r="D101" s="3">
        <f t="shared" si="2"/>
        <v>0</v>
      </c>
      <c r="E101" s="3">
        <f t="shared" si="3"/>
        <v>0</v>
      </c>
      <c r="F101" s="2" t="str">
        <f t="shared" si="1"/>
        <v>CRV</v>
      </c>
    </row>
    <row r="102">
      <c r="A102" s="3" t="str">
        <f>IFERROR(__xludf.DUMMYFUNCTION("""COMPUTED_VALUE"""),"2022-08-09T00:00:00Z")</f>
        <v>2022-08-09T00:00:00Z</v>
      </c>
      <c r="B102" s="3">
        <f>IFERROR(__xludf.DUMMYFUNCTION("""COMPUTED_VALUE"""),1.428007)</f>
        <v>1.428007</v>
      </c>
      <c r="C102" s="3">
        <f>IFERROR(__xludf.DUMMYFUNCTION("""COMPUTED_VALUE"""),3.91958099393145E8)</f>
        <v>391958099.4</v>
      </c>
      <c r="D102" s="3">
        <f t="shared" si="2"/>
        <v>0</v>
      </c>
      <c r="E102" s="3">
        <f t="shared" si="3"/>
        <v>0</v>
      </c>
      <c r="F102" s="2" t="str">
        <f t="shared" si="1"/>
        <v>CRV</v>
      </c>
    </row>
    <row r="103">
      <c r="A103" s="3" t="str">
        <f>IFERROR(__xludf.DUMMYFUNCTION("""COMPUTED_VALUE"""),"2022-08-10T00:00:00Z")</f>
        <v>2022-08-10T00:00:00Z</v>
      </c>
      <c r="B103" s="3">
        <f>IFERROR(__xludf.DUMMYFUNCTION("""COMPUTED_VALUE"""),1.292069)</f>
        <v>1.292069</v>
      </c>
      <c r="C103" s="3">
        <f>IFERROR(__xludf.DUMMYFUNCTION("""COMPUTED_VALUE"""),3.91958099393145E8)</f>
        <v>391958099.4</v>
      </c>
      <c r="D103" s="3">
        <f t="shared" si="2"/>
        <v>0</v>
      </c>
      <c r="E103" s="3">
        <f t="shared" si="3"/>
        <v>0</v>
      </c>
      <c r="F103" s="2" t="str">
        <f t="shared" si="1"/>
        <v>CRV</v>
      </c>
    </row>
    <row r="104">
      <c r="A104" s="3" t="str">
        <f>IFERROR(__xludf.DUMMYFUNCTION("""COMPUTED_VALUE"""),"2022-08-11T00:00:00Z")</f>
        <v>2022-08-11T00:00:00Z</v>
      </c>
      <c r="B104" s="3">
        <f>IFERROR(__xludf.DUMMYFUNCTION("""COMPUTED_VALUE"""),1.389866)</f>
        <v>1.389866</v>
      </c>
      <c r="C104" s="3">
        <f>IFERROR(__xludf.DUMMYFUNCTION("""COMPUTED_VALUE"""),3.91958099393145E8)</f>
        <v>391958099.4</v>
      </c>
      <c r="D104" s="3">
        <f t="shared" si="2"/>
        <v>0</v>
      </c>
      <c r="E104" s="3">
        <f t="shared" si="3"/>
        <v>0</v>
      </c>
      <c r="F104" s="2" t="str">
        <f t="shared" si="1"/>
        <v>CRV</v>
      </c>
    </row>
    <row r="105">
      <c r="A105" s="3" t="str">
        <f>IFERROR(__xludf.DUMMYFUNCTION("""COMPUTED_VALUE"""),"2022-08-12T00:00:00Z")</f>
        <v>2022-08-12T00:00:00Z</v>
      </c>
      <c r="B105" s="3">
        <f>IFERROR(__xludf.DUMMYFUNCTION("""COMPUTED_VALUE"""),1.360575)</f>
        <v>1.360575</v>
      </c>
      <c r="C105" s="3">
        <f>IFERROR(__xludf.DUMMYFUNCTION("""COMPUTED_VALUE"""),3.91958099393145E8)</f>
        <v>391958099.4</v>
      </c>
      <c r="D105" s="3">
        <f t="shared" si="2"/>
        <v>0</v>
      </c>
      <c r="E105" s="3">
        <f t="shared" si="3"/>
        <v>0</v>
      </c>
      <c r="F105" s="2" t="str">
        <f t="shared" si="1"/>
        <v>CRV</v>
      </c>
    </row>
    <row r="106">
      <c r="A106" s="3" t="str">
        <f>IFERROR(__xludf.DUMMYFUNCTION("""COMPUTED_VALUE"""),"2022-08-13T00:00:00Z")</f>
        <v>2022-08-13T00:00:00Z</v>
      </c>
      <c r="B106" s="3">
        <f>IFERROR(__xludf.DUMMYFUNCTION("""COMPUTED_VALUE"""),1.42097)</f>
        <v>1.42097</v>
      </c>
      <c r="C106" s="3">
        <f>IFERROR(__xludf.DUMMYFUNCTION("""COMPUTED_VALUE"""),3.91958099393145E8)</f>
        <v>391958099.4</v>
      </c>
      <c r="D106" s="3">
        <f t="shared" si="2"/>
        <v>0</v>
      </c>
      <c r="E106" s="3">
        <f t="shared" si="3"/>
        <v>0</v>
      </c>
      <c r="F106" s="2" t="str">
        <f t="shared" si="1"/>
        <v>CRV</v>
      </c>
    </row>
    <row r="107">
      <c r="A107" s="3" t="str">
        <f>IFERROR(__xludf.DUMMYFUNCTION("""COMPUTED_VALUE"""),"2022-08-14T00:00:00Z")</f>
        <v>2022-08-14T00:00:00Z</v>
      </c>
      <c r="B107" s="3">
        <f>IFERROR(__xludf.DUMMYFUNCTION("""COMPUTED_VALUE"""),1.434211)</f>
        <v>1.434211</v>
      </c>
      <c r="C107" s="3">
        <f>IFERROR(__xludf.DUMMYFUNCTION("""COMPUTED_VALUE"""),3.91958099393145E8)</f>
        <v>391958099.4</v>
      </c>
      <c r="D107" s="3">
        <f t="shared" si="2"/>
        <v>0</v>
      </c>
      <c r="E107" s="3">
        <f t="shared" si="3"/>
        <v>0</v>
      </c>
      <c r="F107" s="2" t="str">
        <f t="shared" si="1"/>
        <v>CRV</v>
      </c>
    </row>
    <row r="108">
      <c r="A108" s="3" t="str">
        <f>IFERROR(__xludf.DUMMYFUNCTION("""COMPUTED_VALUE"""),"2022-08-15T00:00:00Z")</f>
        <v>2022-08-15T00:00:00Z</v>
      </c>
      <c r="B108" s="3">
        <f>IFERROR(__xludf.DUMMYFUNCTION("""COMPUTED_VALUE"""),1.388947)</f>
        <v>1.388947</v>
      </c>
      <c r="C108" s="3">
        <f>IFERROR(__xludf.DUMMYFUNCTION("""COMPUTED_VALUE"""),3.91958099393145E8)</f>
        <v>391958099.4</v>
      </c>
      <c r="D108" s="3">
        <f t="shared" si="2"/>
        <v>0</v>
      </c>
      <c r="E108" s="3">
        <f t="shared" si="3"/>
        <v>0</v>
      </c>
      <c r="F108" s="2" t="str">
        <f t="shared" si="1"/>
        <v>CRV</v>
      </c>
    </row>
    <row r="109">
      <c r="A109" s="3" t="str">
        <f>IFERROR(__xludf.DUMMYFUNCTION("""COMPUTED_VALUE"""),"2022-08-16T00:00:00Z")</f>
        <v>2022-08-16T00:00:00Z</v>
      </c>
      <c r="B109" s="3">
        <f>IFERROR(__xludf.DUMMYFUNCTION("""COMPUTED_VALUE"""),1.333871)</f>
        <v>1.333871</v>
      </c>
      <c r="C109" s="3">
        <f>IFERROR(__xludf.DUMMYFUNCTION("""COMPUTED_VALUE"""),3.91958099393145E8)</f>
        <v>391958099.4</v>
      </c>
      <c r="D109" s="3">
        <f t="shared" si="2"/>
        <v>0</v>
      </c>
      <c r="E109" s="3">
        <f t="shared" si="3"/>
        <v>0</v>
      </c>
      <c r="F109" s="2" t="str">
        <f t="shared" si="1"/>
        <v>CRV</v>
      </c>
    </row>
    <row r="110">
      <c r="A110" s="3" t="str">
        <f>IFERROR(__xludf.DUMMYFUNCTION("""COMPUTED_VALUE"""),"2022-08-17T00:00:00Z")</f>
        <v>2022-08-17T00:00:00Z</v>
      </c>
      <c r="B110" s="3">
        <f>IFERROR(__xludf.DUMMYFUNCTION("""COMPUTED_VALUE"""),1.28584)</f>
        <v>1.28584</v>
      </c>
      <c r="C110" s="3">
        <f>IFERROR(__xludf.DUMMYFUNCTION("""COMPUTED_VALUE"""),3.91958099393145E8)</f>
        <v>391958099.4</v>
      </c>
      <c r="D110" s="3">
        <f t="shared" si="2"/>
        <v>0</v>
      </c>
      <c r="E110" s="3">
        <f t="shared" si="3"/>
        <v>0</v>
      </c>
      <c r="F110" s="2" t="str">
        <f t="shared" si="1"/>
        <v>CRV</v>
      </c>
    </row>
    <row r="111">
      <c r="A111" s="3" t="str">
        <f>IFERROR(__xludf.DUMMYFUNCTION("""COMPUTED_VALUE"""),"2022-08-18T00:00:00Z")</f>
        <v>2022-08-18T00:00:00Z</v>
      </c>
      <c r="B111" s="3">
        <f>IFERROR(__xludf.DUMMYFUNCTION("""COMPUTED_VALUE"""),1.182571)</f>
        <v>1.182571</v>
      </c>
      <c r="C111" s="3">
        <f>IFERROR(__xludf.DUMMYFUNCTION("""COMPUTED_VALUE"""),3.91958099393145E8)</f>
        <v>391958099.4</v>
      </c>
      <c r="D111" s="3">
        <f t="shared" si="2"/>
        <v>0</v>
      </c>
      <c r="E111" s="3">
        <f t="shared" si="3"/>
        <v>0</v>
      </c>
      <c r="F111" s="2" t="str">
        <f t="shared" si="1"/>
        <v>CRV</v>
      </c>
    </row>
    <row r="112">
      <c r="A112" s="3" t="str">
        <f>IFERROR(__xludf.DUMMYFUNCTION("""COMPUTED_VALUE"""),"2022-08-19T00:00:00Z")</f>
        <v>2022-08-19T00:00:00Z</v>
      </c>
      <c r="B112" s="3">
        <f>IFERROR(__xludf.DUMMYFUNCTION("""COMPUTED_VALUE"""),1.113743)</f>
        <v>1.113743</v>
      </c>
      <c r="C112" s="3">
        <f>IFERROR(__xludf.DUMMYFUNCTION("""COMPUTED_VALUE"""),3.91958099393145E8)</f>
        <v>391958099.4</v>
      </c>
      <c r="D112" s="3">
        <f t="shared" si="2"/>
        <v>0</v>
      </c>
      <c r="E112" s="3">
        <f t="shared" si="3"/>
        <v>0</v>
      </c>
      <c r="F112" s="2" t="str">
        <f t="shared" si="1"/>
        <v>CRV</v>
      </c>
    </row>
    <row r="113">
      <c r="A113" s="3" t="str">
        <f>IFERROR(__xludf.DUMMYFUNCTION("""COMPUTED_VALUE"""),"2022-08-20T00:00:00Z")</f>
        <v>2022-08-20T00:00:00Z</v>
      </c>
      <c r="B113" s="3">
        <f>IFERROR(__xludf.DUMMYFUNCTION("""COMPUTED_VALUE"""),1.051074)</f>
        <v>1.051074</v>
      </c>
      <c r="C113" s="3">
        <f>IFERROR(__xludf.DUMMYFUNCTION("""COMPUTED_VALUE"""),3.91958099393145E8)</f>
        <v>391958099.4</v>
      </c>
      <c r="D113" s="3">
        <f t="shared" si="2"/>
        <v>0</v>
      </c>
      <c r="E113" s="3">
        <f t="shared" si="3"/>
        <v>0</v>
      </c>
      <c r="F113" s="2" t="str">
        <f t="shared" si="1"/>
        <v>CRV</v>
      </c>
    </row>
    <row r="114">
      <c r="A114" s="3" t="str">
        <f>IFERROR(__xludf.DUMMYFUNCTION("""COMPUTED_VALUE"""),"2022-08-21T00:00:00Z")</f>
        <v>2022-08-21T00:00:00Z</v>
      </c>
      <c r="B114" s="3">
        <f>IFERROR(__xludf.DUMMYFUNCTION("""COMPUTED_VALUE"""),1.000278)</f>
        <v>1.000278</v>
      </c>
      <c r="C114" s="3">
        <f>IFERROR(__xludf.DUMMYFUNCTION("""COMPUTED_VALUE"""),3.91958099393145E8)</f>
        <v>391958099.4</v>
      </c>
      <c r="D114" s="3">
        <f t="shared" si="2"/>
        <v>0</v>
      </c>
      <c r="E114" s="3">
        <f t="shared" si="3"/>
        <v>0</v>
      </c>
      <c r="F114" s="2" t="str">
        <f t="shared" si="1"/>
        <v>CRV</v>
      </c>
    </row>
    <row r="115">
      <c r="A115" s="3" t="str">
        <f>IFERROR(__xludf.DUMMYFUNCTION("""COMPUTED_VALUE"""),"2022-08-22T00:00:00Z")</f>
        <v>2022-08-22T00:00:00Z</v>
      </c>
      <c r="B115" s="3">
        <f>IFERROR(__xludf.DUMMYFUNCTION("""COMPUTED_VALUE"""),1.025868)</f>
        <v>1.025868</v>
      </c>
      <c r="C115" s="3">
        <f>IFERROR(__xludf.DUMMYFUNCTION("""COMPUTED_VALUE"""),3.91958099393145E8)</f>
        <v>391958099.4</v>
      </c>
      <c r="D115" s="3">
        <f t="shared" si="2"/>
        <v>0</v>
      </c>
      <c r="E115" s="3">
        <f t="shared" si="3"/>
        <v>0</v>
      </c>
      <c r="F115" s="2" t="str">
        <f t="shared" si="1"/>
        <v>CRV</v>
      </c>
    </row>
    <row r="116">
      <c r="A116" s="3" t="str">
        <f>IFERROR(__xludf.DUMMYFUNCTION("""COMPUTED_VALUE"""),"2022-08-23T00:00:00Z")</f>
        <v>2022-08-23T00:00:00Z</v>
      </c>
      <c r="B116" s="3">
        <f>IFERROR(__xludf.DUMMYFUNCTION("""COMPUTED_VALUE"""),1.100016)</f>
        <v>1.100016</v>
      </c>
      <c r="C116" s="3">
        <f>IFERROR(__xludf.DUMMYFUNCTION("""COMPUTED_VALUE"""),3.91958099393145E8)</f>
        <v>391958099.4</v>
      </c>
      <c r="D116" s="3">
        <f t="shared" si="2"/>
        <v>0</v>
      </c>
      <c r="E116" s="3">
        <f t="shared" si="3"/>
        <v>0</v>
      </c>
      <c r="F116" s="2" t="str">
        <f t="shared" si="1"/>
        <v>CRV</v>
      </c>
    </row>
    <row r="117">
      <c r="A117" s="3" t="str">
        <f>IFERROR(__xludf.DUMMYFUNCTION("""COMPUTED_VALUE"""),"2022-08-24T00:00:00Z")</f>
        <v>2022-08-24T00:00:00Z</v>
      </c>
      <c r="B117" s="3">
        <f>IFERROR(__xludf.DUMMYFUNCTION("""COMPUTED_VALUE"""),1.184126)</f>
        <v>1.184126</v>
      </c>
      <c r="C117" s="3">
        <f>IFERROR(__xludf.DUMMYFUNCTION("""COMPUTED_VALUE"""),3.91958099393145E8)</f>
        <v>391958099.4</v>
      </c>
      <c r="D117" s="3">
        <f t="shared" si="2"/>
        <v>0</v>
      </c>
      <c r="E117" s="3">
        <f t="shared" si="3"/>
        <v>0</v>
      </c>
      <c r="F117" s="2" t="str">
        <f t="shared" si="1"/>
        <v>CRV</v>
      </c>
    </row>
    <row r="118">
      <c r="A118" s="3" t="str">
        <f>IFERROR(__xludf.DUMMYFUNCTION("""COMPUTED_VALUE"""),"2022-08-25T00:00:00Z")</f>
        <v>2022-08-25T00:00:00Z</v>
      </c>
      <c r="B118" s="3">
        <f>IFERROR(__xludf.DUMMYFUNCTION("""COMPUTED_VALUE"""),1.17799)</f>
        <v>1.17799</v>
      </c>
      <c r="C118" s="3">
        <f>IFERROR(__xludf.DUMMYFUNCTION("""COMPUTED_VALUE"""),3.91958099393145E8)</f>
        <v>391958099.4</v>
      </c>
      <c r="D118" s="3">
        <f t="shared" si="2"/>
        <v>0</v>
      </c>
      <c r="E118" s="3">
        <f t="shared" si="3"/>
        <v>0</v>
      </c>
      <c r="F118" s="2" t="str">
        <f t="shared" si="1"/>
        <v>CRV</v>
      </c>
    </row>
    <row r="119">
      <c r="A119" s="3" t="str">
        <f>IFERROR(__xludf.DUMMYFUNCTION("""COMPUTED_VALUE"""),"2022-08-26T00:00:00Z")</f>
        <v>2022-08-26T00:00:00Z</v>
      </c>
      <c r="B119" s="3">
        <f>IFERROR(__xludf.DUMMYFUNCTION("""COMPUTED_VALUE"""),1.178195)</f>
        <v>1.178195</v>
      </c>
      <c r="C119" s="3">
        <f>IFERROR(__xludf.DUMMYFUNCTION("""COMPUTED_VALUE"""),3.91958099393145E8)</f>
        <v>391958099.4</v>
      </c>
      <c r="D119" s="3">
        <f t="shared" si="2"/>
        <v>0</v>
      </c>
      <c r="E119" s="3">
        <f t="shared" si="3"/>
        <v>0</v>
      </c>
      <c r="F119" s="2" t="str">
        <f t="shared" si="1"/>
        <v>CRV</v>
      </c>
    </row>
    <row r="120">
      <c r="A120" s="3" t="str">
        <f>IFERROR(__xludf.DUMMYFUNCTION("""COMPUTED_VALUE"""),"2022-08-27T00:00:00Z")</f>
        <v>2022-08-27T00:00:00Z</v>
      </c>
      <c r="B120" s="3">
        <f>IFERROR(__xludf.DUMMYFUNCTION("""COMPUTED_VALUE"""),1.052734)</f>
        <v>1.052734</v>
      </c>
      <c r="C120" s="3">
        <f>IFERROR(__xludf.DUMMYFUNCTION("""COMPUTED_VALUE"""),3.91958099393145E8)</f>
        <v>391958099.4</v>
      </c>
      <c r="D120" s="3">
        <f t="shared" si="2"/>
        <v>0</v>
      </c>
      <c r="E120" s="3">
        <f t="shared" si="3"/>
        <v>0</v>
      </c>
      <c r="F120" s="2" t="str">
        <f t="shared" si="1"/>
        <v>CRV</v>
      </c>
    </row>
    <row r="121">
      <c r="A121" s="3" t="str">
        <f>IFERROR(__xludf.DUMMYFUNCTION("""COMPUTED_VALUE"""),"2022-08-28T00:00:00Z")</f>
        <v>2022-08-28T00:00:00Z</v>
      </c>
      <c r="B121" s="3">
        <f>IFERROR(__xludf.DUMMYFUNCTION("""COMPUTED_VALUE"""),1.04944)</f>
        <v>1.04944</v>
      </c>
      <c r="C121" s="3">
        <f>IFERROR(__xludf.DUMMYFUNCTION("""COMPUTED_VALUE"""),3.91958099393145E8)</f>
        <v>391958099.4</v>
      </c>
      <c r="D121" s="3">
        <f t="shared" si="2"/>
        <v>0</v>
      </c>
      <c r="E121" s="3">
        <f t="shared" si="3"/>
        <v>0</v>
      </c>
      <c r="F121" s="2" t="str">
        <f t="shared" si="1"/>
        <v>CRV</v>
      </c>
    </row>
    <row r="122">
      <c r="A122" s="3" t="str">
        <f>IFERROR(__xludf.DUMMYFUNCTION("""COMPUTED_VALUE"""),"2022-08-29T00:00:00Z")</f>
        <v>2022-08-29T00:00:00Z</v>
      </c>
      <c r="B122" s="3">
        <f>IFERROR(__xludf.DUMMYFUNCTION("""COMPUTED_VALUE"""),0.993683)</f>
        <v>0.993683</v>
      </c>
      <c r="C122" s="3">
        <f>IFERROR(__xludf.DUMMYFUNCTION("""COMPUTED_VALUE"""),3.91958099393145E8)</f>
        <v>391958099.4</v>
      </c>
      <c r="D122" s="3">
        <f t="shared" si="2"/>
        <v>0</v>
      </c>
      <c r="E122" s="3">
        <f t="shared" si="3"/>
        <v>0</v>
      </c>
      <c r="F122" s="2" t="str">
        <f t="shared" si="1"/>
        <v>CRV</v>
      </c>
    </row>
    <row r="123">
      <c r="A123" s="3" t="str">
        <f>IFERROR(__xludf.DUMMYFUNCTION("""COMPUTED_VALUE"""),"2022-08-30T00:00:00Z")</f>
        <v>2022-08-30T00:00:00Z</v>
      </c>
      <c r="B123" s="3">
        <f>IFERROR(__xludf.DUMMYFUNCTION("""COMPUTED_VALUE"""),1.079997)</f>
        <v>1.079997</v>
      </c>
      <c r="C123" s="3">
        <f>IFERROR(__xludf.DUMMYFUNCTION("""COMPUTED_VALUE"""),3.91958099393145E8)</f>
        <v>391958099.4</v>
      </c>
      <c r="D123" s="3">
        <f t="shared" si="2"/>
        <v>0</v>
      </c>
      <c r="E123" s="3">
        <f t="shared" si="3"/>
        <v>0</v>
      </c>
      <c r="F123" s="2" t="str">
        <f t="shared" si="1"/>
        <v>CRV</v>
      </c>
    </row>
    <row r="124">
      <c r="A124" s="3" t="str">
        <f>IFERROR(__xludf.DUMMYFUNCTION("""COMPUTED_VALUE"""),"2022-08-31T00:00:00Z")</f>
        <v>2022-08-31T00:00:00Z</v>
      </c>
      <c r="B124" s="3">
        <f>IFERROR(__xludf.DUMMYFUNCTION("""COMPUTED_VALUE"""),1.064846)</f>
        <v>1.064846</v>
      </c>
      <c r="C124" s="3">
        <f>IFERROR(__xludf.DUMMYFUNCTION("""COMPUTED_VALUE"""),3.91958099393145E8)</f>
        <v>391958099.4</v>
      </c>
      <c r="D124" s="3">
        <f t="shared" si="2"/>
        <v>0</v>
      </c>
      <c r="E124" s="3">
        <f t="shared" si="3"/>
        <v>0</v>
      </c>
      <c r="F124" s="2" t="str">
        <f t="shared" si="1"/>
        <v>CRV</v>
      </c>
    </row>
    <row r="125">
      <c r="A125" s="3" t="str">
        <f>IFERROR(__xludf.DUMMYFUNCTION("""COMPUTED_VALUE"""),"2022-09-01T00:00:00Z")</f>
        <v>2022-09-01T00:00:00Z</v>
      </c>
      <c r="B125" s="3">
        <f>IFERROR(__xludf.DUMMYFUNCTION("""COMPUTED_VALUE"""),1.146605)</f>
        <v>1.146605</v>
      </c>
      <c r="C125" s="3">
        <f>IFERROR(__xludf.DUMMYFUNCTION("""COMPUTED_VALUE"""),3.91958099393145E8)</f>
        <v>391958099.4</v>
      </c>
      <c r="D125" s="3">
        <f t="shared" si="2"/>
        <v>0</v>
      </c>
      <c r="E125" s="3">
        <f t="shared" si="3"/>
        <v>0</v>
      </c>
      <c r="F125" s="2" t="str">
        <f t="shared" si="1"/>
        <v>CRV</v>
      </c>
    </row>
    <row r="126">
      <c r="A126" s="3" t="str">
        <f>IFERROR(__xludf.DUMMYFUNCTION("""COMPUTED_VALUE"""),"2022-09-02T00:00:00Z")</f>
        <v>2022-09-02T00:00:00Z</v>
      </c>
      <c r="B126" s="3">
        <f>IFERROR(__xludf.DUMMYFUNCTION("""COMPUTED_VALUE"""),1.15513)</f>
        <v>1.15513</v>
      </c>
      <c r="C126" s="3">
        <f>IFERROR(__xludf.DUMMYFUNCTION("""COMPUTED_VALUE"""),3.91958099393145E8)</f>
        <v>391958099.4</v>
      </c>
      <c r="D126" s="3">
        <f t="shared" si="2"/>
        <v>0</v>
      </c>
      <c r="E126" s="3">
        <f t="shared" si="3"/>
        <v>0</v>
      </c>
      <c r="F126" s="2" t="str">
        <f t="shared" si="1"/>
        <v>CRV</v>
      </c>
    </row>
    <row r="127">
      <c r="A127" s="3" t="str">
        <f>IFERROR(__xludf.DUMMYFUNCTION("""COMPUTED_VALUE"""),"2022-09-03T00:00:00Z")</f>
        <v>2022-09-03T00:00:00Z</v>
      </c>
      <c r="B127" s="3">
        <f>IFERROR(__xludf.DUMMYFUNCTION("""COMPUTED_VALUE"""),1.093675)</f>
        <v>1.093675</v>
      </c>
      <c r="C127" s="3">
        <f>IFERROR(__xludf.DUMMYFUNCTION("""COMPUTED_VALUE"""),3.91958099393145E8)</f>
        <v>391958099.4</v>
      </c>
      <c r="D127" s="3">
        <f t="shared" si="2"/>
        <v>0</v>
      </c>
      <c r="E127" s="3">
        <f t="shared" si="3"/>
        <v>0</v>
      </c>
      <c r="F127" s="2" t="str">
        <f t="shared" si="1"/>
        <v>CRV</v>
      </c>
    </row>
    <row r="128">
      <c r="A128" s="3" t="str">
        <f>IFERROR(__xludf.DUMMYFUNCTION("""COMPUTED_VALUE"""),"2022-09-04T00:00:00Z")</f>
        <v>2022-09-04T00:00:00Z</v>
      </c>
      <c r="B128" s="3">
        <f>IFERROR(__xludf.DUMMYFUNCTION("""COMPUTED_VALUE"""),1.073543)</f>
        <v>1.073543</v>
      </c>
      <c r="C128" s="3">
        <f>IFERROR(__xludf.DUMMYFUNCTION("""COMPUTED_VALUE"""),3.91958099393145E8)</f>
        <v>391958099.4</v>
      </c>
      <c r="D128" s="3">
        <f t="shared" si="2"/>
        <v>0</v>
      </c>
      <c r="E128" s="3">
        <f t="shared" si="3"/>
        <v>0</v>
      </c>
      <c r="F128" s="2" t="str">
        <f t="shared" si="1"/>
        <v>CRV</v>
      </c>
    </row>
    <row r="129">
      <c r="A129" s="3" t="str">
        <f>IFERROR(__xludf.DUMMYFUNCTION("""COMPUTED_VALUE"""),"2022-09-05T00:00:00Z")</f>
        <v>2022-09-05T00:00:00Z</v>
      </c>
      <c r="B129" s="3">
        <f>IFERROR(__xludf.DUMMYFUNCTION("""COMPUTED_VALUE"""),1.092373)</f>
        <v>1.092373</v>
      </c>
      <c r="C129" s="3">
        <f>IFERROR(__xludf.DUMMYFUNCTION("""COMPUTED_VALUE"""),3.91958099393145E8)</f>
        <v>391958099.4</v>
      </c>
      <c r="D129" s="3">
        <f t="shared" si="2"/>
        <v>0</v>
      </c>
      <c r="E129" s="3">
        <f t="shared" si="3"/>
        <v>0</v>
      </c>
      <c r="F129" s="2" t="str">
        <f t="shared" si="1"/>
        <v>CRV</v>
      </c>
    </row>
    <row r="130">
      <c r="A130" s="3" t="str">
        <f>IFERROR(__xludf.DUMMYFUNCTION("""COMPUTED_VALUE"""),"2022-09-06T00:00:00Z")</f>
        <v>2022-09-06T00:00:00Z</v>
      </c>
      <c r="B130" s="3">
        <f>IFERROR(__xludf.DUMMYFUNCTION("""COMPUTED_VALUE"""),1.152302)</f>
        <v>1.152302</v>
      </c>
      <c r="C130" s="3">
        <f>IFERROR(__xludf.DUMMYFUNCTION("""COMPUTED_VALUE"""),3.91958099393145E8)</f>
        <v>391958099.4</v>
      </c>
      <c r="D130" s="3">
        <f t="shared" si="2"/>
        <v>0</v>
      </c>
      <c r="E130" s="3">
        <f t="shared" si="3"/>
        <v>0</v>
      </c>
      <c r="F130" s="2" t="str">
        <f t="shared" si="1"/>
        <v>CRV</v>
      </c>
    </row>
    <row r="131">
      <c r="A131" s="3" t="str">
        <f>IFERROR(__xludf.DUMMYFUNCTION("""COMPUTED_VALUE"""),"2022-09-07T00:00:00Z")</f>
        <v>2022-09-07T00:00:00Z</v>
      </c>
      <c r="B131" s="3">
        <f>IFERROR(__xludf.DUMMYFUNCTION("""COMPUTED_VALUE"""),1.036886)</f>
        <v>1.036886</v>
      </c>
      <c r="C131" s="3">
        <f>IFERROR(__xludf.DUMMYFUNCTION("""COMPUTED_VALUE"""),3.91958099393145E8)</f>
        <v>391958099.4</v>
      </c>
      <c r="D131" s="3">
        <f t="shared" si="2"/>
        <v>0</v>
      </c>
      <c r="E131" s="3">
        <f t="shared" si="3"/>
        <v>0</v>
      </c>
      <c r="F131" s="2" t="str">
        <f t="shared" si="1"/>
        <v>CRV</v>
      </c>
    </row>
    <row r="132">
      <c r="A132" s="3" t="str">
        <f>IFERROR(__xludf.DUMMYFUNCTION("""COMPUTED_VALUE"""),"2022-09-08T00:00:00Z")</f>
        <v>2022-09-08T00:00:00Z</v>
      </c>
      <c r="B132" s="3">
        <f>IFERROR(__xludf.DUMMYFUNCTION("""COMPUTED_VALUE"""),1.167068)</f>
        <v>1.167068</v>
      </c>
      <c r="C132" s="3">
        <f>IFERROR(__xludf.DUMMYFUNCTION("""COMPUTED_VALUE"""),3.91958099393145E8)</f>
        <v>391958099.4</v>
      </c>
      <c r="D132" s="3">
        <f t="shared" si="2"/>
        <v>0</v>
      </c>
      <c r="E132" s="3">
        <f t="shared" si="3"/>
        <v>0</v>
      </c>
      <c r="F132" s="2" t="str">
        <f t="shared" si="1"/>
        <v>CRV</v>
      </c>
    </row>
    <row r="133">
      <c r="A133" s="3" t="str">
        <f>IFERROR(__xludf.DUMMYFUNCTION("""COMPUTED_VALUE"""),"2022-09-09T00:00:00Z")</f>
        <v>2022-09-09T00:00:00Z</v>
      </c>
      <c r="B133" s="3">
        <f>IFERROR(__xludf.DUMMYFUNCTION("""COMPUTED_VALUE"""),1.128826)</f>
        <v>1.128826</v>
      </c>
      <c r="C133" s="3">
        <f>IFERROR(__xludf.DUMMYFUNCTION("""COMPUTED_VALUE"""),3.91958099393145E8)</f>
        <v>391958099.4</v>
      </c>
      <c r="D133" s="3">
        <f t="shared" si="2"/>
        <v>0</v>
      </c>
      <c r="E133" s="3">
        <f t="shared" si="3"/>
        <v>0</v>
      </c>
      <c r="F133" s="2" t="str">
        <f t="shared" si="1"/>
        <v>CRV</v>
      </c>
    </row>
    <row r="134">
      <c r="A134" s="3" t="str">
        <f>IFERROR(__xludf.DUMMYFUNCTION("""COMPUTED_VALUE"""),"2022-09-10T00:00:00Z")</f>
        <v>2022-09-10T00:00:00Z</v>
      </c>
      <c r="B134" s="3">
        <f>IFERROR(__xludf.DUMMYFUNCTION("""COMPUTED_VALUE"""),1.20462)</f>
        <v>1.20462</v>
      </c>
      <c r="C134" s="3">
        <f>IFERROR(__xludf.DUMMYFUNCTION("""COMPUTED_VALUE"""),3.91958099393145E8)</f>
        <v>391958099.4</v>
      </c>
      <c r="D134" s="3">
        <f t="shared" si="2"/>
        <v>0</v>
      </c>
      <c r="E134" s="3">
        <f t="shared" si="3"/>
        <v>0</v>
      </c>
      <c r="F134" s="2" t="str">
        <f t="shared" si="1"/>
        <v>CRV</v>
      </c>
    </row>
    <row r="135">
      <c r="A135" s="3" t="str">
        <f>IFERROR(__xludf.DUMMYFUNCTION("""COMPUTED_VALUE"""),"2022-09-11T00:00:00Z")</f>
        <v>2022-09-11T00:00:00Z</v>
      </c>
      <c r="B135" s="3">
        <f>IFERROR(__xludf.DUMMYFUNCTION("""COMPUTED_VALUE"""),1.244362)</f>
        <v>1.244362</v>
      </c>
      <c r="C135" s="3">
        <f>IFERROR(__xludf.DUMMYFUNCTION("""COMPUTED_VALUE"""),3.91958099393145E8)</f>
        <v>391958099.4</v>
      </c>
      <c r="D135" s="3">
        <f t="shared" si="2"/>
        <v>0</v>
      </c>
      <c r="E135" s="3">
        <f t="shared" si="3"/>
        <v>0</v>
      </c>
      <c r="F135" s="2" t="str">
        <f t="shared" si="1"/>
        <v>CRV</v>
      </c>
    </row>
    <row r="136">
      <c r="A136" s="3" t="str">
        <f>IFERROR(__xludf.DUMMYFUNCTION("""COMPUTED_VALUE"""),"2022-09-12T00:00:00Z")</f>
        <v>2022-09-12T00:00:00Z</v>
      </c>
      <c r="B136" s="3">
        <f>IFERROR(__xludf.DUMMYFUNCTION("""COMPUTED_VALUE"""),1.182846)</f>
        <v>1.182846</v>
      </c>
      <c r="C136" s="3">
        <f>IFERROR(__xludf.DUMMYFUNCTION("""COMPUTED_VALUE"""),3.91958099393145E8)</f>
        <v>391958099.4</v>
      </c>
      <c r="D136" s="3">
        <f t="shared" si="2"/>
        <v>0</v>
      </c>
      <c r="E136" s="3">
        <f t="shared" si="3"/>
        <v>0</v>
      </c>
      <c r="F136" s="2" t="str">
        <f t="shared" si="1"/>
        <v>CRV</v>
      </c>
    </row>
    <row r="137">
      <c r="A137" s="3" t="str">
        <f>IFERROR(__xludf.DUMMYFUNCTION("""COMPUTED_VALUE"""),"2022-09-13T00:00:00Z")</f>
        <v>2022-09-13T00:00:00Z</v>
      </c>
      <c r="B137" s="3">
        <f>IFERROR(__xludf.DUMMYFUNCTION("""COMPUTED_VALUE"""),1.143112)</f>
        <v>1.143112</v>
      </c>
      <c r="C137" s="3">
        <f>IFERROR(__xludf.DUMMYFUNCTION("""COMPUTED_VALUE"""),3.91958099393145E8)</f>
        <v>391958099.4</v>
      </c>
      <c r="D137" s="3">
        <f t="shared" si="2"/>
        <v>0</v>
      </c>
      <c r="E137" s="3">
        <f t="shared" si="3"/>
        <v>0</v>
      </c>
      <c r="F137" s="2" t="str">
        <f t="shared" si="1"/>
        <v>CRV</v>
      </c>
    </row>
    <row r="138">
      <c r="A138" s="3" t="str">
        <f>IFERROR(__xludf.DUMMYFUNCTION("""COMPUTED_VALUE"""),"2022-09-14T00:00:00Z")</f>
        <v>2022-09-14T00:00:00Z</v>
      </c>
      <c r="B138" s="3">
        <f>IFERROR(__xludf.DUMMYFUNCTION("""COMPUTED_VALUE"""),1.052023)</f>
        <v>1.052023</v>
      </c>
      <c r="C138" s="3">
        <f>IFERROR(__xludf.DUMMYFUNCTION("""COMPUTED_VALUE"""),3.91958099393145E8)</f>
        <v>391958099.4</v>
      </c>
      <c r="D138" s="3">
        <f t="shared" si="2"/>
        <v>0</v>
      </c>
      <c r="E138" s="3">
        <f t="shared" si="3"/>
        <v>0</v>
      </c>
      <c r="F138" s="2" t="str">
        <f t="shared" si="1"/>
        <v>CRV</v>
      </c>
    </row>
    <row r="139">
      <c r="A139" s="3" t="str">
        <f>IFERROR(__xludf.DUMMYFUNCTION("""COMPUTED_VALUE"""),"2022-09-15T00:00:00Z")</f>
        <v>2022-09-15T00:00:00Z</v>
      </c>
      <c r="B139" s="3">
        <f>IFERROR(__xludf.DUMMYFUNCTION("""COMPUTED_VALUE"""),1.070252)</f>
        <v>1.070252</v>
      </c>
      <c r="C139" s="3">
        <f>IFERROR(__xludf.DUMMYFUNCTION("""COMPUTED_VALUE"""),3.91958099393145E8)</f>
        <v>391958099.4</v>
      </c>
      <c r="D139" s="3">
        <f t="shared" si="2"/>
        <v>0</v>
      </c>
      <c r="E139" s="3">
        <f t="shared" si="3"/>
        <v>0</v>
      </c>
      <c r="F139" s="2" t="str">
        <f t="shared" si="1"/>
        <v>CRV</v>
      </c>
    </row>
    <row r="140">
      <c r="A140" s="3" t="str">
        <f>IFERROR(__xludf.DUMMYFUNCTION("""COMPUTED_VALUE"""),"2022-09-16T00:00:00Z")</f>
        <v>2022-09-16T00:00:00Z</v>
      </c>
      <c r="B140" s="3">
        <f>IFERROR(__xludf.DUMMYFUNCTION("""COMPUTED_VALUE"""),1.053306)</f>
        <v>1.053306</v>
      </c>
      <c r="C140" s="3">
        <f>IFERROR(__xludf.DUMMYFUNCTION("""COMPUTED_VALUE"""),3.91958099393145E8)</f>
        <v>391958099.4</v>
      </c>
      <c r="D140" s="3">
        <f t="shared" si="2"/>
        <v>0</v>
      </c>
      <c r="E140" s="3">
        <f t="shared" si="3"/>
        <v>0</v>
      </c>
      <c r="F140" s="2" t="str">
        <f t="shared" si="1"/>
        <v>CRV</v>
      </c>
    </row>
    <row r="141">
      <c r="A141" s="3" t="str">
        <f>IFERROR(__xludf.DUMMYFUNCTION("""COMPUTED_VALUE"""),"2022-09-17T00:00:00Z")</f>
        <v>2022-09-17T00:00:00Z</v>
      </c>
      <c r="B141" s="3">
        <f>IFERROR(__xludf.DUMMYFUNCTION("""COMPUTED_VALUE"""),1.058759)</f>
        <v>1.058759</v>
      </c>
      <c r="C141" s="3">
        <f>IFERROR(__xludf.DUMMYFUNCTION("""COMPUTED_VALUE"""),3.91958099393145E8)</f>
        <v>391958099.4</v>
      </c>
      <c r="D141" s="3">
        <f t="shared" si="2"/>
        <v>0</v>
      </c>
      <c r="E141" s="3">
        <f t="shared" si="3"/>
        <v>0</v>
      </c>
      <c r="F141" s="2" t="str">
        <f t="shared" si="1"/>
        <v>CRV</v>
      </c>
    </row>
    <row r="142">
      <c r="A142" s="3" t="str">
        <f>IFERROR(__xludf.DUMMYFUNCTION("""COMPUTED_VALUE"""),"2022-09-18T00:00:00Z")</f>
        <v>2022-09-18T00:00:00Z</v>
      </c>
      <c r="B142" s="3">
        <f>IFERROR(__xludf.DUMMYFUNCTION("""COMPUTED_VALUE"""),1.083228)</f>
        <v>1.083228</v>
      </c>
      <c r="C142" s="3">
        <f>IFERROR(__xludf.DUMMYFUNCTION("""COMPUTED_VALUE"""),3.91958099393145E8)</f>
        <v>391958099.4</v>
      </c>
      <c r="D142" s="3">
        <f t="shared" si="2"/>
        <v>0</v>
      </c>
      <c r="E142" s="3">
        <f t="shared" si="3"/>
        <v>0</v>
      </c>
      <c r="F142" s="2" t="str">
        <f t="shared" si="1"/>
        <v>CRV</v>
      </c>
    </row>
    <row r="143">
      <c r="A143" s="3" t="str">
        <f>IFERROR(__xludf.DUMMYFUNCTION("""COMPUTED_VALUE"""),"2022-09-19T00:00:00Z")</f>
        <v>2022-09-19T00:00:00Z</v>
      </c>
      <c r="B143" s="3">
        <f>IFERROR(__xludf.DUMMYFUNCTION("""COMPUTED_VALUE"""),0.934896)</f>
        <v>0.934896</v>
      </c>
      <c r="C143" s="3">
        <f>IFERROR(__xludf.DUMMYFUNCTION("""COMPUTED_VALUE"""),3.91958099393145E8)</f>
        <v>391958099.4</v>
      </c>
      <c r="D143" s="3">
        <f t="shared" si="2"/>
        <v>0</v>
      </c>
      <c r="E143" s="3">
        <f t="shared" si="3"/>
        <v>0</v>
      </c>
      <c r="F143" s="2" t="str">
        <f t="shared" si="1"/>
        <v>CRV</v>
      </c>
    </row>
    <row r="144">
      <c r="A144" s="3" t="str">
        <f>IFERROR(__xludf.DUMMYFUNCTION("""COMPUTED_VALUE"""),"2022-09-20T00:00:00Z")</f>
        <v>2022-09-20T00:00:00Z</v>
      </c>
      <c r="B144" s="3">
        <f>IFERROR(__xludf.DUMMYFUNCTION("""COMPUTED_VALUE"""),0.982449)</f>
        <v>0.982449</v>
      </c>
      <c r="C144" s="3">
        <f>IFERROR(__xludf.DUMMYFUNCTION("""COMPUTED_VALUE"""),3.91958099393145E8)</f>
        <v>391958099.4</v>
      </c>
      <c r="D144" s="3">
        <f t="shared" si="2"/>
        <v>0</v>
      </c>
      <c r="E144" s="3">
        <f t="shared" si="3"/>
        <v>0</v>
      </c>
      <c r="F144" s="2" t="str">
        <f t="shared" si="1"/>
        <v>CRV</v>
      </c>
    </row>
    <row r="145">
      <c r="A145" s="3" t="str">
        <f>IFERROR(__xludf.DUMMYFUNCTION("""COMPUTED_VALUE"""),"2022-09-21T00:00:00Z")</f>
        <v>2022-09-21T00:00:00Z</v>
      </c>
      <c r="B145" s="3">
        <f>IFERROR(__xludf.DUMMYFUNCTION("""COMPUTED_VALUE"""),0.944435)</f>
        <v>0.944435</v>
      </c>
      <c r="C145" s="3">
        <f>IFERROR(__xludf.DUMMYFUNCTION("""COMPUTED_VALUE"""),3.91958099393145E8)</f>
        <v>391958099.4</v>
      </c>
      <c r="D145" s="3">
        <f t="shared" si="2"/>
        <v>0</v>
      </c>
      <c r="E145" s="3">
        <f t="shared" si="3"/>
        <v>0</v>
      </c>
      <c r="F145" s="2" t="str">
        <f t="shared" si="1"/>
        <v>CRV</v>
      </c>
    </row>
    <row r="146">
      <c r="A146" s="3" t="str">
        <f>IFERROR(__xludf.DUMMYFUNCTION("""COMPUTED_VALUE"""),"2022-09-22T00:00:00Z")</f>
        <v>2022-09-22T00:00:00Z</v>
      </c>
      <c r="B146" s="3">
        <f>IFERROR(__xludf.DUMMYFUNCTION("""COMPUTED_VALUE"""),0.862011)</f>
        <v>0.862011</v>
      </c>
      <c r="C146" s="3">
        <f>IFERROR(__xludf.DUMMYFUNCTION("""COMPUTED_VALUE"""),3.91958099393145E8)</f>
        <v>391958099.4</v>
      </c>
      <c r="D146" s="2">
        <f t="shared" ref="D146:D1000" si="4">IF(ISBLANK(A146),"",C146-C145)</f>
        <v>0</v>
      </c>
      <c r="E146" s="2">
        <f t="shared" ref="E146:E1000" si="5">IF(ISBLANK(A146),"",B146*D146)</f>
        <v>0</v>
      </c>
      <c r="F146" s="2" t="str">
        <f t="shared" si="1"/>
        <v>CRV</v>
      </c>
    </row>
    <row r="147">
      <c r="A147" s="3" t="str">
        <f>IFERROR(__xludf.DUMMYFUNCTION("""COMPUTED_VALUE"""),"2022-09-23T00:00:00Z")</f>
        <v>2022-09-23T00:00:00Z</v>
      </c>
      <c r="B147" s="3">
        <f>IFERROR(__xludf.DUMMYFUNCTION("""COMPUTED_VALUE"""),0.916354)</f>
        <v>0.916354</v>
      </c>
      <c r="C147" s="3">
        <f>IFERROR(__xludf.DUMMYFUNCTION("""COMPUTED_VALUE"""),3.91958099393145E8)</f>
        <v>391958099.4</v>
      </c>
      <c r="D147" s="2">
        <f t="shared" si="4"/>
        <v>0</v>
      </c>
      <c r="E147" s="2">
        <f t="shared" si="5"/>
        <v>0</v>
      </c>
      <c r="F147" s="2" t="str">
        <f t="shared" si="1"/>
        <v>CRV</v>
      </c>
    </row>
    <row r="148">
      <c r="A148" s="3" t="str">
        <f>IFERROR(__xludf.DUMMYFUNCTION("""COMPUTED_VALUE"""),"2022-09-24T00:00:00Z")</f>
        <v>2022-09-24T00:00:00Z</v>
      </c>
      <c r="B148" s="3">
        <f>IFERROR(__xludf.DUMMYFUNCTION("""COMPUTED_VALUE"""),0.943261)</f>
        <v>0.943261</v>
      </c>
      <c r="C148" s="3">
        <f>IFERROR(__xludf.DUMMYFUNCTION("""COMPUTED_VALUE"""),3.91958099393145E8)</f>
        <v>391958099.4</v>
      </c>
      <c r="D148" s="2">
        <f t="shared" si="4"/>
        <v>0</v>
      </c>
      <c r="E148" s="2">
        <f t="shared" si="5"/>
        <v>0</v>
      </c>
      <c r="F148" s="2" t="str">
        <f t="shared" si="1"/>
        <v>CRV</v>
      </c>
    </row>
    <row r="149">
      <c r="A149" s="3" t="str">
        <f>IFERROR(__xludf.DUMMYFUNCTION("""COMPUTED_VALUE"""),"2022-09-25T00:00:00Z")</f>
        <v>2022-09-25T00:00:00Z</v>
      </c>
      <c r="B149" s="3">
        <f>IFERROR(__xludf.DUMMYFUNCTION("""COMPUTED_VALUE"""),0.92001)</f>
        <v>0.92001</v>
      </c>
      <c r="C149" s="3">
        <f>IFERROR(__xludf.DUMMYFUNCTION("""COMPUTED_VALUE"""),3.91958099393145E8)</f>
        <v>391958099.4</v>
      </c>
      <c r="D149" s="2">
        <f t="shared" si="4"/>
        <v>0</v>
      </c>
      <c r="E149" s="2">
        <f t="shared" si="5"/>
        <v>0</v>
      </c>
      <c r="F149" s="2" t="str">
        <f t="shared" si="1"/>
        <v>CRV</v>
      </c>
    </row>
    <row r="150">
      <c r="A150" s="3"/>
      <c r="B150" s="3"/>
      <c r="C150" s="3"/>
      <c r="D150" s="2" t="str">
        <f t="shared" si="4"/>
        <v/>
      </c>
      <c r="E150" s="2" t="str">
        <f t="shared" si="5"/>
        <v/>
      </c>
      <c r="F150" s="2" t="str">
        <f t="shared" si="1"/>
        <v/>
      </c>
    </row>
    <row r="151">
      <c r="A151" s="3"/>
      <c r="B151" s="3"/>
      <c r="C151" s="3"/>
      <c r="D151" s="2" t="str">
        <f t="shared" si="4"/>
        <v/>
      </c>
      <c r="E151" s="2" t="str">
        <f t="shared" si="5"/>
        <v/>
      </c>
      <c r="F151" s="2" t="str">
        <f t="shared" si="1"/>
        <v/>
      </c>
    </row>
    <row r="152">
      <c r="A152" s="3"/>
      <c r="B152" s="3"/>
      <c r="C152" s="3"/>
      <c r="D152" s="2" t="str">
        <f t="shared" si="4"/>
        <v/>
      </c>
      <c r="E152" s="2" t="str">
        <f t="shared" si="5"/>
        <v/>
      </c>
      <c r="F152" s="2" t="str">
        <f t="shared" si="1"/>
        <v/>
      </c>
    </row>
    <row r="153">
      <c r="A153" s="3"/>
      <c r="B153" s="3"/>
      <c r="C153" s="3"/>
      <c r="D153" s="2" t="str">
        <f t="shared" si="4"/>
        <v/>
      </c>
      <c r="E153" s="2" t="str">
        <f t="shared" si="5"/>
        <v/>
      </c>
      <c r="F153" s="2" t="str">
        <f t="shared" si="1"/>
        <v/>
      </c>
    </row>
    <row r="154">
      <c r="A154" s="3"/>
      <c r="B154" s="3"/>
      <c r="C154" s="3"/>
      <c r="D154" s="2" t="str">
        <f t="shared" si="4"/>
        <v/>
      </c>
      <c r="E154" s="2" t="str">
        <f t="shared" si="5"/>
        <v/>
      </c>
      <c r="F154" s="2" t="str">
        <f t="shared" si="1"/>
        <v/>
      </c>
    </row>
    <row r="155">
      <c r="A155" s="3"/>
      <c r="B155" s="3"/>
      <c r="C155" s="3"/>
      <c r="D155" s="2" t="str">
        <f t="shared" si="4"/>
        <v/>
      </c>
      <c r="E155" s="2" t="str">
        <f t="shared" si="5"/>
        <v/>
      </c>
      <c r="F155" s="2" t="str">
        <f t="shared" si="1"/>
        <v/>
      </c>
    </row>
    <row r="156">
      <c r="A156" s="3"/>
      <c r="B156" s="3"/>
      <c r="C156" s="3"/>
      <c r="D156" s="2" t="str">
        <f t="shared" si="4"/>
        <v/>
      </c>
      <c r="E156" s="2" t="str">
        <f t="shared" si="5"/>
        <v/>
      </c>
      <c r="F156" s="2" t="str">
        <f t="shared" si="1"/>
        <v/>
      </c>
    </row>
    <row r="157">
      <c r="A157" s="3"/>
      <c r="B157" s="3"/>
      <c r="C157" s="3"/>
      <c r="D157" s="2" t="str">
        <f t="shared" si="4"/>
        <v/>
      </c>
      <c r="E157" s="2" t="str">
        <f t="shared" si="5"/>
        <v/>
      </c>
      <c r="F157" s="2" t="str">
        <f t="shared" si="1"/>
        <v/>
      </c>
    </row>
    <row r="158">
      <c r="A158" s="3"/>
      <c r="B158" s="3"/>
      <c r="C158" s="3"/>
      <c r="D158" s="2" t="str">
        <f t="shared" si="4"/>
        <v/>
      </c>
      <c r="E158" s="2" t="str">
        <f t="shared" si="5"/>
        <v/>
      </c>
      <c r="F158" s="2" t="str">
        <f t="shared" si="1"/>
        <v/>
      </c>
    </row>
    <row r="159">
      <c r="A159" s="3"/>
      <c r="B159" s="3"/>
      <c r="C159" s="3"/>
      <c r="D159" s="2" t="str">
        <f t="shared" si="4"/>
        <v/>
      </c>
      <c r="E159" s="2" t="str">
        <f t="shared" si="5"/>
        <v/>
      </c>
      <c r="F159" s="2" t="str">
        <f t="shared" si="1"/>
        <v/>
      </c>
    </row>
    <row r="160">
      <c r="A160" s="3"/>
      <c r="B160" s="3"/>
      <c r="C160" s="3"/>
      <c r="D160" s="2" t="str">
        <f t="shared" si="4"/>
        <v/>
      </c>
      <c r="E160" s="2" t="str">
        <f t="shared" si="5"/>
        <v/>
      </c>
      <c r="F160" s="2" t="str">
        <f t="shared" si="1"/>
        <v/>
      </c>
    </row>
    <row r="161">
      <c r="A161" s="3"/>
      <c r="B161" s="3"/>
      <c r="C161" s="3"/>
      <c r="D161" s="2" t="str">
        <f t="shared" si="4"/>
        <v/>
      </c>
      <c r="E161" s="2" t="str">
        <f t="shared" si="5"/>
        <v/>
      </c>
      <c r="F161" s="2" t="str">
        <f t="shared" si="1"/>
        <v/>
      </c>
    </row>
    <row r="162">
      <c r="A162" s="3"/>
      <c r="B162" s="3"/>
      <c r="C162" s="3"/>
      <c r="D162" s="2" t="str">
        <f t="shared" si="4"/>
        <v/>
      </c>
      <c r="E162" s="2" t="str">
        <f t="shared" si="5"/>
        <v/>
      </c>
      <c r="F162" s="2" t="str">
        <f t="shared" si="1"/>
        <v/>
      </c>
    </row>
    <row r="163">
      <c r="A163" s="3"/>
      <c r="B163" s="3"/>
      <c r="C163" s="3"/>
      <c r="D163" s="2" t="str">
        <f t="shared" si="4"/>
        <v/>
      </c>
      <c r="E163" s="2" t="str">
        <f t="shared" si="5"/>
        <v/>
      </c>
      <c r="F163" s="2" t="str">
        <f t="shared" si="1"/>
        <v/>
      </c>
    </row>
    <row r="164">
      <c r="A164" s="3"/>
      <c r="B164" s="3"/>
      <c r="C164" s="3"/>
      <c r="D164" s="2" t="str">
        <f t="shared" si="4"/>
        <v/>
      </c>
      <c r="E164" s="2" t="str">
        <f t="shared" si="5"/>
        <v/>
      </c>
      <c r="F164" s="2" t="str">
        <f t="shared" si="1"/>
        <v/>
      </c>
    </row>
    <row r="165">
      <c r="A165" s="3"/>
      <c r="B165" s="3"/>
      <c r="C165" s="3"/>
      <c r="D165" s="2" t="str">
        <f t="shared" si="4"/>
        <v/>
      </c>
      <c r="E165" s="2" t="str">
        <f t="shared" si="5"/>
        <v/>
      </c>
      <c r="F165" s="2" t="str">
        <f t="shared" si="1"/>
        <v/>
      </c>
    </row>
    <row r="166">
      <c r="A166" s="3"/>
      <c r="B166" s="3"/>
      <c r="C166" s="3"/>
      <c r="D166" s="2" t="str">
        <f t="shared" si="4"/>
        <v/>
      </c>
      <c r="E166" s="2" t="str">
        <f t="shared" si="5"/>
        <v/>
      </c>
      <c r="F166" s="2" t="str">
        <f t="shared" si="1"/>
        <v/>
      </c>
    </row>
    <row r="167">
      <c r="A167" s="3"/>
      <c r="B167" s="3"/>
      <c r="C167" s="3"/>
      <c r="D167" s="2" t="str">
        <f t="shared" si="4"/>
        <v/>
      </c>
      <c r="E167" s="2" t="str">
        <f t="shared" si="5"/>
        <v/>
      </c>
      <c r="F167" s="2" t="str">
        <f t="shared" si="1"/>
        <v/>
      </c>
    </row>
    <row r="168">
      <c r="A168" s="3"/>
      <c r="B168" s="3"/>
      <c r="C168" s="3"/>
      <c r="D168" s="2" t="str">
        <f t="shared" si="4"/>
        <v/>
      </c>
      <c r="E168" s="2" t="str">
        <f t="shared" si="5"/>
        <v/>
      </c>
      <c r="F168" s="2" t="str">
        <f t="shared" si="1"/>
        <v/>
      </c>
    </row>
    <row r="169">
      <c r="A169" s="3"/>
      <c r="B169" s="3"/>
      <c r="C169" s="3"/>
      <c r="D169" s="2" t="str">
        <f t="shared" si="4"/>
        <v/>
      </c>
      <c r="E169" s="2" t="str">
        <f t="shared" si="5"/>
        <v/>
      </c>
      <c r="F169" s="2" t="str">
        <f t="shared" si="1"/>
        <v/>
      </c>
    </row>
    <row r="170">
      <c r="A170" s="3"/>
      <c r="B170" s="3"/>
      <c r="C170" s="3"/>
      <c r="D170" s="2" t="str">
        <f t="shared" si="4"/>
        <v/>
      </c>
      <c r="E170" s="2" t="str">
        <f t="shared" si="5"/>
        <v/>
      </c>
      <c r="F170" s="2" t="str">
        <f t="shared" si="1"/>
        <v/>
      </c>
    </row>
    <row r="171">
      <c r="A171" s="3"/>
      <c r="B171" s="3"/>
      <c r="C171" s="3"/>
      <c r="D171" s="2" t="str">
        <f t="shared" si="4"/>
        <v/>
      </c>
      <c r="E171" s="2" t="str">
        <f t="shared" si="5"/>
        <v/>
      </c>
      <c r="F171" s="2" t="str">
        <f t="shared" si="1"/>
        <v/>
      </c>
    </row>
    <row r="172">
      <c r="A172" s="3"/>
      <c r="B172" s="3"/>
      <c r="C172" s="3"/>
      <c r="D172" s="2" t="str">
        <f t="shared" si="4"/>
        <v/>
      </c>
      <c r="E172" s="2" t="str">
        <f t="shared" si="5"/>
        <v/>
      </c>
      <c r="F172" s="2" t="str">
        <f t="shared" si="1"/>
        <v/>
      </c>
    </row>
    <row r="173">
      <c r="A173" s="3"/>
      <c r="B173" s="3"/>
      <c r="C173" s="3"/>
      <c r="D173" s="2" t="str">
        <f t="shared" si="4"/>
        <v/>
      </c>
      <c r="E173" s="2" t="str">
        <f t="shared" si="5"/>
        <v/>
      </c>
      <c r="F173" s="2" t="str">
        <f t="shared" si="1"/>
        <v/>
      </c>
    </row>
    <row r="174">
      <c r="A174" s="3"/>
      <c r="B174" s="3"/>
      <c r="C174" s="3"/>
      <c r="D174" s="2" t="str">
        <f t="shared" si="4"/>
        <v/>
      </c>
      <c r="E174" s="2" t="str">
        <f t="shared" si="5"/>
        <v/>
      </c>
      <c r="F174" s="2" t="str">
        <f t="shared" si="1"/>
        <v/>
      </c>
    </row>
    <row r="175">
      <c r="A175" s="3"/>
      <c r="B175" s="3"/>
      <c r="C175" s="3"/>
      <c r="D175" s="2" t="str">
        <f t="shared" si="4"/>
        <v/>
      </c>
      <c r="E175" s="2" t="str">
        <f t="shared" si="5"/>
        <v/>
      </c>
      <c r="F175" s="2" t="str">
        <f t="shared" si="1"/>
        <v/>
      </c>
    </row>
    <row r="176">
      <c r="A176" s="3"/>
      <c r="B176" s="3"/>
      <c r="C176" s="3"/>
      <c r="D176" s="2" t="str">
        <f t="shared" si="4"/>
        <v/>
      </c>
      <c r="E176" s="2" t="str">
        <f t="shared" si="5"/>
        <v/>
      </c>
      <c r="F176" s="2" t="str">
        <f t="shared" si="1"/>
        <v/>
      </c>
    </row>
    <row r="177">
      <c r="A177" s="3"/>
      <c r="B177" s="3"/>
      <c r="C177" s="3"/>
      <c r="D177" s="2" t="str">
        <f t="shared" si="4"/>
        <v/>
      </c>
      <c r="E177" s="2" t="str">
        <f t="shared" si="5"/>
        <v/>
      </c>
      <c r="F177" s="2" t="str">
        <f t="shared" si="1"/>
        <v/>
      </c>
    </row>
    <row r="178">
      <c r="A178" s="3"/>
      <c r="B178" s="3"/>
      <c r="C178" s="3"/>
      <c r="D178" s="2" t="str">
        <f t="shared" si="4"/>
        <v/>
      </c>
      <c r="E178" s="2" t="str">
        <f t="shared" si="5"/>
        <v/>
      </c>
      <c r="F178" s="2" t="str">
        <f t="shared" si="1"/>
        <v/>
      </c>
    </row>
    <row r="179">
      <c r="A179" s="3"/>
      <c r="B179" s="3"/>
      <c r="C179" s="3"/>
      <c r="D179" s="2" t="str">
        <f t="shared" si="4"/>
        <v/>
      </c>
      <c r="E179" s="2" t="str">
        <f t="shared" si="5"/>
        <v/>
      </c>
      <c r="F179" s="2" t="str">
        <f t="shared" si="1"/>
        <v/>
      </c>
    </row>
    <row r="180">
      <c r="A180" s="3"/>
      <c r="B180" s="3"/>
      <c r="C180" s="3"/>
      <c r="D180" s="2" t="str">
        <f t="shared" si="4"/>
        <v/>
      </c>
      <c r="E180" s="2" t="str">
        <f t="shared" si="5"/>
        <v/>
      </c>
      <c r="F180" s="2" t="str">
        <f t="shared" si="1"/>
        <v/>
      </c>
    </row>
    <row r="181">
      <c r="A181" s="3"/>
      <c r="B181" s="3"/>
      <c r="C181" s="3"/>
      <c r="D181" s="2" t="str">
        <f t="shared" si="4"/>
        <v/>
      </c>
      <c r="E181" s="2" t="str">
        <f t="shared" si="5"/>
        <v/>
      </c>
      <c r="F181" s="2" t="str">
        <f t="shared" si="1"/>
        <v/>
      </c>
    </row>
    <row r="182">
      <c r="A182" s="3"/>
      <c r="B182" s="3"/>
      <c r="C182" s="3"/>
      <c r="D182" s="2" t="str">
        <f t="shared" si="4"/>
        <v/>
      </c>
      <c r="E182" s="2" t="str">
        <f t="shared" si="5"/>
        <v/>
      </c>
      <c r="F182" s="2" t="str">
        <f t="shared" si="1"/>
        <v/>
      </c>
    </row>
    <row r="183">
      <c r="A183" s="3"/>
      <c r="B183" s="3"/>
      <c r="C183" s="3"/>
      <c r="D183" s="2" t="str">
        <f t="shared" si="4"/>
        <v/>
      </c>
      <c r="E183" s="2" t="str">
        <f t="shared" si="5"/>
        <v/>
      </c>
      <c r="F183" s="2" t="str">
        <f t="shared" si="1"/>
        <v/>
      </c>
    </row>
    <row r="184">
      <c r="A184" s="3"/>
      <c r="B184" s="3"/>
      <c r="C184" s="3"/>
      <c r="D184" s="2" t="str">
        <f t="shared" si="4"/>
        <v/>
      </c>
      <c r="E184" s="2" t="str">
        <f t="shared" si="5"/>
        <v/>
      </c>
      <c r="F184" s="2" t="str">
        <f t="shared" si="1"/>
        <v/>
      </c>
    </row>
    <row r="185">
      <c r="A185" s="3"/>
      <c r="B185" s="3"/>
      <c r="C185" s="3"/>
      <c r="D185" s="2" t="str">
        <f t="shared" si="4"/>
        <v/>
      </c>
      <c r="E185" s="2" t="str">
        <f t="shared" si="5"/>
        <v/>
      </c>
      <c r="F185" s="2" t="str">
        <f t="shared" si="1"/>
        <v/>
      </c>
    </row>
    <row r="186">
      <c r="A186" s="3"/>
      <c r="B186" s="3"/>
      <c r="C186" s="3"/>
      <c r="D186" s="2" t="str">
        <f t="shared" si="4"/>
        <v/>
      </c>
      <c r="E186" s="2" t="str">
        <f t="shared" si="5"/>
        <v/>
      </c>
      <c r="F186" s="2" t="str">
        <f t="shared" si="1"/>
        <v/>
      </c>
    </row>
    <row r="187">
      <c r="A187" s="3"/>
      <c r="B187" s="3"/>
      <c r="C187" s="3"/>
      <c r="D187" s="2" t="str">
        <f t="shared" si="4"/>
        <v/>
      </c>
      <c r="E187" s="2" t="str">
        <f t="shared" si="5"/>
        <v/>
      </c>
      <c r="F187" s="2" t="str">
        <f t="shared" si="1"/>
        <v/>
      </c>
    </row>
    <row r="188">
      <c r="A188" s="3"/>
      <c r="B188" s="3"/>
      <c r="C188" s="3"/>
      <c r="D188" s="2" t="str">
        <f t="shared" si="4"/>
        <v/>
      </c>
      <c r="E188" s="2" t="str">
        <f t="shared" si="5"/>
        <v/>
      </c>
      <c r="F188" s="2" t="str">
        <f t="shared" si="1"/>
        <v/>
      </c>
    </row>
    <row r="189">
      <c r="A189" s="3"/>
      <c r="B189" s="3"/>
      <c r="C189" s="3"/>
      <c r="D189" s="2" t="str">
        <f t="shared" si="4"/>
        <v/>
      </c>
      <c r="E189" s="2" t="str">
        <f t="shared" si="5"/>
        <v/>
      </c>
      <c r="F189" s="2" t="str">
        <f t="shared" si="1"/>
        <v/>
      </c>
    </row>
    <row r="190">
      <c r="A190" s="3"/>
      <c r="B190" s="3"/>
      <c r="C190" s="3"/>
      <c r="D190" s="2" t="str">
        <f t="shared" si="4"/>
        <v/>
      </c>
      <c r="E190" s="2" t="str">
        <f t="shared" si="5"/>
        <v/>
      </c>
      <c r="F190" s="2" t="str">
        <f t="shared" si="1"/>
        <v/>
      </c>
    </row>
    <row r="191">
      <c r="A191" s="3"/>
      <c r="B191" s="3"/>
      <c r="C191" s="3"/>
      <c r="D191" s="2" t="str">
        <f t="shared" si="4"/>
        <v/>
      </c>
      <c r="E191" s="2" t="str">
        <f t="shared" si="5"/>
        <v/>
      </c>
      <c r="F191" s="2" t="str">
        <f t="shared" si="1"/>
        <v/>
      </c>
    </row>
    <row r="192">
      <c r="A192" s="3"/>
      <c r="B192" s="3"/>
      <c r="C192" s="3"/>
      <c r="D192" s="2" t="str">
        <f t="shared" si="4"/>
        <v/>
      </c>
      <c r="E192" s="2" t="str">
        <f t="shared" si="5"/>
        <v/>
      </c>
      <c r="F192" s="2" t="str">
        <f t="shared" si="1"/>
        <v/>
      </c>
    </row>
    <row r="193">
      <c r="A193" s="3"/>
      <c r="B193" s="3"/>
      <c r="C193" s="3"/>
      <c r="D193" s="2" t="str">
        <f t="shared" si="4"/>
        <v/>
      </c>
      <c r="E193" s="2" t="str">
        <f t="shared" si="5"/>
        <v/>
      </c>
      <c r="F193" s="2" t="str">
        <f t="shared" si="1"/>
        <v/>
      </c>
    </row>
    <row r="194">
      <c r="A194" s="3"/>
      <c r="B194" s="3"/>
      <c r="C194" s="3"/>
      <c r="D194" s="2" t="str">
        <f t="shared" si="4"/>
        <v/>
      </c>
      <c r="E194" s="2" t="str">
        <f t="shared" si="5"/>
        <v/>
      </c>
      <c r="F194" s="2" t="str">
        <f t="shared" si="1"/>
        <v/>
      </c>
    </row>
    <row r="195">
      <c r="A195" s="3"/>
      <c r="B195" s="3"/>
      <c r="C195" s="3"/>
      <c r="D195" s="2" t="str">
        <f t="shared" si="4"/>
        <v/>
      </c>
      <c r="E195" s="2" t="str">
        <f t="shared" si="5"/>
        <v/>
      </c>
      <c r="F195" s="2" t="str">
        <f t="shared" si="1"/>
        <v/>
      </c>
    </row>
    <row r="196">
      <c r="A196" s="3"/>
      <c r="B196" s="3"/>
      <c r="C196" s="3"/>
      <c r="D196" s="2" t="str">
        <f t="shared" si="4"/>
        <v/>
      </c>
      <c r="E196" s="2" t="str">
        <f t="shared" si="5"/>
        <v/>
      </c>
      <c r="F196" s="2" t="str">
        <f t="shared" si="1"/>
        <v/>
      </c>
    </row>
    <row r="197">
      <c r="A197" s="3"/>
      <c r="B197" s="3"/>
      <c r="C197" s="3"/>
      <c r="D197" s="2" t="str">
        <f t="shared" si="4"/>
        <v/>
      </c>
      <c r="E197" s="2" t="str">
        <f t="shared" si="5"/>
        <v/>
      </c>
      <c r="F197" s="2" t="str">
        <f t="shared" si="1"/>
        <v/>
      </c>
    </row>
    <row r="198">
      <c r="A198" s="3"/>
      <c r="B198" s="3"/>
      <c r="C198" s="3"/>
      <c r="D198" s="2" t="str">
        <f t="shared" si="4"/>
        <v/>
      </c>
      <c r="E198" s="2" t="str">
        <f t="shared" si="5"/>
        <v/>
      </c>
      <c r="F198" s="2" t="str">
        <f t="shared" si="1"/>
        <v/>
      </c>
    </row>
    <row r="199">
      <c r="A199" s="3"/>
      <c r="B199" s="3"/>
      <c r="C199" s="3"/>
      <c r="D199" s="2" t="str">
        <f t="shared" si="4"/>
        <v/>
      </c>
      <c r="E199" s="2" t="str">
        <f t="shared" si="5"/>
        <v/>
      </c>
      <c r="F199" s="2" t="str">
        <f t="shared" si="1"/>
        <v/>
      </c>
    </row>
    <row r="200">
      <c r="A200" s="3"/>
      <c r="B200" s="3"/>
      <c r="C200" s="3"/>
      <c r="D200" s="2" t="str">
        <f t="shared" si="4"/>
        <v/>
      </c>
      <c r="E200" s="2" t="str">
        <f t="shared" si="5"/>
        <v/>
      </c>
      <c r="F200" s="2" t="str">
        <f t="shared" si="1"/>
        <v/>
      </c>
    </row>
    <row r="201">
      <c r="A201" s="3"/>
      <c r="B201" s="3"/>
      <c r="C201" s="3"/>
      <c r="D201" s="2" t="str">
        <f t="shared" si="4"/>
        <v/>
      </c>
      <c r="E201" s="2" t="str">
        <f t="shared" si="5"/>
        <v/>
      </c>
      <c r="F201" s="2" t="str">
        <f t="shared" si="1"/>
        <v/>
      </c>
    </row>
    <row r="202">
      <c r="A202" s="3"/>
      <c r="B202" s="3"/>
      <c r="C202" s="3"/>
      <c r="D202" s="2" t="str">
        <f t="shared" si="4"/>
        <v/>
      </c>
      <c r="E202" s="2" t="str">
        <f t="shared" si="5"/>
        <v/>
      </c>
      <c r="F202" s="2" t="str">
        <f t="shared" si="1"/>
        <v/>
      </c>
    </row>
    <row r="203">
      <c r="A203" s="3"/>
      <c r="B203" s="3"/>
      <c r="C203" s="3"/>
      <c r="D203" s="2" t="str">
        <f t="shared" si="4"/>
        <v/>
      </c>
      <c r="E203" s="2" t="str">
        <f t="shared" si="5"/>
        <v/>
      </c>
      <c r="F203" s="2" t="str">
        <f t="shared" si="1"/>
        <v/>
      </c>
    </row>
    <row r="204">
      <c r="A204" s="3"/>
      <c r="B204" s="3"/>
      <c r="C204" s="3"/>
      <c r="D204" s="2" t="str">
        <f t="shared" si="4"/>
        <v/>
      </c>
      <c r="E204" s="2" t="str">
        <f t="shared" si="5"/>
        <v/>
      </c>
      <c r="F204" s="2" t="str">
        <f t="shared" si="1"/>
        <v/>
      </c>
    </row>
    <row r="205">
      <c r="A205" s="3"/>
      <c r="B205" s="3"/>
      <c r="C205" s="3"/>
      <c r="D205" s="2" t="str">
        <f t="shared" si="4"/>
        <v/>
      </c>
      <c r="E205" s="2" t="str">
        <f t="shared" si="5"/>
        <v/>
      </c>
      <c r="F205" s="2" t="str">
        <f t="shared" si="1"/>
        <v/>
      </c>
    </row>
    <row r="206">
      <c r="A206" s="3"/>
      <c r="B206" s="3"/>
      <c r="C206" s="3"/>
      <c r="D206" s="2" t="str">
        <f t="shared" si="4"/>
        <v/>
      </c>
      <c r="E206" s="2" t="str">
        <f t="shared" si="5"/>
        <v/>
      </c>
      <c r="F206" s="2" t="str">
        <f t="shared" si="1"/>
        <v/>
      </c>
    </row>
    <row r="207">
      <c r="A207" s="3"/>
      <c r="B207" s="3"/>
      <c r="C207" s="3"/>
      <c r="D207" s="2" t="str">
        <f t="shared" si="4"/>
        <v/>
      </c>
      <c r="E207" s="2" t="str">
        <f t="shared" si="5"/>
        <v/>
      </c>
      <c r="F207" s="2" t="str">
        <f t="shared" si="1"/>
        <v/>
      </c>
    </row>
    <row r="208">
      <c r="A208" s="3"/>
      <c r="B208" s="3"/>
      <c r="C208" s="3"/>
      <c r="D208" s="2" t="str">
        <f t="shared" si="4"/>
        <v/>
      </c>
      <c r="E208" s="2" t="str">
        <f t="shared" si="5"/>
        <v/>
      </c>
      <c r="F208" s="2" t="str">
        <f t="shared" si="1"/>
        <v/>
      </c>
    </row>
    <row r="209">
      <c r="A209" s="3"/>
      <c r="B209" s="3"/>
      <c r="C209" s="3"/>
      <c r="D209" s="2" t="str">
        <f t="shared" si="4"/>
        <v/>
      </c>
      <c r="E209" s="2" t="str">
        <f t="shared" si="5"/>
        <v/>
      </c>
      <c r="F209" s="2" t="str">
        <f t="shared" si="1"/>
        <v/>
      </c>
    </row>
    <row r="210">
      <c r="A210" s="3"/>
      <c r="B210" s="3"/>
      <c r="C210" s="3"/>
      <c r="D210" s="2" t="str">
        <f t="shared" si="4"/>
        <v/>
      </c>
      <c r="E210" s="2" t="str">
        <f t="shared" si="5"/>
        <v/>
      </c>
      <c r="F210" s="2" t="str">
        <f t="shared" si="1"/>
        <v/>
      </c>
    </row>
    <row r="211">
      <c r="A211" s="3"/>
      <c r="B211" s="3"/>
      <c r="C211" s="3"/>
      <c r="D211" s="2" t="str">
        <f t="shared" si="4"/>
        <v/>
      </c>
      <c r="E211" s="2" t="str">
        <f t="shared" si="5"/>
        <v/>
      </c>
      <c r="F211" s="2" t="str">
        <f t="shared" si="1"/>
        <v/>
      </c>
    </row>
    <row r="212">
      <c r="A212" s="3"/>
      <c r="B212" s="3"/>
      <c r="C212" s="3"/>
      <c r="D212" s="2" t="str">
        <f t="shared" si="4"/>
        <v/>
      </c>
      <c r="E212" s="2" t="str">
        <f t="shared" si="5"/>
        <v/>
      </c>
      <c r="F212" s="2" t="str">
        <f t="shared" si="1"/>
        <v/>
      </c>
    </row>
    <row r="213">
      <c r="A213" s="3"/>
      <c r="B213" s="3"/>
      <c r="C213" s="3"/>
      <c r="D213" s="2" t="str">
        <f t="shared" si="4"/>
        <v/>
      </c>
      <c r="E213" s="2" t="str">
        <f t="shared" si="5"/>
        <v/>
      </c>
      <c r="F213" s="2" t="str">
        <f t="shared" si="1"/>
        <v/>
      </c>
    </row>
    <row r="214">
      <c r="A214" s="3"/>
      <c r="B214" s="3"/>
      <c r="C214" s="3"/>
      <c r="D214" s="2" t="str">
        <f t="shared" si="4"/>
        <v/>
      </c>
      <c r="E214" s="2" t="str">
        <f t="shared" si="5"/>
        <v/>
      </c>
      <c r="F214" s="2" t="str">
        <f t="shared" si="1"/>
        <v/>
      </c>
    </row>
    <row r="215">
      <c r="A215" s="3"/>
      <c r="B215" s="3"/>
      <c r="C215" s="3"/>
      <c r="D215" s="2" t="str">
        <f t="shared" si="4"/>
        <v/>
      </c>
      <c r="E215" s="2" t="str">
        <f t="shared" si="5"/>
        <v/>
      </c>
      <c r="F215" s="2" t="str">
        <f t="shared" si="1"/>
        <v/>
      </c>
    </row>
    <row r="216">
      <c r="A216" s="3"/>
      <c r="B216" s="3"/>
      <c r="C216" s="3"/>
      <c r="D216" s="2" t="str">
        <f t="shared" si="4"/>
        <v/>
      </c>
      <c r="E216" s="2" t="str">
        <f t="shared" si="5"/>
        <v/>
      </c>
      <c r="F216" s="2" t="str">
        <f t="shared" si="1"/>
        <v/>
      </c>
    </row>
    <row r="217">
      <c r="A217" s="3"/>
      <c r="B217" s="3"/>
      <c r="C217" s="3"/>
      <c r="D217" s="2" t="str">
        <f t="shared" si="4"/>
        <v/>
      </c>
      <c r="E217" s="2" t="str">
        <f t="shared" si="5"/>
        <v/>
      </c>
      <c r="F217" s="2" t="str">
        <f t="shared" si="1"/>
        <v/>
      </c>
    </row>
    <row r="218">
      <c r="A218" s="3"/>
      <c r="B218" s="3"/>
      <c r="C218" s="3"/>
      <c r="D218" s="2" t="str">
        <f t="shared" si="4"/>
        <v/>
      </c>
      <c r="E218" s="2" t="str">
        <f t="shared" si="5"/>
        <v/>
      </c>
      <c r="F218" s="2" t="str">
        <f t="shared" si="1"/>
        <v/>
      </c>
    </row>
    <row r="219">
      <c r="A219" s="3"/>
      <c r="B219" s="3"/>
      <c r="C219" s="3"/>
      <c r="D219" s="2" t="str">
        <f t="shared" si="4"/>
        <v/>
      </c>
      <c r="E219" s="2" t="str">
        <f t="shared" si="5"/>
        <v/>
      </c>
      <c r="F219" s="2" t="str">
        <f t="shared" si="1"/>
        <v/>
      </c>
    </row>
    <row r="220">
      <c r="A220" s="3"/>
      <c r="B220" s="3"/>
      <c r="C220" s="3"/>
      <c r="D220" s="2" t="str">
        <f t="shared" si="4"/>
        <v/>
      </c>
      <c r="E220" s="2" t="str">
        <f t="shared" si="5"/>
        <v/>
      </c>
      <c r="F220" s="2" t="str">
        <f t="shared" si="1"/>
        <v/>
      </c>
    </row>
    <row r="221">
      <c r="A221" s="3"/>
      <c r="B221" s="3"/>
      <c r="C221" s="3"/>
      <c r="D221" s="2" t="str">
        <f t="shared" si="4"/>
        <v/>
      </c>
      <c r="E221" s="2" t="str">
        <f t="shared" si="5"/>
        <v/>
      </c>
      <c r="F221" s="2" t="str">
        <f t="shared" si="1"/>
        <v/>
      </c>
    </row>
    <row r="222">
      <c r="A222" s="3"/>
      <c r="B222" s="3"/>
      <c r="C222" s="3"/>
      <c r="D222" s="2" t="str">
        <f t="shared" si="4"/>
        <v/>
      </c>
      <c r="E222" s="2" t="str">
        <f t="shared" si="5"/>
        <v/>
      </c>
      <c r="F222" s="2" t="str">
        <f t="shared" si="1"/>
        <v/>
      </c>
    </row>
    <row r="223">
      <c r="A223" s="3"/>
      <c r="B223" s="3"/>
      <c r="C223" s="3"/>
      <c r="D223" s="2" t="str">
        <f t="shared" si="4"/>
        <v/>
      </c>
      <c r="E223" s="2" t="str">
        <f t="shared" si="5"/>
        <v/>
      </c>
      <c r="F223" s="2" t="str">
        <f t="shared" si="1"/>
        <v/>
      </c>
    </row>
    <row r="224">
      <c r="A224" s="3"/>
      <c r="B224" s="3"/>
      <c r="C224" s="3"/>
      <c r="D224" s="2" t="str">
        <f t="shared" si="4"/>
        <v/>
      </c>
      <c r="E224" s="2" t="str">
        <f t="shared" si="5"/>
        <v/>
      </c>
      <c r="F224" s="2" t="str">
        <f t="shared" si="1"/>
        <v/>
      </c>
    </row>
    <row r="225">
      <c r="A225" s="3"/>
      <c r="B225" s="3"/>
      <c r="C225" s="3"/>
      <c r="D225" s="2" t="str">
        <f t="shared" si="4"/>
        <v/>
      </c>
      <c r="E225" s="2" t="str">
        <f t="shared" si="5"/>
        <v/>
      </c>
      <c r="F225" s="2" t="str">
        <f t="shared" si="1"/>
        <v/>
      </c>
    </row>
    <row r="226">
      <c r="A226" s="3"/>
      <c r="B226" s="3"/>
      <c r="C226" s="3"/>
      <c r="D226" s="2" t="str">
        <f t="shared" si="4"/>
        <v/>
      </c>
      <c r="E226" s="2" t="str">
        <f t="shared" si="5"/>
        <v/>
      </c>
      <c r="F226" s="2" t="str">
        <f t="shared" si="1"/>
        <v/>
      </c>
    </row>
    <row r="227">
      <c r="A227" s="3"/>
      <c r="B227" s="3"/>
      <c r="C227" s="3"/>
      <c r="D227" s="2" t="str">
        <f t="shared" si="4"/>
        <v/>
      </c>
      <c r="E227" s="2" t="str">
        <f t="shared" si="5"/>
        <v/>
      </c>
      <c r="F227" s="2" t="str">
        <f t="shared" si="1"/>
        <v/>
      </c>
    </row>
    <row r="228">
      <c r="A228" s="3"/>
      <c r="B228" s="3"/>
      <c r="C228" s="3"/>
      <c r="D228" s="2" t="str">
        <f t="shared" si="4"/>
        <v/>
      </c>
      <c r="E228" s="2" t="str">
        <f t="shared" si="5"/>
        <v/>
      </c>
      <c r="F228" s="2" t="str">
        <f t="shared" si="1"/>
        <v/>
      </c>
    </row>
    <row r="229">
      <c r="A229" s="3"/>
      <c r="B229" s="3"/>
      <c r="C229" s="3"/>
      <c r="D229" s="2" t="str">
        <f t="shared" si="4"/>
        <v/>
      </c>
      <c r="E229" s="2" t="str">
        <f t="shared" si="5"/>
        <v/>
      </c>
      <c r="F229" s="2" t="str">
        <f t="shared" si="1"/>
        <v/>
      </c>
    </row>
    <row r="230">
      <c r="A230" s="3"/>
      <c r="B230" s="3"/>
      <c r="C230" s="3"/>
      <c r="D230" s="2" t="str">
        <f t="shared" si="4"/>
        <v/>
      </c>
      <c r="E230" s="2" t="str">
        <f t="shared" si="5"/>
        <v/>
      </c>
      <c r="F230" s="2" t="str">
        <f t="shared" si="1"/>
        <v/>
      </c>
    </row>
    <row r="231">
      <c r="A231" s="3"/>
      <c r="B231" s="3"/>
      <c r="C231" s="3"/>
      <c r="D231" s="2" t="str">
        <f t="shared" si="4"/>
        <v/>
      </c>
      <c r="E231" s="2" t="str">
        <f t="shared" si="5"/>
        <v/>
      </c>
      <c r="F231" s="2" t="str">
        <f t="shared" si="1"/>
        <v/>
      </c>
    </row>
    <row r="232">
      <c r="A232" s="3"/>
      <c r="B232" s="3"/>
      <c r="C232" s="3"/>
      <c r="D232" s="2" t="str">
        <f t="shared" si="4"/>
        <v/>
      </c>
      <c r="E232" s="2" t="str">
        <f t="shared" si="5"/>
        <v/>
      </c>
      <c r="F232" s="2" t="str">
        <f t="shared" si="1"/>
        <v/>
      </c>
    </row>
    <row r="233">
      <c r="A233" s="3"/>
      <c r="B233" s="3"/>
      <c r="C233" s="3"/>
      <c r="D233" s="2" t="str">
        <f t="shared" si="4"/>
        <v/>
      </c>
      <c r="E233" s="2" t="str">
        <f t="shared" si="5"/>
        <v/>
      </c>
      <c r="F233" s="2" t="str">
        <f t="shared" si="1"/>
        <v/>
      </c>
    </row>
    <row r="234">
      <c r="A234" s="3"/>
      <c r="B234" s="3"/>
      <c r="C234" s="3"/>
      <c r="D234" s="2" t="str">
        <f t="shared" si="4"/>
        <v/>
      </c>
      <c r="E234" s="2" t="str">
        <f t="shared" si="5"/>
        <v/>
      </c>
      <c r="F234" s="2" t="str">
        <f t="shared" si="1"/>
        <v/>
      </c>
    </row>
    <row r="235">
      <c r="A235" s="3"/>
      <c r="B235" s="3"/>
      <c r="C235" s="3"/>
      <c r="D235" s="2" t="str">
        <f t="shared" si="4"/>
        <v/>
      </c>
      <c r="E235" s="2" t="str">
        <f t="shared" si="5"/>
        <v/>
      </c>
      <c r="F235" s="2" t="str">
        <f t="shared" si="1"/>
        <v/>
      </c>
    </row>
    <row r="236">
      <c r="A236" s="3"/>
      <c r="B236" s="3"/>
      <c r="C236" s="3"/>
      <c r="D236" s="2" t="str">
        <f t="shared" si="4"/>
        <v/>
      </c>
      <c r="E236" s="2" t="str">
        <f t="shared" si="5"/>
        <v/>
      </c>
      <c r="F236" s="2" t="str">
        <f t="shared" si="1"/>
        <v/>
      </c>
    </row>
    <row r="237">
      <c r="A237" s="3"/>
      <c r="B237" s="3"/>
      <c r="C237" s="3"/>
      <c r="D237" s="2" t="str">
        <f t="shared" si="4"/>
        <v/>
      </c>
      <c r="E237" s="2" t="str">
        <f t="shared" si="5"/>
        <v/>
      </c>
      <c r="F237" s="2" t="str">
        <f t="shared" si="1"/>
        <v/>
      </c>
    </row>
    <row r="238">
      <c r="A238" s="3"/>
      <c r="B238" s="3"/>
      <c r="C238" s="3"/>
      <c r="D238" s="2" t="str">
        <f t="shared" si="4"/>
        <v/>
      </c>
      <c r="E238" s="2" t="str">
        <f t="shared" si="5"/>
        <v/>
      </c>
      <c r="F238" s="2" t="str">
        <f t="shared" si="1"/>
        <v/>
      </c>
    </row>
    <row r="239">
      <c r="A239" s="3"/>
      <c r="B239" s="3"/>
      <c r="C239" s="3"/>
      <c r="D239" s="2" t="str">
        <f t="shared" si="4"/>
        <v/>
      </c>
      <c r="E239" s="2" t="str">
        <f t="shared" si="5"/>
        <v/>
      </c>
      <c r="F239" s="2" t="str">
        <f t="shared" si="1"/>
        <v/>
      </c>
    </row>
    <row r="240">
      <c r="A240" s="3"/>
      <c r="B240" s="3"/>
      <c r="C240" s="3"/>
      <c r="D240" s="2" t="str">
        <f t="shared" si="4"/>
        <v/>
      </c>
      <c r="E240" s="2" t="str">
        <f t="shared" si="5"/>
        <v/>
      </c>
      <c r="F240" s="2" t="str">
        <f t="shared" si="1"/>
        <v/>
      </c>
    </row>
    <row r="241">
      <c r="A241" s="3"/>
      <c r="B241" s="3"/>
      <c r="C241" s="3"/>
      <c r="D241" s="2" t="str">
        <f t="shared" si="4"/>
        <v/>
      </c>
      <c r="E241" s="2" t="str">
        <f t="shared" si="5"/>
        <v/>
      </c>
      <c r="F241" s="2" t="str">
        <f t="shared" si="1"/>
        <v/>
      </c>
    </row>
    <row r="242">
      <c r="A242" s="3"/>
      <c r="B242" s="3"/>
      <c r="C242" s="3"/>
      <c r="D242" s="2" t="str">
        <f t="shared" si="4"/>
        <v/>
      </c>
      <c r="E242" s="2" t="str">
        <f t="shared" si="5"/>
        <v/>
      </c>
      <c r="F242" s="2" t="str">
        <f t="shared" si="1"/>
        <v/>
      </c>
    </row>
    <row r="243">
      <c r="A243" s="3"/>
      <c r="B243" s="3"/>
      <c r="C243" s="3"/>
      <c r="D243" s="2" t="str">
        <f t="shared" si="4"/>
        <v/>
      </c>
      <c r="E243" s="2" t="str">
        <f t="shared" si="5"/>
        <v/>
      </c>
      <c r="F243" s="2" t="str">
        <f t="shared" si="1"/>
        <v/>
      </c>
    </row>
    <row r="244">
      <c r="A244" s="3"/>
      <c r="B244" s="3"/>
      <c r="C244" s="3"/>
      <c r="D244" s="2" t="str">
        <f t="shared" si="4"/>
        <v/>
      </c>
      <c r="E244" s="2" t="str">
        <f t="shared" si="5"/>
        <v/>
      </c>
      <c r="F244" s="2" t="str">
        <f t="shared" si="1"/>
        <v/>
      </c>
    </row>
    <row r="245">
      <c r="A245" s="3"/>
      <c r="B245" s="3"/>
      <c r="C245" s="3"/>
      <c r="D245" s="2" t="str">
        <f t="shared" si="4"/>
        <v/>
      </c>
      <c r="E245" s="2" t="str">
        <f t="shared" si="5"/>
        <v/>
      </c>
      <c r="F245" s="2" t="str">
        <f t="shared" si="1"/>
        <v/>
      </c>
    </row>
    <row r="246">
      <c r="A246" s="3"/>
      <c r="B246" s="3"/>
      <c r="C246" s="3"/>
      <c r="D246" s="2" t="str">
        <f t="shared" si="4"/>
        <v/>
      </c>
      <c r="E246" s="2" t="str">
        <f t="shared" si="5"/>
        <v/>
      </c>
      <c r="F246" s="2" t="str">
        <f t="shared" si="1"/>
        <v/>
      </c>
    </row>
    <row r="247">
      <c r="A247" s="3"/>
      <c r="B247" s="3"/>
      <c r="C247" s="3"/>
      <c r="D247" s="2" t="str">
        <f t="shared" si="4"/>
        <v/>
      </c>
      <c r="E247" s="2" t="str">
        <f t="shared" si="5"/>
        <v/>
      </c>
      <c r="F247" s="2" t="str">
        <f t="shared" si="1"/>
        <v/>
      </c>
    </row>
    <row r="248">
      <c r="A248" s="3"/>
      <c r="B248" s="3"/>
      <c r="C248" s="3"/>
      <c r="D248" s="2" t="str">
        <f t="shared" si="4"/>
        <v/>
      </c>
      <c r="E248" s="2" t="str">
        <f t="shared" si="5"/>
        <v/>
      </c>
      <c r="F248" s="2" t="str">
        <f t="shared" si="1"/>
        <v/>
      </c>
    </row>
    <row r="249">
      <c r="A249" s="3"/>
      <c r="B249" s="3"/>
      <c r="C249" s="3"/>
      <c r="D249" s="2" t="str">
        <f t="shared" si="4"/>
        <v/>
      </c>
      <c r="E249" s="2" t="str">
        <f t="shared" si="5"/>
        <v/>
      </c>
      <c r="F249" s="2" t="str">
        <f t="shared" si="1"/>
        <v/>
      </c>
    </row>
    <row r="250">
      <c r="A250" s="3"/>
      <c r="B250" s="3"/>
      <c r="C250" s="3"/>
      <c r="D250" s="2" t="str">
        <f t="shared" si="4"/>
        <v/>
      </c>
      <c r="E250" s="2" t="str">
        <f t="shared" si="5"/>
        <v/>
      </c>
      <c r="F250" s="2" t="str">
        <f t="shared" si="1"/>
        <v/>
      </c>
    </row>
    <row r="251">
      <c r="A251" s="3"/>
      <c r="B251" s="3"/>
      <c r="C251" s="3"/>
      <c r="D251" s="2" t="str">
        <f t="shared" si="4"/>
        <v/>
      </c>
      <c r="E251" s="2" t="str">
        <f t="shared" si="5"/>
        <v/>
      </c>
      <c r="F251" s="2" t="str">
        <f t="shared" si="1"/>
        <v/>
      </c>
    </row>
    <row r="252">
      <c r="A252" s="3"/>
      <c r="B252" s="3"/>
      <c r="C252" s="3"/>
      <c r="D252" s="2" t="str">
        <f t="shared" si="4"/>
        <v/>
      </c>
      <c r="E252" s="2" t="str">
        <f t="shared" si="5"/>
        <v/>
      </c>
      <c r="F252" s="2" t="str">
        <f t="shared" si="1"/>
        <v/>
      </c>
    </row>
    <row r="253">
      <c r="A253" s="3"/>
      <c r="B253" s="3"/>
      <c r="C253" s="3"/>
      <c r="D253" s="2" t="str">
        <f t="shared" si="4"/>
        <v/>
      </c>
      <c r="E253" s="2" t="str">
        <f t="shared" si="5"/>
        <v/>
      </c>
      <c r="F253" s="2" t="str">
        <f t="shared" si="1"/>
        <v/>
      </c>
    </row>
    <row r="254">
      <c r="A254" s="3"/>
      <c r="B254" s="3"/>
      <c r="C254" s="3"/>
      <c r="D254" s="2" t="str">
        <f t="shared" si="4"/>
        <v/>
      </c>
      <c r="E254" s="2" t="str">
        <f t="shared" si="5"/>
        <v/>
      </c>
      <c r="F254" s="2" t="str">
        <f t="shared" si="1"/>
        <v/>
      </c>
    </row>
    <row r="255">
      <c r="A255" s="3"/>
      <c r="B255" s="3"/>
      <c r="C255" s="3"/>
      <c r="D255" s="2" t="str">
        <f t="shared" si="4"/>
        <v/>
      </c>
      <c r="E255" s="2" t="str">
        <f t="shared" si="5"/>
        <v/>
      </c>
      <c r="F255" s="2" t="str">
        <f t="shared" si="1"/>
        <v/>
      </c>
    </row>
    <row r="256">
      <c r="A256" s="3"/>
      <c r="B256" s="3"/>
      <c r="C256" s="3"/>
      <c r="D256" s="2" t="str">
        <f t="shared" si="4"/>
        <v/>
      </c>
      <c r="E256" s="2" t="str">
        <f t="shared" si="5"/>
        <v/>
      </c>
      <c r="F256" s="2" t="str">
        <f t="shared" si="1"/>
        <v/>
      </c>
    </row>
    <row r="257">
      <c r="A257" s="3"/>
      <c r="B257" s="3"/>
      <c r="C257" s="3"/>
      <c r="D257" s="2" t="str">
        <f t="shared" si="4"/>
        <v/>
      </c>
      <c r="E257" s="2" t="str">
        <f t="shared" si="5"/>
        <v/>
      </c>
      <c r="F257" s="2" t="str">
        <f t="shared" si="1"/>
        <v/>
      </c>
    </row>
    <row r="258">
      <c r="A258" s="3"/>
      <c r="B258" s="3"/>
      <c r="C258" s="3"/>
      <c r="D258" s="2" t="str">
        <f t="shared" si="4"/>
        <v/>
      </c>
      <c r="E258" s="2" t="str">
        <f t="shared" si="5"/>
        <v/>
      </c>
      <c r="F258" s="2" t="str">
        <f t="shared" si="1"/>
        <v/>
      </c>
    </row>
    <row r="259">
      <c r="A259" s="3"/>
      <c r="B259" s="3"/>
      <c r="C259" s="3"/>
      <c r="D259" s="2" t="str">
        <f t="shared" si="4"/>
        <v/>
      </c>
      <c r="E259" s="2" t="str">
        <f t="shared" si="5"/>
        <v/>
      </c>
      <c r="F259" s="2" t="str">
        <f t="shared" si="1"/>
        <v/>
      </c>
    </row>
    <row r="260">
      <c r="A260" s="3"/>
      <c r="B260" s="3"/>
      <c r="C260" s="3"/>
      <c r="D260" s="2" t="str">
        <f t="shared" si="4"/>
        <v/>
      </c>
      <c r="E260" s="2" t="str">
        <f t="shared" si="5"/>
        <v/>
      </c>
      <c r="F260" s="2" t="str">
        <f t="shared" si="1"/>
        <v/>
      </c>
    </row>
    <row r="261">
      <c r="A261" s="3"/>
      <c r="B261" s="3"/>
      <c r="C261" s="3"/>
      <c r="D261" s="2" t="str">
        <f t="shared" si="4"/>
        <v/>
      </c>
      <c r="E261" s="2" t="str">
        <f t="shared" si="5"/>
        <v/>
      </c>
      <c r="F261" s="2" t="str">
        <f t="shared" si="1"/>
        <v/>
      </c>
    </row>
    <row r="262">
      <c r="A262" s="3"/>
      <c r="B262" s="3"/>
      <c r="C262" s="3"/>
      <c r="D262" s="2" t="str">
        <f t="shared" si="4"/>
        <v/>
      </c>
      <c r="E262" s="2" t="str">
        <f t="shared" si="5"/>
        <v/>
      </c>
      <c r="F262" s="2" t="str">
        <f t="shared" si="1"/>
        <v/>
      </c>
    </row>
    <row r="263">
      <c r="A263" s="3"/>
      <c r="B263" s="3"/>
      <c r="C263" s="3"/>
      <c r="D263" s="2" t="str">
        <f t="shared" si="4"/>
        <v/>
      </c>
      <c r="E263" s="2" t="str">
        <f t="shared" si="5"/>
        <v/>
      </c>
      <c r="F263" s="2" t="str">
        <f t="shared" si="1"/>
        <v/>
      </c>
    </row>
    <row r="264">
      <c r="A264" s="3"/>
      <c r="B264" s="3"/>
      <c r="C264" s="3"/>
      <c r="D264" s="2" t="str">
        <f t="shared" si="4"/>
        <v/>
      </c>
      <c r="E264" s="2" t="str">
        <f t="shared" si="5"/>
        <v/>
      </c>
      <c r="F264" s="2" t="str">
        <f t="shared" si="1"/>
        <v/>
      </c>
    </row>
    <row r="265">
      <c r="A265" s="3"/>
      <c r="B265" s="3"/>
      <c r="C265" s="3"/>
      <c r="D265" s="2" t="str">
        <f t="shared" si="4"/>
        <v/>
      </c>
      <c r="E265" s="2" t="str">
        <f t="shared" si="5"/>
        <v/>
      </c>
      <c r="F265" s="2" t="str">
        <f t="shared" si="1"/>
        <v/>
      </c>
    </row>
    <row r="266">
      <c r="A266" s="3"/>
      <c r="B266" s="3"/>
      <c r="C266" s="3"/>
      <c r="D266" s="2" t="str">
        <f t="shared" si="4"/>
        <v/>
      </c>
      <c r="E266" s="2" t="str">
        <f t="shared" si="5"/>
        <v/>
      </c>
      <c r="F266" s="2" t="str">
        <f t="shared" si="1"/>
        <v/>
      </c>
    </row>
    <row r="267">
      <c r="A267" s="3"/>
      <c r="B267" s="3"/>
      <c r="C267" s="3"/>
      <c r="D267" s="2" t="str">
        <f t="shared" si="4"/>
        <v/>
      </c>
      <c r="E267" s="2" t="str">
        <f t="shared" si="5"/>
        <v/>
      </c>
      <c r="F267" s="2" t="str">
        <f t="shared" si="1"/>
        <v/>
      </c>
    </row>
    <row r="268">
      <c r="A268" s="3"/>
      <c r="B268" s="3"/>
      <c r="C268" s="3"/>
      <c r="D268" s="2" t="str">
        <f t="shared" si="4"/>
        <v/>
      </c>
      <c r="E268" s="2" t="str">
        <f t="shared" si="5"/>
        <v/>
      </c>
      <c r="F268" s="2" t="str">
        <f t="shared" si="1"/>
        <v/>
      </c>
    </row>
    <row r="269">
      <c r="A269" s="3"/>
      <c r="B269" s="3"/>
      <c r="C269" s="3"/>
      <c r="D269" s="2" t="str">
        <f t="shared" si="4"/>
        <v/>
      </c>
      <c r="E269" s="2" t="str">
        <f t="shared" si="5"/>
        <v/>
      </c>
      <c r="F269" s="2" t="str">
        <f t="shared" si="1"/>
        <v/>
      </c>
    </row>
    <row r="270">
      <c r="A270" s="3"/>
      <c r="B270" s="3"/>
      <c r="C270" s="3"/>
      <c r="D270" s="2" t="str">
        <f t="shared" si="4"/>
        <v/>
      </c>
      <c r="E270" s="2" t="str">
        <f t="shared" si="5"/>
        <v/>
      </c>
      <c r="F270" s="2" t="str">
        <f t="shared" si="1"/>
        <v/>
      </c>
    </row>
    <row r="271">
      <c r="A271" s="3"/>
      <c r="B271" s="3"/>
      <c r="C271" s="3"/>
      <c r="D271" s="2" t="str">
        <f t="shared" si="4"/>
        <v/>
      </c>
      <c r="E271" s="2" t="str">
        <f t="shared" si="5"/>
        <v/>
      </c>
      <c r="F271" s="2" t="str">
        <f t="shared" si="1"/>
        <v/>
      </c>
    </row>
    <row r="272">
      <c r="A272" s="3"/>
      <c r="B272" s="3"/>
      <c r="C272" s="3"/>
      <c r="D272" s="2" t="str">
        <f t="shared" si="4"/>
        <v/>
      </c>
      <c r="E272" s="2" t="str">
        <f t="shared" si="5"/>
        <v/>
      </c>
      <c r="F272" s="2" t="str">
        <f t="shared" si="1"/>
        <v/>
      </c>
    </row>
    <row r="273">
      <c r="A273" s="3"/>
      <c r="B273" s="3"/>
      <c r="C273" s="3"/>
      <c r="D273" s="2" t="str">
        <f t="shared" si="4"/>
        <v/>
      </c>
      <c r="E273" s="2" t="str">
        <f t="shared" si="5"/>
        <v/>
      </c>
      <c r="F273" s="2" t="str">
        <f t="shared" si="1"/>
        <v/>
      </c>
    </row>
    <row r="274">
      <c r="A274" s="3"/>
      <c r="B274" s="3"/>
      <c r="C274" s="3"/>
      <c r="D274" s="2" t="str">
        <f t="shared" si="4"/>
        <v/>
      </c>
      <c r="E274" s="2" t="str">
        <f t="shared" si="5"/>
        <v/>
      </c>
      <c r="F274" s="2" t="str">
        <f t="shared" si="1"/>
        <v/>
      </c>
    </row>
    <row r="275">
      <c r="A275" s="3"/>
      <c r="B275" s="3"/>
      <c r="C275" s="3"/>
      <c r="D275" s="2" t="str">
        <f t="shared" si="4"/>
        <v/>
      </c>
      <c r="E275" s="2" t="str">
        <f t="shared" si="5"/>
        <v/>
      </c>
      <c r="F275" s="2" t="str">
        <f t="shared" si="1"/>
        <v/>
      </c>
    </row>
    <row r="276">
      <c r="A276" s="3"/>
      <c r="B276" s="3"/>
      <c r="C276" s="3"/>
      <c r="D276" s="2" t="str">
        <f t="shared" si="4"/>
        <v/>
      </c>
      <c r="E276" s="2" t="str">
        <f t="shared" si="5"/>
        <v/>
      </c>
      <c r="F276" s="2" t="str">
        <f t="shared" si="1"/>
        <v/>
      </c>
    </row>
    <row r="277">
      <c r="A277" s="3"/>
      <c r="B277" s="3"/>
      <c r="C277" s="3"/>
      <c r="D277" s="2" t="str">
        <f t="shared" si="4"/>
        <v/>
      </c>
      <c r="E277" s="2" t="str">
        <f t="shared" si="5"/>
        <v/>
      </c>
      <c r="F277" s="2" t="str">
        <f t="shared" si="1"/>
        <v/>
      </c>
    </row>
    <row r="278">
      <c r="A278" s="3"/>
      <c r="B278" s="3"/>
      <c r="C278" s="3"/>
      <c r="D278" s="2" t="str">
        <f t="shared" si="4"/>
        <v/>
      </c>
      <c r="E278" s="2" t="str">
        <f t="shared" si="5"/>
        <v/>
      </c>
      <c r="F278" s="2" t="str">
        <f t="shared" si="1"/>
        <v/>
      </c>
    </row>
    <row r="279">
      <c r="A279" s="3"/>
      <c r="B279" s="3"/>
      <c r="C279" s="3"/>
      <c r="D279" s="2" t="str">
        <f t="shared" si="4"/>
        <v/>
      </c>
      <c r="E279" s="2" t="str">
        <f t="shared" si="5"/>
        <v/>
      </c>
      <c r="F279" s="2" t="str">
        <f t="shared" si="1"/>
        <v/>
      </c>
    </row>
    <row r="280">
      <c r="A280" s="3"/>
      <c r="B280" s="3"/>
      <c r="C280" s="3"/>
      <c r="D280" s="2" t="str">
        <f t="shared" si="4"/>
        <v/>
      </c>
      <c r="E280" s="2" t="str">
        <f t="shared" si="5"/>
        <v/>
      </c>
      <c r="F280" s="2" t="str">
        <f t="shared" si="1"/>
        <v/>
      </c>
    </row>
    <row r="281">
      <c r="A281" s="3"/>
      <c r="B281" s="3"/>
      <c r="C281" s="3"/>
      <c r="D281" s="2" t="str">
        <f t="shared" si="4"/>
        <v/>
      </c>
      <c r="E281" s="2" t="str">
        <f t="shared" si="5"/>
        <v/>
      </c>
      <c r="F281" s="2" t="str">
        <f t="shared" si="1"/>
        <v/>
      </c>
    </row>
    <row r="282">
      <c r="A282" s="3"/>
      <c r="B282" s="3"/>
      <c r="C282" s="3"/>
      <c r="D282" s="2" t="str">
        <f t="shared" si="4"/>
        <v/>
      </c>
      <c r="E282" s="2" t="str">
        <f t="shared" si="5"/>
        <v/>
      </c>
      <c r="F282" s="2" t="str">
        <f t="shared" si="1"/>
        <v/>
      </c>
    </row>
    <row r="283">
      <c r="A283" s="3"/>
      <c r="B283" s="3"/>
      <c r="C283" s="3"/>
      <c r="D283" s="2" t="str">
        <f t="shared" si="4"/>
        <v/>
      </c>
      <c r="E283" s="2" t="str">
        <f t="shared" si="5"/>
        <v/>
      </c>
      <c r="F283" s="2" t="str">
        <f t="shared" si="1"/>
        <v/>
      </c>
    </row>
    <row r="284">
      <c r="A284" s="3"/>
      <c r="B284" s="3"/>
      <c r="C284" s="3"/>
      <c r="D284" s="2" t="str">
        <f t="shared" si="4"/>
        <v/>
      </c>
      <c r="E284" s="2" t="str">
        <f t="shared" si="5"/>
        <v/>
      </c>
      <c r="F284" s="2" t="str">
        <f t="shared" si="1"/>
        <v/>
      </c>
    </row>
    <row r="285">
      <c r="A285" s="3"/>
      <c r="B285" s="3"/>
      <c r="C285" s="3"/>
      <c r="D285" s="2" t="str">
        <f t="shared" si="4"/>
        <v/>
      </c>
      <c r="E285" s="2" t="str">
        <f t="shared" si="5"/>
        <v/>
      </c>
      <c r="F285" s="2" t="str">
        <f t="shared" si="1"/>
        <v/>
      </c>
    </row>
    <row r="286">
      <c r="A286" s="3"/>
      <c r="B286" s="3"/>
      <c r="C286" s="3"/>
      <c r="D286" s="2" t="str">
        <f t="shared" si="4"/>
        <v/>
      </c>
      <c r="E286" s="2" t="str">
        <f t="shared" si="5"/>
        <v/>
      </c>
      <c r="F286" s="2" t="str">
        <f t="shared" si="1"/>
        <v/>
      </c>
    </row>
    <row r="287">
      <c r="A287" s="3"/>
      <c r="B287" s="3"/>
      <c r="C287" s="3"/>
      <c r="D287" s="2" t="str">
        <f t="shared" si="4"/>
        <v/>
      </c>
      <c r="E287" s="2" t="str">
        <f t="shared" si="5"/>
        <v/>
      </c>
      <c r="F287" s="2" t="str">
        <f t="shared" si="1"/>
        <v/>
      </c>
    </row>
    <row r="288">
      <c r="A288" s="3"/>
      <c r="B288" s="3"/>
      <c r="C288" s="3"/>
      <c r="D288" s="2" t="str">
        <f t="shared" si="4"/>
        <v/>
      </c>
      <c r="E288" s="2" t="str">
        <f t="shared" si="5"/>
        <v/>
      </c>
      <c r="F288" s="2" t="str">
        <f t="shared" si="1"/>
        <v/>
      </c>
    </row>
    <row r="289">
      <c r="A289" s="3"/>
      <c r="B289" s="3"/>
      <c r="C289" s="3"/>
      <c r="D289" s="2" t="str">
        <f t="shared" si="4"/>
        <v/>
      </c>
      <c r="E289" s="2" t="str">
        <f t="shared" si="5"/>
        <v/>
      </c>
      <c r="F289" s="2" t="str">
        <f t="shared" si="1"/>
        <v/>
      </c>
    </row>
    <row r="290">
      <c r="A290" s="3"/>
      <c r="B290" s="3"/>
      <c r="C290" s="3"/>
      <c r="D290" s="2" t="str">
        <f t="shared" si="4"/>
        <v/>
      </c>
      <c r="E290" s="2" t="str">
        <f t="shared" si="5"/>
        <v/>
      </c>
      <c r="F290" s="2" t="str">
        <f t="shared" si="1"/>
        <v/>
      </c>
    </row>
    <row r="291">
      <c r="A291" s="3"/>
      <c r="B291" s="3"/>
      <c r="C291" s="3"/>
      <c r="D291" s="2" t="str">
        <f t="shared" si="4"/>
        <v/>
      </c>
      <c r="E291" s="2" t="str">
        <f t="shared" si="5"/>
        <v/>
      </c>
      <c r="F291" s="2" t="str">
        <f t="shared" si="1"/>
        <v/>
      </c>
    </row>
    <row r="292">
      <c r="A292" s="3"/>
      <c r="B292" s="3"/>
      <c r="C292" s="3"/>
      <c r="D292" s="2" t="str">
        <f t="shared" si="4"/>
        <v/>
      </c>
      <c r="E292" s="2" t="str">
        <f t="shared" si="5"/>
        <v/>
      </c>
      <c r="F292" s="2" t="str">
        <f t="shared" si="1"/>
        <v/>
      </c>
    </row>
    <row r="293">
      <c r="A293" s="3"/>
      <c r="B293" s="3"/>
      <c r="C293" s="3"/>
      <c r="D293" s="2" t="str">
        <f t="shared" si="4"/>
        <v/>
      </c>
      <c r="E293" s="2" t="str">
        <f t="shared" si="5"/>
        <v/>
      </c>
      <c r="F293" s="2" t="str">
        <f t="shared" si="1"/>
        <v/>
      </c>
    </row>
    <row r="294">
      <c r="A294" s="3"/>
      <c r="B294" s="3"/>
      <c r="C294" s="3"/>
      <c r="D294" s="2" t="str">
        <f t="shared" si="4"/>
        <v/>
      </c>
      <c r="E294" s="2" t="str">
        <f t="shared" si="5"/>
        <v/>
      </c>
      <c r="F294" s="2" t="str">
        <f t="shared" si="1"/>
        <v/>
      </c>
    </row>
    <row r="295">
      <c r="A295" s="3"/>
      <c r="B295" s="3"/>
      <c r="C295" s="3"/>
      <c r="D295" s="2" t="str">
        <f t="shared" si="4"/>
        <v/>
      </c>
      <c r="E295" s="2" t="str">
        <f t="shared" si="5"/>
        <v/>
      </c>
      <c r="F295" s="2" t="str">
        <f t="shared" si="1"/>
        <v/>
      </c>
    </row>
    <row r="296">
      <c r="A296" s="3"/>
      <c r="B296" s="3"/>
      <c r="C296" s="3"/>
      <c r="D296" s="2" t="str">
        <f t="shared" si="4"/>
        <v/>
      </c>
      <c r="E296" s="2" t="str">
        <f t="shared" si="5"/>
        <v/>
      </c>
      <c r="F296" s="2" t="str">
        <f t="shared" si="1"/>
        <v/>
      </c>
    </row>
    <row r="297">
      <c r="A297" s="3"/>
      <c r="B297" s="3"/>
      <c r="C297" s="3"/>
      <c r="D297" s="2" t="str">
        <f t="shared" si="4"/>
        <v/>
      </c>
      <c r="E297" s="2" t="str">
        <f t="shared" si="5"/>
        <v/>
      </c>
      <c r="F297" s="2" t="str">
        <f t="shared" si="1"/>
        <v/>
      </c>
    </row>
    <row r="298">
      <c r="A298" s="3"/>
      <c r="B298" s="3"/>
      <c r="C298" s="3"/>
      <c r="D298" s="2" t="str">
        <f t="shared" si="4"/>
        <v/>
      </c>
      <c r="E298" s="2" t="str">
        <f t="shared" si="5"/>
        <v/>
      </c>
      <c r="F298" s="2" t="str">
        <f t="shared" si="1"/>
        <v/>
      </c>
    </row>
    <row r="299">
      <c r="A299" s="3"/>
      <c r="B299" s="3"/>
      <c r="C299" s="3"/>
      <c r="D299" s="2" t="str">
        <f t="shared" si="4"/>
        <v/>
      </c>
      <c r="E299" s="2" t="str">
        <f t="shared" si="5"/>
        <v/>
      </c>
      <c r="F299" s="2" t="str">
        <f t="shared" si="1"/>
        <v/>
      </c>
    </row>
    <row r="300">
      <c r="A300" s="3"/>
      <c r="B300" s="3"/>
      <c r="C300" s="3"/>
      <c r="D300" s="2" t="str">
        <f t="shared" si="4"/>
        <v/>
      </c>
      <c r="E300" s="2" t="str">
        <f t="shared" si="5"/>
        <v/>
      </c>
      <c r="F300" s="2" t="str">
        <f t="shared" si="1"/>
        <v/>
      </c>
    </row>
    <row r="301">
      <c r="A301" s="3"/>
      <c r="B301" s="3"/>
      <c r="C301" s="3"/>
      <c r="D301" s="2" t="str">
        <f t="shared" si="4"/>
        <v/>
      </c>
      <c r="E301" s="2" t="str">
        <f t="shared" si="5"/>
        <v/>
      </c>
      <c r="F301" s="2" t="str">
        <f t="shared" si="1"/>
        <v/>
      </c>
    </row>
    <row r="302">
      <c r="A302" s="3"/>
      <c r="B302" s="3"/>
      <c r="C302" s="3"/>
      <c r="D302" s="2" t="str">
        <f t="shared" si="4"/>
        <v/>
      </c>
      <c r="E302" s="2" t="str">
        <f t="shared" si="5"/>
        <v/>
      </c>
      <c r="F302" s="2" t="str">
        <f t="shared" si="1"/>
        <v/>
      </c>
    </row>
    <row r="303">
      <c r="A303" s="3"/>
      <c r="B303" s="3"/>
      <c r="C303" s="3"/>
      <c r="D303" s="2" t="str">
        <f t="shared" si="4"/>
        <v/>
      </c>
      <c r="E303" s="2" t="str">
        <f t="shared" si="5"/>
        <v/>
      </c>
      <c r="F303" s="2" t="str">
        <f t="shared" si="1"/>
        <v/>
      </c>
    </row>
    <row r="304">
      <c r="A304" s="3"/>
      <c r="B304" s="3"/>
      <c r="C304" s="3"/>
      <c r="D304" s="2" t="str">
        <f t="shared" si="4"/>
        <v/>
      </c>
      <c r="E304" s="2" t="str">
        <f t="shared" si="5"/>
        <v/>
      </c>
      <c r="F304" s="2" t="str">
        <f t="shared" si="1"/>
        <v/>
      </c>
    </row>
    <row r="305">
      <c r="A305" s="3"/>
      <c r="B305" s="3"/>
      <c r="C305" s="3"/>
      <c r="D305" s="2" t="str">
        <f t="shared" si="4"/>
        <v/>
      </c>
      <c r="E305" s="2" t="str">
        <f t="shared" si="5"/>
        <v/>
      </c>
      <c r="F305" s="2" t="str">
        <f t="shared" si="1"/>
        <v/>
      </c>
    </row>
    <row r="306">
      <c r="A306" s="3"/>
      <c r="B306" s="3"/>
      <c r="C306" s="3"/>
      <c r="D306" s="2" t="str">
        <f t="shared" si="4"/>
        <v/>
      </c>
      <c r="E306" s="2" t="str">
        <f t="shared" si="5"/>
        <v/>
      </c>
      <c r="F306" s="2" t="str">
        <f t="shared" si="1"/>
        <v/>
      </c>
    </row>
    <row r="307">
      <c r="A307" s="3"/>
      <c r="B307" s="3"/>
      <c r="C307" s="3"/>
      <c r="D307" s="2" t="str">
        <f t="shared" si="4"/>
        <v/>
      </c>
      <c r="E307" s="2" t="str">
        <f t="shared" si="5"/>
        <v/>
      </c>
      <c r="F307" s="2" t="str">
        <f t="shared" si="1"/>
        <v/>
      </c>
    </row>
    <row r="308">
      <c r="A308" s="3"/>
      <c r="B308" s="3"/>
      <c r="C308" s="3"/>
      <c r="D308" s="2" t="str">
        <f t="shared" si="4"/>
        <v/>
      </c>
      <c r="E308" s="2" t="str">
        <f t="shared" si="5"/>
        <v/>
      </c>
      <c r="F308" s="2" t="str">
        <f t="shared" si="1"/>
        <v/>
      </c>
    </row>
    <row r="309">
      <c r="A309" s="3"/>
      <c r="B309" s="3"/>
      <c r="C309" s="3"/>
      <c r="D309" s="2" t="str">
        <f t="shared" si="4"/>
        <v/>
      </c>
      <c r="E309" s="2" t="str">
        <f t="shared" si="5"/>
        <v/>
      </c>
      <c r="F309" s="2" t="str">
        <f t="shared" si="1"/>
        <v/>
      </c>
    </row>
    <row r="310">
      <c r="A310" s="3"/>
      <c r="B310" s="3"/>
      <c r="C310" s="3"/>
      <c r="D310" s="2" t="str">
        <f t="shared" si="4"/>
        <v/>
      </c>
      <c r="E310" s="2" t="str">
        <f t="shared" si="5"/>
        <v/>
      </c>
      <c r="F310" s="2" t="str">
        <f t="shared" si="1"/>
        <v/>
      </c>
    </row>
    <row r="311">
      <c r="A311" s="3"/>
      <c r="B311" s="3"/>
      <c r="C311" s="3"/>
      <c r="D311" s="2" t="str">
        <f t="shared" si="4"/>
        <v/>
      </c>
      <c r="E311" s="2" t="str">
        <f t="shared" si="5"/>
        <v/>
      </c>
      <c r="F311" s="2" t="str">
        <f t="shared" si="1"/>
        <v/>
      </c>
    </row>
    <row r="312">
      <c r="A312" s="3"/>
      <c r="B312" s="3"/>
      <c r="C312" s="3"/>
      <c r="D312" s="2" t="str">
        <f t="shared" si="4"/>
        <v/>
      </c>
      <c r="E312" s="2" t="str">
        <f t="shared" si="5"/>
        <v/>
      </c>
      <c r="F312" s="2" t="str">
        <f t="shared" si="1"/>
        <v/>
      </c>
    </row>
    <row r="313">
      <c r="A313" s="3"/>
      <c r="B313" s="3"/>
      <c r="C313" s="3"/>
      <c r="D313" s="2" t="str">
        <f t="shared" si="4"/>
        <v/>
      </c>
      <c r="E313" s="2" t="str">
        <f t="shared" si="5"/>
        <v/>
      </c>
      <c r="F313" s="2" t="str">
        <f t="shared" si="1"/>
        <v/>
      </c>
    </row>
    <row r="314">
      <c r="A314" s="3"/>
      <c r="B314" s="3"/>
      <c r="C314" s="3"/>
      <c r="D314" s="2" t="str">
        <f t="shared" si="4"/>
        <v/>
      </c>
      <c r="E314" s="2" t="str">
        <f t="shared" si="5"/>
        <v/>
      </c>
      <c r="F314" s="2" t="str">
        <f t="shared" si="1"/>
        <v/>
      </c>
    </row>
    <row r="315">
      <c r="A315" s="3"/>
      <c r="B315" s="3"/>
      <c r="C315" s="3"/>
      <c r="D315" s="2" t="str">
        <f t="shared" si="4"/>
        <v/>
      </c>
      <c r="E315" s="2" t="str">
        <f t="shared" si="5"/>
        <v/>
      </c>
      <c r="F315" s="2" t="str">
        <f t="shared" si="1"/>
        <v/>
      </c>
    </row>
    <row r="316">
      <c r="A316" s="3"/>
      <c r="B316" s="3"/>
      <c r="C316" s="3"/>
      <c r="D316" s="2" t="str">
        <f t="shared" si="4"/>
        <v/>
      </c>
      <c r="E316" s="2" t="str">
        <f t="shared" si="5"/>
        <v/>
      </c>
      <c r="F316" s="2" t="str">
        <f t="shared" si="1"/>
        <v/>
      </c>
    </row>
    <row r="317">
      <c r="A317" s="3"/>
      <c r="B317" s="3"/>
      <c r="C317" s="3"/>
      <c r="D317" s="2" t="str">
        <f t="shared" si="4"/>
        <v/>
      </c>
      <c r="E317" s="2" t="str">
        <f t="shared" si="5"/>
        <v/>
      </c>
      <c r="F317" s="2" t="str">
        <f t="shared" si="1"/>
        <v/>
      </c>
    </row>
    <row r="318">
      <c r="A318" s="3"/>
      <c r="B318" s="3"/>
      <c r="C318" s="3"/>
      <c r="D318" s="2" t="str">
        <f t="shared" si="4"/>
        <v/>
      </c>
      <c r="E318" s="2" t="str">
        <f t="shared" si="5"/>
        <v/>
      </c>
      <c r="F318" s="2" t="str">
        <f t="shared" si="1"/>
        <v/>
      </c>
    </row>
    <row r="319">
      <c r="A319" s="3"/>
      <c r="B319" s="3"/>
      <c r="C319" s="3"/>
      <c r="D319" s="2" t="str">
        <f t="shared" si="4"/>
        <v/>
      </c>
      <c r="E319" s="2" t="str">
        <f t="shared" si="5"/>
        <v/>
      </c>
      <c r="F319" s="2" t="str">
        <f t="shared" si="1"/>
        <v/>
      </c>
    </row>
    <row r="320">
      <c r="A320" s="3"/>
      <c r="B320" s="3"/>
      <c r="C320" s="3"/>
      <c r="D320" s="2" t="str">
        <f t="shared" si="4"/>
        <v/>
      </c>
      <c r="E320" s="2" t="str">
        <f t="shared" si="5"/>
        <v/>
      </c>
      <c r="F320" s="2" t="str">
        <f t="shared" si="1"/>
        <v/>
      </c>
    </row>
    <row r="321">
      <c r="A321" s="3"/>
      <c r="B321" s="3"/>
      <c r="C321" s="3"/>
      <c r="D321" s="2" t="str">
        <f t="shared" si="4"/>
        <v/>
      </c>
      <c r="E321" s="2" t="str">
        <f t="shared" si="5"/>
        <v/>
      </c>
      <c r="F321" s="2" t="str">
        <f t="shared" si="1"/>
        <v/>
      </c>
    </row>
    <row r="322">
      <c r="A322" s="3"/>
      <c r="B322" s="3"/>
      <c r="C322" s="3"/>
      <c r="D322" s="2" t="str">
        <f t="shared" si="4"/>
        <v/>
      </c>
      <c r="E322" s="2" t="str">
        <f t="shared" si="5"/>
        <v/>
      </c>
      <c r="F322" s="2" t="str">
        <f t="shared" si="1"/>
        <v/>
      </c>
    </row>
    <row r="323">
      <c r="A323" s="3"/>
      <c r="B323" s="3"/>
      <c r="C323" s="3"/>
      <c r="D323" s="2" t="str">
        <f t="shared" si="4"/>
        <v/>
      </c>
      <c r="E323" s="2" t="str">
        <f t="shared" si="5"/>
        <v/>
      </c>
      <c r="F323" s="2" t="str">
        <f t="shared" si="1"/>
        <v/>
      </c>
    </row>
    <row r="324">
      <c r="A324" s="3"/>
      <c r="B324" s="3"/>
      <c r="C324" s="3"/>
      <c r="D324" s="2" t="str">
        <f t="shared" si="4"/>
        <v/>
      </c>
      <c r="E324" s="2" t="str">
        <f t="shared" si="5"/>
        <v/>
      </c>
      <c r="F324" s="2" t="str">
        <f t="shared" si="1"/>
        <v/>
      </c>
    </row>
    <row r="325">
      <c r="A325" s="3"/>
      <c r="B325" s="3"/>
      <c r="C325" s="3"/>
      <c r="D325" s="2" t="str">
        <f t="shared" si="4"/>
        <v/>
      </c>
      <c r="E325" s="2" t="str">
        <f t="shared" si="5"/>
        <v/>
      </c>
      <c r="F325" s="2" t="str">
        <f t="shared" si="1"/>
        <v/>
      </c>
    </row>
    <row r="326">
      <c r="A326" s="3"/>
      <c r="B326" s="3"/>
      <c r="C326" s="3"/>
      <c r="D326" s="2" t="str">
        <f t="shared" si="4"/>
        <v/>
      </c>
      <c r="E326" s="2" t="str">
        <f t="shared" si="5"/>
        <v/>
      </c>
      <c r="F326" s="2" t="str">
        <f t="shared" si="1"/>
        <v/>
      </c>
    </row>
    <row r="327">
      <c r="A327" s="3"/>
      <c r="B327" s="3"/>
      <c r="C327" s="3"/>
      <c r="D327" s="2" t="str">
        <f t="shared" si="4"/>
        <v/>
      </c>
      <c r="E327" s="2" t="str">
        <f t="shared" si="5"/>
        <v/>
      </c>
      <c r="F327" s="2" t="str">
        <f t="shared" si="1"/>
        <v/>
      </c>
    </row>
    <row r="328">
      <c r="A328" s="3"/>
      <c r="B328" s="3"/>
      <c r="C328" s="3"/>
      <c r="D328" s="2" t="str">
        <f t="shared" si="4"/>
        <v/>
      </c>
      <c r="E328" s="2" t="str">
        <f t="shared" si="5"/>
        <v/>
      </c>
      <c r="F328" s="2" t="str">
        <f t="shared" si="1"/>
        <v/>
      </c>
    </row>
    <row r="329">
      <c r="A329" s="3"/>
      <c r="B329" s="3"/>
      <c r="C329" s="3"/>
      <c r="D329" s="2" t="str">
        <f t="shared" si="4"/>
        <v/>
      </c>
      <c r="E329" s="2" t="str">
        <f t="shared" si="5"/>
        <v/>
      </c>
      <c r="F329" s="2" t="str">
        <f t="shared" si="1"/>
        <v/>
      </c>
    </row>
    <row r="330">
      <c r="A330" s="3"/>
      <c r="B330" s="3"/>
      <c r="C330" s="3"/>
      <c r="D330" s="2" t="str">
        <f t="shared" si="4"/>
        <v/>
      </c>
      <c r="E330" s="2" t="str">
        <f t="shared" si="5"/>
        <v/>
      </c>
      <c r="F330" s="2" t="str">
        <f t="shared" si="1"/>
        <v/>
      </c>
    </row>
    <row r="331">
      <c r="A331" s="3"/>
      <c r="B331" s="3"/>
      <c r="C331" s="3"/>
      <c r="D331" s="2" t="str">
        <f t="shared" si="4"/>
        <v/>
      </c>
      <c r="E331" s="2" t="str">
        <f t="shared" si="5"/>
        <v/>
      </c>
      <c r="F331" s="2" t="str">
        <f t="shared" si="1"/>
        <v/>
      </c>
    </row>
    <row r="332">
      <c r="A332" s="3"/>
      <c r="B332" s="3"/>
      <c r="C332" s="3"/>
      <c r="D332" s="2" t="str">
        <f t="shared" si="4"/>
        <v/>
      </c>
      <c r="E332" s="2" t="str">
        <f t="shared" si="5"/>
        <v/>
      </c>
      <c r="F332" s="2" t="str">
        <f t="shared" si="1"/>
        <v/>
      </c>
    </row>
    <row r="333">
      <c r="A333" s="3"/>
      <c r="B333" s="3"/>
      <c r="C333" s="3"/>
      <c r="D333" s="2" t="str">
        <f t="shared" si="4"/>
        <v/>
      </c>
      <c r="E333" s="2" t="str">
        <f t="shared" si="5"/>
        <v/>
      </c>
      <c r="F333" s="2" t="str">
        <f t="shared" si="1"/>
        <v/>
      </c>
    </row>
    <row r="334">
      <c r="A334" s="3"/>
      <c r="B334" s="3"/>
      <c r="C334" s="3"/>
      <c r="D334" s="2" t="str">
        <f t="shared" si="4"/>
        <v/>
      </c>
      <c r="E334" s="2" t="str">
        <f t="shared" si="5"/>
        <v/>
      </c>
      <c r="F334" s="2" t="str">
        <f t="shared" si="1"/>
        <v/>
      </c>
    </row>
    <row r="335">
      <c r="A335" s="3"/>
      <c r="B335" s="3"/>
      <c r="C335" s="3"/>
      <c r="D335" s="2" t="str">
        <f t="shared" si="4"/>
        <v/>
      </c>
      <c r="E335" s="2" t="str">
        <f t="shared" si="5"/>
        <v/>
      </c>
      <c r="F335" s="2" t="str">
        <f t="shared" si="1"/>
        <v/>
      </c>
    </row>
    <row r="336">
      <c r="A336" s="3"/>
      <c r="B336" s="3"/>
      <c r="C336" s="3"/>
      <c r="D336" s="2" t="str">
        <f t="shared" si="4"/>
        <v/>
      </c>
      <c r="E336" s="2" t="str">
        <f t="shared" si="5"/>
        <v/>
      </c>
      <c r="F336" s="2" t="str">
        <f t="shared" si="1"/>
        <v/>
      </c>
    </row>
    <row r="337">
      <c r="A337" s="3"/>
      <c r="B337" s="3"/>
      <c r="C337" s="3"/>
      <c r="D337" s="2" t="str">
        <f t="shared" si="4"/>
        <v/>
      </c>
      <c r="E337" s="2" t="str">
        <f t="shared" si="5"/>
        <v/>
      </c>
      <c r="F337" s="2" t="str">
        <f t="shared" si="1"/>
        <v/>
      </c>
    </row>
    <row r="338">
      <c r="A338" s="3"/>
      <c r="B338" s="3"/>
      <c r="C338" s="3"/>
      <c r="D338" s="2" t="str">
        <f t="shared" si="4"/>
        <v/>
      </c>
      <c r="E338" s="2" t="str">
        <f t="shared" si="5"/>
        <v/>
      </c>
      <c r="F338" s="2" t="str">
        <f t="shared" si="1"/>
        <v/>
      </c>
    </row>
    <row r="339">
      <c r="A339" s="3"/>
      <c r="B339" s="3"/>
      <c r="C339" s="3"/>
      <c r="D339" s="2" t="str">
        <f t="shared" si="4"/>
        <v/>
      </c>
      <c r="E339" s="2" t="str">
        <f t="shared" si="5"/>
        <v/>
      </c>
      <c r="F339" s="2" t="str">
        <f t="shared" si="1"/>
        <v/>
      </c>
    </row>
    <row r="340">
      <c r="A340" s="3"/>
      <c r="B340" s="3"/>
      <c r="C340" s="3"/>
      <c r="D340" s="2" t="str">
        <f t="shared" si="4"/>
        <v/>
      </c>
      <c r="E340" s="2" t="str">
        <f t="shared" si="5"/>
        <v/>
      </c>
      <c r="F340" s="2" t="str">
        <f t="shared" si="1"/>
        <v/>
      </c>
    </row>
    <row r="341">
      <c r="A341" s="3"/>
      <c r="B341" s="3"/>
      <c r="C341" s="3"/>
      <c r="D341" s="2" t="str">
        <f t="shared" si="4"/>
        <v/>
      </c>
      <c r="E341" s="2" t="str">
        <f t="shared" si="5"/>
        <v/>
      </c>
      <c r="F341" s="2" t="str">
        <f t="shared" si="1"/>
        <v/>
      </c>
    </row>
    <row r="342">
      <c r="A342" s="3"/>
      <c r="B342" s="3"/>
      <c r="C342" s="3"/>
      <c r="D342" s="2" t="str">
        <f t="shared" si="4"/>
        <v/>
      </c>
      <c r="E342" s="2" t="str">
        <f t="shared" si="5"/>
        <v/>
      </c>
      <c r="F342" s="2" t="str">
        <f t="shared" si="1"/>
        <v/>
      </c>
    </row>
    <row r="343">
      <c r="A343" s="3"/>
      <c r="B343" s="3"/>
      <c r="C343" s="3"/>
      <c r="D343" s="2" t="str">
        <f t="shared" si="4"/>
        <v/>
      </c>
      <c r="E343" s="2" t="str">
        <f t="shared" si="5"/>
        <v/>
      </c>
      <c r="F343" s="2" t="str">
        <f t="shared" si="1"/>
        <v/>
      </c>
    </row>
    <row r="344">
      <c r="A344" s="3"/>
      <c r="B344" s="3"/>
      <c r="C344" s="3"/>
      <c r="D344" s="2" t="str">
        <f t="shared" si="4"/>
        <v/>
      </c>
      <c r="E344" s="2" t="str">
        <f t="shared" si="5"/>
        <v/>
      </c>
      <c r="F344" s="2" t="str">
        <f t="shared" si="1"/>
        <v/>
      </c>
    </row>
    <row r="345">
      <c r="A345" s="3"/>
      <c r="B345" s="3"/>
      <c r="C345" s="3"/>
      <c r="D345" s="2" t="str">
        <f t="shared" si="4"/>
        <v/>
      </c>
      <c r="E345" s="2" t="str">
        <f t="shared" si="5"/>
        <v/>
      </c>
      <c r="F345" s="2" t="str">
        <f t="shared" si="1"/>
        <v/>
      </c>
    </row>
    <row r="346">
      <c r="A346" s="3"/>
      <c r="B346" s="3"/>
      <c r="C346" s="3"/>
      <c r="D346" s="2" t="str">
        <f t="shared" si="4"/>
        <v/>
      </c>
      <c r="E346" s="2" t="str">
        <f t="shared" si="5"/>
        <v/>
      </c>
      <c r="F346" s="2" t="str">
        <f t="shared" si="1"/>
        <v/>
      </c>
    </row>
    <row r="347">
      <c r="A347" s="3"/>
      <c r="B347" s="3"/>
      <c r="C347" s="3"/>
      <c r="D347" s="2" t="str">
        <f t="shared" si="4"/>
        <v/>
      </c>
      <c r="E347" s="2" t="str">
        <f t="shared" si="5"/>
        <v/>
      </c>
      <c r="F347" s="2" t="str">
        <f t="shared" si="1"/>
        <v/>
      </c>
    </row>
    <row r="348">
      <c r="A348" s="3"/>
      <c r="B348" s="3"/>
      <c r="C348" s="3"/>
      <c r="D348" s="2" t="str">
        <f t="shared" si="4"/>
        <v/>
      </c>
      <c r="E348" s="2" t="str">
        <f t="shared" si="5"/>
        <v/>
      </c>
      <c r="F348" s="2" t="str">
        <f t="shared" si="1"/>
        <v/>
      </c>
    </row>
    <row r="349">
      <c r="A349" s="3"/>
      <c r="B349" s="3"/>
      <c r="C349" s="3"/>
      <c r="D349" s="2" t="str">
        <f t="shared" si="4"/>
        <v/>
      </c>
      <c r="E349" s="2" t="str">
        <f t="shared" si="5"/>
        <v/>
      </c>
      <c r="F349" s="2" t="str">
        <f t="shared" si="1"/>
        <v/>
      </c>
    </row>
    <row r="350">
      <c r="A350" s="3"/>
      <c r="B350" s="3"/>
      <c r="C350" s="3"/>
      <c r="D350" s="2" t="str">
        <f t="shared" si="4"/>
        <v/>
      </c>
      <c r="E350" s="2" t="str">
        <f t="shared" si="5"/>
        <v/>
      </c>
      <c r="F350" s="2" t="str">
        <f t="shared" si="1"/>
        <v/>
      </c>
    </row>
    <row r="351">
      <c r="A351" s="3"/>
      <c r="B351" s="3"/>
      <c r="C351" s="3"/>
      <c r="D351" s="2" t="str">
        <f t="shared" si="4"/>
        <v/>
      </c>
      <c r="E351" s="2" t="str">
        <f t="shared" si="5"/>
        <v/>
      </c>
      <c r="F351" s="2" t="str">
        <f t="shared" si="1"/>
        <v/>
      </c>
    </row>
    <row r="352">
      <c r="A352" s="3"/>
      <c r="B352" s="3"/>
      <c r="C352" s="3"/>
      <c r="D352" s="2" t="str">
        <f t="shared" si="4"/>
        <v/>
      </c>
      <c r="E352" s="2" t="str">
        <f t="shared" si="5"/>
        <v/>
      </c>
      <c r="F352" s="2" t="str">
        <f t="shared" si="1"/>
        <v/>
      </c>
    </row>
    <row r="353">
      <c r="A353" s="3"/>
      <c r="B353" s="3"/>
      <c r="C353" s="3"/>
      <c r="D353" s="2" t="str">
        <f t="shared" si="4"/>
        <v/>
      </c>
      <c r="E353" s="2" t="str">
        <f t="shared" si="5"/>
        <v/>
      </c>
      <c r="F353" s="2" t="str">
        <f t="shared" si="1"/>
        <v/>
      </c>
    </row>
    <row r="354">
      <c r="A354" s="3"/>
      <c r="B354" s="3"/>
      <c r="C354" s="3"/>
      <c r="D354" s="2" t="str">
        <f t="shared" si="4"/>
        <v/>
      </c>
      <c r="E354" s="2" t="str">
        <f t="shared" si="5"/>
        <v/>
      </c>
      <c r="F354" s="2" t="str">
        <f t="shared" si="1"/>
        <v/>
      </c>
    </row>
    <row r="355">
      <c r="A355" s="3"/>
      <c r="B355" s="3"/>
      <c r="C355" s="3"/>
      <c r="D355" s="2" t="str">
        <f t="shared" si="4"/>
        <v/>
      </c>
      <c r="E355" s="2" t="str">
        <f t="shared" si="5"/>
        <v/>
      </c>
      <c r="F355" s="2" t="str">
        <f t="shared" si="1"/>
        <v/>
      </c>
    </row>
    <row r="356">
      <c r="A356" s="3"/>
      <c r="B356" s="3"/>
      <c r="C356" s="3"/>
      <c r="D356" s="2" t="str">
        <f t="shared" si="4"/>
        <v/>
      </c>
      <c r="E356" s="2" t="str">
        <f t="shared" si="5"/>
        <v/>
      </c>
      <c r="F356" s="2" t="str">
        <f t="shared" si="1"/>
        <v/>
      </c>
    </row>
    <row r="357">
      <c r="A357" s="3"/>
      <c r="B357" s="3"/>
      <c r="C357" s="3"/>
      <c r="D357" s="2" t="str">
        <f t="shared" si="4"/>
        <v/>
      </c>
      <c r="E357" s="2" t="str">
        <f t="shared" si="5"/>
        <v/>
      </c>
      <c r="F357" s="2" t="str">
        <f t="shared" si="1"/>
        <v/>
      </c>
    </row>
    <row r="358">
      <c r="A358" s="3"/>
      <c r="B358" s="3"/>
      <c r="C358" s="3"/>
      <c r="D358" s="2" t="str">
        <f t="shared" si="4"/>
        <v/>
      </c>
      <c r="E358" s="2" t="str">
        <f t="shared" si="5"/>
        <v/>
      </c>
      <c r="F358" s="2" t="str">
        <f t="shared" si="1"/>
        <v/>
      </c>
    </row>
    <row r="359">
      <c r="A359" s="3"/>
      <c r="B359" s="3"/>
      <c r="C359" s="3"/>
      <c r="D359" s="2" t="str">
        <f t="shared" si="4"/>
        <v/>
      </c>
      <c r="E359" s="2" t="str">
        <f t="shared" si="5"/>
        <v/>
      </c>
      <c r="F359" s="2" t="str">
        <f t="shared" si="1"/>
        <v/>
      </c>
    </row>
    <row r="360">
      <c r="A360" s="3"/>
      <c r="B360" s="3"/>
      <c r="C360" s="3"/>
      <c r="D360" s="2" t="str">
        <f t="shared" si="4"/>
        <v/>
      </c>
      <c r="E360" s="2" t="str">
        <f t="shared" si="5"/>
        <v/>
      </c>
      <c r="F360" s="2" t="str">
        <f t="shared" si="1"/>
        <v/>
      </c>
    </row>
    <row r="361">
      <c r="A361" s="3"/>
      <c r="B361" s="3"/>
      <c r="C361" s="3"/>
      <c r="D361" s="2" t="str">
        <f t="shared" si="4"/>
        <v/>
      </c>
      <c r="E361" s="2" t="str">
        <f t="shared" si="5"/>
        <v/>
      </c>
      <c r="F361" s="2" t="str">
        <f t="shared" si="1"/>
        <v/>
      </c>
    </row>
    <row r="362">
      <c r="A362" s="3"/>
      <c r="B362" s="3"/>
      <c r="C362" s="3"/>
      <c r="D362" s="2" t="str">
        <f t="shared" si="4"/>
        <v/>
      </c>
      <c r="E362" s="2" t="str">
        <f t="shared" si="5"/>
        <v/>
      </c>
      <c r="F362" s="2" t="str">
        <f t="shared" si="1"/>
        <v/>
      </c>
    </row>
    <row r="363">
      <c r="A363" s="3"/>
      <c r="B363" s="3"/>
      <c r="C363" s="3"/>
      <c r="D363" s="2" t="str">
        <f t="shared" si="4"/>
        <v/>
      </c>
      <c r="E363" s="2" t="str">
        <f t="shared" si="5"/>
        <v/>
      </c>
      <c r="F363" s="2" t="str">
        <f t="shared" si="1"/>
        <v/>
      </c>
    </row>
    <row r="364">
      <c r="A364" s="3"/>
      <c r="B364" s="3"/>
      <c r="C364" s="3"/>
      <c r="D364" s="2" t="str">
        <f t="shared" si="4"/>
        <v/>
      </c>
      <c r="E364" s="2" t="str">
        <f t="shared" si="5"/>
        <v/>
      </c>
      <c r="F364" s="2" t="str">
        <f t="shared" si="1"/>
        <v/>
      </c>
    </row>
    <row r="365">
      <c r="A365" s="3"/>
      <c r="B365" s="3"/>
      <c r="C365" s="3"/>
      <c r="D365" s="2" t="str">
        <f t="shared" si="4"/>
        <v/>
      </c>
      <c r="E365" s="2" t="str">
        <f t="shared" si="5"/>
        <v/>
      </c>
      <c r="F365" s="2" t="str">
        <f t="shared" si="1"/>
        <v/>
      </c>
    </row>
    <row r="366">
      <c r="A366" s="3"/>
      <c r="B366" s="3"/>
      <c r="C366" s="3"/>
      <c r="D366" s="2" t="str">
        <f t="shared" si="4"/>
        <v/>
      </c>
      <c r="E366" s="2" t="str">
        <f t="shared" si="5"/>
        <v/>
      </c>
      <c r="F366" s="2" t="str">
        <f t="shared" si="1"/>
        <v/>
      </c>
    </row>
    <row r="367">
      <c r="A367" s="3"/>
      <c r="B367" s="3"/>
      <c r="C367" s="3"/>
      <c r="D367" s="2" t="str">
        <f t="shared" si="4"/>
        <v/>
      </c>
      <c r="E367" s="2" t="str">
        <f t="shared" si="5"/>
        <v/>
      </c>
      <c r="F367" s="2" t="str">
        <f t="shared" si="1"/>
        <v/>
      </c>
    </row>
    <row r="368">
      <c r="A368" s="3"/>
      <c r="B368" s="3"/>
      <c r="C368" s="3"/>
      <c r="D368" s="2" t="str">
        <f t="shared" si="4"/>
        <v/>
      </c>
      <c r="E368" s="2" t="str">
        <f t="shared" si="5"/>
        <v/>
      </c>
      <c r="F368" s="2" t="str">
        <f t="shared" si="1"/>
        <v/>
      </c>
    </row>
    <row r="369">
      <c r="A369" s="3"/>
      <c r="B369" s="3"/>
      <c r="C369" s="3"/>
      <c r="D369" s="2" t="str">
        <f t="shared" si="4"/>
        <v/>
      </c>
      <c r="E369" s="2" t="str">
        <f t="shared" si="5"/>
        <v/>
      </c>
      <c r="F369" s="2" t="str">
        <f t="shared" si="1"/>
        <v/>
      </c>
    </row>
    <row r="370">
      <c r="A370" s="3"/>
      <c r="B370" s="3"/>
      <c r="C370" s="3"/>
      <c r="D370" s="2" t="str">
        <f t="shared" si="4"/>
        <v/>
      </c>
      <c r="E370" s="2" t="str">
        <f t="shared" si="5"/>
        <v/>
      </c>
      <c r="F370" s="2" t="str">
        <f t="shared" si="1"/>
        <v/>
      </c>
    </row>
    <row r="371">
      <c r="A371" s="3"/>
      <c r="B371" s="3"/>
      <c r="C371" s="3"/>
      <c r="D371" s="2" t="str">
        <f t="shared" si="4"/>
        <v/>
      </c>
      <c r="E371" s="2" t="str">
        <f t="shared" si="5"/>
        <v/>
      </c>
      <c r="F371" s="2" t="str">
        <f t="shared" si="1"/>
        <v/>
      </c>
    </row>
    <row r="372">
      <c r="A372" s="3"/>
      <c r="B372" s="3"/>
      <c r="C372" s="3"/>
      <c r="D372" s="2" t="str">
        <f t="shared" si="4"/>
        <v/>
      </c>
      <c r="E372" s="2" t="str">
        <f t="shared" si="5"/>
        <v/>
      </c>
      <c r="F372" s="2" t="str">
        <f t="shared" si="1"/>
        <v/>
      </c>
    </row>
    <row r="373">
      <c r="A373" s="3"/>
      <c r="B373" s="3"/>
      <c r="C373" s="3"/>
      <c r="D373" s="2" t="str">
        <f t="shared" si="4"/>
        <v/>
      </c>
      <c r="E373" s="2" t="str">
        <f t="shared" si="5"/>
        <v/>
      </c>
      <c r="F373" s="2" t="str">
        <f t="shared" si="1"/>
        <v/>
      </c>
    </row>
    <row r="374">
      <c r="A374" s="3"/>
      <c r="B374" s="3"/>
      <c r="C374" s="3"/>
      <c r="D374" s="2" t="str">
        <f t="shared" si="4"/>
        <v/>
      </c>
      <c r="E374" s="2" t="str">
        <f t="shared" si="5"/>
        <v/>
      </c>
      <c r="F374" s="2" t="str">
        <f t="shared" si="1"/>
        <v/>
      </c>
    </row>
    <row r="375">
      <c r="A375" s="3"/>
      <c r="B375" s="3"/>
      <c r="C375" s="3"/>
      <c r="D375" s="2" t="str">
        <f t="shared" si="4"/>
        <v/>
      </c>
      <c r="E375" s="2" t="str">
        <f t="shared" si="5"/>
        <v/>
      </c>
      <c r="F375" s="2" t="str">
        <f t="shared" si="1"/>
        <v/>
      </c>
    </row>
    <row r="376">
      <c r="A376" s="3"/>
      <c r="B376" s="3"/>
      <c r="C376" s="3"/>
      <c r="D376" s="2" t="str">
        <f t="shared" si="4"/>
        <v/>
      </c>
      <c r="E376" s="2" t="str">
        <f t="shared" si="5"/>
        <v/>
      </c>
      <c r="F376" s="2" t="str">
        <f t="shared" si="1"/>
        <v/>
      </c>
    </row>
    <row r="377">
      <c r="A377" s="3"/>
      <c r="B377" s="3"/>
      <c r="C377" s="3"/>
      <c r="D377" s="2" t="str">
        <f t="shared" si="4"/>
        <v/>
      </c>
      <c r="E377" s="2" t="str">
        <f t="shared" si="5"/>
        <v/>
      </c>
      <c r="F377" s="2" t="str">
        <f t="shared" si="1"/>
        <v/>
      </c>
    </row>
    <row r="378">
      <c r="A378" s="3"/>
      <c r="B378" s="3"/>
      <c r="C378" s="3"/>
      <c r="D378" s="2" t="str">
        <f t="shared" si="4"/>
        <v/>
      </c>
      <c r="E378" s="2" t="str">
        <f t="shared" si="5"/>
        <v/>
      </c>
      <c r="F378" s="2" t="str">
        <f t="shared" si="1"/>
        <v/>
      </c>
    </row>
    <row r="379">
      <c r="A379" s="3"/>
      <c r="B379" s="3"/>
      <c r="C379" s="3"/>
      <c r="D379" s="2" t="str">
        <f t="shared" si="4"/>
        <v/>
      </c>
      <c r="E379" s="2" t="str">
        <f t="shared" si="5"/>
        <v/>
      </c>
      <c r="F379" s="2" t="str">
        <f t="shared" si="1"/>
        <v/>
      </c>
    </row>
    <row r="380">
      <c r="A380" s="3"/>
      <c r="B380" s="3"/>
      <c r="C380" s="3"/>
      <c r="D380" s="2" t="str">
        <f t="shared" si="4"/>
        <v/>
      </c>
      <c r="E380" s="2" t="str">
        <f t="shared" si="5"/>
        <v/>
      </c>
      <c r="F380" s="2" t="str">
        <f t="shared" si="1"/>
        <v/>
      </c>
    </row>
    <row r="381">
      <c r="A381" s="3"/>
      <c r="B381" s="3"/>
      <c r="C381" s="3"/>
      <c r="D381" s="2" t="str">
        <f t="shared" si="4"/>
        <v/>
      </c>
      <c r="E381" s="2" t="str">
        <f t="shared" si="5"/>
        <v/>
      </c>
      <c r="F381" s="2" t="str">
        <f t="shared" si="1"/>
        <v/>
      </c>
    </row>
    <row r="382">
      <c r="A382" s="3"/>
      <c r="B382" s="3"/>
      <c r="C382" s="3"/>
      <c r="D382" s="2" t="str">
        <f t="shared" si="4"/>
        <v/>
      </c>
      <c r="E382" s="2" t="str">
        <f t="shared" si="5"/>
        <v/>
      </c>
      <c r="F382" s="2" t="str">
        <f t="shared" si="1"/>
        <v/>
      </c>
    </row>
    <row r="383">
      <c r="A383" s="3"/>
      <c r="B383" s="3"/>
      <c r="C383" s="3"/>
      <c r="D383" s="2" t="str">
        <f t="shared" si="4"/>
        <v/>
      </c>
      <c r="E383" s="2" t="str">
        <f t="shared" si="5"/>
        <v/>
      </c>
      <c r="F383" s="2" t="str">
        <f t="shared" si="1"/>
        <v/>
      </c>
    </row>
    <row r="384">
      <c r="A384" s="3"/>
      <c r="B384" s="3"/>
      <c r="C384" s="3"/>
      <c r="D384" s="2" t="str">
        <f t="shared" si="4"/>
        <v/>
      </c>
      <c r="E384" s="2" t="str">
        <f t="shared" si="5"/>
        <v/>
      </c>
      <c r="F384" s="2" t="str">
        <f t="shared" si="1"/>
        <v/>
      </c>
    </row>
    <row r="385">
      <c r="A385" s="3"/>
      <c r="B385" s="3"/>
      <c r="C385" s="3"/>
      <c r="D385" s="2" t="str">
        <f t="shared" si="4"/>
        <v/>
      </c>
      <c r="E385" s="2" t="str">
        <f t="shared" si="5"/>
        <v/>
      </c>
      <c r="F385" s="2" t="str">
        <f t="shared" si="1"/>
        <v/>
      </c>
    </row>
    <row r="386">
      <c r="A386" s="3"/>
      <c r="B386" s="3"/>
      <c r="C386" s="3"/>
      <c r="D386" s="2" t="str">
        <f t="shared" si="4"/>
        <v/>
      </c>
      <c r="E386" s="2" t="str">
        <f t="shared" si="5"/>
        <v/>
      </c>
      <c r="F386" s="2" t="str">
        <f t="shared" si="1"/>
        <v/>
      </c>
    </row>
    <row r="387">
      <c r="A387" s="3"/>
      <c r="B387" s="3"/>
      <c r="C387" s="3"/>
      <c r="D387" s="2" t="str">
        <f t="shared" si="4"/>
        <v/>
      </c>
      <c r="E387" s="2" t="str">
        <f t="shared" si="5"/>
        <v/>
      </c>
      <c r="F387" s="2" t="str">
        <f t="shared" si="1"/>
        <v/>
      </c>
    </row>
    <row r="388">
      <c r="A388" s="3"/>
      <c r="B388" s="3"/>
      <c r="C388" s="3"/>
      <c r="D388" s="2" t="str">
        <f t="shared" si="4"/>
        <v/>
      </c>
      <c r="E388" s="2" t="str">
        <f t="shared" si="5"/>
        <v/>
      </c>
      <c r="F388" s="2" t="str">
        <f t="shared" si="1"/>
        <v/>
      </c>
    </row>
    <row r="389">
      <c r="A389" s="3"/>
      <c r="B389" s="3"/>
      <c r="C389" s="3"/>
      <c r="D389" s="2" t="str">
        <f t="shared" si="4"/>
        <v/>
      </c>
      <c r="E389" s="2" t="str">
        <f t="shared" si="5"/>
        <v/>
      </c>
      <c r="F389" s="2" t="str">
        <f t="shared" si="1"/>
        <v/>
      </c>
    </row>
    <row r="390">
      <c r="A390" s="3"/>
      <c r="B390" s="3"/>
      <c r="C390" s="3"/>
      <c r="D390" s="2" t="str">
        <f t="shared" si="4"/>
        <v/>
      </c>
      <c r="E390" s="2" t="str">
        <f t="shared" si="5"/>
        <v/>
      </c>
      <c r="F390" s="2" t="str">
        <f t="shared" si="1"/>
        <v/>
      </c>
    </row>
    <row r="391">
      <c r="A391" s="3"/>
      <c r="B391" s="3"/>
      <c r="C391" s="3"/>
      <c r="D391" s="2" t="str">
        <f t="shared" si="4"/>
        <v/>
      </c>
      <c r="E391" s="2" t="str">
        <f t="shared" si="5"/>
        <v/>
      </c>
      <c r="F391" s="2" t="str">
        <f t="shared" si="1"/>
        <v/>
      </c>
    </row>
    <row r="392">
      <c r="A392" s="3"/>
      <c r="B392" s="3"/>
      <c r="C392" s="3"/>
      <c r="D392" s="2" t="str">
        <f t="shared" si="4"/>
        <v/>
      </c>
      <c r="E392" s="2" t="str">
        <f t="shared" si="5"/>
        <v/>
      </c>
      <c r="F392" s="2" t="str">
        <f t="shared" si="1"/>
        <v/>
      </c>
    </row>
    <row r="393">
      <c r="A393" s="3"/>
      <c r="B393" s="3"/>
      <c r="C393" s="3"/>
      <c r="D393" s="2" t="str">
        <f t="shared" si="4"/>
        <v/>
      </c>
      <c r="E393" s="2" t="str">
        <f t="shared" si="5"/>
        <v/>
      </c>
      <c r="F393" s="2" t="str">
        <f t="shared" si="1"/>
        <v/>
      </c>
    </row>
    <row r="394">
      <c r="A394" s="3"/>
      <c r="B394" s="3"/>
      <c r="C394" s="3"/>
      <c r="D394" s="2" t="str">
        <f t="shared" si="4"/>
        <v/>
      </c>
      <c r="E394" s="2" t="str">
        <f t="shared" si="5"/>
        <v/>
      </c>
      <c r="F394" s="2" t="str">
        <f t="shared" si="1"/>
        <v/>
      </c>
    </row>
    <row r="395">
      <c r="A395" s="3"/>
      <c r="B395" s="3"/>
      <c r="C395" s="3"/>
      <c r="D395" s="2" t="str">
        <f t="shared" si="4"/>
        <v/>
      </c>
      <c r="E395" s="2" t="str">
        <f t="shared" si="5"/>
        <v/>
      </c>
      <c r="F395" s="2" t="str">
        <f t="shared" si="1"/>
        <v/>
      </c>
    </row>
    <row r="396">
      <c r="A396" s="3"/>
      <c r="B396" s="3"/>
      <c r="C396" s="3"/>
      <c r="D396" s="2" t="str">
        <f t="shared" si="4"/>
        <v/>
      </c>
      <c r="E396" s="2" t="str">
        <f t="shared" si="5"/>
        <v/>
      </c>
      <c r="F396" s="2" t="str">
        <f t="shared" si="1"/>
        <v/>
      </c>
    </row>
    <row r="397">
      <c r="A397" s="3"/>
      <c r="B397" s="3"/>
      <c r="C397" s="3"/>
      <c r="D397" s="2" t="str">
        <f t="shared" si="4"/>
        <v/>
      </c>
      <c r="E397" s="2" t="str">
        <f t="shared" si="5"/>
        <v/>
      </c>
      <c r="F397" s="2" t="str">
        <f t="shared" si="1"/>
        <v/>
      </c>
    </row>
    <row r="398">
      <c r="A398" s="3"/>
      <c r="B398" s="3"/>
      <c r="C398" s="3"/>
      <c r="D398" s="2" t="str">
        <f t="shared" si="4"/>
        <v/>
      </c>
      <c r="E398" s="2" t="str">
        <f t="shared" si="5"/>
        <v/>
      </c>
      <c r="F398" s="2" t="str">
        <f t="shared" si="1"/>
        <v/>
      </c>
    </row>
    <row r="399">
      <c r="A399" s="3"/>
      <c r="B399" s="3"/>
      <c r="C399" s="3"/>
      <c r="D399" s="2" t="str">
        <f t="shared" si="4"/>
        <v/>
      </c>
      <c r="E399" s="2" t="str">
        <f t="shared" si="5"/>
        <v/>
      </c>
      <c r="F399" s="2" t="str">
        <f t="shared" si="1"/>
        <v/>
      </c>
    </row>
    <row r="400">
      <c r="A400" s="3"/>
      <c r="B400" s="3"/>
      <c r="C400" s="3"/>
      <c r="D400" s="2" t="str">
        <f t="shared" si="4"/>
        <v/>
      </c>
      <c r="E400" s="2" t="str">
        <f t="shared" si="5"/>
        <v/>
      </c>
      <c r="F400" s="2" t="str">
        <f t="shared" si="1"/>
        <v/>
      </c>
    </row>
    <row r="401">
      <c r="A401" s="3"/>
      <c r="B401" s="3"/>
      <c r="C401" s="3"/>
      <c r="D401" s="2" t="str">
        <f t="shared" si="4"/>
        <v/>
      </c>
      <c r="E401" s="2" t="str">
        <f t="shared" si="5"/>
        <v/>
      </c>
      <c r="F401" s="2" t="str">
        <f t="shared" si="1"/>
        <v/>
      </c>
    </row>
    <row r="402">
      <c r="A402" s="3"/>
      <c r="B402" s="3"/>
      <c r="C402" s="3"/>
      <c r="D402" s="2" t="str">
        <f t="shared" si="4"/>
        <v/>
      </c>
      <c r="E402" s="2" t="str">
        <f t="shared" si="5"/>
        <v/>
      </c>
      <c r="F402" s="2" t="str">
        <f t="shared" si="1"/>
        <v/>
      </c>
    </row>
    <row r="403">
      <c r="A403" s="3"/>
      <c r="B403" s="3"/>
      <c r="C403" s="3"/>
      <c r="D403" s="2" t="str">
        <f t="shared" si="4"/>
        <v/>
      </c>
      <c r="E403" s="2" t="str">
        <f t="shared" si="5"/>
        <v/>
      </c>
      <c r="F403" s="2" t="str">
        <f t="shared" si="1"/>
        <v/>
      </c>
    </row>
    <row r="404">
      <c r="A404" s="3"/>
      <c r="B404" s="3"/>
      <c r="C404" s="3"/>
      <c r="D404" s="2" t="str">
        <f t="shared" si="4"/>
        <v/>
      </c>
      <c r="E404" s="2" t="str">
        <f t="shared" si="5"/>
        <v/>
      </c>
      <c r="F404" s="2" t="str">
        <f t="shared" si="1"/>
        <v/>
      </c>
    </row>
    <row r="405">
      <c r="A405" s="3"/>
      <c r="B405" s="3"/>
      <c r="C405" s="3"/>
      <c r="D405" s="2" t="str">
        <f t="shared" si="4"/>
        <v/>
      </c>
      <c r="E405" s="2" t="str">
        <f t="shared" si="5"/>
        <v/>
      </c>
      <c r="F405" s="2" t="str">
        <f t="shared" si="1"/>
        <v/>
      </c>
    </row>
    <row r="406">
      <c r="A406" s="3"/>
      <c r="B406" s="3"/>
      <c r="C406" s="3"/>
      <c r="D406" s="2" t="str">
        <f t="shared" si="4"/>
        <v/>
      </c>
      <c r="E406" s="2" t="str">
        <f t="shared" si="5"/>
        <v/>
      </c>
      <c r="F406" s="2" t="str">
        <f t="shared" si="1"/>
        <v/>
      </c>
    </row>
    <row r="407">
      <c r="A407" s="3"/>
      <c r="B407" s="3"/>
      <c r="C407" s="3"/>
      <c r="D407" s="2" t="str">
        <f t="shared" si="4"/>
        <v/>
      </c>
      <c r="E407" s="2" t="str">
        <f t="shared" si="5"/>
        <v/>
      </c>
      <c r="F407" s="2" t="str">
        <f t="shared" si="1"/>
        <v/>
      </c>
    </row>
    <row r="408">
      <c r="A408" s="3"/>
      <c r="B408" s="3"/>
      <c r="C408" s="3"/>
      <c r="D408" s="2" t="str">
        <f t="shared" si="4"/>
        <v/>
      </c>
      <c r="E408" s="2" t="str">
        <f t="shared" si="5"/>
        <v/>
      </c>
      <c r="F408" s="2" t="str">
        <f t="shared" si="1"/>
        <v/>
      </c>
    </row>
    <row r="409">
      <c r="A409" s="3"/>
      <c r="B409" s="3"/>
      <c r="C409" s="3"/>
      <c r="D409" s="2" t="str">
        <f t="shared" si="4"/>
        <v/>
      </c>
      <c r="E409" s="2" t="str">
        <f t="shared" si="5"/>
        <v/>
      </c>
      <c r="F409" s="2" t="str">
        <f t="shared" si="1"/>
        <v/>
      </c>
    </row>
    <row r="410">
      <c r="A410" s="3"/>
      <c r="B410" s="3"/>
      <c r="C410" s="3"/>
      <c r="D410" s="2" t="str">
        <f t="shared" si="4"/>
        <v/>
      </c>
      <c r="E410" s="2" t="str">
        <f t="shared" si="5"/>
        <v/>
      </c>
      <c r="F410" s="2" t="str">
        <f t="shared" si="1"/>
        <v/>
      </c>
    </row>
    <row r="411">
      <c r="A411" s="3"/>
      <c r="B411" s="3"/>
      <c r="C411" s="3"/>
      <c r="D411" s="2" t="str">
        <f t="shared" si="4"/>
        <v/>
      </c>
      <c r="E411" s="2" t="str">
        <f t="shared" si="5"/>
        <v/>
      </c>
      <c r="F411" s="2" t="str">
        <f t="shared" si="1"/>
        <v/>
      </c>
    </row>
    <row r="412">
      <c r="A412" s="3"/>
      <c r="B412" s="3"/>
      <c r="C412" s="3"/>
      <c r="D412" s="2" t="str">
        <f t="shared" si="4"/>
        <v/>
      </c>
      <c r="E412" s="2" t="str">
        <f t="shared" si="5"/>
        <v/>
      </c>
      <c r="F412" s="2" t="str">
        <f t="shared" si="1"/>
        <v/>
      </c>
    </row>
    <row r="413">
      <c r="A413" s="3"/>
      <c r="B413" s="3"/>
      <c r="C413" s="3"/>
      <c r="D413" s="2" t="str">
        <f t="shared" si="4"/>
        <v/>
      </c>
      <c r="E413" s="2" t="str">
        <f t="shared" si="5"/>
        <v/>
      </c>
      <c r="F413" s="2" t="str">
        <f t="shared" si="1"/>
        <v/>
      </c>
    </row>
    <row r="414">
      <c r="A414" s="3"/>
      <c r="B414" s="3"/>
      <c r="C414" s="3"/>
      <c r="D414" s="2" t="str">
        <f t="shared" si="4"/>
        <v/>
      </c>
      <c r="E414" s="2" t="str">
        <f t="shared" si="5"/>
        <v/>
      </c>
      <c r="F414" s="2" t="str">
        <f t="shared" si="1"/>
        <v/>
      </c>
    </row>
    <row r="415">
      <c r="A415" s="3"/>
      <c r="B415" s="3"/>
      <c r="C415" s="3"/>
      <c r="D415" s="2" t="str">
        <f t="shared" si="4"/>
        <v/>
      </c>
      <c r="E415" s="2" t="str">
        <f t="shared" si="5"/>
        <v/>
      </c>
      <c r="F415" s="2" t="str">
        <f t="shared" si="1"/>
        <v/>
      </c>
    </row>
    <row r="416">
      <c r="A416" s="3"/>
      <c r="B416" s="3"/>
      <c r="C416" s="3"/>
      <c r="D416" s="2" t="str">
        <f t="shared" si="4"/>
        <v/>
      </c>
      <c r="E416" s="2" t="str">
        <f t="shared" si="5"/>
        <v/>
      </c>
      <c r="F416" s="2" t="str">
        <f t="shared" si="1"/>
        <v/>
      </c>
    </row>
    <row r="417">
      <c r="A417" s="3"/>
      <c r="B417" s="3"/>
      <c r="C417" s="3"/>
      <c r="D417" s="2" t="str">
        <f t="shared" si="4"/>
        <v/>
      </c>
      <c r="E417" s="2" t="str">
        <f t="shared" si="5"/>
        <v/>
      </c>
      <c r="F417" s="2" t="str">
        <f t="shared" si="1"/>
        <v/>
      </c>
    </row>
    <row r="418">
      <c r="A418" s="3"/>
      <c r="B418" s="3"/>
      <c r="C418" s="3"/>
      <c r="D418" s="2" t="str">
        <f t="shared" si="4"/>
        <v/>
      </c>
      <c r="E418" s="2" t="str">
        <f t="shared" si="5"/>
        <v/>
      </c>
      <c r="F418" s="2" t="str">
        <f t="shared" si="1"/>
        <v/>
      </c>
    </row>
    <row r="419">
      <c r="A419" s="3"/>
      <c r="B419" s="3"/>
      <c r="C419" s="3"/>
      <c r="D419" s="2" t="str">
        <f t="shared" si="4"/>
        <v/>
      </c>
      <c r="E419" s="2" t="str">
        <f t="shared" si="5"/>
        <v/>
      </c>
      <c r="F419" s="2" t="str">
        <f t="shared" si="1"/>
        <v/>
      </c>
    </row>
    <row r="420">
      <c r="A420" s="3"/>
      <c r="B420" s="3"/>
      <c r="C420" s="3"/>
      <c r="D420" s="2" t="str">
        <f t="shared" si="4"/>
        <v/>
      </c>
      <c r="E420" s="2" t="str">
        <f t="shared" si="5"/>
        <v/>
      </c>
      <c r="F420" s="2" t="str">
        <f t="shared" si="1"/>
        <v/>
      </c>
    </row>
    <row r="421">
      <c r="A421" s="3"/>
      <c r="B421" s="3"/>
      <c r="C421" s="3"/>
      <c r="D421" s="2" t="str">
        <f t="shared" si="4"/>
        <v/>
      </c>
      <c r="E421" s="2" t="str">
        <f t="shared" si="5"/>
        <v/>
      </c>
      <c r="F421" s="2" t="str">
        <f t="shared" si="1"/>
        <v/>
      </c>
    </row>
    <row r="422">
      <c r="A422" s="3"/>
      <c r="B422" s="3"/>
      <c r="C422" s="3"/>
      <c r="D422" s="2" t="str">
        <f t="shared" si="4"/>
        <v/>
      </c>
      <c r="E422" s="2" t="str">
        <f t="shared" si="5"/>
        <v/>
      </c>
      <c r="F422" s="2" t="str">
        <f t="shared" si="1"/>
        <v/>
      </c>
    </row>
    <row r="423">
      <c r="A423" s="3"/>
      <c r="B423" s="3"/>
      <c r="C423" s="3"/>
      <c r="D423" s="2" t="str">
        <f t="shared" si="4"/>
        <v/>
      </c>
      <c r="E423" s="2" t="str">
        <f t="shared" si="5"/>
        <v/>
      </c>
      <c r="F423" s="2" t="str">
        <f t="shared" si="1"/>
        <v/>
      </c>
    </row>
    <row r="424">
      <c r="A424" s="3"/>
      <c r="B424" s="3"/>
      <c r="C424" s="3"/>
      <c r="D424" s="2" t="str">
        <f t="shared" si="4"/>
        <v/>
      </c>
      <c r="E424" s="2" t="str">
        <f t="shared" si="5"/>
        <v/>
      </c>
      <c r="F424" s="2" t="str">
        <f t="shared" si="1"/>
        <v/>
      </c>
    </row>
    <row r="425">
      <c r="A425" s="3"/>
      <c r="B425" s="3"/>
      <c r="C425" s="3"/>
      <c r="D425" s="2" t="str">
        <f t="shared" si="4"/>
        <v/>
      </c>
      <c r="E425" s="2" t="str">
        <f t="shared" si="5"/>
        <v/>
      </c>
      <c r="F425" s="2" t="str">
        <f t="shared" si="1"/>
        <v/>
      </c>
    </row>
    <row r="426">
      <c r="A426" s="3"/>
      <c r="B426" s="3"/>
      <c r="C426" s="3"/>
      <c r="D426" s="2" t="str">
        <f t="shared" si="4"/>
        <v/>
      </c>
      <c r="E426" s="2" t="str">
        <f t="shared" si="5"/>
        <v/>
      </c>
      <c r="F426" s="2" t="str">
        <f t="shared" si="1"/>
        <v/>
      </c>
    </row>
    <row r="427">
      <c r="A427" s="3"/>
      <c r="B427" s="3"/>
      <c r="C427" s="3"/>
      <c r="D427" s="2" t="str">
        <f t="shared" si="4"/>
        <v/>
      </c>
      <c r="E427" s="2" t="str">
        <f t="shared" si="5"/>
        <v/>
      </c>
      <c r="F427" s="2" t="str">
        <f t="shared" si="1"/>
        <v/>
      </c>
    </row>
    <row r="428">
      <c r="A428" s="3"/>
      <c r="B428" s="3"/>
      <c r="C428" s="3"/>
      <c r="D428" s="2" t="str">
        <f t="shared" si="4"/>
        <v/>
      </c>
      <c r="E428" s="2" t="str">
        <f t="shared" si="5"/>
        <v/>
      </c>
      <c r="F428" s="2" t="str">
        <f t="shared" si="1"/>
        <v/>
      </c>
    </row>
    <row r="429">
      <c r="A429" s="3"/>
      <c r="B429" s="3"/>
      <c r="C429" s="3"/>
      <c r="D429" s="2" t="str">
        <f t="shared" si="4"/>
        <v/>
      </c>
      <c r="E429" s="2" t="str">
        <f t="shared" si="5"/>
        <v/>
      </c>
      <c r="F429" s="2" t="str">
        <f t="shared" si="1"/>
        <v/>
      </c>
    </row>
    <row r="430">
      <c r="A430" s="3"/>
      <c r="B430" s="3"/>
      <c r="C430" s="3"/>
      <c r="D430" s="2" t="str">
        <f t="shared" si="4"/>
        <v/>
      </c>
      <c r="E430" s="2" t="str">
        <f t="shared" si="5"/>
        <v/>
      </c>
      <c r="F430" s="2" t="str">
        <f t="shared" si="1"/>
        <v/>
      </c>
    </row>
    <row r="431">
      <c r="A431" s="3"/>
      <c r="B431" s="3"/>
      <c r="C431" s="3"/>
      <c r="D431" s="2" t="str">
        <f t="shared" si="4"/>
        <v/>
      </c>
      <c r="E431" s="2" t="str">
        <f t="shared" si="5"/>
        <v/>
      </c>
      <c r="F431" s="2" t="str">
        <f t="shared" si="1"/>
        <v/>
      </c>
    </row>
    <row r="432">
      <c r="A432" s="3"/>
      <c r="B432" s="3"/>
      <c r="C432" s="3"/>
      <c r="D432" s="2" t="str">
        <f t="shared" si="4"/>
        <v/>
      </c>
      <c r="E432" s="2" t="str">
        <f t="shared" si="5"/>
        <v/>
      </c>
      <c r="F432" s="2" t="str">
        <f t="shared" si="1"/>
        <v/>
      </c>
    </row>
    <row r="433">
      <c r="A433" s="3"/>
      <c r="B433" s="3"/>
      <c r="C433" s="3"/>
      <c r="D433" s="2" t="str">
        <f t="shared" si="4"/>
        <v/>
      </c>
      <c r="E433" s="2" t="str">
        <f t="shared" si="5"/>
        <v/>
      </c>
      <c r="F433" s="2" t="str">
        <f t="shared" si="1"/>
        <v/>
      </c>
    </row>
    <row r="434">
      <c r="A434" s="3"/>
      <c r="B434" s="3"/>
      <c r="C434" s="3"/>
      <c r="D434" s="2" t="str">
        <f t="shared" si="4"/>
        <v/>
      </c>
      <c r="E434" s="2" t="str">
        <f t="shared" si="5"/>
        <v/>
      </c>
      <c r="F434" s="2" t="str">
        <f t="shared" si="1"/>
        <v/>
      </c>
    </row>
    <row r="435">
      <c r="A435" s="3"/>
      <c r="B435" s="3"/>
      <c r="C435" s="3"/>
      <c r="D435" s="2" t="str">
        <f t="shared" si="4"/>
        <v/>
      </c>
      <c r="E435" s="2" t="str">
        <f t="shared" si="5"/>
        <v/>
      </c>
      <c r="F435" s="2" t="str">
        <f t="shared" si="1"/>
        <v/>
      </c>
    </row>
    <row r="436">
      <c r="A436" s="3"/>
      <c r="B436" s="3"/>
      <c r="C436" s="3"/>
      <c r="D436" s="2" t="str">
        <f t="shared" si="4"/>
        <v/>
      </c>
      <c r="E436" s="2" t="str">
        <f t="shared" si="5"/>
        <v/>
      </c>
      <c r="F436" s="2" t="str">
        <f t="shared" si="1"/>
        <v/>
      </c>
    </row>
    <row r="437">
      <c r="A437" s="3"/>
      <c r="B437" s="3"/>
      <c r="C437" s="3"/>
      <c r="D437" s="2" t="str">
        <f t="shared" si="4"/>
        <v/>
      </c>
      <c r="E437" s="2" t="str">
        <f t="shared" si="5"/>
        <v/>
      </c>
      <c r="F437" s="2" t="str">
        <f t="shared" si="1"/>
        <v/>
      </c>
    </row>
    <row r="438">
      <c r="A438" s="3"/>
      <c r="B438" s="3"/>
      <c r="C438" s="3"/>
      <c r="D438" s="2" t="str">
        <f t="shared" si="4"/>
        <v/>
      </c>
      <c r="E438" s="2" t="str">
        <f t="shared" si="5"/>
        <v/>
      </c>
      <c r="F438" s="2" t="str">
        <f t="shared" si="1"/>
        <v/>
      </c>
    </row>
    <row r="439">
      <c r="A439" s="3"/>
      <c r="B439" s="3"/>
      <c r="C439" s="3"/>
      <c r="D439" s="2" t="str">
        <f t="shared" si="4"/>
        <v/>
      </c>
      <c r="E439" s="2" t="str">
        <f t="shared" si="5"/>
        <v/>
      </c>
      <c r="F439" s="2" t="str">
        <f t="shared" si="1"/>
        <v/>
      </c>
    </row>
    <row r="440">
      <c r="A440" s="3"/>
      <c r="B440" s="3"/>
      <c r="C440" s="3"/>
      <c r="D440" s="2" t="str">
        <f t="shared" si="4"/>
        <v/>
      </c>
      <c r="E440" s="2" t="str">
        <f t="shared" si="5"/>
        <v/>
      </c>
      <c r="F440" s="2" t="str">
        <f t="shared" si="1"/>
        <v/>
      </c>
    </row>
    <row r="441">
      <c r="A441" s="3"/>
      <c r="B441" s="3"/>
      <c r="C441" s="3"/>
      <c r="D441" s="2" t="str">
        <f t="shared" si="4"/>
        <v/>
      </c>
      <c r="E441" s="2" t="str">
        <f t="shared" si="5"/>
        <v/>
      </c>
      <c r="F441" s="2" t="str">
        <f t="shared" si="1"/>
        <v/>
      </c>
    </row>
    <row r="442">
      <c r="A442" s="3"/>
      <c r="B442" s="3"/>
      <c r="C442" s="3"/>
      <c r="D442" s="2" t="str">
        <f t="shared" si="4"/>
        <v/>
      </c>
      <c r="E442" s="2" t="str">
        <f t="shared" si="5"/>
        <v/>
      </c>
      <c r="F442" s="2" t="str">
        <f t="shared" si="1"/>
        <v/>
      </c>
    </row>
    <row r="443">
      <c r="A443" s="3"/>
      <c r="B443" s="3"/>
      <c r="C443" s="3"/>
      <c r="D443" s="2" t="str">
        <f t="shared" si="4"/>
        <v/>
      </c>
      <c r="E443" s="2" t="str">
        <f t="shared" si="5"/>
        <v/>
      </c>
      <c r="F443" s="2" t="str">
        <f t="shared" si="1"/>
        <v/>
      </c>
    </row>
    <row r="444">
      <c r="A444" s="3"/>
      <c r="B444" s="3"/>
      <c r="C444" s="3"/>
      <c r="D444" s="2" t="str">
        <f t="shared" si="4"/>
        <v/>
      </c>
      <c r="E444" s="2" t="str">
        <f t="shared" si="5"/>
        <v/>
      </c>
      <c r="F444" s="2" t="str">
        <f t="shared" si="1"/>
        <v/>
      </c>
    </row>
    <row r="445">
      <c r="A445" s="3"/>
      <c r="B445" s="3"/>
      <c r="C445" s="3"/>
      <c r="D445" s="2" t="str">
        <f t="shared" si="4"/>
        <v/>
      </c>
      <c r="E445" s="2" t="str">
        <f t="shared" si="5"/>
        <v/>
      </c>
      <c r="F445" s="2" t="str">
        <f t="shared" si="1"/>
        <v/>
      </c>
    </row>
    <row r="446">
      <c r="A446" s="3"/>
      <c r="B446" s="3"/>
      <c r="C446" s="3"/>
      <c r="D446" s="2" t="str">
        <f t="shared" si="4"/>
        <v/>
      </c>
      <c r="E446" s="2" t="str">
        <f t="shared" si="5"/>
        <v/>
      </c>
      <c r="F446" s="2" t="str">
        <f t="shared" si="1"/>
        <v/>
      </c>
    </row>
    <row r="447">
      <c r="A447" s="3"/>
      <c r="B447" s="3"/>
      <c r="C447" s="3"/>
      <c r="D447" s="2" t="str">
        <f t="shared" si="4"/>
        <v/>
      </c>
      <c r="E447" s="2" t="str">
        <f t="shared" si="5"/>
        <v/>
      </c>
      <c r="F447" s="2" t="str">
        <f t="shared" si="1"/>
        <v/>
      </c>
    </row>
    <row r="448">
      <c r="A448" s="3"/>
      <c r="B448" s="3"/>
      <c r="C448" s="3"/>
      <c r="D448" s="2" t="str">
        <f t="shared" si="4"/>
        <v/>
      </c>
      <c r="E448" s="2" t="str">
        <f t="shared" si="5"/>
        <v/>
      </c>
      <c r="F448" s="2" t="str">
        <f t="shared" si="1"/>
        <v/>
      </c>
    </row>
    <row r="449">
      <c r="A449" s="3"/>
      <c r="B449" s="3"/>
      <c r="C449" s="3"/>
      <c r="D449" s="2" t="str">
        <f t="shared" si="4"/>
        <v/>
      </c>
      <c r="E449" s="2" t="str">
        <f t="shared" si="5"/>
        <v/>
      </c>
      <c r="F449" s="2" t="str">
        <f t="shared" si="1"/>
        <v/>
      </c>
    </row>
    <row r="450">
      <c r="A450" s="3"/>
      <c r="B450" s="3"/>
      <c r="C450" s="3"/>
      <c r="D450" s="2" t="str">
        <f t="shared" si="4"/>
        <v/>
      </c>
      <c r="E450" s="2" t="str">
        <f t="shared" si="5"/>
        <v/>
      </c>
      <c r="F450" s="2" t="str">
        <f t="shared" si="1"/>
        <v/>
      </c>
    </row>
    <row r="451">
      <c r="A451" s="3"/>
      <c r="B451" s="3"/>
      <c r="C451" s="3"/>
      <c r="D451" s="2" t="str">
        <f t="shared" si="4"/>
        <v/>
      </c>
      <c r="E451" s="2" t="str">
        <f t="shared" si="5"/>
        <v/>
      </c>
      <c r="F451" s="2" t="str">
        <f t="shared" si="1"/>
        <v/>
      </c>
    </row>
    <row r="452">
      <c r="A452" s="3"/>
      <c r="B452" s="3"/>
      <c r="C452" s="3"/>
      <c r="D452" s="2" t="str">
        <f t="shared" si="4"/>
        <v/>
      </c>
      <c r="E452" s="2" t="str">
        <f t="shared" si="5"/>
        <v/>
      </c>
      <c r="F452" s="2" t="str">
        <f t="shared" si="1"/>
        <v/>
      </c>
    </row>
    <row r="453">
      <c r="A453" s="3"/>
      <c r="B453" s="3"/>
      <c r="C453" s="3"/>
      <c r="D453" s="2" t="str">
        <f t="shared" si="4"/>
        <v/>
      </c>
      <c r="E453" s="2" t="str">
        <f t="shared" si="5"/>
        <v/>
      </c>
      <c r="F453" s="2" t="str">
        <f t="shared" si="1"/>
        <v/>
      </c>
    </row>
    <row r="454">
      <c r="A454" s="3"/>
      <c r="B454" s="3"/>
      <c r="C454" s="3"/>
      <c r="D454" s="2" t="str">
        <f t="shared" si="4"/>
        <v/>
      </c>
      <c r="E454" s="2" t="str">
        <f t="shared" si="5"/>
        <v/>
      </c>
      <c r="F454" s="2" t="str">
        <f t="shared" si="1"/>
        <v/>
      </c>
    </row>
    <row r="455">
      <c r="A455" s="3"/>
      <c r="B455" s="3"/>
      <c r="C455" s="3"/>
      <c r="D455" s="2" t="str">
        <f t="shared" si="4"/>
        <v/>
      </c>
      <c r="E455" s="2" t="str">
        <f t="shared" si="5"/>
        <v/>
      </c>
      <c r="F455" s="2" t="str">
        <f t="shared" si="1"/>
        <v/>
      </c>
    </row>
    <row r="456">
      <c r="A456" s="3"/>
      <c r="B456" s="3"/>
      <c r="C456" s="3"/>
      <c r="D456" s="2" t="str">
        <f t="shared" si="4"/>
        <v/>
      </c>
      <c r="E456" s="2" t="str">
        <f t="shared" si="5"/>
        <v/>
      </c>
      <c r="F456" s="2" t="str">
        <f t="shared" si="1"/>
        <v/>
      </c>
    </row>
    <row r="457">
      <c r="A457" s="3"/>
      <c r="B457" s="3"/>
      <c r="C457" s="3"/>
      <c r="D457" s="2" t="str">
        <f t="shared" si="4"/>
        <v/>
      </c>
      <c r="E457" s="2" t="str">
        <f t="shared" si="5"/>
        <v/>
      </c>
      <c r="F457" s="2" t="str">
        <f t="shared" si="1"/>
        <v/>
      </c>
    </row>
    <row r="458">
      <c r="A458" s="3"/>
      <c r="B458" s="3"/>
      <c r="C458" s="3"/>
      <c r="D458" s="2" t="str">
        <f t="shared" si="4"/>
        <v/>
      </c>
      <c r="E458" s="2" t="str">
        <f t="shared" si="5"/>
        <v/>
      </c>
      <c r="F458" s="2" t="str">
        <f t="shared" si="1"/>
        <v/>
      </c>
    </row>
    <row r="459">
      <c r="A459" s="3"/>
      <c r="B459" s="3"/>
      <c r="C459" s="3"/>
      <c r="D459" s="2" t="str">
        <f t="shared" si="4"/>
        <v/>
      </c>
      <c r="E459" s="2" t="str">
        <f t="shared" si="5"/>
        <v/>
      </c>
      <c r="F459" s="2" t="str">
        <f t="shared" si="1"/>
        <v/>
      </c>
    </row>
    <row r="460">
      <c r="A460" s="3"/>
      <c r="B460" s="3"/>
      <c r="C460" s="3"/>
      <c r="D460" s="2" t="str">
        <f t="shared" si="4"/>
        <v/>
      </c>
      <c r="E460" s="2" t="str">
        <f t="shared" si="5"/>
        <v/>
      </c>
      <c r="F460" s="2" t="str">
        <f t="shared" si="1"/>
        <v/>
      </c>
    </row>
    <row r="461">
      <c r="A461" s="3"/>
      <c r="B461" s="3"/>
      <c r="C461" s="3"/>
      <c r="D461" s="2" t="str">
        <f t="shared" si="4"/>
        <v/>
      </c>
      <c r="E461" s="2" t="str">
        <f t="shared" si="5"/>
        <v/>
      </c>
      <c r="F461" s="2" t="str">
        <f t="shared" si="1"/>
        <v/>
      </c>
    </row>
    <row r="462">
      <c r="A462" s="3"/>
      <c r="B462" s="3"/>
      <c r="C462" s="3"/>
      <c r="D462" s="2" t="str">
        <f t="shared" si="4"/>
        <v/>
      </c>
      <c r="E462" s="2" t="str">
        <f t="shared" si="5"/>
        <v/>
      </c>
      <c r="F462" s="2" t="str">
        <f t="shared" si="1"/>
        <v/>
      </c>
    </row>
    <row r="463">
      <c r="A463" s="3"/>
      <c r="B463" s="3"/>
      <c r="C463" s="3"/>
      <c r="D463" s="2" t="str">
        <f t="shared" si="4"/>
        <v/>
      </c>
      <c r="E463" s="2" t="str">
        <f t="shared" si="5"/>
        <v/>
      </c>
      <c r="F463" s="2" t="str">
        <f t="shared" si="1"/>
        <v/>
      </c>
    </row>
    <row r="464">
      <c r="A464" s="3"/>
      <c r="B464" s="3"/>
      <c r="C464" s="3"/>
      <c r="D464" s="2" t="str">
        <f t="shared" si="4"/>
        <v/>
      </c>
      <c r="E464" s="2" t="str">
        <f t="shared" si="5"/>
        <v/>
      </c>
      <c r="F464" s="2" t="str">
        <f t="shared" si="1"/>
        <v/>
      </c>
    </row>
    <row r="465">
      <c r="A465" s="3"/>
      <c r="B465" s="3"/>
      <c r="C465" s="3"/>
      <c r="D465" s="2" t="str">
        <f t="shared" si="4"/>
        <v/>
      </c>
      <c r="E465" s="2" t="str">
        <f t="shared" si="5"/>
        <v/>
      </c>
      <c r="F465" s="2" t="str">
        <f t="shared" si="1"/>
        <v/>
      </c>
    </row>
    <row r="466">
      <c r="A466" s="3"/>
      <c r="B466" s="3"/>
      <c r="C466" s="3"/>
      <c r="D466" s="2" t="str">
        <f t="shared" si="4"/>
        <v/>
      </c>
      <c r="E466" s="2" t="str">
        <f t="shared" si="5"/>
        <v/>
      </c>
      <c r="F466" s="2" t="str">
        <f t="shared" si="1"/>
        <v/>
      </c>
    </row>
    <row r="467">
      <c r="A467" s="3"/>
      <c r="B467" s="3"/>
      <c r="C467" s="3"/>
      <c r="D467" s="2" t="str">
        <f t="shared" si="4"/>
        <v/>
      </c>
      <c r="E467" s="2" t="str">
        <f t="shared" si="5"/>
        <v/>
      </c>
      <c r="F467" s="2" t="str">
        <f t="shared" si="1"/>
        <v/>
      </c>
    </row>
    <row r="468">
      <c r="A468" s="3"/>
      <c r="B468" s="3"/>
      <c r="C468" s="3"/>
      <c r="D468" s="2" t="str">
        <f t="shared" si="4"/>
        <v/>
      </c>
      <c r="E468" s="2" t="str">
        <f t="shared" si="5"/>
        <v/>
      </c>
      <c r="F468" s="2" t="str">
        <f t="shared" si="1"/>
        <v/>
      </c>
    </row>
    <row r="469">
      <c r="A469" s="3"/>
      <c r="B469" s="3"/>
      <c r="C469" s="3"/>
      <c r="D469" s="2" t="str">
        <f t="shared" si="4"/>
        <v/>
      </c>
      <c r="E469" s="2" t="str">
        <f t="shared" si="5"/>
        <v/>
      </c>
      <c r="F469" s="2" t="str">
        <f t="shared" si="1"/>
        <v/>
      </c>
    </row>
    <row r="470">
      <c r="A470" s="3"/>
      <c r="B470" s="3"/>
      <c r="C470" s="3"/>
      <c r="D470" s="2" t="str">
        <f t="shared" si="4"/>
        <v/>
      </c>
      <c r="E470" s="2" t="str">
        <f t="shared" si="5"/>
        <v/>
      </c>
      <c r="F470" s="2" t="str">
        <f t="shared" si="1"/>
        <v/>
      </c>
    </row>
    <row r="471">
      <c r="A471" s="3"/>
      <c r="B471" s="3"/>
      <c r="C471" s="3"/>
      <c r="D471" s="2" t="str">
        <f t="shared" si="4"/>
        <v/>
      </c>
      <c r="E471" s="2" t="str">
        <f t="shared" si="5"/>
        <v/>
      </c>
      <c r="F471" s="2" t="str">
        <f t="shared" si="1"/>
        <v/>
      </c>
    </row>
    <row r="472">
      <c r="A472" s="3"/>
      <c r="B472" s="3"/>
      <c r="C472" s="3"/>
      <c r="D472" s="2" t="str">
        <f t="shared" si="4"/>
        <v/>
      </c>
      <c r="E472" s="2" t="str">
        <f t="shared" si="5"/>
        <v/>
      </c>
      <c r="F472" s="2" t="str">
        <f t="shared" si="1"/>
        <v/>
      </c>
    </row>
    <row r="473">
      <c r="A473" s="3"/>
      <c r="B473" s="3"/>
      <c r="C473" s="3"/>
      <c r="D473" s="2" t="str">
        <f t="shared" si="4"/>
        <v/>
      </c>
      <c r="E473" s="2" t="str">
        <f t="shared" si="5"/>
        <v/>
      </c>
      <c r="F473" s="2" t="str">
        <f t="shared" si="1"/>
        <v/>
      </c>
    </row>
    <row r="474">
      <c r="A474" s="3"/>
      <c r="B474" s="3"/>
      <c r="C474" s="3"/>
      <c r="D474" s="2" t="str">
        <f t="shared" si="4"/>
        <v/>
      </c>
      <c r="E474" s="2" t="str">
        <f t="shared" si="5"/>
        <v/>
      </c>
      <c r="F474" s="2" t="str">
        <f t="shared" si="1"/>
        <v/>
      </c>
    </row>
    <row r="475">
      <c r="A475" s="3"/>
      <c r="B475" s="3"/>
      <c r="C475" s="3"/>
      <c r="D475" s="2" t="str">
        <f t="shared" si="4"/>
        <v/>
      </c>
      <c r="E475" s="2" t="str">
        <f t="shared" si="5"/>
        <v/>
      </c>
      <c r="F475" s="2" t="str">
        <f t="shared" si="1"/>
        <v/>
      </c>
    </row>
    <row r="476">
      <c r="A476" s="3"/>
      <c r="B476" s="3"/>
      <c r="C476" s="3"/>
      <c r="D476" s="2" t="str">
        <f t="shared" si="4"/>
        <v/>
      </c>
      <c r="E476" s="2" t="str">
        <f t="shared" si="5"/>
        <v/>
      </c>
      <c r="F476" s="2" t="str">
        <f t="shared" si="1"/>
        <v/>
      </c>
    </row>
    <row r="477">
      <c r="A477" s="3"/>
      <c r="B477" s="3"/>
      <c r="C477" s="3"/>
      <c r="D477" s="2" t="str">
        <f t="shared" si="4"/>
        <v/>
      </c>
      <c r="E477" s="2" t="str">
        <f t="shared" si="5"/>
        <v/>
      </c>
      <c r="F477" s="2" t="str">
        <f t="shared" si="1"/>
        <v/>
      </c>
    </row>
    <row r="478">
      <c r="A478" s="3"/>
      <c r="B478" s="3"/>
      <c r="C478" s="3"/>
      <c r="D478" s="2" t="str">
        <f t="shared" si="4"/>
        <v/>
      </c>
      <c r="E478" s="2" t="str">
        <f t="shared" si="5"/>
        <v/>
      </c>
      <c r="F478" s="2" t="str">
        <f t="shared" si="1"/>
        <v/>
      </c>
    </row>
    <row r="479">
      <c r="A479" s="3"/>
      <c r="B479" s="3"/>
      <c r="C479" s="3"/>
      <c r="D479" s="2" t="str">
        <f t="shared" si="4"/>
        <v/>
      </c>
      <c r="E479" s="2" t="str">
        <f t="shared" si="5"/>
        <v/>
      </c>
      <c r="F479" s="2" t="str">
        <f t="shared" si="1"/>
        <v/>
      </c>
    </row>
    <row r="480">
      <c r="A480" s="3"/>
      <c r="B480" s="3"/>
      <c r="C480" s="3"/>
      <c r="D480" s="2" t="str">
        <f t="shared" si="4"/>
        <v/>
      </c>
      <c r="E480" s="2" t="str">
        <f t="shared" si="5"/>
        <v/>
      </c>
      <c r="F480" s="2" t="str">
        <f t="shared" si="1"/>
        <v/>
      </c>
    </row>
    <row r="481">
      <c r="A481" s="3"/>
      <c r="B481" s="3"/>
      <c r="C481" s="3"/>
      <c r="D481" s="2" t="str">
        <f t="shared" si="4"/>
        <v/>
      </c>
      <c r="E481" s="2" t="str">
        <f t="shared" si="5"/>
        <v/>
      </c>
      <c r="F481" s="2" t="str">
        <f t="shared" si="1"/>
        <v/>
      </c>
    </row>
    <row r="482">
      <c r="A482" s="3"/>
      <c r="B482" s="3"/>
      <c r="C482" s="3"/>
      <c r="D482" s="2" t="str">
        <f t="shared" si="4"/>
        <v/>
      </c>
      <c r="E482" s="2" t="str">
        <f t="shared" si="5"/>
        <v/>
      </c>
      <c r="F482" s="2" t="str">
        <f t="shared" si="1"/>
        <v/>
      </c>
    </row>
    <row r="483">
      <c r="A483" s="3"/>
      <c r="B483" s="3"/>
      <c r="C483" s="3"/>
      <c r="D483" s="2" t="str">
        <f t="shared" si="4"/>
        <v/>
      </c>
      <c r="E483" s="2" t="str">
        <f t="shared" si="5"/>
        <v/>
      </c>
      <c r="F483" s="2" t="str">
        <f t="shared" si="1"/>
        <v/>
      </c>
    </row>
    <row r="484">
      <c r="A484" s="3"/>
      <c r="B484" s="3"/>
      <c r="C484" s="3"/>
      <c r="D484" s="2" t="str">
        <f t="shared" si="4"/>
        <v/>
      </c>
      <c r="E484" s="2" t="str">
        <f t="shared" si="5"/>
        <v/>
      </c>
      <c r="F484" s="2" t="str">
        <f t="shared" si="1"/>
        <v/>
      </c>
    </row>
    <row r="485">
      <c r="A485" s="3"/>
      <c r="B485" s="3"/>
      <c r="C485" s="3"/>
      <c r="D485" s="2" t="str">
        <f t="shared" si="4"/>
        <v/>
      </c>
      <c r="E485" s="2" t="str">
        <f t="shared" si="5"/>
        <v/>
      </c>
      <c r="F485" s="2" t="str">
        <f t="shared" si="1"/>
        <v/>
      </c>
    </row>
    <row r="486">
      <c r="A486" s="3"/>
      <c r="B486" s="3"/>
      <c r="C486" s="3"/>
      <c r="D486" s="2" t="str">
        <f t="shared" si="4"/>
        <v/>
      </c>
      <c r="E486" s="2" t="str">
        <f t="shared" si="5"/>
        <v/>
      </c>
      <c r="F486" s="2" t="str">
        <f t="shared" si="1"/>
        <v/>
      </c>
    </row>
    <row r="487">
      <c r="A487" s="3"/>
      <c r="B487" s="3"/>
      <c r="C487" s="3"/>
      <c r="D487" s="2" t="str">
        <f t="shared" si="4"/>
        <v/>
      </c>
      <c r="E487" s="2" t="str">
        <f t="shared" si="5"/>
        <v/>
      </c>
      <c r="F487" s="2" t="str">
        <f t="shared" si="1"/>
        <v/>
      </c>
    </row>
    <row r="488">
      <c r="A488" s="3"/>
      <c r="B488" s="3"/>
      <c r="C488" s="3"/>
      <c r="D488" s="2" t="str">
        <f t="shared" si="4"/>
        <v/>
      </c>
      <c r="E488" s="2" t="str">
        <f t="shared" si="5"/>
        <v/>
      </c>
      <c r="F488" s="2" t="str">
        <f t="shared" si="1"/>
        <v/>
      </c>
    </row>
    <row r="489">
      <c r="A489" s="3"/>
      <c r="B489" s="3"/>
      <c r="C489" s="3"/>
      <c r="D489" s="2" t="str">
        <f t="shared" si="4"/>
        <v/>
      </c>
      <c r="E489" s="2" t="str">
        <f t="shared" si="5"/>
        <v/>
      </c>
      <c r="F489" s="2" t="str">
        <f t="shared" si="1"/>
        <v/>
      </c>
    </row>
    <row r="490">
      <c r="A490" s="3"/>
      <c r="B490" s="3"/>
      <c r="C490" s="3"/>
      <c r="D490" s="2" t="str">
        <f t="shared" si="4"/>
        <v/>
      </c>
      <c r="E490" s="2" t="str">
        <f t="shared" si="5"/>
        <v/>
      </c>
      <c r="F490" s="2" t="str">
        <f t="shared" si="1"/>
        <v/>
      </c>
    </row>
    <row r="491">
      <c r="A491" s="3"/>
      <c r="B491" s="3"/>
      <c r="C491" s="3"/>
      <c r="D491" s="2" t="str">
        <f t="shared" si="4"/>
        <v/>
      </c>
      <c r="E491" s="2" t="str">
        <f t="shared" si="5"/>
        <v/>
      </c>
      <c r="F491" s="2" t="str">
        <f t="shared" si="1"/>
        <v/>
      </c>
    </row>
    <row r="492">
      <c r="A492" s="3"/>
      <c r="B492" s="3"/>
      <c r="C492" s="3"/>
      <c r="D492" s="2" t="str">
        <f t="shared" si="4"/>
        <v/>
      </c>
      <c r="E492" s="2" t="str">
        <f t="shared" si="5"/>
        <v/>
      </c>
      <c r="F492" s="2" t="str">
        <f t="shared" si="1"/>
        <v/>
      </c>
    </row>
    <row r="493">
      <c r="A493" s="3"/>
      <c r="B493" s="3"/>
      <c r="C493" s="3"/>
      <c r="D493" s="2" t="str">
        <f t="shared" si="4"/>
        <v/>
      </c>
      <c r="E493" s="2" t="str">
        <f t="shared" si="5"/>
        <v/>
      </c>
      <c r="F493" s="2" t="str">
        <f t="shared" si="1"/>
        <v/>
      </c>
    </row>
    <row r="494">
      <c r="A494" s="3"/>
      <c r="B494" s="3"/>
      <c r="C494" s="3"/>
      <c r="D494" s="2" t="str">
        <f t="shared" si="4"/>
        <v/>
      </c>
      <c r="E494" s="2" t="str">
        <f t="shared" si="5"/>
        <v/>
      </c>
      <c r="F494" s="2" t="str">
        <f t="shared" si="1"/>
        <v/>
      </c>
    </row>
    <row r="495">
      <c r="A495" s="3"/>
      <c r="B495" s="3"/>
      <c r="C495" s="3"/>
      <c r="D495" s="2" t="str">
        <f t="shared" si="4"/>
        <v/>
      </c>
      <c r="E495" s="2" t="str">
        <f t="shared" si="5"/>
        <v/>
      </c>
      <c r="F495" s="2" t="str">
        <f t="shared" si="1"/>
        <v/>
      </c>
    </row>
    <row r="496">
      <c r="A496" s="3"/>
      <c r="B496" s="3"/>
      <c r="C496" s="3"/>
      <c r="D496" s="2" t="str">
        <f t="shared" si="4"/>
        <v/>
      </c>
      <c r="E496" s="2" t="str">
        <f t="shared" si="5"/>
        <v/>
      </c>
      <c r="F496" s="2" t="str">
        <f t="shared" si="1"/>
        <v/>
      </c>
    </row>
    <row r="497">
      <c r="A497" s="3"/>
      <c r="B497" s="3"/>
      <c r="C497" s="3"/>
      <c r="D497" s="2" t="str">
        <f t="shared" si="4"/>
        <v/>
      </c>
      <c r="E497" s="2" t="str">
        <f t="shared" si="5"/>
        <v/>
      </c>
      <c r="F497" s="2" t="str">
        <f t="shared" si="1"/>
        <v/>
      </c>
    </row>
    <row r="498">
      <c r="A498" s="3"/>
      <c r="B498" s="3"/>
      <c r="C498" s="3"/>
      <c r="D498" s="2" t="str">
        <f t="shared" si="4"/>
        <v/>
      </c>
      <c r="E498" s="2" t="str">
        <f t="shared" si="5"/>
        <v/>
      </c>
      <c r="F498" s="2" t="str">
        <f t="shared" si="1"/>
        <v/>
      </c>
    </row>
    <row r="499">
      <c r="A499" s="3"/>
      <c r="B499" s="3"/>
      <c r="C499" s="3"/>
      <c r="D499" s="2" t="str">
        <f t="shared" si="4"/>
        <v/>
      </c>
      <c r="E499" s="2" t="str">
        <f t="shared" si="5"/>
        <v/>
      </c>
      <c r="F499" s="2" t="str">
        <f t="shared" si="1"/>
        <v/>
      </c>
    </row>
    <row r="500">
      <c r="A500" s="3"/>
      <c r="B500" s="3"/>
      <c r="C500" s="3"/>
      <c r="D500" s="2" t="str">
        <f t="shared" si="4"/>
        <v/>
      </c>
      <c r="E500" s="2" t="str">
        <f t="shared" si="5"/>
        <v/>
      </c>
      <c r="F500" s="2" t="str">
        <f t="shared" si="1"/>
        <v/>
      </c>
    </row>
    <row r="501">
      <c r="A501" s="3"/>
      <c r="B501" s="3"/>
      <c r="C501" s="3"/>
      <c r="D501" s="2" t="str">
        <f t="shared" si="4"/>
        <v/>
      </c>
      <c r="E501" s="2" t="str">
        <f t="shared" si="5"/>
        <v/>
      </c>
      <c r="F501" s="2" t="str">
        <f t="shared" si="1"/>
        <v/>
      </c>
    </row>
    <row r="502">
      <c r="A502" s="3"/>
      <c r="B502" s="3"/>
      <c r="C502" s="3"/>
      <c r="D502" s="2" t="str">
        <f t="shared" si="4"/>
        <v/>
      </c>
      <c r="E502" s="2" t="str">
        <f t="shared" si="5"/>
        <v/>
      </c>
      <c r="F502" s="2" t="str">
        <f t="shared" si="1"/>
        <v/>
      </c>
    </row>
    <row r="503">
      <c r="A503" s="3"/>
      <c r="B503" s="3"/>
      <c r="C503" s="3"/>
      <c r="D503" s="2" t="str">
        <f t="shared" si="4"/>
        <v/>
      </c>
      <c r="E503" s="2" t="str">
        <f t="shared" si="5"/>
        <v/>
      </c>
      <c r="F503" s="2" t="str">
        <f t="shared" si="1"/>
        <v/>
      </c>
    </row>
    <row r="504">
      <c r="A504" s="3"/>
      <c r="B504" s="3"/>
      <c r="C504" s="3"/>
      <c r="D504" s="2" t="str">
        <f t="shared" si="4"/>
        <v/>
      </c>
      <c r="E504" s="2" t="str">
        <f t="shared" si="5"/>
        <v/>
      </c>
      <c r="F504" s="2" t="str">
        <f t="shared" si="1"/>
        <v/>
      </c>
    </row>
    <row r="505">
      <c r="A505" s="3"/>
      <c r="B505" s="3"/>
      <c r="C505" s="3"/>
      <c r="D505" s="2" t="str">
        <f t="shared" si="4"/>
        <v/>
      </c>
      <c r="E505" s="2" t="str">
        <f t="shared" si="5"/>
        <v/>
      </c>
      <c r="F505" s="2" t="str">
        <f t="shared" si="1"/>
        <v/>
      </c>
    </row>
    <row r="506">
      <c r="A506" s="3"/>
      <c r="B506" s="3"/>
      <c r="C506" s="3"/>
      <c r="D506" s="2" t="str">
        <f t="shared" si="4"/>
        <v/>
      </c>
      <c r="E506" s="2" t="str">
        <f t="shared" si="5"/>
        <v/>
      </c>
      <c r="F506" s="2" t="str">
        <f t="shared" si="1"/>
        <v/>
      </c>
    </row>
    <row r="507">
      <c r="A507" s="3"/>
      <c r="B507" s="3"/>
      <c r="C507" s="3"/>
      <c r="D507" s="2" t="str">
        <f t="shared" si="4"/>
        <v/>
      </c>
      <c r="E507" s="2" t="str">
        <f t="shared" si="5"/>
        <v/>
      </c>
      <c r="F507" s="2" t="str">
        <f t="shared" si="1"/>
        <v/>
      </c>
    </row>
    <row r="508">
      <c r="A508" s="3"/>
      <c r="B508" s="3"/>
      <c r="C508" s="3"/>
      <c r="D508" s="2" t="str">
        <f t="shared" si="4"/>
        <v/>
      </c>
      <c r="E508" s="2" t="str">
        <f t="shared" si="5"/>
        <v/>
      </c>
      <c r="F508" s="2" t="str">
        <f t="shared" si="1"/>
        <v/>
      </c>
    </row>
    <row r="509">
      <c r="A509" s="3"/>
      <c r="B509" s="3"/>
      <c r="C509" s="3"/>
      <c r="D509" s="2" t="str">
        <f t="shared" si="4"/>
        <v/>
      </c>
      <c r="E509" s="2" t="str">
        <f t="shared" si="5"/>
        <v/>
      </c>
      <c r="F509" s="2" t="str">
        <f t="shared" si="1"/>
        <v/>
      </c>
    </row>
    <row r="510">
      <c r="A510" s="3"/>
      <c r="B510" s="3"/>
      <c r="C510" s="3"/>
      <c r="D510" s="2" t="str">
        <f t="shared" si="4"/>
        <v/>
      </c>
      <c r="E510" s="2" t="str">
        <f t="shared" si="5"/>
        <v/>
      </c>
      <c r="F510" s="2" t="str">
        <f t="shared" si="1"/>
        <v/>
      </c>
    </row>
    <row r="511">
      <c r="A511" s="3"/>
      <c r="B511" s="3"/>
      <c r="C511" s="3"/>
      <c r="D511" s="2" t="str">
        <f t="shared" si="4"/>
        <v/>
      </c>
      <c r="E511" s="2" t="str">
        <f t="shared" si="5"/>
        <v/>
      </c>
      <c r="F511" s="2" t="str">
        <f t="shared" si="1"/>
        <v/>
      </c>
    </row>
    <row r="512">
      <c r="A512" s="3"/>
      <c r="B512" s="3"/>
      <c r="C512" s="3"/>
      <c r="D512" s="2" t="str">
        <f t="shared" si="4"/>
        <v/>
      </c>
      <c r="E512" s="2" t="str">
        <f t="shared" si="5"/>
        <v/>
      </c>
      <c r="F512" s="2" t="str">
        <f t="shared" si="1"/>
        <v/>
      </c>
    </row>
    <row r="513">
      <c r="A513" s="3"/>
      <c r="B513" s="3"/>
      <c r="C513" s="3"/>
      <c r="D513" s="2" t="str">
        <f t="shared" si="4"/>
        <v/>
      </c>
      <c r="E513" s="2" t="str">
        <f t="shared" si="5"/>
        <v/>
      </c>
      <c r="F513" s="2" t="str">
        <f t="shared" si="1"/>
        <v/>
      </c>
    </row>
    <row r="514">
      <c r="A514" s="3"/>
      <c r="B514" s="3"/>
      <c r="C514" s="3"/>
      <c r="D514" s="2" t="str">
        <f t="shared" si="4"/>
        <v/>
      </c>
      <c r="E514" s="2" t="str">
        <f t="shared" si="5"/>
        <v/>
      </c>
      <c r="F514" s="2" t="str">
        <f t="shared" si="1"/>
        <v/>
      </c>
    </row>
    <row r="515">
      <c r="A515" s="3"/>
      <c r="B515" s="3"/>
      <c r="C515" s="3"/>
      <c r="D515" s="2" t="str">
        <f t="shared" si="4"/>
        <v/>
      </c>
      <c r="E515" s="2" t="str">
        <f t="shared" si="5"/>
        <v/>
      </c>
      <c r="F515" s="2" t="str">
        <f t="shared" si="1"/>
        <v/>
      </c>
    </row>
    <row r="516">
      <c r="A516" s="3"/>
      <c r="B516" s="3"/>
      <c r="C516" s="3"/>
      <c r="D516" s="2" t="str">
        <f t="shared" si="4"/>
        <v/>
      </c>
      <c r="E516" s="2" t="str">
        <f t="shared" si="5"/>
        <v/>
      </c>
      <c r="F516" s="2" t="str">
        <f t="shared" si="1"/>
        <v/>
      </c>
    </row>
    <row r="517">
      <c r="A517" s="3"/>
      <c r="B517" s="3"/>
      <c r="C517" s="3"/>
      <c r="D517" s="2" t="str">
        <f t="shared" si="4"/>
        <v/>
      </c>
      <c r="E517" s="2" t="str">
        <f t="shared" si="5"/>
        <v/>
      </c>
      <c r="F517" s="2" t="str">
        <f t="shared" si="1"/>
        <v/>
      </c>
    </row>
    <row r="518">
      <c r="A518" s="3"/>
      <c r="B518" s="3"/>
      <c r="C518" s="3"/>
      <c r="D518" s="2" t="str">
        <f t="shared" si="4"/>
        <v/>
      </c>
      <c r="E518" s="2" t="str">
        <f t="shared" si="5"/>
        <v/>
      </c>
      <c r="F518" s="2" t="str">
        <f t="shared" si="1"/>
        <v/>
      </c>
    </row>
    <row r="519">
      <c r="A519" s="3"/>
      <c r="B519" s="3"/>
      <c r="C519" s="3"/>
      <c r="D519" s="2" t="str">
        <f t="shared" si="4"/>
        <v/>
      </c>
      <c r="E519" s="2" t="str">
        <f t="shared" si="5"/>
        <v/>
      </c>
      <c r="F519" s="2" t="str">
        <f t="shared" si="1"/>
        <v/>
      </c>
    </row>
    <row r="520">
      <c r="A520" s="3"/>
      <c r="B520" s="3"/>
      <c r="C520" s="3"/>
      <c r="D520" s="2" t="str">
        <f t="shared" si="4"/>
        <v/>
      </c>
      <c r="E520" s="2" t="str">
        <f t="shared" si="5"/>
        <v/>
      </c>
      <c r="F520" s="2" t="str">
        <f t="shared" si="1"/>
        <v/>
      </c>
    </row>
    <row r="521">
      <c r="A521" s="3"/>
      <c r="B521" s="3"/>
      <c r="C521" s="3"/>
      <c r="D521" s="2" t="str">
        <f t="shared" si="4"/>
        <v/>
      </c>
      <c r="E521" s="2" t="str">
        <f t="shared" si="5"/>
        <v/>
      </c>
      <c r="F521" s="2" t="str">
        <f t="shared" si="1"/>
        <v/>
      </c>
    </row>
    <row r="522">
      <c r="A522" s="3"/>
      <c r="B522" s="3"/>
      <c r="C522" s="3"/>
      <c r="D522" s="2" t="str">
        <f t="shared" si="4"/>
        <v/>
      </c>
      <c r="E522" s="2" t="str">
        <f t="shared" si="5"/>
        <v/>
      </c>
      <c r="F522" s="2" t="str">
        <f t="shared" si="1"/>
        <v/>
      </c>
    </row>
    <row r="523">
      <c r="A523" s="3"/>
      <c r="B523" s="3"/>
      <c r="C523" s="3"/>
      <c r="D523" s="2" t="str">
        <f t="shared" si="4"/>
        <v/>
      </c>
      <c r="E523" s="2" t="str">
        <f t="shared" si="5"/>
        <v/>
      </c>
      <c r="F523" s="2" t="str">
        <f t="shared" si="1"/>
        <v/>
      </c>
    </row>
    <row r="524">
      <c r="A524" s="3"/>
      <c r="B524" s="3"/>
      <c r="C524" s="3"/>
      <c r="D524" s="2" t="str">
        <f t="shared" si="4"/>
        <v/>
      </c>
      <c r="E524" s="2" t="str">
        <f t="shared" si="5"/>
        <v/>
      </c>
      <c r="F524" s="2" t="str">
        <f t="shared" si="1"/>
        <v/>
      </c>
    </row>
    <row r="525">
      <c r="A525" s="3"/>
      <c r="B525" s="3"/>
      <c r="C525" s="3"/>
      <c r="D525" s="2" t="str">
        <f t="shared" si="4"/>
        <v/>
      </c>
      <c r="E525" s="2" t="str">
        <f t="shared" si="5"/>
        <v/>
      </c>
      <c r="F525" s="2" t="str">
        <f t="shared" si="1"/>
        <v/>
      </c>
    </row>
    <row r="526">
      <c r="A526" s="3"/>
      <c r="B526" s="3"/>
      <c r="C526" s="3"/>
      <c r="D526" s="2" t="str">
        <f t="shared" si="4"/>
        <v/>
      </c>
      <c r="E526" s="2" t="str">
        <f t="shared" si="5"/>
        <v/>
      </c>
      <c r="F526" s="2" t="str">
        <f t="shared" si="1"/>
        <v/>
      </c>
    </row>
    <row r="527">
      <c r="A527" s="3"/>
      <c r="B527" s="3"/>
      <c r="C527" s="3"/>
      <c r="D527" s="2" t="str">
        <f t="shared" si="4"/>
        <v/>
      </c>
      <c r="E527" s="2" t="str">
        <f t="shared" si="5"/>
        <v/>
      </c>
      <c r="F527" s="2" t="str">
        <f t="shared" si="1"/>
        <v/>
      </c>
    </row>
    <row r="528">
      <c r="A528" s="3"/>
      <c r="B528" s="3"/>
      <c r="C528" s="3"/>
      <c r="D528" s="2" t="str">
        <f t="shared" si="4"/>
        <v/>
      </c>
      <c r="E528" s="2" t="str">
        <f t="shared" si="5"/>
        <v/>
      </c>
      <c r="F528" s="2" t="str">
        <f t="shared" si="1"/>
        <v/>
      </c>
    </row>
    <row r="529">
      <c r="A529" s="3"/>
      <c r="B529" s="3"/>
      <c r="C529" s="3"/>
      <c r="D529" s="2" t="str">
        <f t="shared" si="4"/>
        <v/>
      </c>
      <c r="E529" s="2" t="str">
        <f t="shared" si="5"/>
        <v/>
      </c>
      <c r="F529" s="2" t="str">
        <f t="shared" si="1"/>
        <v/>
      </c>
    </row>
    <row r="530">
      <c r="A530" s="3"/>
      <c r="B530" s="3"/>
      <c r="C530" s="3"/>
      <c r="D530" s="2" t="str">
        <f t="shared" si="4"/>
        <v/>
      </c>
      <c r="E530" s="2" t="str">
        <f t="shared" si="5"/>
        <v/>
      </c>
      <c r="F530" s="2" t="str">
        <f t="shared" si="1"/>
        <v/>
      </c>
    </row>
    <row r="531">
      <c r="A531" s="3"/>
      <c r="B531" s="3"/>
      <c r="C531" s="3"/>
      <c r="D531" s="2" t="str">
        <f t="shared" si="4"/>
        <v/>
      </c>
      <c r="E531" s="2" t="str">
        <f t="shared" si="5"/>
        <v/>
      </c>
      <c r="F531" s="2" t="str">
        <f t="shared" si="1"/>
        <v/>
      </c>
    </row>
    <row r="532">
      <c r="A532" s="3"/>
      <c r="B532" s="3"/>
      <c r="C532" s="3"/>
      <c r="D532" s="2" t="str">
        <f t="shared" si="4"/>
        <v/>
      </c>
      <c r="E532" s="2" t="str">
        <f t="shared" si="5"/>
        <v/>
      </c>
      <c r="F532" s="2" t="str">
        <f t="shared" si="1"/>
        <v/>
      </c>
    </row>
    <row r="533">
      <c r="A533" s="3"/>
      <c r="B533" s="3"/>
      <c r="C533" s="3"/>
      <c r="D533" s="2" t="str">
        <f t="shared" si="4"/>
        <v/>
      </c>
      <c r="E533" s="2" t="str">
        <f t="shared" si="5"/>
        <v/>
      </c>
      <c r="F533" s="2" t="str">
        <f t="shared" si="1"/>
        <v/>
      </c>
    </row>
    <row r="534">
      <c r="A534" s="3"/>
      <c r="B534" s="3"/>
      <c r="C534" s="3"/>
      <c r="D534" s="2" t="str">
        <f t="shared" si="4"/>
        <v/>
      </c>
      <c r="E534" s="2" t="str">
        <f t="shared" si="5"/>
        <v/>
      </c>
      <c r="F534" s="2" t="str">
        <f t="shared" si="1"/>
        <v/>
      </c>
    </row>
    <row r="535">
      <c r="A535" s="3"/>
      <c r="B535" s="3"/>
      <c r="C535" s="3"/>
      <c r="D535" s="2" t="str">
        <f t="shared" si="4"/>
        <v/>
      </c>
      <c r="E535" s="2" t="str">
        <f t="shared" si="5"/>
        <v/>
      </c>
      <c r="F535" s="2" t="str">
        <f t="shared" si="1"/>
        <v/>
      </c>
    </row>
    <row r="536">
      <c r="A536" s="3"/>
      <c r="B536" s="3"/>
      <c r="C536" s="3"/>
      <c r="D536" s="2" t="str">
        <f t="shared" si="4"/>
        <v/>
      </c>
      <c r="E536" s="2" t="str">
        <f t="shared" si="5"/>
        <v/>
      </c>
      <c r="F536" s="2" t="str">
        <f t="shared" si="1"/>
        <v/>
      </c>
    </row>
    <row r="537">
      <c r="A537" s="3"/>
      <c r="B537" s="3"/>
      <c r="C537" s="3"/>
      <c r="D537" s="2" t="str">
        <f t="shared" si="4"/>
        <v/>
      </c>
      <c r="E537" s="2" t="str">
        <f t="shared" si="5"/>
        <v/>
      </c>
      <c r="F537" s="2" t="str">
        <f t="shared" si="1"/>
        <v/>
      </c>
    </row>
    <row r="538">
      <c r="A538" s="3"/>
      <c r="B538" s="3"/>
      <c r="C538" s="3"/>
      <c r="D538" s="2" t="str">
        <f t="shared" si="4"/>
        <v/>
      </c>
      <c r="E538" s="2" t="str">
        <f t="shared" si="5"/>
        <v/>
      </c>
      <c r="F538" s="2" t="str">
        <f t="shared" si="1"/>
        <v/>
      </c>
    </row>
    <row r="539">
      <c r="A539" s="3"/>
      <c r="B539" s="3"/>
      <c r="C539" s="3"/>
      <c r="D539" s="2" t="str">
        <f t="shared" si="4"/>
        <v/>
      </c>
      <c r="E539" s="2" t="str">
        <f t="shared" si="5"/>
        <v/>
      </c>
      <c r="F539" s="2" t="str">
        <f t="shared" si="1"/>
        <v/>
      </c>
    </row>
    <row r="540">
      <c r="A540" s="3"/>
      <c r="B540" s="3"/>
      <c r="C540" s="3"/>
      <c r="D540" s="2" t="str">
        <f t="shared" si="4"/>
        <v/>
      </c>
      <c r="E540" s="2" t="str">
        <f t="shared" si="5"/>
        <v/>
      </c>
      <c r="F540" s="2" t="str">
        <f t="shared" si="1"/>
        <v/>
      </c>
    </row>
    <row r="541">
      <c r="A541" s="3"/>
      <c r="B541" s="3"/>
      <c r="C541" s="3"/>
      <c r="D541" s="2" t="str">
        <f t="shared" si="4"/>
        <v/>
      </c>
      <c r="E541" s="2" t="str">
        <f t="shared" si="5"/>
        <v/>
      </c>
      <c r="F541" s="2" t="str">
        <f t="shared" si="1"/>
        <v/>
      </c>
    </row>
    <row r="542">
      <c r="A542" s="3"/>
      <c r="B542" s="3"/>
      <c r="C542" s="3"/>
      <c r="D542" s="2" t="str">
        <f t="shared" si="4"/>
        <v/>
      </c>
      <c r="E542" s="2" t="str">
        <f t="shared" si="5"/>
        <v/>
      </c>
      <c r="F542" s="2" t="str">
        <f t="shared" si="1"/>
        <v/>
      </c>
    </row>
    <row r="543">
      <c r="A543" s="3"/>
      <c r="B543" s="3"/>
      <c r="C543" s="3"/>
      <c r="D543" s="2" t="str">
        <f t="shared" si="4"/>
        <v/>
      </c>
      <c r="E543" s="2" t="str">
        <f t="shared" si="5"/>
        <v/>
      </c>
      <c r="F543" s="2" t="str">
        <f t="shared" si="1"/>
        <v/>
      </c>
    </row>
    <row r="544">
      <c r="A544" s="3"/>
      <c r="B544" s="3"/>
      <c r="C544" s="3"/>
      <c r="D544" s="2" t="str">
        <f t="shared" si="4"/>
        <v/>
      </c>
      <c r="E544" s="2" t="str">
        <f t="shared" si="5"/>
        <v/>
      </c>
      <c r="F544" s="2" t="str">
        <f t="shared" si="1"/>
        <v/>
      </c>
    </row>
    <row r="545">
      <c r="A545" s="3"/>
      <c r="B545" s="3"/>
      <c r="C545" s="3"/>
      <c r="D545" s="2" t="str">
        <f t="shared" si="4"/>
        <v/>
      </c>
      <c r="E545" s="2" t="str">
        <f t="shared" si="5"/>
        <v/>
      </c>
      <c r="F545" s="2" t="str">
        <f t="shared" si="1"/>
        <v/>
      </c>
    </row>
    <row r="546">
      <c r="A546" s="3"/>
      <c r="B546" s="3"/>
      <c r="C546" s="3"/>
      <c r="D546" s="2" t="str">
        <f t="shared" si="4"/>
        <v/>
      </c>
      <c r="E546" s="2" t="str">
        <f t="shared" si="5"/>
        <v/>
      </c>
      <c r="F546" s="2" t="str">
        <f t="shared" si="1"/>
        <v/>
      </c>
    </row>
    <row r="547">
      <c r="A547" s="3"/>
      <c r="B547" s="3"/>
      <c r="C547" s="3"/>
      <c r="D547" s="2" t="str">
        <f t="shared" si="4"/>
        <v/>
      </c>
      <c r="E547" s="2" t="str">
        <f t="shared" si="5"/>
        <v/>
      </c>
      <c r="F547" s="2" t="str">
        <f t="shared" si="1"/>
        <v/>
      </c>
    </row>
    <row r="548">
      <c r="A548" s="3"/>
      <c r="B548" s="3"/>
      <c r="C548" s="3"/>
      <c r="D548" s="2" t="str">
        <f t="shared" si="4"/>
        <v/>
      </c>
      <c r="E548" s="2" t="str">
        <f t="shared" si="5"/>
        <v/>
      </c>
      <c r="F548" s="2" t="str">
        <f t="shared" si="1"/>
        <v/>
      </c>
    </row>
    <row r="549">
      <c r="A549" s="3"/>
      <c r="B549" s="3"/>
      <c r="C549" s="3"/>
      <c r="D549" s="2" t="str">
        <f t="shared" si="4"/>
        <v/>
      </c>
      <c r="E549" s="2" t="str">
        <f t="shared" si="5"/>
        <v/>
      </c>
      <c r="F549" s="2" t="str">
        <f t="shared" si="1"/>
        <v/>
      </c>
    </row>
    <row r="550">
      <c r="A550" s="3"/>
      <c r="B550" s="3"/>
      <c r="C550" s="3"/>
      <c r="D550" s="2" t="str">
        <f t="shared" si="4"/>
        <v/>
      </c>
      <c r="E550" s="2" t="str">
        <f t="shared" si="5"/>
        <v/>
      </c>
      <c r="F550" s="2" t="str">
        <f t="shared" si="1"/>
        <v/>
      </c>
    </row>
    <row r="551">
      <c r="A551" s="3"/>
      <c r="B551" s="3"/>
      <c r="C551" s="3"/>
      <c r="D551" s="2" t="str">
        <f t="shared" si="4"/>
        <v/>
      </c>
      <c r="E551" s="2" t="str">
        <f t="shared" si="5"/>
        <v/>
      </c>
      <c r="F551" s="2" t="str">
        <f t="shared" si="1"/>
        <v/>
      </c>
    </row>
    <row r="552">
      <c r="A552" s="3"/>
      <c r="B552" s="3"/>
      <c r="C552" s="3"/>
      <c r="D552" s="2" t="str">
        <f t="shared" si="4"/>
        <v/>
      </c>
      <c r="E552" s="2" t="str">
        <f t="shared" si="5"/>
        <v/>
      </c>
      <c r="F552" s="2" t="str">
        <f t="shared" si="1"/>
        <v/>
      </c>
    </row>
    <row r="553">
      <c r="A553" s="3"/>
      <c r="B553" s="3"/>
      <c r="C553" s="3"/>
      <c r="D553" s="2" t="str">
        <f t="shared" si="4"/>
        <v/>
      </c>
      <c r="E553" s="2" t="str">
        <f t="shared" si="5"/>
        <v/>
      </c>
      <c r="F553" s="2" t="str">
        <f t="shared" si="1"/>
        <v/>
      </c>
    </row>
    <row r="554">
      <c r="A554" s="3"/>
      <c r="B554" s="3"/>
      <c r="C554" s="3"/>
      <c r="D554" s="2" t="str">
        <f t="shared" si="4"/>
        <v/>
      </c>
      <c r="E554" s="2" t="str">
        <f t="shared" si="5"/>
        <v/>
      </c>
      <c r="F554" s="2" t="str">
        <f t="shared" si="1"/>
        <v/>
      </c>
    </row>
    <row r="555">
      <c r="A555" s="3"/>
      <c r="B555" s="3"/>
      <c r="C555" s="3"/>
      <c r="D555" s="2" t="str">
        <f t="shared" si="4"/>
        <v/>
      </c>
      <c r="E555" s="2" t="str">
        <f t="shared" si="5"/>
        <v/>
      </c>
      <c r="F555" s="2" t="str">
        <f t="shared" si="1"/>
        <v/>
      </c>
    </row>
    <row r="556">
      <c r="A556" s="3"/>
      <c r="B556" s="3"/>
      <c r="C556" s="3"/>
      <c r="D556" s="2" t="str">
        <f t="shared" si="4"/>
        <v/>
      </c>
      <c r="E556" s="2" t="str">
        <f t="shared" si="5"/>
        <v/>
      </c>
      <c r="F556" s="2" t="str">
        <f t="shared" si="1"/>
        <v/>
      </c>
    </row>
    <row r="557">
      <c r="A557" s="3"/>
      <c r="B557" s="3"/>
      <c r="C557" s="3"/>
      <c r="D557" s="2" t="str">
        <f t="shared" si="4"/>
        <v/>
      </c>
      <c r="E557" s="2" t="str">
        <f t="shared" si="5"/>
        <v/>
      </c>
      <c r="F557" s="2" t="str">
        <f t="shared" si="1"/>
        <v/>
      </c>
    </row>
    <row r="558">
      <c r="A558" s="3"/>
      <c r="B558" s="3"/>
      <c r="C558" s="3"/>
      <c r="D558" s="2" t="str">
        <f t="shared" si="4"/>
        <v/>
      </c>
      <c r="E558" s="2" t="str">
        <f t="shared" si="5"/>
        <v/>
      </c>
      <c r="F558" s="2" t="str">
        <f t="shared" si="1"/>
        <v/>
      </c>
    </row>
    <row r="559">
      <c r="A559" s="3"/>
      <c r="B559" s="3"/>
      <c r="C559" s="3"/>
      <c r="D559" s="2" t="str">
        <f t="shared" si="4"/>
        <v/>
      </c>
      <c r="E559" s="2" t="str">
        <f t="shared" si="5"/>
        <v/>
      </c>
      <c r="F559" s="2" t="str">
        <f t="shared" si="1"/>
        <v/>
      </c>
    </row>
    <row r="560">
      <c r="A560" s="3"/>
      <c r="B560" s="3"/>
      <c r="C560" s="3"/>
      <c r="D560" s="2" t="str">
        <f t="shared" si="4"/>
        <v/>
      </c>
      <c r="E560" s="2" t="str">
        <f t="shared" si="5"/>
        <v/>
      </c>
      <c r="F560" s="2" t="str">
        <f t="shared" si="1"/>
        <v/>
      </c>
    </row>
    <row r="561">
      <c r="A561" s="3"/>
      <c r="B561" s="3"/>
      <c r="C561" s="3"/>
      <c r="D561" s="2" t="str">
        <f t="shared" si="4"/>
        <v/>
      </c>
      <c r="E561" s="2" t="str">
        <f t="shared" si="5"/>
        <v/>
      </c>
      <c r="F561" s="2" t="str">
        <f t="shared" si="1"/>
        <v/>
      </c>
    </row>
    <row r="562">
      <c r="A562" s="3"/>
      <c r="B562" s="3"/>
      <c r="C562" s="3"/>
      <c r="D562" s="2" t="str">
        <f t="shared" si="4"/>
        <v/>
      </c>
      <c r="E562" s="2" t="str">
        <f t="shared" si="5"/>
        <v/>
      </c>
      <c r="F562" s="2" t="str">
        <f t="shared" si="1"/>
        <v/>
      </c>
    </row>
    <row r="563">
      <c r="A563" s="3"/>
      <c r="B563" s="3"/>
      <c r="C563" s="3"/>
      <c r="D563" s="2" t="str">
        <f t="shared" si="4"/>
        <v/>
      </c>
      <c r="E563" s="2" t="str">
        <f t="shared" si="5"/>
        <v/>
      </c>
      <c r="F563" s="2" t="str">
        <f t="shared" si="1"/>
        <v/>
      </c>
    </row>
    <row r="564">
      <c r="A564" s="3"/>
      <c r="B564" s="3"/>
      <c r="C564" s="3"/>
      <c r="D564" s="2" t="str">
        <f t="shared" si="4"/>
        <v/>
      </c>
      <c r="E564" s="2" t="str">
        <f t="shared" si="5"/>
        <v/>
      </c>
      <c r="F564" s="2" t="str">
        <f t="shared" si="1"/>
        <v/>
      </c>
    </row>
    <row r="565">
      <c r="A565" s="3"/>
      <c r="B565" s="3"/>
      <c r="C565" s="3"/>
      <c r="D565" s="2" t="str">
        <f t="shared" si="4"/>
        <v/>
      </c>
      <c r="E565" s="2" t="str">
        <f t="shared" si="5"/>
        <v/>
      </c>
      <c r="F565" s="2" t="str">
        <f t="shared" si="1"/>
        <v/>
      </c>
    </row>
    <row r="566">
      <c r="A566" s="3"/>
      <c r="B566" s="3"/>
      <c r="C566" s="3"/>
      <c r="D566" s="2" t="str">
        <f t="shared" si="4"/>
        <v/>
      </c>
      <c r="E566" s="2" t="str">
        <f t="shared" si="5"/>
        <v/>
      </c>
      <c r="F566" s="2" t="str">
        <f t="shared" si="1"/>
        <v/>
      </c>
    </row>
    <row r="567">
      <c r="A567" s="3"/>
      <c r="B567" s="3"/>
      <c r="C567" s="3"/>
      <c r="D567" s="2" t="str">
        <f t="shared" si="4"/>
        <v/>
      </c>
      <c r="E567" s="2" t="str">
        <f t="shared" si="5"/>
        <v/>
      </c>
      <c r="F567" s="2" t="str">
        <f t="shared" si="1"/>
        <v/>
      </c>
    </row>
    <row r="568">
      <c r="A568" s="3"/>
      <c r="B568" s="3"/>
      <c r="C568" s="3"/>
      <c r="D568" s="2" t="str">
        <f t="shared" si="4"/>
        <v/>
      </c>
      <c r="E568" s="2" t="str">
        <f t="shared" si="5"/>
        <v/>
      </c>
      <c r="F568" s="2" t="str">
        <f t="shared" si="1"/>
        <v/>
      </c>
    </row>
    <row r="569">
      <c r="A569" s="3"/>
      <c r="B569" s="3"/>
      <c r="C569" s="3"/>
      <c r="D569" s="2" t="str">
        <f t="shared" si="4"/>
        <v/>
      </c>
      <c r="E569" s="2" t="str">
        <f t="shared" si="5"/>
        <v/>
      </c>
      <c r="F569" s="2" t="str">
        <f t="shared" si="1"/>
        <v/>
      </c>
    </row>
    <row r="570">
      <c r="A570" s="3"/>
      <c r="B570" s="3"/>
      <c r="C570" s="3"/>
      <c r="D570" s="2" t="str">
        <f t="shared" si="4"/>
        <v/>
      </c>
      <c r="E570" s="2" t="str">
        <f t="shared" si="5"/>
        <v/>
      </c>
      <c r="F570" s="2" t="str">
        <f t="shared" si="1"/>
        <v/>
      </c>
    </row>
    <row r="571">
      <c r="A571" s="3"/>
      <c r="B571" s="3"/>
      <c r="C571" s="3"/>
      <c r="D571" s="2" t="str">
        <f t="shared" si="4"/>
        <v/>
      </c>
      <c r="E571" s="2" t="str">
        <f t="shared" si="5"/>
        <v/>
      </c>
      <c r="F571" s="2" t="str">
        <f t="shared" si="1"/>
        <v/>
      </c>
    </row>
    <row r="572">
      <c r="A572" s="3"/>
      <c r="B572" s="3"/>
      <c r="C572" s="3"/>
      <c r="D572" s="2" t="str">
        <f t="shared" si="4"/>
        <v/>
      </c>
      <c r="E572" s="2" t="str">
        <f t="shared" si="5"/>
        <v/>
      </c>
      <c r="F572" s="2" t="str">
        <f t="shared" si="1"/>
        <v/>
      </c>
    </row>
    <row r="573">
      <c r="A573" s="3"/>
      <c r="B573" s="3"/>
      <c r="C573" s="3"/>
      <c r="D573" s="2" t="str">
        <f t="shared" si="4"/>
        <v/>
      </c>
      <c r="E573" s="2" t="str">
        <f t="shared" si="5"/>
        <v/>
      </c>
      <c r="F573" s="2" t="str">
        <f t="shared" si="1"/>
        <v/>
      </c>
    </row>
    <row r="574">
      <c r="A574" s="3"/>
      <c r="B574" s="3"/>
      <c r="C574" s="3"/>
      <c r="D574" s="2" t="str">
        <f t="shared" si="4"/>
        <v/>
      </c>
      <c r="E574" s="2" t="str">
        <f t="shared" si="5"/>
        <v/>
      </c>
      <c r="F574" s="2" t="str">
        <f t="shared" si="1"/>
        <v/>
      </c>
    </row>
    <row r="575">
      <c r="A575" s="3"/>
      <c r="B575" s="3"/>
      <c r="C575" s="3"/>
      <c r="D575" s="2" t="str">
        <f t="shared" si="4"/>
        <v/>
      </c>
      <c r="E575" s="2" t="str">
        <f t="shared" si="5"/>
        <v/>
      </c>
      <c r="F575" s="2" t="str">
        <f t="shared" si="1"/>
        <v/>
      </c>
    </row>
    <row r="576">
      <c r="A576" s="3"/>
      <c r="B576" s="3"/>
      <c r="C576" s="3"/>
      <c r="D576" s="2" t="str">
        <f t="shared" si="4"/>
        <v/>
      </c>
      <c r="E576" s="2" t="str">
        <f t="shared" si="5"/>
        <v/>
      </c>
      <c r="F576" s="2" t="str">
        <f t="shared" si="1"/>
        <v/>
      </c>
    </row>
    <row r="577">
      <c r="A577" s="3"/>
      <c r="B577" s="3"/>
      <c r="C577" s="3"/>
      <c r="D577" s="2" t="str">
        <f t="shared" si="4"/>
        <v/>
      </c>
      <c r="E577" s="2" t="str">
        <f t="shared" si="5"/>
        <v/>
      </c>
      <c r="F577" s="2" t="str">
        <f t="shared" si="1"/>
        <v/>
      </c>
    </row>
    <row r="578">
      <c r="A578" s="3"/>
      <c r="B578" s="3"/>
      <c r="C578" s="3"/>
      <c r="D578" s="2" t="str">
        <f t="shared" si="4"/>
        <v/>
      </c>
      <c r="E578" s="2" t="str">
        <f t="shared" si="5"/>
        <v/>
      </c>
      <c r="F578" s="2" t="str">
        <f t="shared" si="1"/>
        <v/>
      </c>
    </row>
    <row r="579">
      <c r="A579" s="3"/>
      <c r="B579" s="3"/>
      <c r="C579" s="3"/>
      <c r="D579" s="2" t="str">
        <f t="shared" si="4"/>
        <v/>
      </c>
      <c r="E579" s="2" t="str">
        <f t="shared" si="5"/>
        <v/>
      </c>
      <c r="F579" s="2" t="str">
        <f t="shared" si="1"/>
        <v/>
      </c>
    </row>
    <row r="580">
      <c r="A580" s="3"/>
      <c r="B580" s="3"/>
      <c r="C580" s="3"/>
      <c r="D580" s="2" t="str">
        <f t="shared" si="4"/>
        <v/>
      </c>
      <c r="E580" s="2" t="str">
        <f t="shared" si="5"/>
        <v/>
      </c>
      <c r="F580" s="2" t="str">
        <f t="shared" si="1"/>
        <v/>
      </c>
    </row>
    <row r="581">
      <c r="A581" s="3"/>
      <c r="B581" s="3"/>
      <c r="C581" s="3"/>
      <c r="D581" s="2" t="str">
        <f t="shared" si="4"/>
        <v/>
      </c>
      <c r="E581" s="2" t="str">
        <f t="shared" si="5"/>
        <v/>
      </c>
      <c r="F581" s="2" t="str">
        <f t="shared" si="1"/>
        <v/>
      </c>
    </row>
    <row r="582">
      <c r="A582" s="3"/>
      <c r="B582" s="3"/>
      <c r="C582" s="3"/>
      <c r="D582" s="2" t="str">
        <f t="shared" si="4"/>
        <v/>
      </c>
      <c r="E582" s="2" t="str">
        <f t="shared" si="5"/>
        <v/>
      </c>
      <c r="F582" s="2" t="str">
        <f t="shared" si="1"/>
        <v/>
      </c>
    </row>
    <row r="583">
      <c r="A583" s="3"/>
      <c r="B583" s="3"/>
      <c r="C583" s="3"/>
      <c r="D583" s="2" t="str">
        <f t="shared" si="4"/>
        <v/>
      </c>
      <c r="E583" s="2" t="str">
        <f t="shared" si="5"/>
        <v/>
      </c>
      <c r="F583" s="2" t="str">
        <f t="shared" si="1"/>
        <v/>
      </c>
    </row>
    <row r="584">
      <c r="A584" s="3"/>
      <c r="B584" s="3"/>
      <c r="C584" s="3"/>
      <c r="D584" s="2" t="str">
        <f t="shared" si="4"/>
        <v/>
      </c>
      <c r="E584" s="2" t="str">
        <f t="shared" si="5"/>
        <v/>
      </c>
      <c r="F584" s="2" t="str">
        <f t="shared" si="1"/>
        <v/>
      </c>
    </row>
    <row r="585">
      <c r="A585" s="3"/>
      <c r="B585" s="3"/>
      <c r="C585" s="3"/>
      <c r="D585" s="2" t="str">
        <f t="shared" si="4"/>
        <v/>
      </c>
      <c r="E585" s="2" t="str">
        <f t="shared" si="5"/>
        <v/>
      </c>
      <c r="F585" s="2" t="str">
        <f t="shared" si="1"/>
        <v/>
      </c>
    </row>
    <row r="586">
      <c r="A586" s="3"/>
      <c r="B586" s="3"/>
      <c r="C586" s="3"/>
      <c r="D586" s="2" t="str">
        <f t="shared" si="4"/>
        <v/>
      </c>
      <c r="E586" s="2" t="str">
        <f t="shared" si="5"/>
        <v/>
      </c>
      <c r="F586" s="2" t="str">
        <f t="shared" si="1"/>
        <v/>
      </c>
    </row>
    <row r="587">
      <c r="A587" s="3"/>
      <c r="B587" s="3"/>
      <c r="C587" s="3"/>
      <c r="D587" s="2" t="str">
        <f t="shared" si="4"/>
        <v/>
      </c>
      <c r="E587" s="2" t="str">
        <f t="shared" si="5"/>
        <v/>
      </c>
      <c r="F587" s="2" t="str">
        <f t="shared" si="1"/>
        <v/>
      </c>
    </row>
    <row r="588">
      <c r="A588" s="3"/>
      <c r="B588" s="3"/>
      <c r="C588" s="3"/>
      <c r="D588" s="2" t="str">
        <f t="shared" si="4"/>
        <v/>
      </c>
      <c r="E588" s="2" t="str">
        <f t="shared" si="5"/>
        <v/>
      </c>
      <c r="F588" s="2" t="str">
        <f t="shared" si="1"/>
        <v/>
      </c>
    </row>
    <row r="589">
      <c r="A589" s="3"/>
      <c r="B589" s="3"/>
      <c r="C589" s="3"/>
      <c r="D589" s="2" t="str">
        <f t="shared" si="4"/>
        <v/>
      </c>
      <c r="E589" s="2" t="str">
        <f t="shared" si="5"/>
        <v/>
      </c>
      <c r="F589" s="2" t="str">
        <f t="shared" si="1"/>
        <v/>
      </c>
    </row>
    <row r="590">
      <c r="A590" s="3"/>
      <c r="B590" s="3"/>
      <c r="C590" s="3"/>
      <c r="D590" s="2" t="str">
        <f t="shared" si="4"/>
        <v/>
      </c>
      <c r="E590" s="2" t="str">
        <f t="shared" si="5"/>
        <v/>
      </c>
      <c r="F590" s="2" t="str">
        <f t="shared" si="1"/>
        <v/>
      </c>
    </row>
    <row r="591">
      <c r="A591" s="3"/>
      <c r="B591" s="3"/>
      <c r="C591" s="3"/>
      <c r="D591" s="2" t="str">
        <f t="shared" si="4"/>
        <v/>
      </c>
      <c r="E591" s="2" t="str">
        <f t="shared" si="5"/>
        <v/>
      </c>
      <c r="F591" s="2" t="str">
        <f t="shared" si="1"/>
        <v/>
      </c>
    </row>
    <row r="592">
      <c r="A592" s="3"/>
      <c r="B592" s="3"/>
      <c r="C592" s="3"/>
      <c r="D592" s="2" t="str">
        <f t="shared" si="4"/>
        <v/>
      </c>
      <c r="E592" s="2" t="str">
        <f t="shared" si="5"/>
        <v/>
      </c>
      <c r="F592" s="2" t="str">
        <f t="shared" si="1"/>
        <v/>
      </c>
    </row>
    <row r="593">
      <c r="A593" s="3"/>
      <c r="B593" s="3"/>
      <c r="C593" s="3"/>
      <c r="D593" s="2" t="str">
        <f t="shared" si="4"/>
        <v/>
      </c>
      <c r="E593" s="2" t="str">
        <f t="shared" si="5"/>
        <v/>
      </c>
      <c r="F593" s="2" t="str">
        <f t="shared" si="1"/>
        <v/>
      </c>
    </row>
    <row r="594">
      <c r="A594" s="3"/>
      <c r="B594" s="3"/>
      <c r="C594" s="3"/>
      <c r="D594" s="2" t="str">
        <f t="shared" si="4"/>
        <v/>
      </c>
      <c r="E594" s="2" t="str">
        <f t="shared" si="5"/>
        <v/>
      </c>
      <c r="F594" s="2" t="str">
        <f t="shared" si="1"/>
        <v/>
      </c>
    </row>
    <row r="595">
      <c r="A595" s="3"/>
      <c r="B595" s="3"/>
      <c r="C595" s="3"/>
      <c r="D595" s="2" t="str">
        <f t="shared" si="4"/>
        <v/>
      </c>
      <c r="E595" s="2" t="str">
        <f t="shared" si="5"/>
        <v/>
      </c>
      <c r="F595" s="2" t="str">
        <f t="shared" si="1"/>
        <v/>
      </c>
    </row>
    <row r="596">
      <c r="A596" s="3"/>
      <c r="B596" s="3"/>
      <c r="C596" s="3"/>
      <c r="D596" s="2" t="str">
        <f t="shared" si="4"/>
        <v/>
      </c>
      <c r="E596" s="2" t="str">
        <f t="shared" si="5"/>
        <v/>
      </c>
      <c r="F596" s="2" t="str">
        <f t="shared" si="1"/>
        <v/>
      </c>
    </row>
    <row r="597">
      <c r="A597" s="3"/>
      <c r="B597" s="3"/>
      <c r="C597" s="3"/>
      <c r="D597" s="2" t="str">
        <f t="shared" si="4"/>
        <v/>
      </c>
      <c r="E597" s="2" t="str">
        <f t="shared" si="5"/>
        <v/>
      </c>
      <c r="F597" s="2" t="str">
        <f t="shared" si="1"/>
        <v/>
      </c>
    </row>
    <row r="598">
      <c r="A598" s="3"/>
      <c r="B598" s="3"/>
      <c r="C598" s="3"/>
      <c r="D598" s="2" t="str">
        <f t="shared" si="4"/>
        <v/>
      </c>
      <c r="E598" s="2" t="str">
        <f t="shared" si="5"/>
        <v/>
      </c>
      <c r="F598" s="2" t="str">
        <f t="shared" si="1"/>
        <v/>
      </c>
    </row>
    <row r="599">
      <c r="A599" s="3"/>
      <c r="B599" s="3"/>
      <c r="C599" s="3"/>
      <c r="D599" s="2" t="str">
        <f t="shared" si="4"/>
        <v/>
      </c>
      <c r="E599" s="2" t="str">
        <f t="shared" si="5"/>
        <v/>
      </c>
      <c r="F599" s="2" t="str">
        <f t="shared" si="1"/>
        <v/>
      </c>
    </row>
    <row r="600">
      <c r="A600" s="3"/>
      <c r="B600" s="3"/>
      <c r="C600" s="3"/>
      <c r="D600" s="2" t="str">
        <f t="shared" si="4"/>
        <v/>
      </c>
      <c r="E600" s="2" t="str">
        <f t="shared" si="5"/>
        <v/>
      </c>
      <c r="F600" s="2" t="str">
        <f t="shared" si="1"/>
        <v/>
      </c>
    </row>
    <row r="601">
      <c r="A601" s="3"/>
      <c r="B601" s="3"/>
      <c r="C601" s="3"/>
      <c r="D601" s="2" t="str">
        <f t="shared" si="4"/>
        <v/>
      </c>
      <c r="E601" s="2" t="str">
        <f t="shared" si="5"/>
        <v/>
      </c>
      <c r="F601" s="2" t="str">
        <f t="shared" si="1"/>
        <v/>
      </c>
    </row>
    <row r="602">
      <c r="A602" s="3"/>
      <c r="B602" s="3"/>
      <c r="C602" s="3"/>
      <c r="D602" s="2" t="str">
        <f t="shared" si="4"/>
        <v/>
      </c>
      <c r="E602" s="2" t="str">
        <f t="shared" si="5"/>
        <v/>
      </c>
      <c r="F602" s="2" t="str">
        <f t="shared" si="1"/>
        <v/>
      </c>
    </row>
    <row r="603">
      <c r="A603" s="3"/>
      <c r="B603" s="3"/>
      <c r="C603" s="3"/>
      <c r="D603" s="2" t="str">
        <f t="shared" si="4"/>
        <v/>
      </c>
      <c r="E603" s="2" t="str">
        <f t="shared" si="5"/>
        <v/>
      </c>
      <c r="F603" s="2" t="str">
        <f t="shared" si="1"/>
        <v/>
      </c>
    </row>
    <row r="604">
      <c r="A604" s="3"/>
      <c r="B604" s="3"/>
      <c r="C604" s="3"/>
      <c r="D604" s="2" t="str">
        <f t="shared" si="4"/>
        <v/>
      </c>
      <c r="E604" s="2" t="str">
        <f t="shared" si="5"/>
        <v/>
      </c>
      <c r="F604" s="2" t="str">
        <f t="shared" si="1"/>
        <v/>
      </c>
    </row>
    <row r="605">
      <c r="A605" s="3"/>
      <c r="B605" s="3"/>
      <c r="C605" s="3"/>
      <c r="D605" s="2" t="str">
        <f t="shared" si="4"/>
        <v/>
      </c>
      <c r="E605" s="2" t="str">
        <f t="shared" si="5"/>
        <v/>
      </c>
      <c r="F605" s="2" t="str">
        <f t="shared" si="1"/>
        <v/>
      </c>
    </row>
    <row r="606">
      <c r="A606" s="3"/>
      <c r="B606" s="3"/>
      <c r="C606" s="3"/>
      <c r="D606" s="2" t="str">
        <f t="shared" si="4"/>
        <v/>
      </c>
      <c r="E606" s="2" t="str">
        <f t="shared" si="5"/>
        <v/>
      </c>
      <c r="F606" s="2" t="str">
        <f t="shared" si="1"/>
        <v/>
      </c>
    </row>
    <row r="607">
      <c r="A607" s="3"/>
      <c r="B607" s="3"/>
      <c r="C607" s="3"/>
      <c r="D607" s="2" t="str">
        <f t="shared" si="4"/>
        <v/>
      </c>
      <c r="E607" s="2" t="str">
        <f t="shared" si="5"/>
        <v/>
      </c>
      <c r="F607" s="2" t="str">
        <f t="shared" si="1"/>
        <v/>
      </c>
    </row>
    <row r="608">
      <c r="A608" s="3"/>
      <c r="B608" s="3"/>
      <c r="C608" s="3"/>
      <c r="D608" s="2" t="str">
        <f t="shared" si="4"/>
        <v/>
      </c>
      <c r="E608" s="2" t="str">
        <f t="shared" si="5"/>
        <v/>
      </c>
      <c r="F608" s="2" t="str">
        <f t="shared" si="1"/>
        <v/>
      </c>
    </row>
    <row r="609">
      <c r="A609" s="3"/>
      <c r="B609" s="3"/>
      <c r="C609" s="3"/>
      <c r="D609" s="2" t="str">
        <f t="shared" si="4"/>
        <v/>
      </c>
      <c r="E609" s="2" t="str">
        <f t="shared" si="5"/>
        <v/>
      </c>
      <c r="F609" s="2" t="str">
        <f t="shared" si="1"/>
        <v/>
      </c>
    </row>
    <row r="610">
      <c r="A610" s="3"/>
      <c r="B610" s="3"/>
      <c r="C610" s="3"/>
      <c r="D610" s="2" t="str">
        <f t="shared" si="4"/>
        <v/>
      </c>
      <c r="E610" s="2" t="str">
        <f t="shared" si="5"/>
        <v/>
      </c>
      <c r="F610" s="2" t="str">
        <f t="shared" si="1"/>
        <v/>
      </c>
    </row>
    <row r="611">
      <c r="A611" s="3"/>
      <c r="B611" s="3"/>
      <c r="C611" s="3"/>
      <c r="D611" s="2" t="str">
        <f t="shared" si="4"/>
        <v/>
      </c>
      <c r="E611" s="2" t="str">
        <f t="shared" si="5"/>
        <v/>
      </c>
      <c r="F611" s="2" t="str">
        <f t="shared" si="1"/>
        <v/>
      </c>
    </row>
    <row r="612">
      <c r="A612" s="3"/>
      <c r="B612" s="3"/>
      <c r="C612" s="3"/>
      <c r="D612" s="2" t="str">
        <f t="shared" si="4"/>
        <v/>
      </c>
      <c r="E612" s="2" t="str">
        <f t="shared" si="5"/>
        <v/>
      </c>
      <c r="F612" s="2" t="str">
        <f t="shared" si="1"/>
        <v/>
      </c>
    </row>
    <row r="613">
      <c r="A613" s="3"/>
      <c r="B613" s="3"/>
      <c r="C613" s="3"/>
      <c r="D613" s="2" t="str">
        <f t="shared" si="4"/>
        <v/>
      </c>
      <c r="E613" s="2" t="str">
        <f t="shared" si="5"/>
        <v/>
      </c>
      <c r="F613" s="2" t="str">
        <f t="shared" si="1"/>
        <v/>
      </c>
    </row>
    <row r="614">
      <c r="A614" s="3"/>
      <c r="B614" s="3"/>
      <c r="C614" s="3"/>
      <c r="D614" s="2" t="str">
        <f t="shared" si="4"/>
        <v/>
      </c>
      <c r="E614" s="2" t="str">
        <f t="shared" si="5"/>
        <v/>
      </c>
      <c r="F614" s="2" t="str">
        <f t="shared" si="1"/>
        <v/>
      </c>
    </row>
    <row r="615">
      <c r="A615" s="3"/>
      <c r="B615" s="3"/>
      <c r="C615" s="3"/>
      <c r="D615" s="2" t="str">
        <f t="shared" si="4"/>
        <v/>
      </c>
      <c r="E615" s="2" t="str">
        <f t="shared" si="5"/>
        <v/>
      </c>
      <c r="F615" s="2" t="str">
        <f t="shared" si="1"/>
        <v/>
      </c>
    </row>
    <row r="616">
      <c r="A616" s="3"/>
      <c r="B616" s="3"/>
      <c r="C616" s="3"/>
      <c r="D616" s="2" t="str">
        <f t="shared" si="4"/>
        <v/>
      </c>
      <c r="E616" s="2" t="str">
        <f t="shared" si="5"/>
        <v/>
      </c>
      <c r="F616" s="2" t="str">
        <f t="shared" si="1"/>
        <v/>
      </c>
    </row>
    <row r="617">
      <c r="A617" s="3"/>
      <c r="B617" s="3"/>
      <c r="C617" s="3"/>
      <c r="D617" s="2" t="str">
        <f t="shared" si="4"/>
        <v/>
      </c>
      <c r="E617" s="2" t="str">
        <f t="shared" si="5"/>
        <v/>
      </c>
      <c r="F617" s="2" t="str">
        <f t="shared" si="1"/>
        <v/>
      </c>
    </row>
    <row r="618">
      <c r="A618" s="3"/>
      <c r="B618" s="3"/>
      <c r="C618" s="3"/>
      <c r="D618" s="2" t="str">
        <f t="shared" si="4"/>
        <v/>
      </c>
      <c r="E618" s="2" t="str">
        <f t="shared" si="5"/>
        <v/>
      </c>
      <c r="F618" s="2" t="str">
        <f t="shared" si="1"/>
        <v/>
      </c>
    </row>
    <row r="619">
      <c r="A619" s="3"/>
      <c r="B619" s="3"/>
      <c r="C619" s="3"/>
      <c r="D619" s="2" t="str">
        <f t="shared" si="4"/>
        <v/>
      </c>
      <c r="E619" s="2" t="str">
        <f t="shared" si="5"/>
        <v/>
      </c>
      <c r="F619" s="2" t="str">
        <f t="shared" si="1"/>
        <v/>
      </c>
    </row>
    <row r="620">
      <c r="A620" s="3"/>
      <c r="B620" s="3"/>
      <c r="C620" s="3"/>
      <c r="D620" s="2" t="str">
        <f t="shared" si="4"/>
        <v/>
      </c>
      <c r="E620" s="2" t="str">
        <f t="shared" si="5"/>
        <v/>
      </c>
      <c r="F620" s="2" t="str">
        <f t="shared" si="1"/>
        <v/>
      </c>
    </row>
    <row r="621">
      <c r="A621" s="3"/>
      <c r="B621" s="3"/>
      <c r="C621" s="3"/>
      <c r="D621" s="2" t="str">
        <f t="shared" si="4"/>
        <v/>
      </c>
      <c r="E621" s="2" t="str">
        <f t="shared" si="5"/>
        <v/>
      </c>
      <c r="F621" s="2" t="str">
        <f t="shared" si="1"/>
        <v/>
      </c>
    </row>
    <row r="622">
      <c r="A622" s="3"/>
      <c r="B622" s="3"/>
      <c r="C622" s="3"/>
      <c r="D622" s="2" t="str">
        <f t="shared" si="4"/>
        <v/>
      </c>
      <c r="E622" s="2" t="str">
        <f t="shared" si="5"/>
        <v/>
      </c>
      <c r="F622" s="2" t="str">
        <f t="shared" si="1"/>
        <v/>
      </c>
    </row>
    <row r="623">
      <c r="A623" s="3"/>
      <c r="B623" s="3"/>
      <c r="C623" s="3"/>
      <c r="D623" s="2" t="str">
        <f t="shared" si="4"/>
        <v/>
      </c>
      <c r="E623" s="2" t="str">
        <f t="shared" si="5"/>
        <v/>
      </c>
      <c r="F623" s="2" t="str">
        <f t="shared" si="1"/>
        <v/>
      </c>
    </row>
    <row r="624">
      <c r="A624" s="3"/>
      <c r="B624" s="3"/>
      <c r="C624" s="3"/>
      <c r="D624" s="2" t="str">
        <f t="shared" si="4"/>
        <v/>
      </c>
      <c r="E624" s="2" t="str">
        <f t="shared" si="5"/>
        <v/>
      </c>
      <c r="F624" s="2" t="str">
        <f t="shared" si="1"/>
        <v/>
      </c>
    </row>
    <row r="625">
      <c r="A625" s="3"/>
      <c r="B625" s="3"/>
      <c r="C625" s="3"/>
      <c r="D625" s="2" t="str">
        <f t="shared" si="4"/>
        <v/>
      </c>
      <c r="E625" s="2" t="str">
        <f t="shared" si="5"/>
        <v/>
      </c>
      <c r="F625" s="2" t="str">
        <f t="shared" si="1"/>
        <v/>
      </c>
    </row>
    <row r="626">
      <c r="A626" s="3"/>
      <c r="B626" s="3"/>
      <c r="C626" s="3"/>
      <c r="D626" s="2" t="str">
        <f t="shared" si="4"/>
        <v/>
      </c>
      <c r="E626" s="2" t="str">
        <f t="shared" si="5"/>
        <v/>
      </c>
      <c r="F626" s="2" t="str">
        <f t="shared" si="1"/>
        <v/>
      </c>
    </row>
    <row r="627">
      <c r="A627" s="3"/>
      <c r="B627" s="3"/>
      <c r="C627" s="3"/>
      <c r="D627" s="2" t="str">
        <f t="shared" si="4"/>
        <v/>
      </c>
      <c r="E627" s="2" t="str">
        <f t="shared" si="5"/>
        <v/>
      </c>
      <c r="F627" s="2" t="str">
        <f t="shared" si="1"/>
        <v/>
      </c>
    </row>
    <row r="628">
      <c r="A628" s="3"/>
      <c r="B628" s="3"/>
      <c r="C628" s="3"/>
      <c r="D628" s="2" t="str">
        <f t="shared" si="4"/>
        <v/>
      </c>
      <c r="E628" s="2" t="str">
        <f t="shared" si="5"/>
        <v/>
      </c>
      <c r="F628" s="2" t="str">
        <f t="shared" si="1"/>
        <v/>
      </c>
    </row>
    <row r="629">
      <c r="A629" s="3"/>
      <c r="B629" s="3"/>
      <c r="C629" s="3"/>
      <c r="D629" s="2" t="str">
        <f t="shared" si="4"/>
        <v/>
      </c>
      <c r="E629" s="2" t="str">
        <f t="shared" si="5"/>
        <v/>
      </c>
      <c r="F629" s="2" t="str">
        <f t="shared" si="1"/>
        <v/>
      </c>
    </row>
    <row r="630">
      <c r="A630" s="3"/>
      <c r="B630" s="3"/>
      <c r="C630" s="3"/>
      <c r="D630" s="2" t="str">
        <f t="shared" si="4"/>
        <v/>
      </c>
      <c r="E630" s="2" t="str">
        <f t="shared" si="5"/>
        <v/>
      </c>
      <c r="F630" s="2" t="str">
        <f t="shared" si="1"/>
        <v/>
      </c>
    </row>
    <row r="631">
      <c r="A631" s="3"/>
      <c r="B631" s="3"/>
      <c r="C631" s="3"/>
      <c r="D631" s="2" t="str">
        <f t="shared" si="4"/>
        <v/>
      </c>
      <c r="E631" s="2" t="str">
        <f t="shared" si="5"/>
        <v/>
      </c>
      <c r="F631" s="2" t="str">
        <f t="shared" si="1"/>
        <v/>
      </c>
    </row>
    <row r="632">
      <c r="A632" s="3"/>
      <c r="B632" s="3"/>
      <c r="C632" s="3"/>
      <c r="D632" s="2" t="str">
        <f t="shared" si="4"/>
        <v/>
      </c>
      <c r="E632" s="2" t="str">
        <f t="shared" si="5"/>
        <v/>
      </c>
      <c r="F632" s="2" t="str">
        <f t="shared" si="1"/>
        <v/>
      </c>
    </row>
    <row r="633">
      <c r="A633" s="3"/>
      <c r="B633" s="3"/>
      <c r="C633" s="3"/>
      <c r="D633" s="2" t="str">
        <f t="shared" si="4"/>
        <v/>
      </c>
      <c r="E633" s="2" t="str">
        <f t="shared" si="5"/>
        <v/>
      </c>
      <c r="F633" s="2" t="str">
        <f t="shared" si="1"/>
        <v/>
      </c>
    </row>
    <row r="634">
      <c r="A634" s="3"/>
      <c r="B634" s="3"/>
      <c r="C634" s="3"/>
      <c r="D634" s="2" t="str">
        <f t="shared" si="4"/>
        <v/>
      </c>
      <c r="E634" s="2" t="str">
        <f t="shared" si="5"/>
        <v/>
      </c>
      <c r="F634" s="2" t="str">
        <f t="shared" si="1"/>
        <v/>
      </c>
    </row>
    <row r="635">
      <c r="A635" s="3"/>
      <c r="B635" s="3"/>
      <c r="C635" s="3"/>
      <c r="D635" s="2" t="str">
        <f t="shared" si="4"/>
        <v/>
      </c>
      <c r="E635" s="2" t="str">
        <f t="shared" si="5"/>
        <v/>
      </c>
      <c r="F635" s="2" t="str">
        <f t="shared" si="1"/>
        <v/>
      </c>
    </row>
    <row r="636">
      <c r="A636" s="3"/>
      <c r="B636" s="3"/>
      <c r="C636" s="3"/>
      <c r="D636" s="2" t="str">
        <f t="shared" si="4"/>
        <v/>
      </c>
      <c r="E636" s="2" t="str">
        <f t="shared" si="5"/>
        <v/>
      </c>
      <c r="F636" s="2" t="str">
        <f t="shared" si="1"/>
        <v/>
      </c>
    </row>
    <row r="637">
      <c r="A637" s="3"/>
      <c r="B637" s="3"/>
      <c r="C637" s="3"/>
      <c r="D637" s="2" t="str">
        <f t="shared" si="4"/>
        <v/>
      </c>
      <c r="E637" s="2" t="str">
        <f t="shared" si="5"/>
        <v/>
      </c>
      <c r="F637" s="2" t="str">
        <f t="shared" si="1"/>
        <v/>
      </c>
    </row>
    <row r="638">
      <c r="A638" s="3"/>
      <c r="B638" s="3"/>
      <c r="C638" s="3"/>
      <c r="D638" s="2" t="str">
        <f t="shared" si="4"/>
        <v/>
      </c>
      <c r="E638" s="2" t="str">
        <f t="shared" si="5"/>
        <v/>
      </c>
      <c r="F638" s="2" t="str">
        <f t="shared" si="1"/>
        <v/>
      </c>
    </row>
    <row r="639">
      <c r="A639" s="3"/>
      <c r="B639" s="3"/>
      <c r="C639" s="3"/>
      <c r="D639" s="2" t="str">
        <f t="shared" si="4"/>
        <v/>
      </c>
      <c r="E639" s="2" t="str">
        <f t="shared" si="5"/>
        <v/>
      </c>
      <c r="F639" s="2" t="str">
        <f t="shared" si="1"/>
        <v/>
      </c>
    </row>
    <row r="640">
      <c r="A640" s="3"/>
      <c r="B640" s="3"/>
      <c r="C640" s="3"/>
      <c r="D640" s="2" t="str">
        <f t="shared" si="4"/>
        <v/>
      </c>
      <c r="E640" s="2" t="str">
        <f t="shared" si="5"/>
        <v/>
      </c>
      <c r="F640" s="2" t="str">
        <f t="shared" si="1"/>
        <v/>
      </c>
    </row>
    <row r="641">
      <c r="A641" s="3"/>
      <c r="B641" s="3"/>
      <c r="C641" s="3"/>
      <c r="D641" s="2" t="str">
        <f t="shared" si="4"/>
        <v/>
      </c>
      <c r="E641" s="2" t="str">
        <f t="shared" si="5"/>
        <v/>
      </c>
      <c r="F641" s="2" t="str">
        <f t="shared" si="1"/>
        <v/>
      </c>
    </row>
    <row r="642">
      <c r="A642" s="3"/>
      <c r="B642" s="3"/>
      <c r="C642" s="3"/>
      <c r="D642" s="2" t="str">
        <f t="shared" si="4"/>
        <v/>
      </c>
      <c r="E642" s="2" t="str">
        <f t="shared" si="5"/>
        <v/>
      </c>
      <c r="F642" s="2" t="str">
        <f t="shared" si="1"/>
        <v/>
      </c>
    </row>
    <row r="643">
      <c r="A643" s="3"/>
      <c r="B643" s="3"/>
      <c r="C643" s="3"/>
      <c r="D643" s="2" t="str">
        <f t="shared" si="4"/>
        <v/>
      </c>
      <c r="E643" s="2" t="str">
        <f t="shared" si="5"/>
        <v/>
      </c>
      <c r="F643" s="2" t="str">
        <f t="shared" si="1"/>
        <v/>
      </c>
    </row>
    <row r="644">
      <c r="A644" s="3"/>
      <c r="B644" s="3"/>
      <c r="C644" s="3"/>
      <c r="D644" s="2" t="str">
        <f t="shared" si="4"/>
        <v/>
      </c>
      <c r="E644" s="2" t="str">
        <f t="shared" si="5"/>
        <v/>
      </c>
      <c r="F644" s="2" t="str">
        <f t="shared" si="1"/>
        <v/>
      </c>
    </row>
    <row r="645">
      <c r="A645" s="3"/>
      <c r="B645" s="3"/>
      <c r="C645" s="3"/>
      <c r="D645" s="2" t="str">
        <f t="shared" si="4"/>
        <v/>
      </c>
      <c r="E645" s="2" t="str">
        <f t="shared" si="5"/>
        <v/>
      </c>
      <c r="F645" s="2" t="str">
        <f t="shared" si="1"/>
        <v/>
      </c>
    </row>
    <row r="646">
      <c r="A646" s="3"/>
      <c r="B646" s="3"/>
      <c r="C646" s="3"/>
      <c r="D646" s="2" t="str">
        <f t="shared" si="4"/>
        <v/>
      </c>
      <c r="E646" s="2" t="str">
        <f t="shared" si="5"/>
        <v/>
      </c>
      <c r="F646" s="2" t="str">
        <f t="shared" si="1"/>
        <v/>
      </c>
    </row>
    <row r="647">
      <c r="A647" s="3"/>
      <c r="B647" s="3"/>
      <c r="C647" s="3"/>
      <c r="D647" s="2" t="str">
        <f t="shared" si="4"/>
        <v/>
      </c>
      <c r="E647" s="2" t="str">
        <f t="shared" si="5"/>
        <v/>
      </c>
      <c r="F647" s="2" t="str">
        <f t="shared" si="1"/>
        <v/>
      </c>
    </row>
    <row r="648">
      <c r="A648" s="3"/>
      <c r="B648" s="3"/>
      <c r="C648" s="3"/>
      <c r="D648" s="2" t="str">
        <f t="shared" si="4"/>
        <v/>
      </c>
      <c r="E648" s="2" t="str">
        <f t="shared" si="5"/>
        <v/>
      </c>
      <c r="F648" s="2" t="str">
        <f t="shared" si="1"/>
        <v/>
      </c>
    </row>
    <row r="649">
      <c r="A649" s="3"/>
      <c r="B649" s="3"/>
      <c r="C649" s="3"/>
      <c r="D649" s="2" t="str">
        <f t="shared" si="4"/>
        <v/>
      </c>
      <c r="E649" s="2" t="str">
        <f t="shared" si="5"/>
        <v/>
      </c>
      <c r="F649" s="2" t="str">
        <f t="shared" si="1"/>
        <v/>
      </c>
    </row>
    <row r="650">
      <c r="A650" s="3"/>
      <c r="B650" s="3"/>
      <c r="C650" s="3"/>
      <c r="D650" s="2" t="str">
        <f t="shared" si="4"/>
        <v/>
      </c>
      <c r="E650" s="2" t="str">
        <f t="shared" si="5"/>
        <v/>
      </c>
      <c r="F650" s="2" t="str">
        <f t="shared" si="1"/>
        <v/>
      </c>
    </row>
    <row r="651">
      <c r="A651" s="3"/>
      <c r="B651" s="3"/>
      <c r="C651" s="3"/>
      <c r="D651" s="2" t="str">
        <f t="shared" si="4"/>
        <v/>
      </c>
      <c r="E651" s="2" t="str">
        <f t="shared" si="5"/>
        <v/>
      </c>
      <c r="F651" s="2" t="str">
        <f t="shared" si="1"/>
        <v/>
      </c>
    </row>
    <row r="652">
      <c r="A652" s="3"/>
      <c r="B652" s="3"/>
      <c r="C652" s="3"/>
      <c r="D652" s="2" t="str">
        <f t="shared" si="4"/>
        <v/>
      </c>
      <c r="E652" s="2" t="str">
        <f t="shared" si="5"/>
        <v/>
      </c>
      <c r="F652" s="2" t="str">
        <f t="shared" si="1"/>
        <v/>
      </c>
    </row>
    <row r="653">
      <c r="A653" s="3"/>
      <c r="B653" s="3"/>
      <c r="C653" s="3"/>
      <c r="D653" s="2" t="str">
        <f t="shared" si="4"/>
        <v/>
      </c>
      <c r="E653" s="2" t="str">
        <f t="shared" si="5"/>
        <v/>
      </c>
      <c r="F653" s="2" t="str">
        <f t="shared" si="1"/>
        <v/>
      </c>
    </row>
    <row r="654">
      <c r="A654" s="3"/>
      <c r="B654" s="3"/>
      <c r="C654" s="3"/>
      <c r="D654" s="2" t="str">
        <f t="shared" si="4"/>
        <v/>
      </c>
      <c r="E654" s="2" t="str">
        <f t="shared" si="5"/>
        <v/>
      </c>
      <c r="F654" s="2" t="str">
        <f t="shared" si="1"/>
        <v/>
      </c>
    </row>
    <row r="655">
      <c r="A655" s="3"/>
      <c r="B655" s="3"/>
      <c r="C655" s="3"/>
      <c r="D655" s="2" t="str">
        <f t="shared" si="4"/>
        <v/>
      </c>
      <c r="E655" s="2" t="str">
        <f t="shared" si="5"/>
        <v/>
      </c>
      <c r="F655" s="2" t="str">
        <f t="shared" si="1"/>
        <v/>
      </c>
    </row>
    <row r="656">
      <c r="A656" s="3"/>
      <c r="B656" s="3"/>
      <c r="C656" s="3"/>
      <c r="D656" s="2" t="str">
        <f t="shared" si="4"/>
        <v/>
      </c>
      <c r="E656" s="2" t="str">
        <f t="shared" si="5"/>
        <v/>
      </c>
      <c r="F656" s="2" t="str">
        <f t="shared" si="1"/>
        <v/>
      </c>
    </row>
    <row r="657">
      <c r="A657" s="3"/>
      <c r="B657" s="3"/>
      <c r="C657" s="3"/>
      <c r="D657" s="2" t="str">
        <f t="shared" si="4"/>
        <v/>
      </c>
      <c r="E657" s="2" t="str">
        <f t="shared" si="5"/>
        <v/>
      </c>
      <c r="F657" s="2" t="str">
        <f t="shared" si="1"/>
        <v/>
      </c>
    </row>
    <row r="658">
      <c r="A658" s="3"/>
      <c r="B658" s="3"/>
      <c r="C658" s="3"/>
      <c r="D658" s="2" t="str">
        <f t="shared" si="4"/>
        <v/>
      </c>
      <c r="E658" s="2" t="str">
        <f t="shared" si="5"/>
        <v/>
      </c>
      <c r="F658" s="2" t="str">
        <f t="shared" si="1"/>
        <v/>
      </c>
    </row>
    <row r="659">
      <c r="A659" s="3"/>
      <c r="B659" s="3"/>
      <c r="C659" s="3"/>
      <c r="D659" s="2" t="str">
        <f t="shared" si="4"/>
        <v/>
      </c>
      <c r="E659" s="2" t="str">
        <f t="shared" si="5"/>
        <v/>
      </c>
      <c r="F659" s="2" t="str">
        <f t="shared" si="1"/>
        <v/>
      </c>
    </row>
    <row r="660">
      <c r="A660" s="3"/>
      <c r="B660" s="3"/>
      <c r="C660" s="3"/>
      <c r="D660" s="2" t="str">
        <f t="shared" si="4"/>
        <v/>
      </c>
      <c r="E660" s="2" t="str">
        <f t="shared" si="5"/>
        <v/>
      </c>
      <c r="F660" s="2" t="str">
        <f t="shared" si="1"/>
        <v/>
      </c>
    </row>
    <row r="661">
      <c r="A661" s="3"/>
      <c r="B661" s="3"/>
      <c r="C661" s="3"/>
      <c r="D661" s="2" t="str">
        <f t="shared" si="4"/>
        <v/>
      </c>
      <c r="E661" s="2" t="str">
        <f t="shared" si="5"/>
        <v/>
      </c>
      <c r="F661" s="2" t="str">
        <f t="shared" si="1"/>
        <v/>
      </c>
    </row>
    <row r="662">
      <c r="A662" s="3"/>
      <c r="B662" s="3"/>
      <c r="C662" s="3"/>
      <c r="D662" s="2" t="str">
        <f t="shared" si="4"/>
        <v/>
      </c>
      <c r="E662" s="2" t="str">
        <f t="shared" si="5"/>
        <v/>
      </c>
      <c r="F662" s="2" t="str">
        <f t="shared" si="1"/>
        <v/>
      </c>
    </row>
    <row r="663">
      <c r="A663" s="3"/>
      <c r="B663" s="3"/>
      <c r="C663" s="3"/>
      <c r="D663" s="2" t="str">
        <f t="shared" si="4"/>
        <v/>
      </c>
      <c r="E663" s="2" t="str">
        <f t="shared" si="5"/>
        <v/>
      </c>
      <c r="F663" s="2" t="str">
        <f t="shared" si="1"/>
        <v/>
      </c>
    </row>
    <row r="664">
      <c r="A664" s="3"/>
      <c r="B664" s="3"/>
      <c r="C664" s="3"/>
      <c r="D664" s="2" t="str">
        <f t="shared" si="4"/>
        <v/>
      </c>
      <c r="E664" s="2" t="str">
        <f t="shared" si="5"/>
        <v/>
      </c>
      <c r="F664" s="2" t="str">
        <f t="shared" si="1"/>
        <v/>
      </c>
    </row>
    <row r="665">
      <c r="A665" s="3"/>
      <c r="B665" s="3"/>
      <c r="C665" s="3"/>
      <c r="D665" s="2" t="str">
        <f t="shared" si="4"/>
        <v/>
      </c>
      <c r="E665" s="2" t="str">
        <f t="shared" si="5"/>
        <v/>
      </c>
      <c r="F665" s="2" t="str">
        <f t="shared" si="1"/>
        <v/>
      </c>
    </row>
    <row r="666">
      <c r="A666" s="3"/>
      <c r="B666" s="3"/>
      <c r="C666" s="3"/>
      <c r="D666" s="2" t="str">
        <f t="shared" si="4"/>
        <v/>
      </c>
      <c r="E666" s="2" t="str">
        <f t="shared" si="5"/>
        <v/>
      </c>
      <c r="F666" s="2" t="str">
        <f t="shared" si="1"/>
        <v/>
      </c>
    </row>
    <row r="667">
      <c r="A667" s="3"/>
      <c r="B667" s="3"/>
      <c r="C667" s="3"/>
      <c r="D667" s="2" t="str">
        <f t="shared" si="4"/>
        <v/>
      </c>
      <c r="E667" s="2" t="str">
        <f t="shared" si="5"/>
        <v/>
      </c>
      <c r="F667" s="2" t="str">
        <f t="shared" si="1"/>
        <v/>
      </c>
    </row>
    <row r="668">
      <c r="A668" s="3"/>
      <c r="B668" s="3"/>
      <c r="C668" s="3"/>
      <c r="D668" s="2" t="str">
        <f t="shared" si="4"/>
        <v/>
      </c>
      <c r="E668" s="2" t="str">
        <f t="shared" si="5"/>
        <v/>
      </c>
      <c r="F668" s="2" t="str">
        <f t="shared" si="1"/>
        <v/>
      </c>
    </row>
    <row r="669">
      <c r="A669" s="3"/>
      <c r="B669" s="3"/>
      <c r="C669" s="3"/>
      <c r="D669" s="2" t="str">
        <f t="shared" si="4"/>
        <v/>
      </c>
      <c r="E669" s="2" t="str">
        <f t="shared" si="5"/>
        <v/>
      </c>
      <c r="F669" s="2" t="str">
        <f t="shared" si="1"/>
        <v/>
      </c>
    </row>
    <row r="670">
      <c r="A670" s="3"/>
      <c r="B670" s="3"/>
      <c r="C670" s="3"/>
      <c r="D670" s="2" t="str">
        <f t="shared" si="4"/>
        <v/>
      </c>
      <c r="E670" s="2" t="str">
        <f t="shared" si="5"/>
        <v/>
      </c>
      <c r="F670" s="2" t="str">
        <f t="shared" si="1"/>
        <v/>
      </c>
    </row>
    <row r="671">
      <c r="A671" s="3"/>
      <c r="B671" s="3"/>
      <c r="C671" s="3"/>
      <c r="D671" s="2" t="str">
        <f t="shared" si="4"/>
        <v/>
      </c>
      <c r="E671" s="2" t="str">
        <f t="shared" si="5"/>
        <v/>
      </c>
      <c r="F671" s="2" t="str">
        <f t="shared" si="1"/>
        <v/>
      </c>
    </row>
    <row r="672">
      <c r="A672" s="3"/>
      <c r="B672" s="3"/>
      <c r="C672" s="3"/>
      <c r="D672" s="2" t="str">
        <f t="shared" si="4"/>
        <v/>
      </c>
      <c r="E672" s="2" t="str">
        <f t="shared" si="5"/>
        <v/>
      </c>
      <c r="F672" s="2" t="str">
        <f t="shared" si="1"/>
        <v/>
      </c>
    </row>
    <row r="673">
      <c r="A673" s="3"/>
      <c r="B673" s="3"/>
      <c r="C673" s="3"/>
      <c r="D673" s="2" t="str">
        <f t="shared" si="4"/>
        <v/>
      </c>
      <c r="E673" s="2" t="str">
        <f t="shared" si="5"/>
        <v/>
      </c>
      <c r="F673" s="2" t="str">
        <f t="shared" si="1"/>
        <v/>
      </c>
    </row>
    <row r="674">
      <c r="A674" s="3"/>
      <c r="B674" s="3"/>
      <c r="C674" s="3"/>
      <c r="D674" s="2" t="str">
        <f t="shared" si="4"/>
        <v/>
      </c>
      <c r="E674" s="2" t="str">
        <f t="shared" si="5"/>
        <v/>
      </c>
      <c r="F674" s="2" t="str">
        <f t="shared" si="1"/>
        <v/>
      </c>
    </row>
    <row r="675">
      <c r="A675" s="3"/>
      <c r="B675" s="3"/>
      <c r="C675" s="3"/>
      <c r="D675" s="2" t="str">
        <f t="shared" si="4"/>
        <v/>
      </c>
      <c r="E675" s="2" t="str">
        <f t="shared" si="5"/>
        <v/>
      </c>
      <c r="F675" s="2" t="str">
        <f t="shared" si="1"/>
        <v/>
      </c>
    </row>
    <row r="676">
      <c r="A676" s="3"/>
      <c r="B676" s="3"/>
      <c r="C676" s="3"/>
      <c r="D676" s="2" t="str">
        <f t="shared" si="4"/>
        <v/>
      </c>
      <c r="E676" s="2" t="str">
        <f t="shared" si="5"/>
        <v/>
      </c>
      <c r="F676" s="2" t="str">
        <f t="shared" si="1"/>
        <v/>
      </c>
    </row>
    <row r="677">
      <c r="A677" s="3"/>
      <c r="B677" s="3"/>
      <c r="C677" s="3"/>
      <c r="D677" s="2" t="str">
        <f t="shared" si="4"/>
        <v/>
      </c>
      <c r="E677" s="2" t="str">
        <f t="shared" si="5"/>
        <v/>
      </c>
      <c r="F677" s="2" t="str">
        <f t="shared" si="1"/>
        <v/>
      </c>
    </row>
    <row r="678">
      <c r="A678" s="3"/>
      <c r="B678" s="3"/>
      <c r="C678" s="3"/>
      <c r="D678" s="2" t="str">
        <f t="shared" si="4"/>
        <v/>
      </c>
      <c r="E678" s="2" t="str">
        <f t="shared" si="5"/>
        <v/>
      </c>
      <c r="F678" s="2" t="str">
        <f t="shared" si="1"/>
        <v/>
      </c>
    </row>
    <row r="679">
      <c r="A679" s="3"/>
      <c r="B679" s="3"/>
      <c r="C679" s="3"/>
      <c r="D679" s="2" t="str">
        <f t="shared" si="4"/>
        <v/>
      </c>
      <c r="E679" s="2" t="str">
        <f t="shared" si="5"/>
        <v/>
      </c>
      <c r="F679" s="2" t="str">
        <f t="shared" si="1"/>
        <v/>
      </c>
    </row>
    <row r="680">
      <c r="A680" s="3"/>
      <c r="B680" s="3"/>
      <c r="C680" s="3"/>
      <c r="D680" s="2" t="str">
        <f t="shared" si="4"/>
        <v/>
      </c>
      <c r="E680" s="2" t="str">
        <f t="shared" si="5"/>
        <v/>
      </c>
      <c r="F680" s="2" t="str">
        <f t="shared" si="1"/>
        <v/>
      </c>
    </row>
    <row r="681">
      <c r="A681" s="3"/>
      <c r="B681" s="3"/>
      <c r="C681" s="3"/>
      <c r="D681" s="2" t="str">
        <f t="shared" si="4"/>
        <v/>
      </c>
      <c r="E681" s="2" t="str">
        <f t="shared" si="5"/>
        <v/>
      </c>
      <c r="F681" s="2" t="str">
        <f t="shared" si="1"/>
        <v/>
      </c>
    </row>
    <row r="682">
      <c r="A682" s="3"/>
      <c r="B682" s="3"/>
      <c r="C682" s="3"/>
      <c r="D682" s="2" t="str">
        <f t="shared" si="4"/>
        <v/>
      </c>
      <c r="E682" s="2" t="str">
        <f t="shared" si="5"/>
        <v/>
      </c>
      <c r="F682" s="2" t="str">
        <f t="shared" si="1"/>
        <v/>
      </c>
    </row>
    <row r="683">
      <c r="A683" s="3"/>
      <c r="B683" s="3"/>
      <c r="C683" s="3"/>
      <c r="D683" s="2" t="str">
        <f t="shared" si="4"/>
        <v/>
      </c>
      <c r="E683" s="2" t="str">
        <f t="shared" si="5"/>
        <v/>
      </c>
      <c r="F683" s="2" t="str">
        <f t="shared" si="1"/>
        <v/>
      </c>
    </row>
    <row r="684">
      <c r="A684" s="3"/>
      <c r="B684" s="3"/>
      <c r="C684" s="3"/>
      <c r="D684" s="2" t="str">
        <f t="shared" si="4"/>
        <v/>
      </c>
      <c r="E684" s="2" t="str">
        <f t="shared" si="5"/>
        <v/>
      </c>
      <c r="F684" s="2" t="str">
        <f t="shared" si="1"/>
        <v/>
      </c>
    </row>
    <row r="685">
      <c r="A685" s="3"/>
      <c r="B685" s="3"/>
      <c r="C685" s="3"/>
      <c r="D685" s="2" t="str">
        <f t="shared" si="4"/>
        <v/>
      </c>
      <c r="E685" s="2" t="str">
        <f t="shared" si="5"/>
        <v/>
      </c>
      <c r="F685" s="2" t="str">
        <f t="shared" si="1"/>
        <v/>
      </c>
    </row>
    <row r="686">
      <c r="A686" s="3"/>
      <c r="B686" s="3"/>
      <c r="C686" s="3"/>
      <c r="D686" s="2" t="str">
        <f t="shared" si="4"/>
        <v/>
      </c>
      <c r="E686" s="2" t="str">
        <f t="shared" si="5"/>
        <v/>
      </c>
      <c r="F686" s="2" t="str">
        <f t="shared" si="1"/>
        <v/>
      </c>
    </row>
    <row r="687">
      <c r="A687" s="3"/>
      <c r="B687" s="3"/>
      <c r="C687" s="3"/>
      <c r="D687" s="2" t="str">
        <f t="shared" si="4"/>
        <v/>
      </c>
      <c r="E687" s="2" t="str">
        <f t="shared" si="5"/>
        <v/>
      </c>
      <c r="F687" s="2" t="str">
        <f t="shared" si="1"/>
        <v/>
      </c>
    </row>
    <row r="688">
      <c r="A688" s="3"/>
      <c r="B688" s="3"/>
      <c r="C688" s="3"/>
      <c r="D688" s="2" t="str">
        <f t="shared" si="4"/>
        <v/>
      </c>
      <c r="E688" s="2" t="str">
        <f t="shared" si="5"/>
        <v/>
      </c>
      <c r="F688" s="2" t="str">
        <f t="shared" si="1"/>
        <v/>
      </c>
    </row>
    <row r="689">
      <c r="A689" s="3"/>
      <c r="B689" s="3"/>
      <c r="C689" s="3"/>
      <c r="D689" s="2" t="str">
        <f t="shared" si="4"/>
        <v/>
      </c>
      <c r="E689" s="2" t="str">
        <f t="shared" si="5"/>
        <v/>
      </c>
      <c r="F689" s="2" t="str">
        <f t="shared" si="1"/>
        <v/>
      </c>
    </row>
    <row r="690">
      <c r="A690" s="3"/>
      <c r="B690" s="3"/>
      <c r="C690" s="3"/>
      <c r="D690" s="2" t="str">
        <f t="shared" si="4"/>
        <v/>
      </c>
      <c r="E690" s="2" t="str">
        <f t="shared" si="5"/>
        <v/>
      </c>
      <c r="F690" s="2" t="str">
        <f t="shared" si="1"/>
        <v/>
      </c>
    </row>
    <row r="691">
      <c r="A691" s="3"/>
      <c r="B691" s="3"/>
      <c r="C691" s="3"/>
      <c r="D691" s="2" t="str">
        <f t="shared" si="4"/>
        <v/>
      </c>
      <c r="E691" s="2" t="str">
        <f t="shared" si="5"/>
        <v/>
      </c>
      <c r="F691" s="2" t="str">
        <f t="shared" si="1"/>
        <v/>
      </c>
    </row>
    <row r="692">
      <c r="A692" s="3"/>
      <c r="B692" s="3"/>
      <c r="C692" s="3"/>
      <c r="D692" s="2" t="str">
        <f t="shared" si="4"/>
        <v/>
      </c>
      <c r="E692" s="2" t="str">
        <f t="shared" si="5"/>
        <v/>
      </c>
      <c r="F692" s="2" t="str">
        <f t="shared" si="1"/>
        <v/>
      </c>
    </row>
    <row r="693">
      <c r="A693" s="3"/>
      <c r="B693" s="3"/>
      <c r="C693" s="3"/>
      <c r="D693" s="2" t="str">
        <f t="shared" si="4"/>
        <v/>
      </c>
      <c r="E693" s="2" t="str">
        <f t="shared" si="5"/>
        <v/>
      </c>
      <c r="F693" s="2" t="str">
        <f t="shared" si="1"/>
        <v/>
      </c>
    </row>
    <row r="694">
      <c r="A694" s="3"/>
      <c r="B694" s="3"/>
      <c r="C694" s="3"/>
      <c r="D694" s="2" t="str">
        <f t="shared" si="4"/>
        <v/>
      </c>
      <c r="E694" s="2" t="str">
        <f t="shared" si="5"/>
        <v/>
      </c>
      <c r="F694" s="2" t="str">
        <f t="shared" si="1"/>
        <v/>
      </c>
    </row>
    <row r="695">
      <c r="A695" s="3"/>
      <c r="B695" s="3"/>
      <c r="C695" s="3"/>
      <c r="D695" s="2" t="str">
        <f t="shared" si="4"/>
        <v/>
      </c>
      <c r="E695" s="2" t="str">
        <f t="shared" si="5"/>
        <v/>
      </c>
      <c r="F695" s="2" t="str">
        <f t="shared" si="1"/>
        <v/>
      </c>
    </row>
    <row r="696">
      <c r="A696" s="3"/>
      <c r="B696" s="3"/>
      <c r="C696" s="3"/>
      <c r="D696" s="2" t="str">
        <f t="shared" si="4"/>
        <v/>
      </c>
      <c r="E696" s="2" t="str">
        <f t="shared" si="5"/>
        <v/>
      </c>
      <c r="F696" s="2" t="str">
        <f t="shared" si="1"/>
        <v/>
      </c>
    </row>
    <row r="697">
      <c r="A697" s="3"/>
      <c r="B697" s="3"/>
      <c r="C697" s="3"/>
      <c r="D697" s="2" t="str">
        <f t="shared" si="4"/>
        <v/>
      </c>
      <c r="E697" s="2" t="str">
        <f t="shared" si="5"/>
        <v/>
      </c>
      <c r="F697" s="2" t="str">
        <f t="shared" si="1"/>
        <v/>
      </c>
    </row>
    <row r="698">
      <c r="A698" s="3"/>
      <c r="B698" s="3"/>
      <c r="C698" s="3"/>
      <c r="D698" s="2" t="str">
        <f t="shared" si="4"/>
        <v/>
      </c>
      <c r="E698" s="2" t="str">
        <f t="shared" si="5"/>
        <v/>
      </c>
      <c r="F698" s="2" t="str">
        <f t="shared" si="1"/>
        <v/>
      </c>
    </row>
    <row r="699">
      <c r="A699" s="3"/>
      <c r="B699" s="3"/>
      <c r="C699" s="3"/>
      <c r="D699" s="2" t="str">
        <f t="shared" si="4"/>
        <v/>
      </c>
      <c r="E699" s="2" t="str">
        <f t="shared" si="5"/>
        <v/>
      </c>
      <c r="F699" s="2" t="str">
        <f t="shared" si="1"/>
        <v/>
      </c>
    </row>
    <row r="700">
      <c r="A700" s="3"/>
      <c r="B700" s="3"/>
      <c r="C700" s="3"/>
      <c r="D700" s="2" t="str">
        <f t="shared" si="4"/>
        <v/>
      </c>
      <c r="E700" s="2" t="str">
        <f t="shared" si="5"/>
        <v/>
      </c>
      <c r="F700" s="2" t="str">
        <f t="shared" si="1"/>
        <v/>
      </c>
    </row>
    <row r="701">
      <c r="A701" s="3"/>
      <c r="B701" s="3"/>
      <c r="C701" s="3"/>
      <c r="D701" s="2" t="str">
        <f t="shared" si="4"/>
        <v/>
      </c>
      <c r="E701" s="2" t="str">
        <f t="shared" si="5"/>
        <v/>
      </c>
      <c r="F701" s="2" t="str">
        <f t="shared" si="1"/>
        <v/>
      </c>
    </row>
    <row r="702">
      <c r="A702" s="3"/>
      <c r="B702" s="3"/>
      <c r="C702" s="3"/>
      <c r="D702" s="2" t="str">
        <f t="shared" si="4"/>
        <v/>
      </c>
      <c r="E702" s="2" t="str">
        <f t="shared" si="5"/>
        <v/>
      </c>
      <c r="F702" s="2" t="str">
        <f t="shared" si="1"/>
        <v/>
      </c>
    </row>
    <row r="703">
      <c r="A703" s="3"/>
      <c r="B703" s="3"/>
      <c r="C703" s="3"/>
      <c r="D703" s="2" t="str">
        <f t="shared" si="4"/>
        <v/>
      </c>
      <c r="E703" s="2" t="str">
        <f t="shared" si="5"/>
        <v/>
      </c>
      <c r="F703" s="2" t="str">
        <f t="shared" si="1"/>
        <v/>
      </c>
    </row>
    <row r="704">
      <c r="A704" s="3"/>
      <c r="B704" s="3"/>
      <c r="C704" s="3"/>
      <c r="D704" s="2" t="str">
        <f t="shared" si="4"/>
        <v/>
      </c>
      <c r="E704" s="2" t="str">
        <f t="shared" si="5"/>
        <v/>
      </c>
      <c r="F704" s="2" t="str">
        <f t="shared" si="1"/>
        <v/>
      </c>
    </row>
    <row r="705">
      <c r="A705" s="3"/>
      <c r="B705" s="3"/>
      <c r="C705" s="3"/>
      <c r="D705" s="2" t="str">
        <f t="shared" si="4"/>
        <v/>
      </c>
      <c r="E705" s="2" t="str">
        <f t="shared" si="5"/>
        <v/>
      </c>
      <c r="F705" s="2" t="str">
        <f t="shared" si="1"/>
        <v/>
      </c>
    </row>
    <row r="706">
      <c r="A706" s="3"/>
      <c r="B706" s="3"/>
      <c r="C706" s="3"/>
      <c r="D706" s="2" t="str">
        <f t="shared" si="4"/>
        <v/>
      </c>
      <c r="E706" s="2" t="str">
        <f t="shared" si="5"/>
        <v/>
      </c>
      <c r="F706" s="2" t="str">
        <f t="shared" si="1"/>
        <v/>
      </c>
    </row>
    <row r="707">
      <c r="A707" s="3"/>
      <c r="B707" s="3"/>
      <c r="C707" s="3"/>
      <c r="D707" s="2" t="str">
        <f t="shared" si="4"/>
        <v/>
      </c>
      <c r="E707" s="2" t="str">
        <f t="shared" si="5"/>
        <v/>
      </c>
      <c r="F707" s="2" t="str">
        <f t="shared" si="1"/>
        <v/>
      </c>
    </row>
    <row r="708">
      <c r="A708" s="3"/>
      <c r="B708" s="3"/>
      <c r="C708" s="3"/>
      <c r="D708" s="2" t="str">
        <f t="shared" si="4"/>
        <v/>
      </c>
      <c r="E708" s="2" t="str">
        <f t="shared" si="5"/>
        <v/>
      </c>
      <c r="F708" s="2" t="str">
        <f t="shared" si="1"/>
        <v/>
      </c>
    </row>
    <row r="709">
      <c r="A709" s="3"/>
      <c r="B709" s="3"/>
      <c r="C709" s="3"/>
      <c r="D709" s="2" t="str">
        <f t="shared" si="4"/>
        <v/>
      </c>
      <c r="E709" s="2" t="str">
        <f t="shared" si="5"/>
        <v/>
      </c>
      <c r="F709" s="2" t="str">
        <f t="shared" si="1"/>
        <v/>
      </c>
    </row>
    <row r="710">
      <c r="A710" s="3"/>
      <c r="B710" s="3"/>
      <c r="C710" s="3"/>
      <c r="D710" s="2" t="str">
        <f t="shared" si="4"/>
        <v/>
      </c>
      <c r="E710" s="2" t="str">
        <f t="shared" si="5"/>
        <v/>
      </c>
      <c r="F710" s="2" t="str">
        <f t="shared" si="1"/>
        <v/>
      </c>
    </row>
    <row r="711">
      <c r="A711" s="3"/>
      <c r="B711" s="3"/>
      <c r="C711" s="3"/>
      <c r="D711" s="2" t="str">
        <f t="shared" si="4"/>
        <v/>
      </c>
      <c r="E711" s="2" t="str">
        <f t="shared" si="5"/>
        <v/>
      </c>
      <c r="F711" s="2" t="str">
        <f t="shared" si="1"/>
        <v/>
      </c>
    </row>
    <row r="712">
      <c r="A712" s="3"/>
      <c r="B712" s="3"/>
      <c r="C712" s="3"/>
      <c r="D712" s="2" t="str">
        <f t="shared" si="4"/>
        <v/>
      </c>
      <c r="E712" s="2" t="str">
        <f t="shared" si="5"/>
        <v/>
      </c>
      <c r="F712" s="2" t="str">
        <f t="shared" si="1"/>
        <v/>
      </c>
    </row>
    <row r="713">
      <c r="A713" s="3"/>
      <c r="B713" s="3"/>
      <c r="C713" s="3"/>
      <c r="D713" s="2" t="str">
        <f t="shared" si="4"/>
        <v/>
      </c>
      <c r="E713" s="2" t="str">
        <f t="shared" si="5"/>
        <v/>
      </c>
      <c r="F713" s="2" t="str">
        <f t="shared" si="1"/>
        <v/>
      </c>
    </row>
    <row r="714">
      <c r="A714" s="3"/>
      <c r="B714" s="3"/>
      <c r="C714" s="3"/>
      <c r="D714" s="2" t="str">
        <f t="shared" si="4"/>
        <v/>
      </c>
      <c r="E714" s="2" t="str">
        <f t="shared" si="5"/>
        <v/>
      </c>
      <c r="F714" s="2" t="str">
        <f t="shared" si="1"/>
        <v/>
      </c>
    </row>
    <row r="715">
      <c r="A715" s="3"/>
      <c r="B715" s="3"/>
      <c r="C715" s="3"/>
      <c r="D715" s="2" t="str">
        <f t="shared" si="4"/>
        <v/>
      </c>
      <c r="E715" s="2" t="str">
        <f t="shared" si="5"/>
        <v/>
      </c>
      <c r="F715" s="2" t="str">
        <f t="shared" si="1"/>
        <v/>
      </c>
    </row>
    <row r="716">
      <c r="A716" s="3"/>
      <c r="B716" s="3"/>
      <c r="C716" s="3"/>
      <c r="D716" s="2" t="str">
        <f t="shared" si="4"/>
        <v/>
      </c>
      <c r="E716" s="2" t="str">
        <f t="shared" si="5"/>
        <v/>
      </c>
      <c r="F716" s="2" t="str">
        <f t="shared" si="1"/>
        <v/>
      </c>
    </row>
    <row r="717">
      <c r="A717" s="3"/>
      <c r="B717" s="3"/>
      <c r="C717" s="3"/>
      <c r="D717" s="2" t="str">
        <f t="shared" si="4"/>
        <v/>
      </c>
      <c r="E717" s="2" t="str">
        <f t="shared" si="5"/>
        <v/>
      </c>
      <c r="F717" s="2" t="str">
        <f t="shared" si="1"/>
        <v/>
      </c>
    </row>
    <row r="718">
      <c r="A718" s="3"/>
      <c r="B718" s="3"/>
      <c r="C718" s="3"/>
      <c r="D718" s="2" t="str">
        <f t="shared" si="4"/>
        <v/>
      </c>
      <c r="E718" s="2" t="str">
        <f t="shared" si="5"/>
        <v/>
      </c>
      <c r="F718" s="2" t="str">
        <f t="shared" si="1"/>
        <v/>
      </c>
    </row>
    <row r="719">
      <c r="A719" s="3"/>
      <c r="B719" s="3"/>
      <c r="C719" s="3"/>
      <c r="D719" s="2" t="str">
        <f t="shared" si="4"/>
        <v/>
      </c>
      <c r="E719" s="2" t="str">
        <f t="shared" si="5"/>
        <v/>
      </c>
      <c r="F719" s="2" t="str">
        <f t="shared" si="1"/>
        <v/>
      </c>
    </row>
    <row r="720">
      <c r="A720" s="3"/>
      <c r="B720" s="3"/>
      <c r="C720" s="3"/>
      <c r="D720" s="2" t="str">
        <f t="shared" si="4"/>
        <v/>
      </c>
      <c r="E720" s="2" t="str">
        <f t="shared" si="5"/>
        <v/>
      </c>
      <c r="F720" s="2" t="str">
        <f t="shared" si="1"/>
        <v/>
      </c>
    </row>
    <row r="721">
      <c r="A721" s="3"/>
      <c r="B721" s="3"/>
      <c r="C721" s="3"/>
      <c r="D721" s="2" t="str">
        <f t="shared" si="4"/>
        <v/>
      </c>
      <c r="E721" s="2" t="str">
        <f t="shared" si="5"/>
        <v/>
      </c>
      <c r="F721" s="2" t="str">
        <f t="shared" si="1"/>
        <v/>
      </c>
    </row>
    <row r="722">
      <c r="A722" s="3"/>
      <c r="B722" s="3"/>
      <c r="C722" s="3"/>
      <c r="D722" s="2" t="str">
        <f t="shared" si="4"/>
        <v/>
      </c>
      <c r="E722" s="2" t="str">
        <f t="shared" si="5"/>
        <v/>
      </c>
      <c r="F722" s="2" t="str">
        <f t="shared" si="1"/>
        <v/>
      </c>
    </row>
    <row r="723">
      <c r="A723" s="3"/>
      <c r="B723" s="3"/>
      <c r="C723" s="3"/>
      <c r="D723" s="2" t="str">
        <f t="shared" si="4"/>
        <v/>
      </c>
      <c r="E723" s="2" t="str">
        <f t="shared" si="5"/>
        <v/>
      </c>
      <c r="F723" s="2" t="str">
        <f t="shared" si="1"/>
        <v/>
      </c>
    </row>
    <row r="724">
      <c r="A724" s="3"/>
      <c r="B724" s="3"/>
      <c r="C724" s="3"/>
      <c r="D724" s="2" t="str">
        <f t="shared" si="4"/>
        <v/>
      </c>
      <c r="E724" s="2" t="str">
        <f t="shared" si="5"/>
        <v/>
      </c>
      <c r="F724" s="2" t="str">
        <f t="shared" si="1"/>
        <v/>
      </c>
    </row>
    <row r="725">
      <c r="A725" s="3"/>
      <c r="B725" s="3"/>
      <c r="C725" s="3"/>
      <c r="D725" s="2" t="str">
        <f t="shared" si="4"/>
        <v/>
      </c>
      <c r="E725" s="2" t="str">
        <f t="shared" si="5"/>
        <v/>
      </c>
      <c r="F725" s="2" t="str">
        <f t="shared" si="1"/>
        <v/>
      </c>
    </row>
    <row r="726">
      <c r="A726" s="3"/>
      <c r="B726" s="3"/>
      <c r="C726" s="3"/>
      <c r="D726" s="2" t="str">
        <f t="shared" si="4"/>
        <v/>
      </c>
      <c r="E726" s="2" t="str">
        <f t="shared" si="5"/>
        <v/>
      </c>
      <c r="F726" s="2" t="str">
        <f t="shared" si="1"/>
        <v/>
      </c>
    </row>
    <row r="727">
      <c r="A727" s="3"/>
      <c r="B727" s="3"/>
      <c r="C727" s="3"/>
      <c r="D727" s="2" t="str">
        <f t="shared" si="4"/>
        <v/>
      </c>
      <c r="E727" s="2" t="str">
        <f t="shared" si="5"/>
        <v/>
      </c>
      <c r="F727" s="2" t="str">
        <f t="shared" si="1"/>
        <v/>
      </c>
    </row>
    <row r="728">
      <c r="A728" s="3"/>
      <c r="B728" s="3"/>
      <c r="C728" s="3"/>
      <c r="D728" s="2" t="str">
        <f t="shared" si="4"/>
        <v/>
      </c>
      <c r="E728" s="2" t="str">
        <f t="shared" si="5"/>
        <v/>
      </c>
      <c r="F728" s="2" t="str">
        <f t="shared" si="1"/>
        <v/>
      </c>
    </row>
    <row r="729">
      <c r="A729" s="3"/>
      <c r="B729" s="3"/>
      <c r="C729" s="3"/>
      <c r="D729" s="2" t="str">
        <f t="shared" si="4"/>
        <v/>
      </c>
      <c r="E729" s="2" t="str">
        <f t="shared" si="5"/>
        <v/>
      </c>
      <c r="F729" s="2" t="str">
        <f t="shared" si="1"/>
        <v/>
      </c>
    </row>
    <row r="730">
      <c r="A730" s="3"/>
      <c r="B730" s="3"/>
      <c r="C730" s="3"/>
      <c r="D730" s="2" t="str">
        <f t="shared" si="4"/>
        <v/>
      </c>
      <c r="E730" s="2" t="str">
        <f t="shared" si="5"/>
        <v/>
      </c>
      <c r="F730" s="2" t="str">
        <f t="shared" si="1"/>
        <v/>
      </c>
    </row>
    <row r="731">
      <c r="A731" s="3"/>
      <c r="B731" s="3"/>
      <c r="C731" s="3"/>
      <c r="D731" s="2" t="str">
        <f t="shared" si="4"/>
        <v/>
      </c>
      <c r="E731" s="2" t="str">
        <f t="shared" si="5"/>
        <v/>
      </c>
      <c r="F731" s="2" t="str">
        <f t="shared" si="1"/>
        <v/>
      </c>
    </row>
    <row r="732">
      <c r="A732" s="3"/>
      <c r="B732" s="3"/>
      <c r="C732" s="3"/>
      <c r="D732" s="2" t="str">
        <f t="shared" si="4"/>
        <v/>
      </c>
      <c r="E732" s="2" t="str">
        <f t="shared" si="5"/>
        <v/>
      </c>
      <c r="F732" s="2" t="str">
        <f t="shared" si="1"/>
        <v/>
      </c>
    </row>
    <row r="733">
      <c r="A733" s="3"/>
      <c r="B733" s="3"/>
      <c r="C733" s="3"/>
      <c r="D733" s="2" t="str">
        <f t="shared" si="4"/>
        <v/>
      </c>
      <c r="E733" s="2" t="str">
        <f t="shared" si="5"/>
        <v/>
      </c>
      <c r="F733" s="2" t="str">
        <f t="shared" si="1"/>
        <v/>
      </c>
    </row>
    <row r="734">
      <c r="A734" s="3"/>
      <c r="B734" s="3"/>
      <c r="C734" s="3"/>
      <c r="D734" s="2" t="str">
        <f t="shared" si="4"/>
        <v/>
      </c>
      <c r="E734" s="2" t="str">
        <f t="shared" si="5"/>
        <v/>
      </c>
      <c r="F734" s="2" t="str">
        <f t="shared" si="1"/>
        <v/>
      </c>
    </row>
    <row r="735">
      <c r="A735" s="3"/>
      <c r="B735" s="3"/>
      <c r="C735" s="3"/>
      <c r="D735" s="2" t="str">
        <f t="shared" si="4"/>
        <v/>
      </c>
      <c r="E735" s="2" t="str">
        <f t="shared" si="5"/>
        <v/>
      </c>
      <c r="F735" s="2" t="str">
        <f t="shared" si="1"/>
        <v/>
      </c>
    </row>
    <row r="736">
      <c r="A736" s="3"/>
      <c r="B736" s="3"/>
      <c r="C736" s="3"/>
      <c r="D736" s="2" t="str">
        <f t="shared" si="4"/>
        <v/>
      </c>
      <c r="E736" s="2" t="str">
        <f t="shared" si="5"/>
        <v/>
      </c>
      <c r="F736" s="2" t="str">
        <f t="shared" si="1"/>
        <v/>
      </c>
    </row>
    <row r="737">
      <c r="A737" s="3"/>
      <c r="B737" s="3"/>
      <c r="C737" s="3"/>
      <c r="D737" s="2" t="str">
        <f t="shared" si="4"/>
        <v/>
      </c>
      <c r="E737" s="2" t="str">
        <f t="shared" si="5"/>
        <v/>
      </c>
      <c r="F737" s="2" t="str">
        <f t="shared" si="1"/>
        <v/>
      </c>
    </row>
    <row r="738">
      <c r="A738" s="3"/>
      <c r="B738" s="3"/>
      <c r="C738" s="3"/>
      <c r="D738" s="2" t="str">
        <f t="shared" si="4"/>
        <v/>
      </c>
      <c r="E738" s="2" t="str">
        <f t="shared" si="5"/>
        <v/>
      </c>
      <c r="F738" s="2" t="str">
        <f t="shared" si="1"/>
        <v/>
      </c>
    </row>
    <row r="739">
      <c r="A739" s="3"/>
      <c r="B739" s="3"/>
      <c r="C739" s="3"/>
      <c r="D739" s="2" t="str">
        <f t="shared" si="4"/>
        <v/>
      </c>
      <c r="E739" s="2" t="str">
        <f t="shared" si="5"/>
        <v/>
      </c>
      <c r="F739" s="2" t="str">
        <f t="shared" si="1"/>
        <v/>
      </c>
    </row>
    <row r="740">
      <c r="A740" s="3"/>
      <c r="B740" s="3"/>
      <c r="C740" s="3"/>
      <c r="D740" s="2" t="str">
        <f t="shared" si="4"/>
        <v/>
      </c>
      <c r="E740" s="2" t="str">
        <f t="shared" si="5"/>
        <v/>
      </c>
      <c r="F740" s="2" t="str">
        <f t="shared" si="1"/>
        <v/>
      </c>
    </row>
    <row r="741">
      <c r="A741" s="3"/>
      <c r="B741" s="3"/>
      <c r="C741" s="3"/>
      <c r="D741" s="2" t="str">
        <f t="shared" si="4"/>
        <v/>
      </c>
      <c r="E741" s="2" t="str">
        <f t="shared" si="5"/>
        <v/>
      </c>
      <c r="F741" s="2" t="str">
        <f t="shared" si="1"/>
        <v/>
      </c>
    </row>
    <row r="742">
      <c r="A742" s="3"/>
      <c r="B742" s="3"/>
      <c r="C742" s="3"/>
      <c r="D742" s="2" t="str">
        <f t="shared" si="4"/>
        <v/>
      </c>
      <c r="E742" s="2" t="str">
        <f t="shared" si="5"/>
        <v/>
      </c>
      <c r="F742" s="2" t="str">
        <f t="shared" si="1"/>
        <v/>
      </c>
    </row>
    <row r="743">
      <c r="A743" s="3"/>
      <c r="B743" s="3"/>
      <c r="C743" s="3"/>
      <c r="D743" s="2" t="str">
        <f t="shared" si="4"/>
        <v/>
      </c>
      <c r="E743" s="2" t="str">
        <f t="shared" si="5"/>
        <v/>
      </c>
      <c r="F743" s="2" t="str">
        <f t="shared" si="1"/>
        <v/>
      </c>
    </row>
    <row r="744">
      <c r="A744" s="3"/>
      <c r="B744" s="3"/>
      <c r="C744" s="3"/>
      <c r="D744" s="2" t="str">
        <f t="shared" si="4"/>
        <v/>
      </c>
      <c r="E744" s="2" t="str">
        <f t="shared" si="5"/>
        <v/>
      </c>
      <c r="F744" s="2" t="str">
        <f t="shared" si="1"/>
        <v/>
      </c>
    </row>
    <row r="745">
      <c r="A745" s="3"/>
      <c r="B745" s="3"/>
      <c r="C745" s="3"/>
      <c r="D745" s="2" t="str">
        <f t="shared" si="4"/>
        <v/>
      </c>
      <c r="E745" s="2" t="str">
        <f t="shared" si="5"/>
        <v/>
      </c>
      <c r="F745" s="2" t="str">
        <f t="shared" si="1"/>
        <v/>
      </c>
    </row>
    <row r="746">
      <c r="A746" s="3"/>
      <c r="B746" s="3"/>
      <c r="C746" s="3"/>
      <c r="D746" s="2" t="str">
        <f t="shared" si="4"/>
        <v/>
      </c>
      <c r="E746" s="2" t="str">
        <f t="shared" si="5"/>
        <v/>
      </c>
      <c r="F746" s="2" t="str">
        <f t="shared" si="1"/>
        <v/>
      </c>
    </row>
    <row r="747">
      <c r="A747" s="3"/>
      <c r="B747" s="3"/>
      <c r="C747" s="3"/>
      <c r="D747" s="2" t="str">
        <f t="shared" si="4"/>
        <v/>
      </c>
      <c r="E747" s="2" t="str">
        <f t="shared" si="5"/>
        <v/>
      </c>
      <c r="F747" s="2" t="str">
        <f t="shared" si="1"/>
        <v/>
      </c>
    </row>
    <row r="748">
      <c r="A748" s="3"/>
      <c r="B748" s="3"/>
      <c r="C748" s="3"/>
      <c r="D748" s="2" t="str">
        <f t="shared" si="4"/>
        <v/>
      </c>
      <c r="E748" s="2" t="str">
        <f t="shared" si="5"/>
        <v/>
      </c>
      <c r="F748" s="2" t="str">
        <f t="shared" si="1"/>
        <v/>
      </c>
    </row>
    <row r="749">
      <c r="A749" s="3"/>
      <c r="B749" s="3"/>
      <c r="C749" s="3"/>
      <c r="D749" s="2" t="str">
        <f t="shared" si="4"/>
        <v/>
      </c>
      <c r="E749" s="2" t="str">
        <f t="shared" si="5"/>
        <v/>
      </c>
      <c r="F749" s="2" t="str">
        <f t="shared" si="1"/>
        <v/>
      </c>
    </row>
    <row r="750">
      <c r="A750" s="3"/>
      <c r="B750" s="3"/>
      <c r="C750" s="3"/>
      <c r="D750" s="2" t="str">
        <f t="shared" si="4"/>
        <v/>
      </c>
      <c r="E750" s="2" t="str">
        <f t="shared" si="5"/>
        <v/>
      </c>
      <c r="F750" s="2" t="str">
        <f t="shared" si="1"/>
        <v/>
      </c>
    </row>
    <row r="751">
      <c r="A751" s="3"/>
      <c r="B751" s="3"/>
      <c r="C751" s="3"/>
      <c r="D751" s="2" t="str">
        <f t="shared" si="4"/>
        <v/>
      </c>
      <c r="E751" s="2" t="str">
        <f t="shared" si="5"/>
        <v/>
      </c>
      <c r="F751" s="2" t="str">
        <f t="shared" si="1"/>
        <v/>
      </c>
    </row>
    <row r="752">
      <c r="A752" s="3"/>
      <c r="B752" s="3"/>
      <c r="C752" s="3"/>
      <c r="D752" s="2" t="str">
        <f t="shared" si="4"/>
        <v/>
      </c>
      <c r="E752" s="2" t="str">
        <f t="shared" si="5"/>
        <v/>
      </c>
      <c r="F752" s="2" t="str">
        <f t="shared" si="1"/>
        <v/>
      </c>
    </row>
    <row r="753">
      <c r="A753" s="3"/>
      <c r="B753" s="3"/>
      <c r="C753" s="3"/>
      <c r="D753" s="2" t="str">
        <f t="shared" si="4"/>
        <v/>
      </c>
      <c r="E753" s="2" t="str">
        <f t="shared" si="5"/>
        <v/>
      </c>
      <c r="F753" s="2" t="str">
        <f t="shared" si="1"/>
        <v/>
      </c>
    </row>
    <row r="754">
      <c r="A754" s="3"/>
      <c r="B754" s="3"/>
      <c r="C754" s="3"/>
      <c r="D754" s="2" t="str">
        <f t="shared" si="4"/>
        <v/>
      </c>
      <c r="E754" s="2" t="str">
        <f t="shared" si="5"/>
        <v/>
      </c>
      <c r="F754" s="2" t="str">
        <f t="shared" si="1"/>
        <v/>
      </c>
    </row>
    <row r="755">
      <c r="A755" s="3"/>
      <c r="B755" s="3"/>
      <c r="C755" s="3"/>
      <c r="D755" s="2" t="str">
        <f t="shared" si="4"/>
        <v/>
      </c>
      <c r="E755" s="2" t="str">
        <f t="shared" si="5"/>
        <v/>
      </c>
      <c r="F755" s="2" t="str">
        <f t="shared" si="1"/>
        <v/>
      </c>
    </row>
    <row r="756">
      <c r="A756" s="3"/>
      <c r="B756" s="3"/>
      <c r="C756" s="3"/>
      <c r="D756" s="2" t="str">
        <f t="shared" si="4"/>
        <v/>
      </c>
      <c r="E756" s="2" t="str">
        <f t="shared" si="5"/>
        <v/>
      </c>
      <c r="F756" s="2" t="str">
        <f t="shared" si="1"/>
        <v/>
      </c>
    </row>
    <row r="757">
      <c r="A757" s="3"/>
      <c r="B757" s="3"/>
      <c r="C757" s="3"/>
      <c r="D757" s="2" t="str">
        <f t="shared" si="4"/>
        <v/>
      </c>
      <c r="E757" s="2" t="str">
        <f t="shared" si="5"/>
        <v/>
      </c>
      <c r="F757" s="2" t="str">
        <f t="shared" si="1"/>
        <v/>
      </c>
    </row>
    <row r="758">
      <c r="A758" s="3"/>
      <c r="B758" s="3"/>
      <c r="C758" s="3"/>
      <c r="D758" s="2" t="str">
        <f t="shared" si="4"/>
        <v/>
      </c>
      <c r="E758" s="2" t="str">
        <f t="shared" si="5"/>
        <v/>
      </c>
      <c r="F758" s="2" t="str">
        <f t="shared" si="1"/>
        <v/>
      </c>
    </row>
    <row r="759">
      <c r="A759" s="3"/>
      <c r="B759" s="3"/>
      <c r="C759" s="3"/>
      <c r="D759" s="2" t="str">
        <f t="shared" si="4"/>
        <v/>
      </c>
      <c r="E759" s="2" t="str">
        <f t="shared" si="5"/>
        <v/>
      </c>
      <c r="F759" s="2" t="str">
        <f t="shared" si="1"/>
        <v/>
      </c>
    </row>
    <row r="760">
      <c r="A760" s="3"/>
      <c r="B760" s="3"/>
      <c r="C760" s="3"/>
      <c r="D760" s="2" t="str">
        <f t="shared" si="4"/>
        <v/>
      </c>
      <c r="E760" s="2" t="str">
        <f t="shared" si="5"/>
        <v/>
      </c>
      <c r="F760" s="2" t="str">
        <f t="shared" si="1"/>
        <v/>
      </c>
    </row>
    <row r="761">
      <c r="A761" s="3"/>
      <c r="B761" s="3"/>
      <c r="C761" s="3"/>
      <c r="D761" s="2" t="str">
        <f t="shared" si="4"/>
        <v/>
      </c>
      <c r="E761" s="2" t="str">
        <f t="shared" si="5"/>
        <v/>
      </c>
      <c r="F761" s="2" t="str">
        <f t="shared" si="1"/>
        <v/>
      </c>
    </row>
    <row r="762">
      <c r="A762" s="3"/>
      <c r="B762" s="3"/>
      <c r="C762" s="3"/>
      <c r="D762" s="2" t="str">
        <f t="shared" si="4"/>
        <v/>
      </c>
      <c r="E762" s="2" t="str">
        <f t="shared" si="5"/>
        <v/>
      </c>
      <c r="F762" s="2" t="str">
        <f t="shared" si="1"/>
        <v/>
      </c>
    </row>
    <row r="763">
      <c r="A763" s="3"/>
      <c r="B763" s="3"/>
      <c r="C763" s="3"/>
      <c r="D763" s="2" t="str">
        <f t="shared" si="4"/>
        <v/>
      </c>
      <c r="E763" s="2" t="str">
        <f t="shared" si="5"/>
        <v/>
      </c>
      <c r="F763" s="2" t="str">
        <f t="shared" si="1"/>
        <v/>
      </c>
    </row>
    <row r="764">
      <c r="A764" s="3"/>
      <c r="B764" s="3"/>
      <c r="C764" s="3"/>
      <c r="D764" s="2" t="str">
        <f t="shared" si="4"/>
        <v/>
      </c>
      <c r="E764" s="2" t="str">
        <f t="shared" si="5"/>
        <v/>
      </c>
      <c r="F764" s="2" t="str">
        <f t="shared" si="1"/>
        <v/>
      </c>
    </row>
    <row r="765">
      <c r="A765" s="3"/>
      <c r="B765" s="3"/>
      <c r="C765" s="3"/>
      <c r="D765" s="2" t="str">
        <f t="shared" si="4"/>
        <v/>
      </c>
      <c r="E765" s="2" t="str">
        <f t="shared" si="5"/>
        <v/>
      </c>
      <c r="F765" s="2" t="str">
        <f t="shared" si="1"/>
        <v/>
      </c>
    </row>
    <row r="766">
      <c r="A766" s="3"/>
      <c r="B766" s="3"/>
      <c r="C766" s="3"/>
      <c r="D766" s="2" t="str">
        <f t="shared" si="4"/>
        <v/>
      </c>
      <c r="E766" s="2" t="str">
        <f t="shared" si="5"/>
        <v/>
      </c>
      <c r="F766" s="2" t="str">
        <f t="shared" si="1"/>
        <v/>
      </c>
    </row>
    <row r="767">
      <c r="A767" s="3"/>
      <c r="B767" s="3"/>
      <c r="C767" s="3"/>
      <c r="D767" s="2" t="str">
        <f t="shared" si="4"/>
        <v/>
      </c>
      <c r="E767" s="2" t="str">
        <f t="shared" si="5"/>
        <v/>
      </c>
      <c r="F767" s="2" t="str">
        <f t="shared" si="1"/>
        <v/>
      </c>
    </row>
    <row r="768">
      <c r="A768" s="3"/>
      <c r="B768" s="3"/>
      <c r="C768" s="3"/>
      <c r="D768" s="2" t="str">
        <f t="shared" si="4"/>
        <v/>
      </c>
      <c r="E768" s="2" t="str">
        <f t="shared" si="5"/>
        <v/>
      </c>
      <c r="F768" s="2" t="str">
        <f t="shared" si="1"/>
        <v/>
      </c>
    </row>
    <row r="769">
      <c r="A769" s="3"/>
      <c r="B769" s="3"/>
      <c r="C769" s="3"/>
      <c r="D769" s="2" t="str">
        <f t="shared" si="4"/>
        <v/>
      </c>
      <c r="E769" s="2" t="str">
        <f t="shared" si="5"/>
        <v/>
      </c>
      <c r="F769" s="2" t="str">
        <f t="shared" si="1"/>
        <v/>
      </c>
    </row>
    <row r="770">
      <c r="A770" s="3"/>
      <c r="B770" s="3"/>
      <c r="C770" s="3"/>
      <c r="D770" s="2" t="str">
        <f t="shared" si="4"/>
        <v/>
      </c>
      <c r="E770" s="2" t="str">
        <f t="shared" si="5"/>
        <v/>
      </c>
      <c r="F770" s="2" t="str">
        <f t="shared" si="1"/>
        <v/>
      </c>
    </row>
    <row r="771">
      <c r="A771" s="3"/>
      <c r="B771" s="3"/>
      <c r="C771" s="3"/>
      <c r="D771" s="2" t="str">
        <f t="shared" si="4"/>
        <v/>
      </c>
      <c r="E771" s="2" t="str">
        <f t="shared" si="5"/>
        <v/>
      </c>
      <c r="F771" s="2" t="str">
        <f t="shared" si="1"/>
        <v/>
      </c>
    </row>
    <row r="772">
      <c r="A772" s="3"/>
      <c r="B772" s="3"/>
      <c r="C772" s="3"/>
      <c r="D772" s="2" t="str">
        <f t="shared" si="4"/>
        <v/>
      </c>
      <c r="E772" s="2" t="str">
        <f t="shared" si="5"/>
        <v/>
      </c>
      <c r="F772" s="2" t="str">
        <f t="shared" si="1"/>
        <v/>
      </c>
    </row>
    <row r="773">
      <c r="A773" s="3"/>
      <c r="B773" s="3"/>
      <c r="C773" s="3"/>
      <c r="D773" s="2" t="str">
        <f t="shared" si="4"/>
        <v/>
      </c>
      <c r="E773" s="2" t="str">
        <f t="shared" si="5"/>
        <v/>
      </c>
      <c r="F773" s="2" t="str">
        <f t="shared" si="1"/>
        <v/>
      </c>
    </row>
    <row r="774">
      <c r="A774" s="3"/>
      <c r="B774" s="3"/>
      <c r="C774" s="3"/>
      <c r="D774" s="2" t="str">
        <f t="shared" si="4"/>
        <v/>
      </c>
      <c r="E774" s="2" t="str">
        <f t="shared" si="5"/>
        <v/>
      </c>
      <c r="F774" s="2" t="str">
        <f t="shared" si="1"/>
        <v/>
      </c>
    </row>
    <row r="775">
      <c r="A775" s="3"/>
      <c r="B775" s="3"/>
      <c r="C775" s="3"/>
      <c r="D775" s="2" t="str">
        <f t="shared" si="4"/>
        <v/>
      </c>
      <c r="E775" s="2" t="str">
        <f t="shared" si="5"/>
        <v/>
      </c>
      <c r="F775" s="2" t="str">
        <f t="shared" si="1"/>
        <v/>
      </c>
    </row>
    <row r="776">
      <c r="A776" s="3"/>
      <c r="B776" s="3"/>
      <c r="C776" s="3"/>
      <c r="D776" s="2" t="str">
        <f t="shared" si="4"/>
        <v/>
      </c>
      <c r="E776" s="2" t="str">
        <f t="shared" si="5"/>
        <v/>
      </c>
      <c r="F776" s="2" t="str">
        <f t="shared" si="1"/>
        <v/>
      </c>
    </row>
    <row r="777">
      <c r="A777" s="3"/>
      <c r="B777" s="3"/>
      <c r="C777" s="3"/>
      <c r="D777" s="2" t="str">
        <f t="shared" si="4"/>
        <v/>
      </c>
      <c r="E777" s="2" t="str">
        <f t="shared" si="5"/>
        <v/>
      </c>
      <c r="F777" s="2" t="str">
        <f t="shared" si="1"/>
        <v/>
      </c>
    </row>
    <row r="778">
      <c r="A778" s="3"/>
      <c r="B778" s="3"/>
      <c r="C778" s="3"/>
      <c r="D778" s="2" t="str">
        <f t="shared" si="4"/>
        <v/>
      </c>
      <c r="E778" s="2" t="str">
        <f t="shared" si="5"/>
        <v/>
      </c>
      <c r="F778" s="2" t="str">
        <f t="shared" si="1"/>
        <v/>
      </c>
    </row>
    <row r="779">
      <c r="A779" s="3"/>
      <c r="B779" s="3"/>
      <c r="C779" s="3"/>
      <c r="D779" s="2" t="str">
        <f t="shared" si="4"/>
        <v/>
      </c>
      <c r="E779" s="2" t="str">
        <f t="shared" si="5"/>
        <v/>
      </c>
      <c r="F779" s="2" t="str">
        <f t="shared" si="1"/>
        <v/>
      </c>
    </row>
    <row r="780">
      <c r="A780" s="3"/>
      <c r="B780" s="3"/>
      <c r="C780" s="3"/>
      <c r="D780" s="2" t="str">
        <f t="shared" si="4"/>
        <v/>
      </c>
      <c r="E780" s="2" t="str">
        <f t="shared" si="5"/>
        <v/>
      </c>
      <c r="F780" s="2" t="str">
        <f t="shared" si="1"/>
        <v/>
      </c>
    </row>
    <row r="781">
      <c r="A781" s="3"/>
      <c r="B781" s="3"/>
      <c r="C781" s="3"/>
      <c r="D781" s="2" t="str">
        <f t="shared" si="4"/>
        <v/>
      </c>
      <c r="E781" s="2" t="str">
        <f t="shared" si="5"/>
        <v/>
      </c>
      <c r="F781" s="2" t="str">
        <f t="shared" si="1"/>
        <v/>
      </c>
    </row>
    <row r="782">
      <c r="A782" s="3"/>
      <c r="B782" s="3"/>
      <c r="C782" s="3"/>
      <c r="D782" s="2" t="str">
        <f t="shared" si="4"/>
        <v/>
      </c>
      <c r="E782" s="2" t="str">
        <f t="shared" si="5"/>
        <v/>
      </c>
      <c r="F782" s="2" t="str">
        <f t="shared" si="1"/>
        <v/>
      </c>
    </row>
    <row r="783">
      <c r="A783" s="3"/>
      <c r="B783" s="3"/>
      <c r="C783" s="3"/>
      <c r="D783" s="2" t="str">
        <f t="shared" si="4"/>
        <v/>
      </c>
      <c r="E783" s="2" t="str">
        <f t="shared" si="5"/>
        <v/>
      </c>
      <c r="F783" s="2" t="str">
        <f t="shared" si="1"/>
        <v/>
      </c>
    </row>
    <row r="784">
      <c r="A784" s="3"/>
      <c r="B784" s="3"/>
      <c r="C784" s="3"/>
      <c r="D784" s="2" t="str">
        <f t="shared" si="4"/>
        <v/>
      </c>
      <c r="E784" s="2" t="str">
        <f t="shared" si="5"/>
        <v/>
      </c>
      <c r="F784" s="2" t="str">
        <f t="shared" si="1"/>
        <v/>
      </c>
    </row>
    <row r="785">
      <c r="A785" s="3"/>
      <c r="B785" s="3"/>
      <c r="C785" s="3"/>
      <c r="D785" s="2" t="str">
        <f t="shared" si="4"/>
        <v/>
      </c>
      <c r="E785" s="2" t="str">
        <f t="shared" si="5"/>
        <v/>
      </c>
      <c r="F785" s="2" t="str">
        <f t="shared" si="1"/>
        <v/>
      </c>
    </row>
    <row r="786">
      <c r="A786" s="3"/>
      <c r="B786" s="3"/>
      <c r="C786" s="3"/>
      <c r="D786" s="2" t="str">
        <f t="shared" si="4"/>
        <v/>
      </c>
      <c r="E786" s="2" t="str">
        <f t="shared" si="5"/>
        <v/>
      </c>
      <c r="F786" s="2" t="str">
        <f t="shared" si="1"/>
        <v/>
      </c>
    </row>
    <row r="787">
      <c r="A787" s="3"/>
      <c r="B787" s="3"/>
      <c r="C787" s="3"/>
      <c r="D787" s="2" t="str">
        <f t="shared" si="4"/>
        <v/>
      </c>
      <c r="E787" s="2" t="str">
        <f t="shared" si="5"/>
        <v/>
      </c>
      <c r="F787" s="2" t="str">
        <f t="shared" si="1"/>
        <v/>
      </c>
    </row>
    <row r="788">
      <c r="A788" s="3"/>
      <c r="B788" s="3"/>
      <c r="C788" s="3"/>
      <c r="D788" s="2" t="str">
        <f t="shared" si="4"/>
        <v/>
      </c>
      <c r="E788" s="2" t="str">
        <f t="shared" si="5"/>
        <v/>
      </c>
      <c r="F788" s="2" t="str">
        <f t="shared" si="1"/>
        <v/>
      </c>
    </row>
    <row r="789">
      <c r="A789" s="3"/>
      <c r="B789" s="3"/>
      <c r="C789" s="3"/>
      <c r="D789" s="2" t="str">
        <f t="shared" si="4"/>
        <v/>
      </c>
      <c r="E789" s="2" t="str">
        <f t="shared" si="5"/>
        <v/>
      </c>
      <c r="F789" s="2" t="str">
        <f t="shared" si="1"/>
        <v/>
      </c>
    </row>
    <row r="790">
      <c r="A790" s="3"/>
      <c r="B790" s="3"/>
      <c r="C790" s="3"/>
      <c r="D790" s="2" t="str">
        <f t="shared" si="4"/>
        <v/>
      </c>
      <c r="E790" s="2" t="str">
        <f t="shared" si="5"/>
        <v/>
      </c>
      <c r="F790" s="2" t="str">
        <f t="shared" si="1"/>
        <v/>
      </c>
    </row>
    <row r="791">
      <c r="A791" s="3"/>
      <c r="B791" s="3"/>
      <c r="C791" s="3"/>
      <c r="D791" s="2" t="str">
        <f t="shared" si="4"/>
        <v/>
      </c>
      <c r="E791" s="2" t="str">
        <f t="shared" si="5"/>
        <v/>
      </c>
      <c r="F791" s="2" t="str">
        <f t="shared" si="1"/>
        <v/>
      </c>
    </row>
    <row r="792">
      <c r="A792" s="3"/>
      <c r="B792" s="3"/>
      <c r="C792" s="3"/>
      <c r="D792" s="2" t="str">
        <f t="shared" si="4"/>
        <v/>
      </c>
      <c r="E792" s="2" t="str">
        <f t="shared" si="5"/>
        <v/>
      </c>
      <c r="F792" s="2" t="str">
        <f t="shared" si="1"/>
        <v/>
      </c>
    </row>
    <row r="793">
      <c r="A793" s="3"/>
      <c r="B793" s="3"/>
      <c r="C793" s="3"/>
      <c r="D793" s="2" t="str">
        <f t="shared" si="4"/>
        <v/>
      </c>
      <c r="E793" s="2" t="str">
        <f t="shared" si="5"/>
        <v/>
      </c>
      <c r="F793" s="2" t="str">
        <f t="shared" si="1"/>
        <v/>
      </c>
    </row>
    <row r="794">
      <c r="A794" s="3"/>
      <c r="B794" s="3"/>
      <c r="C794" s="3"/>
      <c r="D794" s="2" t="str">
        <f t="shared" si="4"/>
        <v/>
      </c>
      <c r="E794" s="2" t="str">
        <f t="shared" si="5"/>
        <v/>
      </c>
      <c r="F794" s="2" t="str">
        <f t="shared" si="1"/>
        <v/>
      </c>
    </row>
    <row r="795">
      <c r="A795" s="3"/>
      <c r="B795" s="3"/>
      <c r="C795" s="3"/>
      <c r="D795" s="2" t="str">
        <f t="shared" si="4"/>
        <v/>
      </c>
      <c r="E795" s="2" t="str">
        <f t="shared" si="5"/>
        <v/>
      </c>
      <c r="F795" s="2" t="str">
        <f t="shared" si="1"/>
        <v/>
      </c>
    </row>
    <row r="796">
      <c r="A796" s="3"/>
      <c r="B796" s="3"/>
      <c r="C796" s="3"/>
      <c r="D796" s="2" t="str">
        <f t="shared" si="4"/>
        <v/>
      </c>
      <c r="E796" s="2" t="str">
        <f t="shared" si="5"/>
        <v/>
      </c>
      <c r="F796" s="2" t="str">
        <f t="shared" si="1"/>
        <v/>
      </c>
    </row>
    <row r="797">
      <c r="A797" s="3"/>
      <c r="B797" s="3"/>
      <c r="C797" s="3"/>
      <c r="D797" s="2" t="str">
        <f t="shared" si="4"/>
        <v/>
      </c>
      <c r="E797" s="2" t="str">
        <f t="shared" si="5"/>
        <v/>
      </c>
      <c r="F797" s="2" t="str">
        <f t="shared" si="1"/>
        <v/>
      </c>
    </row>
    <row r="798">
      <c r="A798" s="3"/>
      <c r="B798" s="3"/>
      <c r="C798" s="3"/>
      <c r="D798" s="2" t="str">
        <f t="shared" si="4"/>
        <v/>
      </c>
      <c r="E798" s="2" t="str">
        <f t="shared" si="5"/>
        <v/>
      </c>
      <c r="F798" s="2" t="str">
        <f t="shared" si="1"/>
        <v/>
      </c>
    </row>
    <row r="799">
      <c r="A799" s="3"/>
      <c r="B799" s="3"/>
      <c r="C799" s="3"/>
      <c r="D799" s="2" t="str">
        <f t="shared" si="4"/>
        <v/>
      </c>
      <c r="E799" s="2" t="str">
        <f t="shared" si="5"/>
        <v/>
      </c>
      <c r="F799" s="2" t="str">
        <f t="shared" si="1"/>
        <v/>
      </c>
    </row>
    <row r="800">
      <c r="A800" s="3"/>
      <c r="B800" s="3"/>
      <c r="C800" s="3"/>
      <c r="D800" s="2" t="str">
        <f t="shared" si="4"/>
        <v/>
      </c>
      <c r="E800" s="2" t="str">
        <f t="shared" si="5"/>
        <v/>
      </c>
      <c r="F800" s="2" t="str">
        <f t="shared" si="1"/>
        <v/>
      </c>
    </row>
    <row r="801">
      <c r="A801" s="3"/>
      <c r="B801" s="3"/>
      <c r="C801" s="3"/>
      <c r="D801" s="2" t="str">
        <f t="shared" si="4"/>
        <v/>
      </c>
      <c r="E801" s="2" t="str">
        <f t="shared" si="5"/>
        <v/>
      </c>
      <c r="F801" s="2" t="str">
        <f t="shared" si="1"/>
        <v/>
      </c>
    </row>
    <row r="802">
      <c r="A802" s="3"/>
      <c r="B802" s="3"/>
      <c r="C802" s="3"/>
      <c r="D802" s="2" t="str">
        <f t="shared" si="4"/>
        <v/>
      </c>
      <c r="E802" s="2" t="str">
        <f t="shared" si="5"/>
        <v/>
      </c>
      <c r="F802" s="2" t="str">
        <f t="shared" si="1"/>
        <v/>
      </c>
    </row>
    <row r="803">
      <c r="A803" s="3"/>
      <c r="B803" s="3"/>
      <c r="C803" s="3"/>
      <c r="D803" s="2" t="str">
        <f t="shared" si="4"/>
        <v/>
      </c>
      <c r="E803" s="2" t="str">
        <f t="shared" si="5"/>
        <v/>
      </c>
      <c r="F803" s="2" t="str">
        <f t="shared" si="1"/>
        <v/>
      </c>
    </row>
    <row r="804">
      <c r="A804" s="3"/>
      <c r="B804" s="3"/>
      <c r="C804" s="3"/>
      <c r="D804" s="2" t="str">
        <f t="shared" si="4"/>
        <v/>
      </c>
      <c r="E804" s="2" t="str">
        <f t="shared" si="5"/>
        <v/>
      </c>
      <c r="F804" s="2" t="str">
        <f t="shared" si="1"/>
        <v/>
      </c>
    </row>
    <row r="805">
      <c r="A805" s="3"/>
      <c r="B805" s="3"/>
      <c r="C805" s="3"/>
      <c r="D805" s="2" t="str">
        <f t="shared" si="4"/>
        <v/>
      </c>
      <c r="E805" s="2" t="str">
        <f t="shared" si="5"/>
        <v/>
      </c>
      <c r="F805" s="2" t="str">
        <f t="shared" si="1"/>
        <v/>
      </c>
    </row>
    <row r="806">
      <c r="A806" s="3"/>
      <c r="B806" s="3"/>
      <c r="C806" s="3"/>
      <c r="D806" s="2" t="str">
        <f t="shared" si="4"/>
        <v/>
      </c>
      <c r="E806" s="2" t="str">
        <f t="shared" si="5"/>
        <v/>
      </c>
      <c r="F806" s="2" t="str">
        <f t="shared" si="1"/>
        <v/>
      </c>
    </row>
    <row r="807">
      <c r="A807" s="3"/>
      <c r="B807" s="3"/>
      <c r="C807" s="3"/>
      <c r="D807" s="2" t="str">
        <f t="shared" si="4"/>
        <v/>
      </c>
      <c r="E807" s="2" t="str">
        <f t="shared" si="5"/>
        <v/>
      </c>
      <c r="F807" s="2" t="str">
        <f t="shared" si="1"/>
        <v/>
      </c>
    </row>
    <row r="808">
      <c r="A808" s="3"/>
      <c r="B808" s="3"/>
      <c r="C808" s="3"/>
      <c r="D808" s="2" t="str">
        <f t="shared" si="4"/>
        <v/>
      </c>
      <c r="E808" s="2" t="str">
        <f t="shared" si="5"/>
        <v/>
      </c>
      <c r="F808" s="2" t="str">
        <f t="shared" si="1"/>
        <v/>
      </c>
    </row>
    <row r="809">
      <c r="A809" s="3"/>
      <c r="B809" s="3"/>
      <c r="C809" s="3"/>
      <c r="D809" s="2" t="str">
        <f t="shared" si="4"/>
        <v/>
      </c>
      <c r="E809" s="2" t="str">
        <f t="shared" si="5"/>
        <v/>
      </c>
      <c r="F809" s="2" t="str">
        <f t="shared" si="1"/>
        <v/>
      </c>
    </row>
    <row r="810">
      <c r="A810" s="3"/>
      <c r="B810" s="3"/>
      <c r="C810" s="3"/>
      <c r="D810" s="2" t="str">
        <f t="shared" si="4"/>
        <v/>
      </c>
      <c r="E810" s="2" t="str">
        <f t="shared" si="5"/>
        <v/>
      </c>
      <c r="F810" s="2" t="str">
        <f t="shared" si="1"/>
        <v/>
      </c>
    </row>
    <row r="811">
      <c r="A811" s="3"/>
      <c r="B811" s="3"/>
      <c r="C811" s="3"/>
      <c r="D811" s="2" t="str">
        <f t="shared" si="4"/>
        <v/>
      </c>
      <c r="E811" s="2" t="str">
        <f t="shared" si="5"/>
        <v/>
      </c>
      <c r="F811" s="2" t="str">
        <f t="shared" si="1"/>
        <v/>
      </c>
    </row>
    <row r="812">
      <c r="A812" s="3"/>
      <c r="B812" s="3"/>
      <c r="C812" s="3"/>
      <c r="D812" s="2" t="str">
        <f t="shared" si="4"/>
        <v/>
      </c>
      <c r="E812" s="2" t="str">
        <f t="shared" si="5"/>
        <v/>
      </c>
      <c r="F812" s="2" t="str">
        <f t="shared" si="1"/>
        <v/>
      </c>
    </row>
    <row r="813">
      <c r="A813" s="3"/>
      <c r="B813" s="3"/>
      <c r="C813" s="3"/>
      <c r="D813" s="2" t="str">
        <f t="shared" si="4"/>
        <v/>
      </c>
      <c r="E813" s="2" t="str">
        <f t="shared" si="5"/>
        <v/>
      </c>
      <c r="F813" s="2" t="str">
        <f t="shared" si="1"/>
        <v/>
      </c>
    </row>
    <row r="814">
      <c r="A814" s="3"/>
      <c r="B814" s="3"/>
      <c r="C814" s="3"/>
      <c r="D814" s="2" t="str">
        <f t="shared" si="4"/>
        <v/>
      </c>
      <c r="E814" s="2" t="str">
        <f t="shared" si="5"/>
        <v/>
      </c>
      <c r="F814" s="2" t="str">
        <f t="shared" si="1"/>
        <v/>
      </c>
    </row>
    <row r="815">
      <c r="A815" s="3"/>
      <c r="B815" s="3"/>
      <c r="C815" s="3"/>
      <c r="D815" s="2" t="str">
        <f t="shared" si="4"/>
        <v/>
      </c>
      <c r="E815" s="2" t="str">
        <f t="shared" si="5"/>
        <v/>
      </c>
      <c r="F815" s="2" t="str">
        <f t="shared" si="1"/>
        <v/>
      </c>
    </row>
    <row r="816">
      <c r="A816" s="3"/>
      <c r="B816" s="3"/>
      <c r="C816" s="3"/>
      <c r="D816" s="2" t="str">
        <f t="shared" si="4"/>
        <v/>
      </c>
      <c r="E816" s="2" t="str">
        <f t="shared" si="5"/>
        <v/>
      </c>
      <c r="F816" s="2" t="str">
        <f t="shared" si="1"/>
        <v/>
      </c>
    </row>
    <row r="817">
      <c r="A817" s="3"/>
      <c r="B817" s="3"/>
      <c r="C817" s="3"/>
      <c r="D817" s="2" t="str">
        <f t="shared" si="4"/>
        <v/>
      </c>
      <c r="E817" s="2" t="str">
        <f t="shared" si="5"/>
        <v/>
      </c>
      <c r="F817" s="2" t="str">
        <f t="shared" si="1"/>
        <v/>
      </c>
    </row>
    <row r="818">
      <c r="A818" s="3"/>
      <c r="B818" s="3"/>
      <c r="C818" s="3"/>
      <c r="D818" s="2" t="str">
        <f t="shared" si="4"/>
        <v/>
      </c>
      <c r="E818" s="2" t="str">
        <f t="shared" si="5"/>
        <v/>
      </c>
      <c r="F818" s="2" t="str">
        <f t="shared" si="1"/>
        <v/>
      </c>
    </row>
    <row r="819">
      <c r="A819" s="3"/>
      <c r="B819" s="3"/>
      <c r="C819" s="3"/>
      <c r="D819" s="2" t="str">
        <f t="shared" si="4"/>
        <v/>
      </c>
      <c r="E819" s="2" t="str">
        <f t="shared" si="5"/>
        <v/>
      </c>
      <c r="F819" s="2" t="str">
        <f t="shared" si="1"/>
        <v/>
      </c>
    </row>
    <row r="820">
      <c r="A820" s="3"/>
      <c r="B820" s="3"/>
      <c r="C820" s="3"/>
      <c r="D820" s="2" t="str">
        <f t="shared" si="4"/>
        <v/>
      </c>
      <c r="E820" s="2" t="str">
        <f t="shared" si="5"/>
        <v/>
      </c>
      <c r="F820" s="2" t="str">
        <f t="shared" si="1"/>
        <v/>
      </c>
    </row>
    <row r="821">
      <c r="A821" s="3"/>
      <c r="B821" s="3"/>
      <c r="C821" s="3"/>
      <c r="D821" s="2" t="str">
        <f t="shared" si="4"/>
        <v/>
      </c>
      <c r="E821" s="2" t="str">
        <f t="shared" si="5"/>
        <v/>
      </c>
      <c r="F821" s="2" t="str">
        <f t="shared" si="1"/>
        <v/>
      </c>
    </row>
    <row r="822">
      <c r="A822" s="3"/>
      <c r="B822" s="3"/>
      <c r="C822" s="3"/>
      <c r="D822" s="2" t="str">
        <f t="shared" si="4"/>
        <v/>
      </c>
      <c r="E822" s="2" t="str">
        <f t="shared" si="5"/>
        <v/>
      </c>
      <c r="F822" s="2" t="str">
        <f t="shared" si="1"/>
        <v/>
      </c>
    </row>
    <row r="823">
      <c r="A823" s="3"/>
      <c r="B823" s="3"/>
      <c r="C823" s="3"/>
      <c r="D823" s="2" t="str">
        <f t="shared" si="4"/>
        <v/>
      </c>
      <c r="E823" s="2" t="str">
        <f t="shared" si="5"/>
        <v/>
      </c>
      <c r="F823" s="2" t="str">
        <f t="shared" si="1"/>
        <v/>
      </c>
    </row>
    <row r="824">
      <c r="A824" s="3"/>
      <c r="B824" s="3"/>
      <c r="C824" s="3"/>
      <c r="D824" s="2" t="str">
        <f t="shared" si="4"/>
        <v/>
      </c>
      <c r="E824" s="2" t="str">
        <f t="shared" si="5"/>
        <v/>
      </c>
      <c r="F824" s="2" t="str">
        <f t="shared" si="1"/>
        <v/>
      </c>
    </row>
    <row r="825">
      <c r="A825" s="3"/>
      <c r="B825" s="3"/>
      <c r="C825" s="3"/>
      <c r="D825" s="2" t="str">
        <f t="shared" si="4"/>
        <v/>
      </c>
      <c r="E825" s="2" t="str">
        <f t="shared" si="5"/>
        <v/>
      </c>
      <c r="F825" s="2" t="str">
        <f t="shared" si="1"/>
        <v/>
      </c>
    </row>
    <row r="826">
      <c r="A826" s="3"/>
      <c r="B826" s="3"/>
      <c r="C826" s="3"/>
      <c r="D826" s="2" t="str">
        <f t="shared" si="4"/>
        <v/>
      </c>
      <c r="E826" s="2" t="str">
        <f t="shared" si="5"/>
        <v/>
      </c>
      <c r="F826" s="2" t="str">
        <f t="shared" si="1"/>
        <v/>
      </c>
    </row>
    <row r="827">
      <c r="A827" s="3"/>
      <c r="B827" s="3"/>
      <c r="C827" s="3"/>
      <c r="D827" s="2" t="str">
        <f t="shared" si="4"/>
        <v/>
      </c>
      <c r="E827" s="2" t="str">
        <f t="shared" si="5"/>
        <v/>
      </c>
      <c r="F827" s="2" t="str">
        <f t="shared" si="1"/>
        <v/>
      </c>
    </row>
    <row r="828">
      <c r="A828" s="3"/>
      <c r="B828" s="3"/>
      <c r="C828" s="3"/>
      <c r="D828" s="2" t="str">
        <f t="shared" si="4"/>
        <v/>
      </c>
      <c r="E828" s="2" t="str">
        <f t="shared" si="5"/>
        <v/>
      </c>
      <c r="F828" s="2" t="str">
        <f t="shared" si="1"/>
        <v/>
      </c>
    </row>
    <row r="829">
      <c r="A829" s="3"/>
      <c r="B829" s="3"/>
      <c r="C829" s="3"/>
      <c r="D829" s="2" t="str">
        <f t="shared" si="4"/>
        <v/>
      </c>
      <c r="E829" s="2" t="str">
        <f t="shared" si="5"/>
        <v/>
      </c>
      <c r="F829" s="2" t="str">
        <f t="shared" si="1"/>
        <v/>
      </c>
    </row>
    <row r="830">
      <c r="A830" s="3"/>
      <c r="B830" s="3"/>
      <c r="C830" s="3"/>
      <c r="D830" s="2" t="str">
        <f t="shared" si="4"/>
        <v/>
      </c>
      <c r="E830" s="2" t="str">
        <f t="shared" si="5"/>
        <v/>
      </c>
      <c r="F830" s="2" t="str">
        <f t="shared" si="1"/>
        <v/>
      </c>
    </row>
    <row r="831">
      <c r="A831" s="3"/>
      <c r="B831" s="3"/>
      <c r="C831" s="3"/>
      <c r="D831" s="2" t="str">
        <f t="shared" si="4"/>
        <v/>
      </c>
      <c r="E831" s="2" t="str">
        <f t="shared" si="5"/>
        <v/>
      </c>
      <c r="F831" s="2" t="str">
        <f t="shared" si="1"/>
        <v/>
      </c>
    </row>
    <row r="832">
      <c r="A832" s="3"/>
      <c r="B832" s="3"/>
      <c r="C832" s="3"/>
      <c r="D832" s="2" t="str">
        <f t="shared" si="4"/>
        <v/>
      </c>
      <c r="E832" s="2" t="str">
        <f t="shared" si="5"/>
        <v/>
      </c>
      <c r="F832" s="2" t="str">
        <f t="shared" si="1"/>
        <v/>
      </c>
    </row>
    <row r="833">
      <c r="A833" s="3"/>
      <c r="B833" s="3"/>
      <c r="C833" s="3"/>
      <c r="D833" s="2" t="str">
        <f t="shared" si="4"/>
        <v/>
      </c>
      <c r="E833" s="2" t="str">
        <f t="shared" si="5"/>
        <v/>
      </c>
      <c r="F833" s="2" t="str">
        <f t="shared" si="1"/>
        <v/>
      </c>
    </row>
    <row r="834">
      <c r="A834" s="3"/>
      <c r="B834" s="3"/>
      <c r="C834" s="3"/>
      <c r="D834" s="2" t="str">
        <f t="shared" si="4"/>
        <v/>
      </c>
      <c r="E834" s="2" t="str">
        <f t="shared" si="5"/>
        <v/>
      </c>
      <c r="F834" s="2" t="str">
        <f t="shared" si="1"/>
        <v/>
      </c>
    </row>
    <row r="835">
      <c r="A835" s="3"/>
      <c r="B835" s="3"/>
      <c r="C835" s="3"/>
      <c r="D835" s="2" t="str">
        <f t="shared" si="4"/>
        <v/>
      </c>
      <c r="E835" s="2" t="str">
        <f t="shared" si="5"/>
        <v/>
      </c>
      <c r="F835" s="2" t="str">
        <f t="shared" si="1"/>
        <v/>
      </c>
    </row>
    <row r="836">
      <c r="A836" s="3"/>
      <c r="B836" s="3"/>
      <c r="C836" s="3"/>
      <c r="D836" s="2" t="str">
        <f t="shared" si="4"/>
        <v/>
      </c>
      <c r="E836" s="2" t="str">
        <f t="shared" si="5"/>
        <v/>
      </c>
      <c r="F836" s="2" t="str">
        <f t="shared" si="1"/>
        <v/>
      </c>
    </row>
    <row r="837">
      <c r="A837" s="3"/>
      <c r="B837" s="3"/>
      <c r="C837" s="3"/>
      <c r="D837" s="2" t="str">
        <f t="shared" si="4"/>
        <v/>
      </c>
      <c r="E837" s="2" t="str">
        <f t="shared" si="5"/>
        <v/>
      </c>
      <c r="F837" s="2" t="str">
        <f t="shared" si="1"/>
        <v/>
      </c>
    </row>
    <row r="838">
      <c r="A838" s="3"/>
      <c r="B838" s="3"/>
      <c r="C838" s="3"/>
      <c r="D838" s="2" t="str">
        <f t="shared" si="4"/>
        <v/>
      </c>
      <c r="E838" s="2" t="str">
        <f t="shared" si="5"/>
        <v/>
      </c>
      <c r="F838" s="2" t="str">
        <f t="shared" si="1"/>
        <v/>
      </c>
    </row>
    <row r="839">
      <c r="A839" s="3"/>
      <c r="B839" s="3"/>
      <c r="C839" s="3"/>
      <c r="D839" s="2" t="str">
        <f t="shared" si="4"/>
        <v/>
      </c>
      <c r="E839" s="2" t="str">
        <f t="shared" si="5"/>
        <v/>
      </c>
      <c r="F839" s="2" t="str">
        <f t="shared" si="1"/>
        <v/>
      </c>
    </row>
    <row r="840">
      <c r="A840" s="3"/>
      <c r="B840" s="3"/>
      <c r="C840" s="3"/>
      <c r="D840" s="2" t="str">
        <f t="shared" si="4"/>
        <v/>
      </c>
      <c r="E840" s="2" t="str">
        <f t="shared" si="5"/>
        <v/>
      </c>
      <c r="F840" s="2" t="str">
        <f t="shared" si="1"/>
        <v/>
      </c>
    </row>
    <row r="841">
      <c r="A841" s="3"/>
      <c r="B841" s="3"/>
      <c r="C841" s="3"/>
      <c r="D841" s="2" t="str">
        <f t="shared" si="4"/>
        <v/>
      </c>
      <c r="E841" s="2" t="str">
        <f t="shared" si="5"/>
        <v/>
      </c>
      <c r="F841" s="2" t="str">
        <f t="shared" si="1"/>
        <v/>
      </c>
    </row>
    <row r="842">
      <c r="A842" s="3"/>
      <c r="B842" s="3"/>
      <c r="C842" s="3"/>
      <c r="D842" s="2" t="str">
        <f t="shared" si="4"/>
        <v/>
      </c>
      <c r="E842" s="2" t="str">
        <f t="shared" si="5"/>
        <v/>
      </c>
      <c r="F842" s="2" t="str">
        <f t="shared" si="1"/>
        <v/>
      </c>
    </row>
    <row r="843">
      <c r="A843" s="3"/>
      <c r="B843" s="3"/>
      <c r="C843" s="3"/>
      <c r="D843" s="2" t="str">
        <f t="shared" si="4"/>
        <v/>
      </c>
      <c r="E843" s="2" t="str">
        <f t="shared" si="5"/>
        <v/>
      </c>
      <c r="F843" s="2" t="str">
        <f t="shared" si="1"/>
        <v/>
      </c>
    </row>
    <row r="844">
      <c r="A844" s="3"/>
      <c r="B844" s="3"/>
      <c r="C844" s="3"/>
      <c r="D844" s="2" t="str">
        <f t="shared" si="4"/>
        <v/>
      </c>
      <c r="E844" s="2" t="str">
        <f t="shared" si="5"/>
        <v/>
      </c>
      <c r="F844" s="2" t="str">
        <f t="shared" si="1"/>
        <v/>
      </c>
    </row>
    <row r="845">
      <c r="A845" s="3"/>
      <c r="B845" s="3"/>
      <c r="C845" s="3"/>
      <c r="D845" s="2" t="str">
        <f t="shared" si="4"/>
        <v/>
      </c>
      <c r="E845" s="2" t="str">
        <f t="shared" si="5"/>
        <v/>
      </c>
      <c r="F845" s="2" t="str">
        <f t="shared" si="1"/>
        <v/>
      </c>
    </row>
    <row r="846">
      <c r="A846" s="3"/>
      <c r="B846" s="3"/>
      <c r="C846" s="3"/>
      <c r="D846" s="2" t="str">
        <f t="shared" si="4"/>
        <v/>
      </c>
      <c r="E846" s="2" t="str">
        <f t="shared" si="5"/>
        <v/>
      </c>
      <c r="F846" s="2" t="str">
        <f t="shared" si="1"/>
        <v/>
      </c>
    </row>
    <row r="847">
      <c r="A847" s="3"/>
      <c r="B847" s="3"/>
      <c r="C847" s="3"/>
      <c r="D847" s="2" t="str">
        <f t="shared" si="4"/>
        <v/>
      </c>
      <c r="E847" s="2" t="str">
        <f t="shared" si="5"/>
        <v/>
      </c>
      <c r="F847" s="2" t="str">
        <f t="shared" si="1"/>
        <v/>
      </c>
    </row>
    <row r="848">
      <c r="A848" s="3"/>
      <c r="B848" s="3"/>
      <c r="C848" s="3"/>
      <c r="D848" s="2" t="str">
        <f t="shared" si="4"/>
        <v/>
      </c>
      <c r="E848" s="2" t="str">
        <f t="shared" si="5"/>
        <v/>
      </c>
      <c r="F848" s="2" t="str">
        <f t="shared" si="1"/>
        <v/>
      </c>
    </row>
    <row r="849">
      <c r="A849" s="3"/>
      <c r="B849" s="3"/>
      <c r="C849" s="3"/>
      <c r="D849" s="2" t="str">
        <f t="shared" si="4"/>
        <v/>
      </c>
      <c r="E849" s="2" t="str">
        <f t="shared" si="5"/>
        <v/>
      </c>
      <c r="F849" s="2" t="str">
        <f t="shared" si="1"/>
        <v/>
      </c>
    </row>
    <row r="850">
      <c r="A850" s="3"/>
      <c r="B850" s="3"/>
      <c r="C850" s="3"/>
      <c r="D850" s="2" t="str">
        <f t="shared" si="4"/>
        <v/>
      </c>
      <c r="E850" s="2" t="str">
        <f t="shared" si="5"/>
        <v/>
      </c>
      <c r="F850" s="2" t="str">
        <f t="shared" si="1"/>
        <v/>
      </c>
    </row>
    <row r="851">
      <c r="A851" s="3"/>
      <c r="B851" s="3"/>
      <c r="C851" s="3"/>
      <c r="D851" s="2" t="str">
        <f t="shared" si="4"/>
        <v/>
      </c>
      <c r="E851" s="2" t="str">
        <f t="shared" si="5"/>
        <v/>
      </c>
      <c r="F851" s="2" t="str">
        <f t="shared" si="1"/>
        <v/>
      </c>
    </row>
    <row r="852">
      <c r="A852" s="3"/>
      <c r="B852" s="3"/>
      <c r="C852" s="3"/>
      <c r="D852" s="2" t="str">
        <f t="shared" si="4"/>
        <v/>
      </c>
      <c r="E852" s="2" t="str">
        <f t="shared" si="5"/>
        <v/>
      </c>
      <c r="F852" s="2" t="str">
        <f t="shared" si="1"/>
        <v/>
      </c>
    </row>
    <row r="853">
      <c r="A853" s="3"/>
      <c r="B853" s="3"/>
      <c r="C853" s="3"/>
      <c r="D853" s="2" t="str">
        <f t="shared" si="4"/>
        <v/>
      </c>
      <c r="E853" s="2" t="str">
        <f t="shared" si="5"/>
        <v/>
      </c>
      <c r="F853" s="2" t="str">
        <f t="shared" si="1"/>
        <v/>
      </c>
    </row>
    <row r="854">
      <c r="A854" s="3"/>
      <c r="B854" s="3"/>
      <c r="C854" s="3"/>
      <c r="D854" s="2" t="str">
        <f t="shared" si="4"/>
        <v/>
      </c>
      <c r="E854" s="2" t="str">
        <f t="shared" si="5"/>
        <v/>
      </c>
      <c r="F854" s="2" t="str">
        <f t="shared" si="1"/>
        <v/>
      </c>
    </row>
    <row r="855">
      <c r="A855" s="3"/>
      <c r="B855" s="3"/>
      <c r="C855" s="3"/>
      <c r="D855" s="2" t="str">
        <f t="shared" si="4"/>
        <v/>
      </c>
      <c r="E855" s="2" t="str">
        <f t="shared" si="5"/>
        <v/>
      </c>
      <c r="F855" s="2" t="str">
        <f t="shared" si="1"/>
        <v/>
      </c>
    </row>
    <row r="856">
      <c r="A856" s="3"/>
      <c r="B856" s="3"/>
      <c r="C856" s="3"/>
      <c r="D856" s="2" t="str">
        <f t="shared" si="4"/>
        <v/>
      </c>
      <c r="E856" s="2" t="str">
        <f t="shared" si="5"/>
        <v/>
      </c>
      <c r="F856" s="2" t="str">
        <f t="shared" si="1"/>
        <v/>
      </c>
    </row>
    <row r="857">
      <c r="A857" s="3"/>
      <c r="B857" s="3"/>
      <c r="C857" s="3"/>
      <c r="D857" s="2" t="str">
        <f t="shared" si="4"/>
        <v/>
      </c>
      <c r="E857" s="2" t="str">
        <f t="shared" si="5"/>
        <v/>
      </c>
      <c r="F857" s="2" t="str">
        <f t="shared" si="1"/>
        <v/>
      </c>
    </row>
    <row r="858">
      <c r="A858" s="3"/>
      <c r="B858" s="3"/>
      <c r="C858" s="3"/>
      <c r="D858" s="2" t="str">
        <f t="shared" si="4"/>
        <v/>
      </c>
      <c r="E858" s="2" t="str">
        <f t="shared" si="5"/>
        <v/>
      </c>
      <c r="F858" s="2" t="str">
        <f t="shared" si="1"/>
        <v/>
      </c>
    </row>
    <row r="859">
      <c r="A859" s="3"/>
      <c r="B859" s="3"/>
      <c r="C859" s="3"/>
      <c r="D859" s="2" t="str">
        <f t="shared" si="4"/>
        <v/>
      </c>
      <c r="E859" s="2" t="str">
        <f t="shared" si="5"/>
        <v/>
      </c>
      <c r="F859" s="2" t="str">
        <f t="shared" si="1"/>
        <v/>
      </c>
    </row>
    <row r="860">
      <c r="A860" s="3"/>
      <c r="B860" s="3"/>
      <c r="C860" s="3"/>
      <c r="D860" s="2" t="str">
        <f t="shared" si="4"/>
        <v/>
      </c>
      <c r="E860" s="2" t="str">
        <f t="shared" si="5"/>
        <v/>
      </c>
      <c r="F860" s="2" t="str">
        <f t="shared" si="1"/>
        <v/>
      </c>
    </row>
    <row r="861">
      <c r="A861" s="3"/>
      <c r="B861" s="3"/>
      <c r="C861" s="3"/>
      <c r="D861" s="2" t="str">
        <f t="shared" si="4"/>
        <v/>
      </c>
      <c r="E861" s="2" t="str">
        <f t="shared" si="5"/>
        <v/>
      </c>
      <c r="F861" s="2" t="str">
        <f t="shared" si="1"/>
        <v/>
      </c>
    </row>
    <row r="862">
      <c r="A862" s="3"/>
      <c r="B862" s="3"/>
      <c r="C862" s="3"/>
      <c r="D862" s="2" t="str">
        <f t="shared" si="4"/>
        <v/>
      </c>
      <c r="E862" s="2" t="str">
        <f t="shared" si="5"/>
        <v/>
      </c>
      <c r="F862" s="2" t="str">
        <f t="shared" si="1"/>
        <v/>
      </c>
    </row>
    <row r="863">
      <c r="A863" s="3"/>
      <c r="B863" s="3"/>
      <c r="C863" s="3"/>
      <c r="D863" s="2" t="str">
        <f t="shared" si="4"/>
        <v/>
      </c>
      <c r="E863" s="2" t="str">
        <f t="shared" si="5"/>
        <v/>
      </c>
      <c r="F863" s="2" t="str">
        <f t="shared" si="1"/>
        <v/>
      </c>
    </row>
    <row r="864">
      <c r="A864" s="3"/>
      <c r="B864" s="3"/>
      <c r="C864" s="3"/>
      <c r="D864" s="2" t="str">
        <f t="shared" si="4"/>
        <v/>
      </c>
      <c r="E864" s="2" t="str">
        <f t="shared" si="5"/>
        <v/>
      </c>
      <c r="F864" s="2" t="str">
        <f t="shared" si="1"/>
        <v/>
      </c>
    </row>
    <row r="865">
      <c r="A865" s="3"/>
      <c r="B865" s="3"/>
      <c r="C865" s="3"/>
      <c r="D865" s="2" t="str">
        <f t="shared" si="4"/>
        <v/>
      </c>
      <c r="E865" s="2" t="str">
        <f t="shared" si="5"/>
        <v/>
      </c>
      <c r="F865" s="2" t="str">
        <f t="shared" si="1"/>
        <v/>
      </c>
    </row>
    <row r="866">
      <c r="A866" s="3"/>
      <c r="B866" s="3"/>
      <c r="C866" s="3"/>
      <c r="D866" s="2" t="str">
        <f t="shared" si="4"/>
        <v/>
      </c>
      <c r="E866" s="2" t="str">
        <f t="shared" si="5"/>
        <v/>
      </c>
      <c r="F866" s="2" t="str">
        <f t="shared" si="1"/>
        <v/>
      </c>
    </row>
    <row r="867">
      <c r="A867" s="3"/>
      <c r="B867" s="3"/>
      <c r="C867" s="3"/>
      <c r="D867" s="2" t="str">
        <f t="shared" si="4"/>
        <v/>
      </c>
      <c r="E867" s="2" t="str">
        <f t="shared" si="5"/>
        <v/>
      </c>
      <c r="F867" s="2" t="str">
        <f t="shared" si="1"/>
        <v/>
      </c>
    </row>
    <row r="868">
      <c r="A868" s="3"/>
      <c r="B868" s="3"/>
      <c r="C868" s="3"/>
      <c r="D868" s="2" t="str">
        <f t="shared" si="4"/>
        <v/>
      </c>
      <c r="E868" s="2" t="str">
        <f t="shared" si="5"/>
        <v/>
      </c>
      <c r="F868" s="2" t="str">
        <f t="shared" si="1"/>
        <v/>
      </c>
    </row>
    <row r="869">
      <c r="A869" s="3"/>
      <c r="B869" s="3"/>
      <c r="C869" s="3"/>
      <c r="D869" s="2" t="str">
        <f t="shared" si="4"/>
        <v/>
      </c>
      <c r="E869" s="2" t="str">
        <f t="shared" si="5"/>
        <v/>
      </c>
      <c r="F869" s="2" t="str">
        <f t="shared" si="1"/>
        <v/>
      </c>
    </row>
    <row r="870">
      <c r="A870" s="3"/>
      <c r="B870" s="3"/>
      <c r="C870" s="3"/>
      <c r="D870" s="2" t="str">
        <f t="shared" si="4"/>
        <v/>
      </c>
      <c r="E870" s="2" t="str">
        <f t="shared" si="5"/>
        <v/>
      </c>
      <c r="F870" s="2" t="str">
        <f t="shared" si="1"/>
        <v/>
      </c>
    </row>
    <row r="871">
      <c r="A871" s="3"/>
      <c r="B871" s="3"/>
      <c r="C871" s="3"/>
      <c r="D871" s="2" t="str">
        <f t="shared" si="4"/>
        <v/>
      </c>
      <c r="E871" s="2" t="str">
        <f t="shared" si="5"/>
        <v/>
      </c>
      <c r="F871" s="2" t="str">
        <f t="shared" si="1"/>
        <v/>
      </c>
    </row>
    <row r="872">
      <c r="A872" s="3"/>
      <c r="B872" s="3"/>
      <c r="C872" s="3"/>
      <c r="D872" s="2" t="str">
        <f t="shared" si="4"/>
        <v/>
      </c>
      <c r="E872" s="2" t="str">
        <f t="shared" si="5"/>
        <v/>
      </c>
      <c r="F872" s="2" t="str">
        <f t="shared" si="1"/>
        <v/>
      </c>
    </row>
    <row r="873">
      <c r="A873" s="3"/>
      <c r="B873" s="3"/>
      <c r="C873" s="3"/>
      <c r="D873" s="2" t="str">
        <f t="shared" si="4"/>
        <v/>
      </c>
      <c r="E873" s="2" t="str">
        <f t="shared" si="5"/>
        <v/>
      </c>
      <c r="F873" s="2" t="str">
        <f t="shared" si="1"/>
        <v/>
      </c>
    </row>
    <row r="874">
      <c r="A874" s="3"/>
      <c r="B874" s="3"/>
      <c r="C874" s="3"/>
      <c r="D874" s="2" t="str">
        <f t="shared" si="4"/>
        <v/>
      </c>
      <c r="E874" s="2" t="str">
        <f t="shared" si="5"/>
        <v/>
      </c>
      <c r="F874" s="2" t="str">
        <f t="shared" si="1"/>
        <v/>
      </c>
    </row>
    <row r="875">
      <c r="A875" s="3"/>
      <c r="B875" s="3"/>
      <c r="C875" s="3"/>
      <c r="D875" s="2" t="str">
        <f t="shared" si="4"/>
        <v/>
      </c>
      <c r="E875" s="2" t="str">
        <f t="shared" si="5"/>
        <v/>
      </c>
      <c r="F875" s="2" t="str">
        <f t="shared" si="1"/>
        <v/>
      </c>
    </row>
    <row r="876">
      <c r="A876" s="3"/>
      <c r="B876" s="3"/>
      <c r="C876" s="3"/>
      <c r="D876" s="2" t="str">
        <f t="shared" si="4"/>
        <v/>
      </c>
      <c r="E876" s="2" t="str">
        <f t="shared" si="5"/>
        <v/>
      </c>
      <c r="F876" s="2" t="str">
        <f t="shared" si="1"/>
        <v/>
      </c>
    </row>
    <row r="877">
      <c r="A877" s="3"/>
      <c r="B877" s="3"/>
      <c r="C877" s="3"/>
      <c r="D877" s="2" t="str">
        <f t="shared" si="4"/>
        <v/>
      </c>
      <c r="E877" s="2" t="str">
        <f t="shared" si="5"/>
        <v/>
      </c>
      <c r="F877" s="2" t="str">
        <f t="shared" si="1"/>
        <v/>
      </c>
    </row>
    <row r="878">
      <c r="A878" s="3"/>
      <c r="B878" s="3"/>
      <c r="C878" s="3"/>
      <c r="D878" s="2" t="str">
        <f t="shared" si="4"/>
        <v/>
      </c>
      <c r="E878" s="2" t="str">
        <f t="shared" si="5"/>
        <v/>
      </c>
      <c r="F878" s="2" t="str">
        <f t="shared" si="1"/>
        <v/>
      </c>
    </row>
    <row r="879">
      <c r="A879" s="3"/>
      <c r="B879" s="3"/>
      <c r="C879" s="3"/>
      <c r="D879" s="2" t="str">
        <f t="shared" si="4"/>
        <v/>
      </c>
      <c r="E879" s="2" t="str">
        <f t="shared" si="5"/>
        <v/>
      </c>
      <c r="F879" s="2" t="str">
        <f t="shared" si="1"/>
        <v/>
      </c>
    </row>
    <row r="880">
      <c r="A880" s="3"/>
      <c r="B880" s="3"/>
      <c r="C880" s="3"/>
      <c r="D880" s="2" t="str">
        <f t="shared" si="4"/>
        <v/>
      </c>
      <c r="E880" s="2" t="str">
        <f t="shared" si="5"/>
        <v/>
      </c>
      <c r="F880" s="2" t="str">
        <f t="shared" si="1"/>
        <v/>
      </c>
    </row>
    <row r="881">
      <c r="A881" s="3"/>
      <c r="B881" s="3"/>
      <c r="C881" s="3"/>
      <c r="D881" s="2" t="str">
        <f t="shared" si="4"/>
        <v/>
      </c>
      <c r="E881" s="2" t="str">
        <f t="shared" si="5"/>
        <v/>
      </c>
      <c r="F881" s="2" t="str">
        <f t="shared" si="1"/>
        <v/>
      </c>
    </row>
    <row r="882">
      <c r="A882" s="3"/>
      <c r="B882" s="3"/>
      <c r="C882" s="3"/>
      <c r="D882" s="2" t="str">
        <f t="shared" si="4"/>
        <v/>
      </c>
      <c r="E882" s="2" t="str">
        <f t="shared" si="5"/>
        <v/>
      </c>
      <c r="F882" s="2" t="str">
        <f t="shared" si="1"/>
        <v/>
      </c>
    </row>
    <row r="883">
      <c r="A883" s="3"/>
      <c r="B883" s="3"/>
      <c r="C883" s="3"/>
      <c r="D883" s="2" t="str">
        <f t="shared" si="4"/>
        <v/>
      </c>
      <c r="E883" s="2" t="str">
        <f t="shared" si="5"/>
        <v/>
      </c>
      <c r="F883" s="2" t="str">
        <f t="shared" si="1"/>
        <v/>
      </c>
    </row>
    <row r="884">
      <c r="A884" s="3"/>
      <c r="B884" s="3"/>
      <c r="C884" s="3"/>
      <c r="D884" s="2" t="str">
        <f t="shared" si="4"/>
        <v/>
      </c>
      <c r="E884" s="2" t="str">
        <f t="shared" si="5"/>
        <v/>
      </c>
      <c r="F884" s="2" t="str">
        <f t="shared" si="1"/>
        <v/>
      </c>
    </row>
    <row r="885">
      <c r="A885" s="3"/>
      <c r="B885" s="3"/>
      <c r="C885" s="3"/>
      <c r="D885" s="2" t="str">
        <f t="shared" si="4"/>
        <v/>
      </c>
      <c r="E885" s="2" t="str">
        <f t="shared" si="5"/>
        <v/>
      </c>
      <c r="F885" s="2" t="str">
        <f t="shared" si="1"/>
        <v/>
      </c>
    </row>
    <row r="886">
      <c r="A886" s="3"/>
      <c r="B886" s="3"/>
      <c r="C886" s="3"/>
      <c r="D886" s="2" t="str">
        <f t="shared" si="4"/>
        <v/>
      </c>
      <c r="E886" s="2" t="str">
        <f t="shared" si="5"/>
        <v/>
      </c>
      <c r="F886" s="2" t="str">
        <f t="shared" si="1"/>
        <v/>
      </c>
    </row>
    <row r="887">
      <c r="A887" s="3"/>
      <c r="B887" s="3"/>
      <c r="C887" s="3"/>
      <c r="D887" s="2" t="str">
        <f t="shared" si="4"/>
        <v/>
      </c>
      <c r="E887" s="2" t="str">
        <f t="shared" si="5"/>
        <v/>
      </c>
      <c r="F887" s="2" t="str">
        <f t="shared" si="1"/>
        <v/>
      </c>
    </row>
    <row r="888">
      <c r="A888" s="3"/>
      <c r="B888" s="3"/>
      <c r="C888" s="3"/>
      <c r="D888" s="2" t="str">
        <f t="shared" si="4"/>
        <v/>
      </c>
      <c r="E888" s="2" t="str">
        <f t="shared" si="5"/>
        <v/>
      </c>
      <c r="F888" s="2" t="str">
        <f t="shared" si="1"/>
        <v/>
      </c>
    </row>
    <row r="889">
      <c r="A889" s="3"/>
      <c r="B889" s="3"/>
      <c r="C889" s="3"/>
      <c r="D889" s="2" t="str">
        <f t="shared" si="4"/>
        <v/>
      </c>
      <c r="E889" s="2" t="str">
        <f t="shared" si="5"/>
        <v/>
      </c>
      <c r="F889" s="2" t="str">
        <f t="shared" si="1"/>
        <v/>
      </c>
    </row>
    <row r="890">
      <c r="A890" s="3"/>
      <c r="B890" s="3"/>
      <c r="C890" s="3"/>
      <c r="D890" s="2" t="str">
        <f t="shared" si="4"/>
        <v/>
      </c>
      <c r="E890" s="2" t="str">
        <f t="shared" si="5"/>
        <v/>
      </c>
      <c r="F890" s="2" t="str">
        <f t="shared" si="1"/>
        <v/>
      </c>
    </row>
    <row r="891">
      <c r="A891" s="3"/>
      <c r="B891" s="3"/>
      <c r="C891" s="3"/>
      <c r="D891" s="2" t="str">
        <f t="shared" si="4"/>
        <v/>
      </c>
      <c r="E891" s="2" t="str">
        <f t="shared" si="5"/>
        <v/>
      </c>
      <c r="F891" s="2" t="str">
        <f t="shared" si="1"/>
        <v/>
      </c>
    </row>
    <row r="892">
      <c r="A892" s="3"/>
      <c r="B892" s="3"/>
      <c r="C892" s="3"/>
      <c r="D892" s="2" t="str">
        <f t="shared" si="4"/>
        <v/>
      </c>
      <c r="E892" s="2" t="str">
        <f t="shared" si="5"/>
        <v/>
      </c>
      <c r="F892" s="2" t="str">
        <f t="shared" si="1"/>
        <v/>
      </c>
    </row>
    <row r="893">
      <c r="A893" s="3"/>
      <c r="B893" s="3"/>
      <c r="C893" s="3"/>
      <c r="D893" s="2" t="str">
        <f t="shared" si="4"/>
        <v/>
      </c>
      <c r="E893" s="2" t="str">
        <f t="shared" si="5"/>
        <v/>
      </c>
      <c r="F893" s="2" t="str">
        <f t="shared" si="1"/>
        <v/>
      </c>
    </row>
    <row r="894">
      <c r="A894" s="3"/>
      <c r="B894" s="3"/>
      <c r="C894" s="3"/>
      <c r="D894" s="2" t="str">
        <f t="shared" si="4"/>
        <v/>
      </c>
      <c r="E894" s="2" t="str">
        <f t="shared" si="5"/>
        <v/>
      </c>
      <c r="F894" s="2" t="str">
        <f t="shared" si="1"/>
        <v/>
      </c>
    </row>
    <row r="895">
      <c r="A895" s="3"/>
      <c r="B895" s="3"/>
      <c r="C895" s="3"/>
      <c r="D895" s="2" t="str">
        <f t="shared" si="4"/>
        <v/>
      </c>
      <c r="E895" s="2" t="str">
        <f t="shared" si="5"/>
        <v/>
      </c>
      <c r="F895" s="2" t="str">
        <f t="shared" si="1"/>
        <v/>
      </c>
    </row>
    <row r="896">
      <c r="A896" s="3"/>
      <c r="B896" s="3"/>
      <c r="C896" s="3"/>
      <c r="D896" s="2" t="str">
        <f t="shared" si="4"/>
        <v/>
      </c>
      <c r="E896" s="2" t="str">
        <f t="shared" si="5"/>
        <v/>
      </c>
      <c r="F896" s="2" t="str">
        <f t="shared" si="1"/>
        <v/>
      </c>
    </row>
    <row r="897">
      <c r="A897" s="3"/>
      <c r="B897" s="3"/>
      <c r="C897" s="3"/>
      <c r="D897" s="2" t="str">
        <f t="shared" si="4"/>
        <v/>
      </c>
      <c r="E897" s="2" t="str">
        <f t="shared" si="5"/>
        <v/>
      </c>
      <c r="F897" s="2" t="str">
        <f t="shared" si="1"/>
        <v/>
      </c>
    </row>
    <row r="898">
      <c r="A898" s="3"/>
      <c r="B898" s="3"/>
      <c r="C898" s="3"/>
      <c r="D898" s="2" t="str">
        <f t="shared" si="4"/>
        <v/>
      </c>
      <c r="E898" s="2" t="str">
        <f t="shared" si="5"/>
        <v/>
      </c>
      <c r="F898" s="2" t="str">
        <f t="shared" si="1"/>
        <v/>
      </c>
    </row>
    <row r="899">
      <c r="A899" s="3"/>
      <c r="B899" s="3"/>
      <c r="C899" s="3"/>
      <c r="D899" s="2" t="str">
        <f t="shared" si="4"/>
        <v/>
      </c>
      <c r="E899" s="2" t="str">
        <f t="shared" si="5"/>
        <v/>
      </c>
      <c r="F899" s="2" t="str">
        <f t="shared" si="1"/>
        <v/>
      </c>
    </row>
    <row r="900">
      <c r="A900" s="3"/>
      <c r="B900" s="3"/>
      <c r="C900" s="3"/>
      <c r="D900" s="2" t="str">
        <f t="shared" si="4"/>
        <v/>
      </c>
      <c r="E900" s="2" t="str">
        <f t="shared" si="5"/>
        <v/>
      </c>
      <c r="F900" s="2" t="str">
        <f t="shared" si="1"/>
        <v/>
      </c>
    </row>
    <row r="901">
      <c r="A901" s="3"/>
      <c r="B901" s="3"/>
      <c r="C901" s="3"/>
      <c r="D901" s="2" t="str">
        <f t="shared" si="4"/>
        <v/>
      </c>
      <c r="E901" s="2" t="str">
        <f t="shared" si="5"/>
        <v/>
      </c>
      <c r="F901" s="2" t="str">
        <f t="shared" si="1"/>
        <v/>
      </c>
    </row>
    <row r="902">
      <c r="A902" s="3"/>
      <c r="B902" s="3"/>
      <c r="C902" s="3"/>
      <c r="D902" s="2" t="str">
        <f t="shared" si="4"/>
        <v/>
      </c>
      <c r="E902" s="2" t="str">
        <f t="shared" si="5"/>
        <v/>
      </c>
      <c r="F902" s="2" t="str">
        <f t="shared" si="1"/>
        <v/>
      </c>
    </row>
    <row r="903">
      <c r="A903" s="3"/>
      <c r="B903" s="3"/>
      <c r="C903" s="3"/>
      <c r="D903" s="2" t="str">
        <f t="shared" si="4"/>
        <v/>
      </c>
      <c r="E903" s="2" t="str">
        <f t="shared" si="5"/>
        <v/>
      </c>
      <c r="F903" s="2" t="str">
        <f t="shared" si="1"/>
        <v/>
      </c>
    </row>
    <row r="904">
      <c r="A904" s="3"/>
      <c r="B904" s="3"/>
      <c r="C904" s="3"/>
      <c r="D904" s="2" t="str">
        <f t="shared" si="4"/>
        <v/>
      </c>
      <c r="E904" s="2" t="str">
        <f t="shared" si="5"/>
        <v/>
      </c>
      <c r="F904" s="2" t="str">
        <f t="shared" si="1"/>
        <v/>
      </c>
    </row>
    <row r="905">
      <c r="A905" s="3"/>
      <c r="B905" s="3"/>
      <c r="C905" s="3"/>
      <c r="D905" s="2" t="str">
        <f t="shared" si="4"/>
        <v/>
      </c>
      <c r="E905" s="2" t="str">
        <f t="shared" si="5"/>
        <v/>
      </c>
      <c r="F905" s="2" t="str">
        <f t="shared" si="1"/>
        <v/>
      </c>
    </row>
    <row r="906">
      <c r="A906" s="3"/>
      <c r="B906" s="3"/>
      <c r="C906" s="3"/>
      <c r="D906" s="2" t="str">
        <f t="shared" si="4"/>
        <v/>
      </c>
      <c r="E906" s="2" t="str">
        <f t="shared" si="5"/>
        <v/>
      </c>
      <c r="F906" s="2" t="str">
        <f t="shared" si="1"/>
        <v/>
      </c>
    </row>
    <row r="907">
      <c r="A907" s="3"/>
      <c r="B907" s="3"/>
      <c r="C907" s="3"/>
      <c r="D907" s="2" t="str">
        <f t="shared" si="4"/>
        <v/>
      </c>
      <c r="E907" s="2" t="str">
        <f t="shared" si="5"/>
        <v/>
      </c>
      <c r="F907" s="2" t="str">
        <f t="shared" si="1"/>
        <v/>
      </c>
    </row>
    <row r="908">
      <c r="A908" s="3"/>
      <c r="B908" s="3"/>
      <c r="C908" s="3"/>
      <c r="D908" s="2" t="str">
        <f t="shared" si="4"/>
        <v/>
      </c>
      <c r="E908" s="2" t="str">
        <f t="shared" si="5"/>
        <v/>
      </c>
      <c r="F908" s="2" t="str">
        <f t="shared" si="1"/>
        <v/>
      </c>
    </row>
    <row r="909">
      <c r="A909" s="3"/>
      <c r="B909" s="3"/>
      <c r="C909" s="3"/>
      <c r="D909" s="2" t="str">
        <f t="shared" si="4"/>
        <v/>
      </c>
      <c r="E909" s="2" t="str">
        <f t="shared" si="5"/>
        <v/>
      </c>
      <c r="F909" s="2" t="str">
        <f t="shared" si="1"/>
        <v/>
      </c>
    </row>
    <row r="910">
      <c r="A910" s="3"/>
      <c r="B910" s="3"/>
      <c r="C910" s="3"/>
      <c r="D910" s="2" t="str">
        <f t="shared" si="4"/>
        <v/>
      </c>
      <c r="E910" s="2" t="str">
        <f t="shared" si="5"/>
        <v/>
      </c>
      <c r="F910" s="2" t="str">
        <f t="shared" si="1"/>
        <v/>
      </c>
    </row>
    <row r="911">
      <c r="A911" s="3"/>
      <c r="B911" s="3"/>
      <c r="C911" s="3"/>
      <c r="D911" s="2" t="str">
        <f t="shared" si="4"/>
        <v/>
      </c>
      <c r="E911" s="2" t="str">
        <f t="shared" si="5"/>
        <v/>
      </c>
      <c r="F911" s="2" t="str">
        <f t="shared" si="1"/>
        <v/>
      </c>
    </row>
    <row r="912">
      <c r="A912" s="3"/>
      <c r="B912" s="3"/>
      <c r="C912" s="3"/>
      <c r="D912" s="2" t="str">
        <f t="shared" si="4"/>
        <v/>
      </c>
      <c r="E912" s="2" t="str">
        <f t="shared" si="5"/>
        <v/>
      </c>
      <c r="F912" s="2" t="str">
        <f t="shared" si="1"/>
        <v/>
      </c>
    </row>
    <row r="913">
      <c r="A913" s="3"/>
      <c r="B913" s="3"/>
      <c r="C913" s="3"/>
      <c r="D913" s="2" t="str">
        <f t="shared" si="4"/>
        <v/>
      </c>
      <c r="E913" s="2" t="str">
        <f t="shared" si="5"/>
        <v/>
      </c>
      <c r="F913" s="2" t="str">
        <f t="shared" si="1"/>
        <v/>
      </c>
    </row>
    <row r="914">
      <c r="A914" s="3"/>
      <c r="B914" s="3"/>
      <c r="C914" s="3"/>
      <c r="D914" s="2" t="str">
        <f t="shared" si="4"/>
        <v/>
      </c>
      <c r="E914" s="2" t="str">
        <f t="shared" si="5"/>
        <v/>
      </c>
      <c r="F914" s="2" t="str">
        <f t="shared" si="1"/>
        <v/>
      </c>
    </row>
    <row r="915">
      <c r="A915" s="3"/>
      <c r="B915" s="3"/>
      <c r="C915" s="3"/>
      <c r="D915" s="2" t="str">
        <f t="shared" si="4"/>
        <v/>
      </c>
      <c r="E915" s="2" t="str">
        <f t="shared" si="5"/>
        <v/>
      </c>
      <c r="F915" s="2" t="str">
        <f t="shared" si="1"/>
        <v/>
      </c>
    </row>
    <row r="916">
      <c r="A916" s="3"/>
      <c r="B916" s="3"/>
      <c r="C916" s="3"/>
      <c r="D916" s="2" t="str">
        <f t="shared" si="4"/>
        <v/>
      </c>
      <c r="E916" s="2" t="str">
        <f t="shared" si="5"/>
        <v/>
      </c>
      <c r="F916" s="2" t="str">
        <f t="shared" si="1"/>
        <v/>
      </c>
    </row>
    <row r="917">
      <c r="A917" s="3"/>
      <c r="B917" s="3"/>
      <c r="C917" s="3"/>
      <c r="D917" s="2" t="str">
        <f t="shared" si="4"/>
        <v/>
      </c>
      <c r="E917" s="2" t="str">
        <f t="shared" si="5"/>
        <v/>
      </c>
      <c r="F917" s="2" t="str">
        <f t="shared" si="1"/>
        <v/>
      </c>
    </row>
    <row r="918">
      <c r="A918" s="3"/>
      <c r="B918" s="3"/>
      <c r="C918" s="3"/>
      <c r="D918" s="2" t="str">
        <f t="shared" si="4"/>
        <v/>
      </c>
      <c r="E918" s="2" t="str">
        <f t="shared" si="5"/>
        <v/>
      </c>
      <c r="F918" s="2" t="str">
        <f t="shared" si="1"/>
        <v/>
      </c>
    </row>
    <row r="919">
      <c r="A919" s="3"/>
      <c r="B919" s="3"/>
      <c r="C919" s="3"/>
      <c r="D919" s="2" t="str">
        <f t="shared" si="4"/>
        <v/>
      </c>
      <c r="E919" s="2" t="str">
        <f t="shared" si="5"/>
        <v/>
      </c>
      <c r="F919" s="2" t="str">
        <f t="shared" si="1"/>
        <v/>
      </c>
    </row>
    <row r="920">
      <c r="A920" s="3"/>
      <c r="B920" s="3"/>
      <c r="C920" s="3"/>
      <c r="D920" s="2" t="str">
        <f t="shared" si="4"/>
        <v/>
      </c>
      <c r="E920" s="2" t="str">
        <f t="shared" si="5"/>
        <v/>
      </c>
      <c r="F920" s="2" t="str">
        <f t="shared" si="1"/>
        <v/>
      </c>
    </row>
    <row r="921">
      <c r="A921" s="3"/>
      <c r="B921" s="3"/>
      <c r="C921" s="3"/>
      <c r="D921" s="2" t="str">
        <f t="shared" si="4"/>
        <v/>
      </c>
      <c r="E921" s="2" t="str">
        <f t="shared" si="5"/>
        <v/>
      </c>
      <c r="F921" s="2" t="str">
        <f t="shared" si="1"/>
        <v/>
      </c>
    </row>
    <row r="922">
      <c r="A922" s="3"/>
      <c r="B922" s="3"/>
      <c r="C922" s="3"/>
      <c r="D922" s="2" t="str">
        <f t="shared" si="4"/>
        <v/>
      </c>
      <c r="E922" s="2" t="str">
        <f t="shared" si="5"/>
        <v/>
      </c>
      <c r="F922" s="2" t="str">
        <f t="shared" si="1"/>
        <v/>
      </c>
    </row>
    <row r="923">
      <c r="A923" s="3"/>
      <c r="B923" s="3"/>
      <c r="C923" s="3"/>
      <c r="D923" s="2" t="str">
        <f t="shared" si="4"/>
        <v/>
      </c>
      <c r="E923" s="2" t="str">
        <f t="shared" si="5"/>
        <v/>
      </c>
      <c r="F923" s="2" t="str">
        <f t="shared" si="1"/>
        <v/>
      </c>
    </row>
    <row r="924">
      <c r="A924" s="3"/>
      <c r="B924" s="3"/>
      <c r="C924" s="3"/>
      <c r="D924" s="2" t="str">
        <f t="shared" si="4"/>
        <v/>
      </c>
      <c r="E924" s="2" t="str">
        <f t="shared" si="5"/>
        <v/>
      </c>
      <c r="F924" s="2" t="str">
        <f t="shared" si="1"/>
        <v/>
      </c>
    </row>
    <row r="925">
      <c r="A925" s="3"/>
      <c r="B925" s="3"/>
      <c r="C925" s="3"/>
      <c r="D925" s="2" t="str">
        <f t="shared" si="4"/>
        <v/>
      </c>
      <c r="E925" s="2" t="str">
        <f t="shared" si="5"/>
        <v/>
      </c>
      <c r="F925" s="2" t="str">
        <f t="shared" si="1"/>
        <v/>
      </c>
    </row>
    <row r="926">
      <c r="A926" s="3"/>
      <c r="B926" s="3"/>
      <c r="C926" s="3"/>
      <c r="D926" s="2" t="str">
        <f t="shared" si="4"/>
        <v/>
      </c>
      <c r="E926" s="2" t="str">
        <f t="shared" si="5"/>
        <v/>
      </c>
      <c r="F926" s="2" t="str">
        <f t="shared" si="1"/>
        <v/>
      </c>
    </row>
    <row r="927">
      <c r="A927" s="3"/>
      <c r="B927" s="3"/>
      <c r="C927" s="3"/>
      <c r="D927" s="2" t="str">
        <f t="shared" si="4"/>
        <v/>
      </c>
      <c r="E927" s="2" t="str">
        <f t="shared" si="5"/>
        <v/>
      </c>
      <c r="F927" s="2" t="str">
        <f t="shared" si="1"/>
        <v/>
      </c>
    </row>
    <row r="928">
      <c r="A928" s="3"/>
      <c r="B928" s="3"/>
      <c r="C928" s="3"/>
      <c r="D928" s="2" t="str">
        <f t="shared" si="4"/>
        <v/>
      </c>
      <c r="E928" s="2" t="str">
        <f t="shared" si="5"/>
        <v/>
      </c>
      <c r="F928" s="2" t="str">
        <f t="shared" si="1"/>
        <v/>
      </c>
    </row>
    <row r="929">
      <c r="A929" s="3"/>
      <c r="B929" s="3"/>
      <c r="C929" s="3"/>
      <c r="D929" s="2" t="str">
        <f t="shared" si="4"/>
        <v/>
      </c>
      <c r="E929" s="2" t="str">
        <f t="shared" si="5"/>
        <v/>
      </c>
      <c r="F929" s="2" t="str">
        <f t="shared" si="1"/>
        <v/>
      </c>
    </row>
    <row r="930">
      <c r="A930" s="3"/>
      <c r="B930" s="3"/>
      <c r="C930" s="3"/>
      <c r="D930" s="2" t="str">
        <f t="shared" si="4"/>
        <v/>
      </c>
      <c r="E930" s="2" t="str">
        <f t="shared" si="5"/>
        <v/>
      </c>
      <c r="F930" s="2" t="str">
        <f t="shared" si="1"/>
        <v/>
      </c>
    </row>
    <row r="931">
      <c r="A931" s="3"/>
      <c r="B931" s="3"/>
      <c r="C931" s="3"/>
      <c r="D931" s="2" t="str">
        <f t="shared" si="4"/>
        <v/>
      </c>
      <c r="E931" s="2" t="str">
        <f t="shared" si="5"/>
        <v/>
      </c>
      <c r="F931" s="2" t="str">
        <f t="shared" si="1"/>
        <v/>
      </c>
    </row>
    <row r="932">
      <c r="A932" s="3"/>
      <c r="B932" s="3"/>
      <c r="C932" s="3"/>
      <c r="D932" s="2" t="str">
        <f t="shared" si="4"/>
        <v/>
      </c>
      <c r="E932" s="2" t="str">
        <f t="shared" si="5"/>
        <v/>
      </c>
      <c r="F932" s="2" t="str">
        <f t="shared" si="1"/>
        <v/>
      </c>
    </row>
    <row r="933">
      <c r="A933" s="3"/>
      <c r="B933" s="3"/>
      <c r="C933" s="3"/>
      <c r="D933" s="2" t="str">
        <f t="shared" si="4"/>
        <v/>
      </c>
      <c r="E933" s="2" t="str">
        <f t="shared" si="5"/>
        <v/>
      </c>
      <c r="F933" s="2" t="str">
        <f t="shared" si="1"/>
        <v/>
      </c>
    </row>
    <row r="934">
      <c r="A934" s="3"/>
      <c r="B934" s="3"/>
      <c r="C934" s="3"/>
      <c r="D934" s="2" t="str">
        <f t="shared" si="4"/>
        <v/>
      </c>
      <c r="E934" s="2" t="str">
        <f t="shared" si="5"/>
        <v/>
      </c>
      <c r="F934" s="2" t="str">
        <f t="shared" si="1"/>
        <v/>
      </c>
    </row>
    <row r="935">
      <c r="A935" s="3"/>
      <c r="B935" s="3"/>
      <c r="C935" s="3"/>
      <c r="D935" s="2" t="str">
        <f t="shared" si="4"/>
        <v/>
      </c>
      <c r="E935" s="2" t="str">
        <f t="shared" si="5"/>
        <v/>
      </c>
      <c r="F935" s="2" t="str">
        <f t="shared" si="1"/>
        <v/>
      </c>
    </row>
    <row r="936">
      <c r="A936" s="3"/>
      <c r="B936" s="3"/>
      <c r="C936" s="3"/>
      <c r="D936" s="2" t="str">
        <f t="shared" si="4"/>
        <v/>
      </c>
      <c r="E936" s="2" t="str">
        <f t="shared" si="5"/>
        <v/>
      </c>
      <c r="F936" s="2" t="str">
        <f t="shared" si="1"/>
        <v/>
      </c>
    </row>
    <row r="937">
      <c r="A937" s="3"/>
      <c r="B937" s="3"/>
      <c r="C937" s="3"/>
      <c r="D937" s="2" t="str">
        <f t="shared" si="4"/>
        <v/>
      </c>
      <c r="E937" s="2" t="str">
        <f t="shared" si="5"/>
        <v/>
      </c>
      <c r="F937" s="2" t="str">
        <f t="shared" si="1"/>
        <v/>
      </c>
    </row>
    <row r="938">
      <c r="A938" s="3"/>
      <c r="B938" s="3"/>
      <c r="C938" s="3"/>
      <c r="D938" s="2" t="str">
        <f t="shared" si="4"/>
        <v/>
      </c>
      <c r="E938" s="2" t="str">
        <f t="shared" si="5"/>
        <v/>
      </c>
      <c r="F938" s="2" t="str">
        <f t="shared" si="1"/>
        <v/>
      </c>
    </row>
    <row r="939">
      <c r="A939" s="3"/>
      <c r="B939" s="3"/>
      <c r="C939" s="3"/>
      <c r="D939" s="2" t="str">
        <f t="shared" si="4"/>
        <v/>
      </c>
      <c r="E939" s="2" t="str">
        <f t="shared" si="5"/>
        <v/>
      </c>
      <c r="F939" s="2" t="str">
        <f t="shared" si="1"/>
        <v/>
      </c>
    </row>
    <row r="940">
      <c r="A940" s="3"/>
      <c r="B940" s="3"/>
      <c r="C940" s="3"/>
      <c r="D940" s="2" t="str">
        <f t="shared" si="4"/>
        <v/>
      </c>
      <c r="E940" s="2" t="str">
        <f t="shared" si="5"/>
        <v/>
      </c>
      <c r="F940" s="2" t="str">
        <f t="shared" si="1"/>
        <v/>
      </c>
    </row>
    <row r="941">
      <c r="A941" s="3"/>
      <c r="B941" s="3"/>
      <c r="C941" s="3"/>
      <c r="D941" s="2" t="str">
        <f t="shared" si="4"/>
        <v/>
      </c>
      <c r="E941" s="2" t="str">
        <f t="shared" si="5"/>
        <v/>
      </c>
      <c r="F941" s="2" t="str">
        <f t="shared" si="1"/>
        <v/>
      </c>
    </row>
    <row r="942">
      <c r="A942" s="3"/>
      <c r="B942" s="3"/>
      <c r="C942" s="3"/>
      <c r="D942" s="2" t="str">
        <f t="shared" si="4"/>
        <v/>
      </c>
      <c r="E942" s="2" t="str">
        <f t="shared" si="5"/>
        <v/>
      </c>
      <c r="F942" s="2" t="str">
        <f t="shared" si="1"/>
        <v/>
      </c>
    </row>
    <row r="943">
      <c r="A943" s="3"/>
      <c r="B943" s="3"/>
      <c r="C943" s="3"/>
      <c r="D943" s="2" t="str">
        <f t="shared" si="4"/>
        <v/>
      </c>
      <c r="E943" s="2" t="str">
        <f t="shared" si="5"/>
        <v/>
      </c>
      <c r="F943" s="2" t="str">
        <f t="shared" si="1"/>
        <v/>
      </c>
    </row>
    <row r="944">
      <c r="A944" s="3"/>
      <c r="B944" s="3"/>
      <c r="C944" s="3"/>
      <c r="D944" s="2" t="str">
        <f t="shared" si="4"/>
        <v/>
      </c>
      <c r="E944" s="2" t="str">
        <f t="shared" si="5"/>
        <v/>
      </c>
      <c r="F944" s="2" t="str">
        <f t="shared" si="1"/>
        <v/>
      </c>
    </row>
    <row r="945">
      <c r="A945" s="3"/>
      <c r="B945" s="3"/>
      <c r="C945" s="3"/>
      <c r="D945" s="2" t="str">
        <f t="shared" si="4"/>
        <v/>
      </c>
      <c r="E945" s="2" t="str">
        <f t="shared" si="5"/>
        <v/>
      </c>
      <c r="F945" s="2" t="str">
        <f t="shared" si="1"/>
        <v/>
      </c>
    </row>
    <row r="946">
      <c r="A946" s="3"/>
      <c r="B946" s="3"/>
      <c r="C946" s="3"/>
      <c r="D946" s="2" t="str">
        <f t="shared" si="4"/>
        <v/>
      </c>
      <c r="E946" s="2" t="str">
        <f t="shared" si="5"/>
        <v/>
      </c>
      <c r="F946" s="2" t="str">
        <f t="shared" si="1"/>
        <v/>
      </c>
    </row>
    <row r="947">
      <c r="A947" s="3"/>
      <c r="B947" s="3"/>
      <c r="C947" s="3"/>
      <c r="D947" s="2" t="str">
        <f t="shared" si="4"/>
        <v/>
      </c>
      <c r="E947" s="2" t="str">
        <f t="shared" si="5"/>
        <v/>
      </c>
      <c r="F947" s="2" t="str">
        <f t="shared" si="1"/>
        <v/>
      </c>
    </row>
    <row r="948">
      <c r="A948" s="3"/>
      <c r="B948" s="3"/>
      <c r="C948" s="3"/>
      <c r="D948" s="2" t="str">
        <f t="shared" si="4"/>
        <v/>
      </c>
      <c r="E948" s="2" t="str">
        <f t="shared" si="5"/>
        <v/>
      </c>
      <c r="F948" s="2" t="str">
        <f t="shared" si="1"/>
        <v/>
      </c>
    </row>
    <row r="949">
      <c r="A949" s="3"/>
      <c r="B949" s="3"/>
      <c r="C949" s="3"/>
      <c r="D949" s="2" t="str">
        <f t="shared" si="4"/>
        <v/>
      </c>
      <c r="E949" s="2" t="str">
        <f t="shared" si="5"/>
        <v/>
      </c>
      <c r="F949" s="2" t="str">
        <f t="shared" si="1"/>
        <v/>
      </c>
    </row>
    <row r="950">
      <c r="A950" s="3"/>
      <c r="B950" s="3"/>
      <c r="C950" s="3"/>
      <c r="D950" s="2" t="str">
        <f t="shared" si="4"/>
        <v/>
      </c>
      <c r="E950" s="2" t="str">
        <f t="shared" si="5"/>
        <v/>
      </c>
      <c r="F950" s="2" t="str">
        <f t="shared" si="1"/>
        <v/>
      </c>
    </row>
    <row r="951">
      <c r="A951" s="3"/>
      <c r="B951" s="3"/>
      <c r="C951" s="3"/>
      <c r="D951" s="2" t="str">
        <f t="shared" si="4"/>
        <v/>
      </c>
      <c r="E951" s="2" t="str">
        <f t="shared" si="5"/>
        <v/>
      </c>
      <c r="F951" s="2" t="str">
        <f t="shared" si="1"/>
        <v/>
      </c>
    </row>
    <row r="952">
      <c r="A952" s="3"/>
      <c r="B952" s="3"/>
      <c r="C952" s="3"/>
      <c r="D952" s="2" t="str">
        <f t="shared" si="4"/>
        <v/>
      </c>
      <c r="E952" s="2" t="str">
        <f t="shared" si="5"/>
        <v/>
      </c>
      <c r="F952" s="2" t="str">
        <f t="shared" si="1"/>
        <v/>
      </c>
    </row>
    <row r="953">
      <c r="A953" s="3"/>
      <c r="B953" s="3"/>
      <c r="C953" s="3"/>
      <c r="D953" s="2" t="str">
        <f t="shared" si="4"/>
        <v/>
      </c>
      <c r="E953" s="2" t="str">
        <f t="shared" si="5"/>
        <v/>
      </c>
      <c r="F953" s="2" t="str">
        <f t="shared" si="1"/>
        <v/>
      </c>
    </row>
    <row r="954">
      <c r="A954" s="3"/>
      <c r="B954" s="3"/>
      <c r="C954" s="3"/>
      <c r="D954" s="2" t="str">
        <f t="shared" si="4"/>
        <v/>
      </c>
      <c r="E954" s="2" t="str">
        <f t="shared" si="5"/>
        <v/>
      </c>
      <c r="F954" s="2" t="str">
        <f t="shared" si="1"/>
        <v/>
      </c>
    </row>
    <row r="955">
      <c r="A955" s="3"/>
      <c r="B955" s="3"/>
      <c r="C955" s="3"/>
      <c r="D955" s="2" t="str">
        <f t="shared" si="4"/>
        <v/>
      </c>
      <c r="E955" s="2" t="str">
        <f t="shared" si="5"/>
        <v/>
      </c>
      <c r="F955" s="2" t="str">
        <f t="shared" si="1"/>
        <v/>
      </c>
    </row>
    <row r="956">
      <c r="A956" s="3"/>
      <c r="B956" s="3"/>
      <c r="C956" s="3"/>
      <c r="D956" s="2" t="str">
        <f t="shared" si="4"/>
        <v/>
      </c>
      <c r="E956" s="2" t="str">
        <f t="shared" si="5"/>
        <v/>
      </c>
      <c r="F956" s="2" t="str">
        <f t="shared" si="1"/>
        <v/>
      </c>
    </row>
    <row r="957">
      <c r="A957" s="3"/>
      <c r="B957" s="3"/>
      <c r="C957" s="3"/>
      <c r="D957" s="2" t="str">
        <f t="shared" si="4"/>
        <v/>
      </c>
      <c r="E957" s="2" t="str">
        <f t="shared" si="5"/>
        <v/>
      </c>
      <c r="F957" s="2" t="str">
        <f t="shared" si="1"/>
        <v/>
      </c>
    </row>
    <row r="958">
      <c r="A958" s="3"/>
      <c r="B958" s="3"/>
      <c r="C958" s="3"/>
      <c r="D958" s="2" t="str">
        <f t="shared" si="4"/>
        <v/>
      </c>
      <c r="E958" s="2" t="str">
        <f t="shared" si="5"/>
        <v/>
      </c>
      <c r="F958" s="2" t="str">
        <f t="shared" si="1"/>
        <v/>
      </c>
    </row>
    <row r="959">
      <c r="A959" s="3"/>
      <c r="B959" s="3"/>
      <c r="C959" s="3"/>
      <c r="D959" s="2" t="str">
        <f t="shared" si="4"/>
        <v/>
      </c>
      <c r="E959" s="2" t="str">
        <f t="shared" si="5"/>
        <v/>
      </c>
      <c r="F959" s="2" t="str">
        <f t="shared" si="1"/>
        <v/>
      </c>
    </row>
    <row r="960">
      <c r="A960" s="3"/>
      <c r="B960" s="3"/>
      <c r="C960" s="3"/>
      <c r="D960" s="2" t="str">
        <f t="shared" si="4"/>
        <v/>
      </c>
      <c r="E960" s="2" t="str">
        <f t="shared" si="5"/>
        <v/>
      </c>
      <c r="F960" s="2" t="str">
        <f t="shared" si="1"/>
        <v/>
      </c>
    </row>
    <row r="961">
      <c r="A961" s="3"/>
      <c r="B961" s="3"/>
      <c r="C961" s="3"/>
      <c r="D961" s="2" t="str">
        <f t="shared" si="4"/>
        <v/>
      </c>
      <c r="E961" s="2" t="str">
        <f t="shared" si="5"/>
        <v/>
      </c>
      <c r="F961" s="2" t="str">
        <f t="shared" si="1"/>
        <v/>
      </c>
    </row>
    <row r="962">
      <c r="A962" s="3"/>
      <c r="B962" s="3"/>
      <c r="C962" s="3"/>
      <c r="D962" s="2" t="str">
        <f t="shared" si="4"/>
        <v/>
      </c>
      <c r="E962" s="2" t="str">
        <f t="shared" si="5"/>
        <v/>
      </c>
      <c r="F962" s="2" t="str">
        <f t="shared" si="1"/>
        <v/>
      </c>
    </row>
    <row r="963">
      <c r="A963" s="3"/>
      <c r="B963" s="3"/>
      <c r="C963" s="3"/>
      <c r="D963" s="2" t="str">
        <f t="shared" si="4"/>
        <v/>
      </c>
      <c r="E963" s="2" t="str">
        <f t="shared" si="5"/>
        <v/>
      </c>
      <c r="F963" s="2" t="str">
        <f t="shared" si="1"/>
        <v/>
      </c>
    </row>
    <row r="964">
      <c r="A964" s="3"/>
      <c r="B964" s="3"/>
      <c r="C964" s="3"/>
      <c r="D964" s="2" t="str">
        <f t="shared" si="4"/>
        <v/>
      </c>
      <c r="E964" s="2" t="str">
        <f t="shared" si="5"/>
        <v/>
      </c>
      <c r="F964" s="2" t="str">
        <f t="shared" si="1"/>
        <v/>
      </c>
    </row>
    <row r="965">
      <c r="A965" s="3"/>
      <c r="B965" s="3"/>
      <c r="C965" s="3"/>
      <c r="D965" s="2" t="str">
        <f t="shared" si="4"/>
        <v/>
      </c>
      <c r="E965" s="2" t="str">
        <f t="shared" si="5"/>
        <v/>
      </c>
      <c r="F965" s="2" t="str">
        <f t="shared" si="1"/>
        <v/>
      </c>
    </row>
    <row r="966">
      <c r="A966" s="3"/>
      <c r="B966" s="3"/>
      <c r="C966" s="3"/>
      <c r="D966" s="2" t="str">
        <f t="shared" si="4"/>
        <v/>
      </c>
      <c r="E966" s="2" t="str">
        <f t="shared" si="5"/>
        <v/>
      </c>
      <c r="F966" s="2" t="str">
        <f t="shared" si="1"/>
        <v/>
      </c>
    </row>
    <row r="967">
      <c r="A967" s="3"/>
      <c r="B967" s="3"/>
      <c r="C967" s="3"/>
      <c r="D967" s="2" t="str">
        <f t="shared" si="4"/>
        <v/>
      </c>
      <c r="E967" s="2" t="str">
        <f t="shared" si="5"/>
        <v/>
      </c>
      <c r="F967" s="2" t="str">
        <f t="shared" si="1"/>
        <v/>
      </c>
    </row>
    <row r="968">
      <c r="A968" s="3"/>
      <c r="B968" s="3"/>
      <c r="C968" s="3"/>
      <c r="D968" s="2" t="str">
        <f t="shared" si="4"/>
        <v/>
      </c>
      <c r="E968" s="2" t="str">
        <f t="shared" si="5"/>
        <v/>
      </c>
      <c r="F968" s="2" t="str">
        <f t="shared" si="1"/>
        <v/>
      </c>
    </row>
    <row r="969">
      <c r="A969" s="3"/>
      <c r="B969" s="3"/>
      <c r="C969" s="3"/>
      <c r="D969" s="2" t="str">
        <f t="shared" si="4"/>
        <v/>
      </c>
      <c r="E969" s="2" t="str">
        <f t="shared" si="5"/>
        <v/>
      </c>
      <c r="F969" s="2" t="str">
        <f t="shared" si="1"/>
        <v/>
      </c>
    </row>
    <row r="970">
      <c r="A970" s="3"/>
      <c r="B970" s="3"/>
      <c r="C970" s="3"/>
      <c r="D970" s="2" t="str">
        <f t="shared" si="4"/>
        <v/>
      </c>
      <c r="E970" s="2" t="str">
        <f t="shared" si="5"/>
        <v/>
      </c>
      <c r="F970" s="2" t="str">
        <f t="shared" si="1"/>
        <v/>
      </c>
    </row>
    <row r="971">
      <c r="A971" s="3"/>
      <c r="B971" s="3"/>
      <c r="C971" s="3"/>
      <c r="D971" s="2" t="str">
        <f t="shared" si="4"/>
        <v/>
      </c>
      <c r="E971" s="2" t="str">
        <f t="shared" si="5"/>
        <v/>
      </c>
      <c r="F971" s="2" t="str">
        <f t="shared" si="1"/>
        <v/>
      </c>
    </row>
    <row r="972">
      <c r="A972" s="3"/>
      <c r="B972" s="3"/>
      <c r="C972" s="3"/>
      <c r="D972" s="2" t="str">
        <f t="shared" si="4"/>
        <v/>
      </c>
      <c r="E972" s="2" t="str">
        <f t="shared" si="5"/>
        <v/>
      </c>
      <c r="F972" s="2" t="str">
        <f t="shared" si="1"/>
        <v/>
      </c>
    </row>
    <row r="973">
      <c r="A973" s="3"/>
      <c r="B973" s="3"/>
      <c r="C973" s="3"/>
      <c r="D973" s="2" t="str">
        <f t="shared" si="4"/>
        <v/>
      </c>
      <c r="E973" s="2" t="str">
        <f t="shared" si="5"/>
        <v/>
      </c>
      <c r="F973" s="2" t="str">
        <f t="shared" si="1"/>
        <v/>
      </c>
    </row>
    <row r="974">
      <c r="A974" s="3"/>
      <c r="B974" s="3"/>
      <c r="C974" s="3"/>
      <c r="D974" s="2" t="str">
        <f t="shared" si="4"/>
        <v/>
      </c>
      <c r="E974" s="2" t="str">
        <f t="shared" si="5"/>
        <v/>
      </c>
      <c r="F974" s="2" t="str">
        <f t="shared" si="1"/>
        <v/>
      </c>
    </row>
    <row r="975">
      <c r="A975" s="3"/>
      <c r="B975" s="3"/>
      <c r="C975" s="3"/>
      <c r="D975" s="2" t="str">
        <f t="shared" si="4"/>
        <v/>
      </c>
      <c r="E975" s="2" t="str">
        <f t="shared" si="5"/>
        <v/>
      </c>
      <c r="F975" s="2" t="str">
        <f t="shared" si="1"/>
        <v/>
      </c>
    </row>
    <row r="976">
      <c r="A976" s="3"/>
      <c r="B976" s="3"/>
      <c r="C976" s="3"/>
      <c r="D976" s="2" t="str">
        <f t="shared" si="4"/>
        <v/>
      </c>
      <c r="E976" s="2" t="str">
        <f t="shared" si="5"/>
        <v/>
      </c>
      <c r="F976" s="2" t="str">
        <f t="shared" si="1"/>
        <v/>
      </c>
    </row>
    <row r="977">
      <c r="A977" s="3"/>
      <c r="B977" s="3"/>
      <c r="C977" s="3"/>
      <c r="D977" s="2" t="str">
        <f t="shared" si="4"/>
        <v/>
      </c>
      <c r="E977" s="2" t="str">
        <f t="shared" si="5"/>
        <v/>
      </c>
      <c r="F977" s="2" t="str">
        <f t="shared" si="1"/>
        <v/>
      </c>
    </row>
    <row r="978">
      <c r="A978" s="3"/>
      <c r="B978" s="3"/>
      <c r="C978" s="3"/>
      <c r="D978" s="2" t="str">
        <f t="shared" si="4"/>
        <v/>
      </c>
      <c r="E978" s="2" t="str">
        <f t="shared" si="5"/>
        <v/>
      </c>
      <c r="F978" s="2" t="str">
        <f t="shared" si="1"/>
        <v/>
      </c>
    </row>
    <row r="979">
      <c r="A979" s="3"/>
      <c r="B979" s="3"/>
      <c r="C979" s="3"/>
      <c r="D979" s="2" t="str">
        <f t="shared" si="4"/>
        <v/>
      </c>
      <c r="E979" s="2" t="str">
        <f t="shared" si="5"/>
        <v/>
      </c>
      <c r="F979" s="2" t="str">
        <f t="shared" si="1"/>
        <v/>
      </c>
    </row>
    <row r="980">
      <c r="A980" s="3"/>
      <c r="B980" s="3"/>
      <c r="C980" s="3"/>
      <c r="D980" s="2" t="str">
        <f t="shared" si="4"/>
        <v/>
      </c>
      <c r="E980" s="2" t="str">
        <f t="shared" si="5"/>
        <v/>
      </c>
      <c r="F980" s="2" t="str">
        <f t="shared" si="1"/>
        <v/>
      </c>
    </row>
    <row r="981">
      <c r="A981" s="3"/>
      <c r="B981" s="3"/>
      <c r="C981" s="3"/>
      <c r="D981" s="2" t="str">
        <f t="shared" si="4"/>
        <v/>
      </c>
      <c r="E981" s="2" t="str">
        <f t="shared" si="5"/>
        <v/>
      </c>
      <c r="F981" s="2" t="str">
        <f t="shared" si="1"/>
        <v/>
      </c>
    </row>
    <row r="982">
      <c r="A982" s="3"/>
      <c r="B982" s="3"/>
      <c r="C982" s="3"/>
      <c r="D982" s="2" t="str">
        <f t="shared" si="4"/>
        <v/>
      </c>
      <c r="E982" s="2" t="str">
        <f t="shared" si="5"/>
        <v/>
      </c>
      <c r="F982" s="2" t="str">
        <f t="shared" si="1"/>
        <v/>
      </c>
    </row>
    <row r="983">
      <c r="A983" s="3"/>
      <c r="B983" s="3"/>
      <c r="C983" s="3"/>
      <c r="D983" s="2" t="str">
        <f t="shared" si="4"/>
        <v/>
      </c>
      <c r="E983" s="2" t="str">
        <f t="shared" si="5"/>
        <v/>
      </c>
      <c r="F983" s="2" t="str">
        <f t="shared" si="1"/>
        <v/>
      </c>
    </row>
    <row r="984">
      <c r="A984" s="3"/>
      <c r="B984" s="3"/>
      <c r="C984" s="3"/>
      <c r="D984" s="2" t="str">
        <f t="shared" si="4"/>
        <v/>
      </c>
      <c r="E984" s="2" t="str">
        <f t="shared" si="5"/>
        <v/>
      </c>
      <c r="F984" s="2" t="str">
        <f t="shared" si="1"/>
        <v/>
      </c>
    </row>
    <row r="985">
      <c r="A985" s="3"/>
      <c r="B985" s="3"/>
      <c r="C985" s="3"/>
      <c r="D985" s="2" t="str">
        <f t="shared" si="4"/>
        <v/>
      </c>
      <c r="E985" s="2" t="str">
        <f t="shared" si="5"/>
        <v/>
      </c>
      <c r="F985" s="2" t="str">
        <f t="shared" si="1"/>
        <v/>
      </c>
    </row>
    <row r="986">
      <c r="A986" s="3"/>
      <c r="B986" s="3"/>
      <c r="C986" s="3"/>
      <c r="D986" s="2" t="str">
        <f t="shared" si="4"/>
        <v/>
      </c>
      <c r="E986" s="2" t="str">
        <f t="shared" si="5"/>
        <v/>
      </c>
      <c r="F986" s="2" t="str">
        <f t="shared" si="1"/>
        <v/>
      </c>
    </row>
    <row r="987">
      <c r="A987" s="3"/>
      <c r="B987" s="3"/>
      <c r="C987" s="3"/>
      <c r="D987" s="2" t="str">
        <f t="shared" si="4"/>
        <v/>
      </c>
      <c r="E987" s="2" t="str">
        <f t="shared" si="5"/>
        <v/>
      </c>
      <c r="F987" s="2" t="str">
        <f t="shared" si="1"/>
        <v/>
      </c>
    </row>
    <row r="988">
      <c r="A988" s="3"/>
      <c r="B988" s="3"/>
      <c r="C988" s="3"/>
      <c r="D988" s="2" t="str">
        <f t="shared" si="4"/>
        <v/>
      </c>
      <c r="E988" s="2" t="str">
        <f t="shared" si="5"/>
        <v/>
      </c>
      <c r="F988" s="2" t="str">
        <f t="shared" si="1"/>
        <v/>
      </c>
    </row>
    <row r="989">
      <c r="A989" s="3"/>
      <c r="B989" s="3"/>
      <c r="C989" s="3"/>
      <c r="D989" s="2" t="str">
        <f t="shared" si="4"/>
        <v/>
      </c>
      <c r="E989" s="2" t="str">
        <f t="shared" si="5"/>
        <v/>
      </c>
      <c r="F989" s="2" t="str">
        <f t="shared" si="1"/>
        <v/>
      </c>
    </row>
    <row r="990">
      <c r="A990" s="3"/>
      <c r="B990" s="3"/>
      <c r="C990" s="3"/>
      <c r="D990" s="2" t="str">
        <f t="shared" si="4"/>
        <v/>
      </c>
      <c r="E990" s="2" t="str">
        <f t="shared" si="5"/>
        <v/>
      </c>
      <c r="F990" s="2" t="str">
        <f t="shared" si="1"/>
        <v/>
      </c>
    </row>
    <row r="991">
      <c r="A991" s="3"/>
      <c r="B991" s="3"/>
      <c r="C991" s="3"/>
      <c r="D991" s="2" t="str">
        <f t="shared" si="4"/>
        <v/>
      </c>
      <c r="E991" s="2" t="str">
        <f t="shared" si="5"/>
        <v/>
      </c>
      <c r="F991" s="2" t="str">
        <f t="shared" si="1"/>
        <v/>
      </c>
    </row>
    <row r="992">
      <c r="A992" s="3"/>
      <c r="B992" s="3"/>
      <c r="C992" s="3"/>
      <c r="D992" s="2" t="str">
        <f t="shared" si="4"/>
        <v/>
      </c>
      <c r="E992" s="2" t="str">
        <f t="shared" si="5"/>
        <v/>
      </c>
      <c r="F992" s="2" t="str">
        <f t="shared" si="1"/>
        <v/>
      </c>
    </row>
    <row r="993">
      <c r="A993" s="3"/>
      <c r="B993" s="3"/>
      <c r="C993" s="3"/>
      <c r="D993" s="2" t="str">
        <f t="shared" si="4"/>
        <v/>
      </c>
      <c r="E993" s="2" t="str">
        <f t="shared" si="5"/>
        <v/>
      </c>
      <c r="F993" s="2" t="str">
        <f t="shared" si="1"/>
        <v/>
      </c>
    </row>
    <row r="994">
      <c r="A994" s="3"/>
      <c r="B994" s="3"/>
      <c r="C994" s="3"/>
      <c r="D994" s="2" t="str">
        <f t="shared" si="4"/>
        <v/>
      </c>
      <c r="E994" s="2" t="str">
        <f t="shared" si="5"/>
        <v/>
      </c>
      <c r="F994" s="2" t="str">
        <f t="shared" si="1"/>
        <v/>
      </c>
    </row>
    <row r="995">
      <c r="A995" s="3"/>
      <c r="B995" s="3"/>
      <c r="C995" s="3"/>
      <c r="D995" s="2" t="str">
        <f t="shared" si="4"/>
        <v/>
      </c>
      <c r="E995" s="2" t="str">
        <f t="shared" si="5"/>
        <v/>
      </c>
      <c r="F995" s="2" t="str">
        <f t="shared" si="1"/>
        <v/>
      </c>
    </row>
    <row r="996">
      <c r="A996" s="3"/>
      <c r="B996" s="3"/>
      <c r="C996" s="3"/>
      <c r="D996" s="2" t="str">
        <f t="shared" si="4"/>
        <v/>
      </c>
      <c r="E996" s="2" t="str">
        <f t="shared" si="5"/>
        <v/>
      </c>
      <c r="F996" s="2" t="str">
        <f t="shared" si="1"/>
        <v/>
      </c>
    </row>
    <row r="997">
      <c r="A997" s="3"/>
      <c r="B997" s="3"/>
      <c r="C997" s="3"/>
      <c r="D997" s="2" t="str">
        <f t="shared" si="4"/>
        <v/>
      </c>
      <c r="E997" s="2" t="str">
        <f t="shared" si="5"/>
        <v/>
      </c>
      <c r="F997" s="2" t="str">
        <f t="shared" si="1"/>
        <v/>
      </c>
    </row>
    <row r="998">
      <c r="A998" s="3"/>
      <c r="B998" s="3"/>
      <c r="C998" s="3"/>
      <c r="D998" s="2" t="str">
        <f t="shared" si="4"/>
        <v/>
      </c>
      <c r="E998" s="2" t="str">
        <f t="shared" si="5"/>
        <v/>
      </c>
      <c r="F998" s="2" t="str">
        <f t="shared" si="1"/>
        <v/>
      </c>
    </row>
    <row r="999">
      <c r="A999" s="3"/>
      <c r="B999" s="3"/>
      <c r="C999" s="3"/>
      <c r="D999" s="2" t="str">
        <f t="shared" si="4"/>
        <v/>
      </c>
      <c r="E999" s="2" t="str">
        <f t="shared" si="5"/>
        <v/>
      </c>
      <c r="F999" s="2" t="str">
        <f t="shared" si="1"/>
        <v/>
      </c>
    </row>
    <row r="1000">
      <c r="A1000" s="3"/>
      <c r="B1000" s="3"/>
      <c r="C1000" s="3"/>
      <c r="D1000" s="2" t="str">
        <f t="shared" si="4"/>
        <v/>
      </c>
      <c r="E1000" s="2" t="str">
        <f t="shared" si="5"/>
        <v/>
      </c>
      <c r="F1000" s="2" t="str">
        <f t="shared" si="1"/>
        <v/>
      </c>
    </row>
  </sheetData>
  <drawing r:id="rId1"/>
</worksheet>
</file>