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ntal Single Unit Economics" sheetId="1" r:id="rId4"/>
  </sheets>
  <definedNames/>
  <calcPr/>
  <extLst>
    <ext uri="GoogleSheetsCustomDataVersion2">
      <go:sheetsCustomData xmlns:go="http://customooxmlschemas.google.com/" r:id="rId5" roundtripDataChecksum="k0XpnXA1WFlqqAGTxXpbmcGPiqoHZFYnjGL6h1Kfy98="/>
    </ext>
  </extLst>
</workbook>
</file>

<file path=xl/sharedStrings.xml><?xml version="1.0" encoding="utf-8"?>
<sst xmlns="http://schemas.openxmlformats.org/spreadsheetml/2006/main" count="62" uniqueCount="60">
  <si>
    <t>Year Fraction</t>
  </si>
  <si>
    <t>Assumptions</t>
  </si>
  <si>
    <t>Rental Units</t>
  </si>
  <si>
    <t>Kw Per Unit</t>
  </si>
  <si>
    <t>Kw for Miners</t>
  </si>
  <si>
    <t>Operational Metrics</t>
  </si>
  <si>
    <t>Miner Model</t>
  </si>
  <si>
    <t>S19 Pro</t>
  </si>
  <si>
    <t>$ Hash Price</t>
  </si>
  <si>
    <t>J/TH</t>
  </si>
  <si>
    <t>Rental Units Funded in Month</t>
  </si>
  <si>
    <t>TH</t>
  </si>
  <si>
    <t>$/TH Cost</t>
  </si>
  <si>
    <t>Units Coming Online</t>
  </si>
  <si>
    <t>Kw per miner</t>
  </si>
  <si>
    <t>Cumulative Rental Units Online</t>
  </si>
  <si>
    <t>Max Miners in Container</t>
  </si>
  <si>
    <t>Online for Month? (Y/N)</t>
  </si>
  <si>
    <t>Miners in container</t>
  </si>
  <si>
    <t>Total PH Online</t>
  </si>
  <si>
    <t>PH Per container</t>
  </si>
  <si>
    <t>Uptime / Utilization</t>
  </si>
  <si>
    <t>Rental Unit Cash Flow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</si>
  <si>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</si>
  <si>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</si>
  <si>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</si>
  <si>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</si>
  <si>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</si>
  <si>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</si>
  <si>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</si>
  <si>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</si>
  <si>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</si>
  <si>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Rental Income Per Month Per Unit</t>
  </si>
  <si>
    <t xml:space="preserve">Rental Income </t>
  </si>
  <si>
    <t>360 Energy Data Center Revenue</t>
  </si>
  <si>
    <t>Data Center Income</t>
  </si>
  <si>
    <t>Monthly Maint. Capex</t>
  </si>
  <si>
    <t>Mobilization Fee Paid by Customer</t>
  </si>
  <si>
    <t>Mobilization Cost Above Customer $25k</t>
  </si>
  <si>
    <t>Total Mobilization Costs</t>
  </si>
  <si>
    <t>Opex Per month Per unit</t>
  </si>
  <si>
    <t>Mining &amp; Generator Operating Expenses</t>
  </si>
  <si>
    <t>EBITDA</t>
  </si>
  <si>
    <t>Capex Detail</t>
  </si>
  <si>
    <t>$</t>
  </si>
  <si>
    <t>%</t>
  </si>
  <si>
    <t>Capex</t>
  </si>
  <si>
    <t>Data Center</t>
  </si>
  <si>
    <t>Unlevered Cash Flow</t>
  </si>
  <si>
    <t>Servers</t>
  </si>
  <si>
    <t>Generator</t>
  </si>
  <si>
    <t>Unlevered Asset Returns</t>
  </si>
  <si>
    <t>Wiring, Pressure Regulator, Meters</t>
  </si>
  <si>
    <t>Rolling MOIC</t>
  </si>
  <si>
    <t>Total Cost</t>
  </si>
  <si>
    <t>Rolling IRR</t>
  </si>
  <si>
    <t>Monthly Cash Flow</t>
  </si>
  <si>
    <t>Rental Income</t>
  </si>
  <si>
    <t>Less: Operating Costs</t>
  </si>
  <si>
    <t>Capex Payback (years)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</si>
</sst>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_(#,##0_)_%;\(#,##0\)_%;_(&quot;–&quot;_)_%;_(@_)_%"/>
    <numFmt numFmtId="165" formatCode="_(#,##0.0_)_%;\(#,##0.0\)_%;_(&quot;–&quot;_)_%;_(@_)_%"/>
    <numFmt numFmtId="166" formatCode="m/d/yy"/>
    <numFmt numFmtId="167" formatCode="_([$$]#,##0_)_%;\([$$]#,##0\)_%;_(&quot;–&quot;_)_%;_(@_)_%"/>
    <numFmt numFmtId="168" formatCode="_([$$]#,##0.00_)_%;\([$$]#,##0.00\)_%;_(&quot;–&quot;_)_%;_(@_)_%"/>
    <numFmt numFmtId="169" formatCode="_(#,##0.0000_)_%;\(#,##0.0000\)_%;_(&quot;–&quot;_)_%;_(@_)_%"/>
    <numFmt numFmtId="170" formatCode="&quot;Yes&quot;;&quot;ERROR&quot;;&quot;No&quot;;&quot;ERROR&quot;"/>
    <numFmt numFmtId="171" formatCode="_(#,##0.0%_);\(#,##0.0%\);_(&quot;–&quot;_)_%;_(@_)_%"/>
    <numFmt numFmtId="172" formatCode="_(#,##0%_);\(#,##0%\);_(&quot;–&quot;_)_%;_(@_)_%"/>
    <numFmt numFmtId="173" formatCode="_(0.0\x_)_)_';_(\(0.0\x\)_'_';_(&quot;–&quot;_)_%;_(@_)_%"/>
  </numFmts>
  <fonts count="16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rgb="FF0000FF"/>
      <name val="Aptos Narrow"/>
    </font>
    <font>
      <b/>
      <sz val="11.0"/>
      <color rgb="FF000000"/>
      <name val="Aptos Narrow"/>
    </font>
    <font>
      <sz val="11.0"/>
      <color rgb="FF000000"/>
      <name val="Aptos Narrow"/>
    </font>
    <font>
      <b/>
      <sz val="11.0"/>
      <color rgb="FFFFFFFF"/>
      <name val="Aptos Narrow"/>
    </font>
    <font>
      <sz val="11.0"/>
      <color rgb="FFFFFFFF"/>
      <name val="Aptos Narrow"/>
    </font>
    <font>
      <sz val="11.0"/>
      <color rgb="FF008000"/>
      <name val="Arial"/>
    </font>
    <font>
      <b/>
      <sz val="11.0"/>
      <color rgb="FF0000FF"/>
      <name val="Aptos Narrow"/>
    </font>
    <font>
      <sz val="11.0"/>
      <color rgb="FF000000"/>
      <name val="Arial"/>
    </font>
    <font>
      <sz val="11.0"/>
      <color rgb="FF008000"/>
      <name val="Aptos Narrow"/>
    </font>
    <font>
      <b/>
      <sz val="11.0"/>
      <color theme="1"/>
      <name val="Aptos Narrow"/>
    </font>
    <font>
      <b/>
      <u/>
      <sz val="11.0"/>
      <color rgb="FF000000"/>
      <name val="Aptos Narrow"/>
    </font>
    <font>
      <b/>
      <u/>
      <sz val="11.0"/>
      <color rgb="FF000000"/>
      <name val="Aptos Narrow"/>
    </font>
    <font>
      <i/>
      <sz val="11.0"/>
      <color theme="1"/>
      <name val="Aptos Narrow"/>
    </font>
    <font>
      <i/>
      <sz val="11.0"/>
      <color rgb="FF000000"/>
      <name val="Aptos Narrow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theme="1"/>
        <bgColor theme="1"/>
      </patternFill>
    </fill>
    <fill>
      <patternFill patternType="solid">
        <fgColor rgb="FFDBE9F7"/>
        <bgColor rgb="FFDBE9F7"/>
      </patternFill>
    </fill>
    <fill>
      <patternFill patternType="solid">
        <fgColor rgb="FFDAE9F8"/>
        <bgColor rgb="FFDAE9F8"/>
      </patternFill>
    </fill>
  </fills>
  <borders count="13">
    <border/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 style="thin">
        <color rgb="FF000000"/>
      </bottom>
    </border>
    <border>
      <left style="hair">
        <color rgb="FF000000"/>
      </left>
      <right/>
      <top/>
      <bottom/>
    </border>
    <border>
      <left/>
      <right style="hair">
        <color rgb="FF000000"/>
      </right>
      <top/>
      <bottom/>
    </border>
    <border>
      <bottom style="thin">
        <color rgb="FF000000"/>
      </bottom>
    </border>
    <border>
      <left/>
      <right/>
      <top/>
      <bottom/>
    </border>
    <border>
      <left style="hair">
        <color rgb="FF000000"/>
      </left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/>
      <top/>
      <bottom style="hair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Alignment="1" applyFont="1" applyNumberFormat="1">
      <alignment horizontal="right"/>
    </xf>
    <xf borderId="0" fillId="0" fontId="3" numFmtId="0" xfId="0" applyFont="1"/>
    <xf borderId="0" fillId="0" fontId="4" numFmtId="165" xfId="0" applyAlignment="1" applyFont="1" applyNumberFormat="1">
      <alignment horizontal="right"/>
    </xf>
    <xf borderId="1" fillId="2" fontId="5" numFmtId="0" xfId="0" applyBorder="1" applyFill="1" applyFont="1"/>
    <xf borderId="2" fillId="2" fontId="6" numFmtId="0" xfId="0" applyBorder="1" applyFont="1"/>
    <xf borderId="0" fillId="0" fontId="6" numFmtId="0" xfId="0" applyFont="1"/>
    <xf borderId="3" fillId="2" fontId="5" numFmtId="0" xfId="0" applyBorder="1" applyFont="1"/>
    <xf borderId="3" fillId="2" fontId="5" numFmtId="166" xfId="0" applyAlignment="1" applyBorder="1" applyFont="1" applyNumberFormat="1">
      <alignment horizontal="center"/>
    </xf>
    <xf borderId="4" fillId="3" fontId="1" numFmtId="0" xfId="0" applyAlignment="1" applyBorder="1" applyFill="1" applyFont="1">
      <alignment horizontal="left"/>
    </xf>
    <xf borderId="5" fillId="3" fontId="2" numFmtId="164" xfId="0" applyAlignment="1" applyBorder="1" applyFont="1" applyNumberFormat="1">
      <alignment horizontal="right"/>
    </xf>
    <xf borderId="6" fillId="0" fontId="5" numFmtId="0" xfId="0" applyBorder="1" applyFont="1"/>
    <xf borderId="6" fillId="0" fontId="5" numFmtId="166" xfId="0" applyAlignment="1" applyBorder="1" applyFont="1" applyNumberFormat="1">
      <alignment horizontal="center"/>
    </xf>
    <xf borderId="5" fillId="3" fontId="4" numFmtId="164" xfId="0" applyBorder="1" applyFont="1" applyNumberFormat="1"/>
    <xf borderId="0" fillId="0" fontId="4" numFmtId="164" xfId="0" applyFont="1" applyNumberFormat="1"/>
    <xf borderId="3" fillId="4" fontId="3" numFmtId="0" xfId="0" applyBorder="1" applyFill="1" applyFont="1"/>
    <xf borderId="3" fillId="4" fontId="1" numFmtId="0" xfId="0" applyBorder="1" applyFont="1"/>
    <xf borderId="0" fillId="0" fontId="1" numFmtId="0" xfId="0" applyAlignment="1" applyFont="1">
      <alignment horizontal="left"/>
    </xf>
    <xf borderId="0" fillId="0" fontId="7" numFmtId="167" xfId="0" applyAlignment="1" applyFont="1" applyNumberFormat="1">
      <alignment horizontal="right" readingOrder="0"/>
    </xf>
    <xf borderId="0" fillId="0" fontId="4" numFmtId="167" xfId="0" applyAlignment="1" applyFont="1" applyNumberFormat="1">
      <alignment horizontal="right"/>
    </xf>
    <xf borderId="5" fillId="3" fontId="2" numFmtId="165" xfId="0" applyAlignment="1" applyBorder="1" applyFont="1" applyNumberFormat="1">
      <alignment horizontal="right"/>
    </xf>
    <xf borderId="0" fillId="0" fontId="2" numFmtId="165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5" fillId="3" fontId="2" numFmtId="168" xfId="0" applyAlignment="1" applyBorder="1" applyFont="1" applyNumberFormat="1">
      <alignment horizontal="right"/>
    </xf>
    <xf borderId="0" fillId="0" fontId="2" numFmtId="168" xfId="0" applyAlignment="1" applyFont="1" applyNumberFormat="1">
      <alignment horizontal="right"/>
    </xf>
    <xf borderId="5" fillId="3" fontId="4" numFmtId="169" xfId="0" applyAlignment="1" applyBorder="1" applyFont="1" applyNumberFormat="1">
      <alignment horizontal="right"/>
    </xf>
    <xf borderId="0" fillId="0" fontId="4" numFmtId="169" xfId="0" applyAlignment="1" applyFont="1" applyNumberFormat="1">
      <alignment horizontal="right"/>
    </xf>
    <xf borderId="0" fillId="0" fontId="2" numFmtId="167" xfId="0" applyAlignment="1" applyFont="1" applyNumberFormat="1">
      <alignment horizontal="right"/>
    </xf>
    <xf borderId="0" fillId="0" fontId="2" numFmtId="170" xfId="0" applyAlignment="1" applyFont="1" applyNumberFormat="1">
      <alignment horizontal="right"/>
    </xf>
    <xf borderId="0" fillId="0" fontId="2" numFmtId="170" xfId="0" applyAlignment="1" applyFont="1" applyNumberFormat="1">
      <alignment horizontal="left"/>
    </xf>
    <xf borderId="5" fillId="3" fontId="4" numFmtId="164" xfId="0" applyAlignment="1" applyBorder="1" applyFont="1" applyNumberFormat="1">
      <alignment horizontal="right"/>
    </xf>
    <xf borderId="5" fillId="3" fontId="4" numFmtId="165" xfId="0" applyAlignment="1" applyBorder="1" applyFont="1" applyNumberFormat="1">
      <alignment horizontal="right"/>
    </xf>
    <xf borderId="5" fillId="3" fontId="2" numFmtId="171" xfId="0" applyAlignment="1" applyBorder="1" applyFont="1" applyNumberFormat="1">
      <alignment horizontal="right"/>
    </xf>
    <xf borderId="0" fillId="0" fontId="2" numFmtId="171" xfId="0" applyAlignment="1" applyFont="1" applyNumberFormat="1">
      <alignment horizontal="right"/>
    </xf>
    <xf borderId="7" fillId="5" fontId="5" numFmtId="0" xfId="0" applyBorder="1" applyFill="1" applyFont="1"/>
    <xf borderId="7" fillId="5" fontId="5" numFmtId="164" xfId="0" applyAlignment="1" applyBorder="1" applyFont="1" applyNumberFormat="1">
      <alignment horizontal="right"/>
    </xf>
    <xf borderId="3" fillId="5" fontId="8" numFmtId="164" xfId="0" applyAlignment="1" applyBorder="1" applyFont="1" applyNumberFormat="1">
      <alignment horizontal="right"/>
    </xf>
    <xf borderId="3" fillId="5" fontId="2" numFmtId="0" xfId="0" applyBorder="1" applyFont="1"/>
    <xf borderId="0" fillId="0" fontId="5" numFmtId="0" xfId="0" applyFont="1"/>
    <xf borderId="0" fillId="0" fontId="5" numFmtId="164" xfId="0" applyAlignment="1" applyFont="1" applyNumberFormat="1">
      <alignment horizontal="right"/>
    </xf>
    <xf borderId="0" fillId="0" fontId="8" numFmtId="164" xfId="0" applyAlignment="1" applyFont="1" applyNumberFormat="1">
      <alignment horizontal="right"/>
    </xf>
    <xf borderId="0" fillId="0" fontId="2" numFmtId="0" xfId="0" applyFont="1"/>
    <xf borderId="5" fillId="3" fontId="2" numFmtId="167" xfId="0" applyAlignment="1" applyBorder="1" applyFont="1" applyNumberFormat="1">
      <alignment horizontal="right"/>
    </xf>
    <xf borderId="0" fillId="0" fontId="9" numFmtId="164" xfId="0" applyAlignment="1" applyFont="1" applyNumberFormat="1">
      <alignment horizontal="right" readingOrder="0"/>
    </xf>
    <xf borderId="5" fillId="3" fontId="10" numFmtId="167" xfId="0" applyAlignment="1" applyBorder="1" applyFont="1" applyNumberFormat="1">
      <alignment horizontal="right"/>
    </xf>
    <xf borderId="8" fillId="3" fontId="1" numFmtId="0" xfId="0" applyAlignment="1" applyBorder="1" applyFont="1">
      <alignment horizontal="left"/>
    </xf>
    <xf borderId="9" fillId="3" fontId="2" numFmtId="167" xfId="0" applyAlignment="1" applyBorder="1" applyFont="1" applyNumberFormat="1">
      <alignment horizontal="right"/>
    </xf>
    <xf borderId="6" fillId="0" fontId="1" numFmtId="0" xfId="0" applyAlignment="1" applyBorder="1" applyFont="1">
      <alignment horizontal="left"/>
    </xf>
    <xf borderId="6" fillId="0" fontId="4" numFmtId="164" xfId="0" applyAlignment="1" applyBorder="1" applyFont="1" applyNumberFormat="1">
      <alignment horizontal="right"/>
    </xf>
    <xf borderId="0" fillId="0" fontId="4" numFmtId="171" xfId="0" applyAlignment="1" applyFont="1" applyNumberFormat="1">
      <alignment horizontal="right"/>
    </xf>
    <xf borderId="7" fillId="3" fontId="11" numFmtId="0" xfId="0" applyAlignment="1" applyBorder="1" applyFont="1">
      <alignment horizontal="left"/>
    </xf>
    <xf borderId="7" fillId="3" fontId="3" numFmtId="167" xfId="0" applyAlignment="1" applyBorder="1" applyFont="1" applyNumberFormat="1">
      <alignment horizontal="right"/>
    </xf>
    <xf borderId="0" fillId="0" fontId="4" numFmtId="172" xfId="0" applyAlignment="1" applyFont="1" applyNumberFormat="1">
      <alignment horizontal="right"/>
    </xf>
    <xf borderId="7" fillId="6" fontId="11" numFmtId="0" xfId="0" applyAlignment="1" applyBorder="1" applyFill="1" applyFont="1">
      <alignment horizontal="left"/>
    </xf>
    <xf borderId="7" fillId="6" fontId="3" numFmtId="167" xfId="0" applyAlignment="1" applyBorder="1" applyFont="1" applyNumberFormat="1">
      <alignment horizontal="right"/>
    </xf>
    <xf borderId="10" fillId="7" fontId="12" numFmtId="0" xfId="0" applyBorder="1" applyFill="1" applyFont="1"/>
    <xf borderId="11" fillId="7" fontId="4" numFmtId="167" xfId="0" applyBorder="1" applyFont="1" applyNumberFormat="1"/>
    <xf borderId="11" fillId="7" fontId="1" numFmtId="0" xfId="0" applyBorder="1" applyFont="1"/>
    <xf borderId="6" fillId="0" fontId="4" numFmtId="172" xfId="0" applyAlignment="1" applyBorder="1" applyFont="1" applyNumberFormat="1">
      <alignment horizontal="right"/>
    </xf>
    <xf borderId="4" fillId="7" fontId="1" numFmtId="0" xfId="0" applyAlignment="1" applyBorder="1" applyFont="1">
      <alignment horizontal="left"/>
    </xf>
    <xf borderId="7" fillId="7" fontId="4" numFmtId="173" xfId="0" applyAlignment="1" applyBorder="1" applyFont="1" applyNumberFormat="1">
      <alignment horizontal="right"/>
    </xf>
    <xf borderId="7" fillId="3" fontId="3" numFmtId="172" xfId="0" applyAlignment="1" applyBorder="1" applyFont="1" applyNumberFormat="1">
      <alignment horizontal="right"/>
    </xf>
    <xf borderId="8" fillId="7" fontId="1" numFmtId="0" xfId="0" applyAlignment="1" applyBorder="1" applyFont="1">
      <alignment horizontal="left"/>
    </xf>
    <xf borderId="12" fillId="7" fontId="4" numFmtId="172" xfId="0" applyAlignment="1" applyBorder="1" applyFont="1" applyNumberFormat="1">
      <alignment horizontal="right"/>
    </xf>
    <xf borderId="0" fillId="0" fontId="13" numFmtId="0" xfId="0" applyFont="1"/>
    <xf borderId="0" fillId="0" fontId="4" numFmtId="0" xfId="0" applyFont="1"/>
    <xf borderId="7" fillId="5" fontId="6" numFmtId="0" xfId="0" applyBorder="1" applyFont="1"/>
    <xf borderId="0" fillId="0" fontId="11" numFmtId="0" xfId="0" applyAlignment="1" applyFont="1">
      <alignment horizontal="left"/>
    </xf>
    <xf borderId="0" fillId="0" fontId="4" numFmtId="167" xfId="0" applyFont="1" applyNumberFormat="1"/>
    <xf borderId="0" fillId="0" fontId="9" numFmtId="164" xfId="0" applyAlignment="1" applyFont="1" applyNumberFormat="1">
      <alignment readingOrder="0"/>
    </xf>
    <xf borderId="6" fillId="0" fontId="4" numFmtId="0" xfId="0" applyAlignment="1" applyBorder="1" applyFont="1">
      <alignment horizontal="left"/>
    </xf>
    <xf borderId="7" fillId="3" fontId="11" numFmtId="0" xfId="0" applyBorder="1" applyFont="1"/>
    <xf borderId="7" fillId="3" fontId="3" numFmtId="167" xfId="0" applyBorder="1" applyFont="1" applyNumberFormat="1"/>
    <xf borderId="0" fillId="0" fontId="3" numFmtId="167" xfId="0" applyFont="1" applyNumberFormat="1"/>
    <xf borderId="0" fillId="0" fontId="14" numFmtId="0" xfId="0" applyFont="1"/>
    <xf borderId="0" fillId="0" fontId="15" numFmtId="165" xfId="0" applyAlignment="1" applyFont="1" applyNumberFormat="1">
      <alignment horizontal="right"/>
    </xf>
    <xf borderId="6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showGridLines="0" workbookViewId="0"/>
  </sheetViews>
  <sheetFormatPr customHeight="1" defaultColWidth="12.63" defaultRowHeight="15.0" outlineLevelCol="1"/>
  <cols>
    <col customWidth="1" min="1" max="1" width="1.5"/>
    <col customWidth="1" min="2" max="2" width="32.63"/>
    <col customWidth="1" min="3" max="3" width="15.5"/>
    <col customWidth="1" min="4" max="4" width="6.75"/>
    <col customWidth="1" min="5" max="5" width="1.5"/>
    <col customWidth="1" min="6" max="6" width="38.88"/>
    <col customWidth="1" min="7" max="15" width="14.75"/>
    <col customWidth="1" hidden="1" min="16" max="62" width="14.75" outlineLevel="1"/>
    <col customWidth="1" min="63" max="64" width="9.13"/>
  </cols>
  <sheetData>
    <row r="1" ht="14.25" customHeight="1">
      <c r="A1" s="1"/>
      <c r="B1" s="1"/>
      <c r="C1" s="1"/>
      <c r="D1" s="1"/>
      <c r="E1" s="2"/>
      <c r="F1" s="1"/>
      <c r="G1" s="1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3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ht="14.25" customHeight="1">
      <c r="A2" s="1"/>
      <c r="B2" s="1"/>
      <c r="C2" s="1"/>
      <c r="D2" s="1"/>
      <c r="E2" s="2"/>
      <c r="F2" s="1" t="s">
        <v>0</v>
      </c>
      <c r="G2" s="4">
        <f t="shared" ref="G2:BJ2" si="1">YEARFRAC($G$3,G3)</f>
        <v>0</v>
      </c>
      <c r="H2" s="4">
        <f t="shared" si="1"/>
        <v>0.08333333333</v>
      </c>
      <c r="I2" s="4">
        <f t="shared" si="1"/>
        <v>0.1666666667</v>
      </c>
      <c r="J2" s="4">
        <f t="shared" si="1"/>
        <v>0.25</v>
      </c>
      <c r="K2" s="4">
        <f t="shared" si="1"/>
        <v>0.3333333333</v>
      </c>
      <c r="L2" s="4">
        <f t="shared" si="1"/>
        <v>0.4166666667</v>
      </c>
      <c r="M2" s="4">
        <f t="shared" si="1"/>
        <v>0.5</v>
      </c>
      <c r="N2" s="4">
        <f t="shared" si="1"/>
        <v>0.5833333333</v>
      </c>
      <c r="O2" s="4">
        <f t="shared" si="1"/>
        <v>0.6666666667</v>
      </c>
      <c r="P2" s="4">
        <f t="shared" si="1"/>
        <v>0.7444444444</v>
      </c>
      <c r="Q2" s="4">
        <f t="shared" si="1"/>
        <v>0.8333333333</v>
      </c>
      <c r="R2" s="4">
        <f t="shared" si="1"/>
        <v>0.9166666667</v>
      </c>
      <c r="S2" s="4">
        <f t="shared" si="1"/>
        <v>1</v>
      </c>
      <c r="T2" s="4">
        <f t="shared" si="1"/>
        <v>1.083333333</v>
      </c>
      <c r="U2" s="4">
        <f t="shared" si="1"/>
        <v>1.166666667</v>
      </c>
      <c r="V2" s="4">
        <f t="shared" si="1"/>
        <v>1.25</v>
      </c>
      <c r="W2" s="4">
        <f t="shared" si="1"/>
        <v>1.333333333</v>
      </c>
      <c r="X2" s="4">
        <f t="shared" si="1"/>
        <v>1.416666667</v>
      </c>
      <c r="Y2" s="4">
        <f t="shared" si="1"/>
        <v>1.5</v>
      </c>
      <c r="Z2" s="4">
        <f t="shared" si="1"/>
        <v>1.583333333</v>
      </c>
      <c r="AA2" s="4">
        <f t="shared" si="1"/>
        <v>1.666666667</v>
      </c>
      <c r="AB2" s="4">
        <f t="shared" si="1"/>
        <v>1.744444444</v>
      </c>
      <c r="AC2" s="4">
        <f t="shared" si="1"/>
        <v>1.833333333</v>
      </c>
      <c r="AD2" s="4">
        <f t="shared" si="1"/>
        <v>1.916666667</v>
      </c>
      <c r="AE2" s="4">
        <f t="shared" si="1"/>
        <v>2</v>
      </c>
      <c r="AF2" s="4">
        <f t="shared" si="1"/>
        <v>2.083333333</v>
      </c>
      <c r="AG2" s="4">
        <f t="shared" si="1"/>
        <v>2.166666667</v>
      </c>
      <c r="AH2" s="4">
        <f t="shared" si="1"/>
        <v>2.25</v>
      </c>
      <c r="AI2" s="4">
        <f t="shared" si="1"/>
        <v>2.333333333</v>
      </c>
      <c r="AJ2" s="4">
        <f t="shared" si="1"/>
        <v>2.416666667</v>
      </c>
      <c r="AK2" s="4">
        <f t="shared" si="1"/>
        <v>2.5</v>
      </c>
      <c r="AL2" s="4">
        <f t="shared" si="1"/>
        <v>2.583333333</v>
      </c>
      <c r="AM2" s="4">
        <f t="shared" si="1"/>
        <v>2.666666667</v>
      </c>
      <c r="AN2" s="4">
        <f t="shared" si="1"/>
        <v>2.747222222</v>
      </c>
      <c r="AO2" s="4">
        <f t="shared" si="1"/>
        <v>2.833333333</v>
      </c>
      <c r="AP2" s="4">
        <f t="shared" si="1"/>
        <v>2.916666667</v>
      </c>
      <c r="AQ2" s="4">
        <f t="shared" si="1"/>
        <v>3</v>
      </c>
      <c r="AR2" s="4">
        <f t="shared" si="1"/>
        <v>3.083333333</v>
      </c>
      <c r="AS2" s="4">
        <f t="shared" si="1"/>
        <v>3.166666667</v>
      </c>
      <c r="AT2" s="4">
        <f t="shared" si="1"/>
        <v>3.25</v>
      </c>
      <c r="AU2" s="4">
        <f t="shared" si="1"/>
        <v>3.333333333</v>
      </c>
      <c r="AV2" s="4">
        <f t="shared" si="1"/>
        <v>3.416666667</v>
      </c>
      <c r="AW2" s="4">
        <f t="shared" si="1"/>
        <v>3.5</v>
      </c>
      <c r="AX2" s="4">
        <f t="shared" si="1"/>
        <v>3.583333333</v>
      </c>
      <c r="AY2" s="4">
        <f t="shared" si="1"/>
        <v>3.666666667</v>
      </c>
      <c r="AZ2" s="4">
        <f t="shared" si="1"/>
        <v>3.744444444</v>
      </c>
      <c r="BA2" s="4">
        <f t="shared" si="1"/>
        <v>3.833333333</v>
      </c>
      <c r="BB2" s="4">
        <f t="shared" si="1"/>
        <v>3.916666667</v>
      </c>
      <c r="BC2" s="4">
        <f t="shared" si="1"/>
        <v>4</v>
      </c>
      <c r="BD2" s="4">
        <f t="shared" si="1"/>
        <v>4.083333333</v>
      </c>
      <c r="BE2" s="4">
        <f t="shared" si="1"/>
        <v>4.166666667</v>
      </c>
      <c r="BF2" s="4">
        <f t="shared" si="1"/>
        <v>4.25</v>
      </c>
      <c r="BG2" s="4">
        <f t="shared" si="1"/>
        <v>4.333333333</v>
      </c>
      <c r="BH2" s="4">
        <f t="shared" si="1"/>
        <v>4.416666667</v>
      </c>
      <c r="BI2" s="4">
        <f t="shared" si="1"/>
        <v>4.5</v>
      </c>
      <c r="BJ2" s="4">
        <f t="shared" si="1"/>
        <v>4.583333333</v>
      </c>
      <c r="BK2" s="1"/>
      <c r="BL2" s="1"/>
    </row>
    <row r="3" ht="14.25" customHeight="1">
      <c r="A3" s="1"/>
      <c r="B3" s="5" t="s">
        <v>1</v>
      </c>
      <c r="C3" s="6"/>
      <c r="D3" s="7"/>
      <c r="E3" s="1"/>
      <c r="F3" s="8" t="s">
        <v>2</v>
      </c>
      <c r="G3" s="9">
        <v>45808.0</v>
      </c>
      <c r="H3" s="9">
        <f t="shared" ref="H3:BJ3" si="2">EOMONTH(G3,1)</f>
        <v>45838</v>
      </c>
      <c r="I3" s="9">
        <f t="shared" si="2"/>
        <v>45869</v>
      </c>
      <c r="J3" s="9">
        <f t="shared" si="2"/>
        <v>45900</v>
      </c>
      <c r="K3" s="9">
        <f t="shared" si="2"/>
        <v>45930</v>
      </c>
      <c r="L3" s="9">
        <f t="shared" si="2"/>
        <v>45961</v>
      </c>
      <c r="M3" s="9">
        <f t="shared" si="2"/>
        <v>45991</v>
      </c>
      <c r="N3" s="9">
        <f t="shared" si="2"/>
        <v>46022</v>
      </c>
      <c r="O3" s="9">
        <f t="shared" si="2"/>
        <v>46053</v>
      </c>
      <c r="P3" s="9">
        <f t="shared" si="2"/>
        <v>46081</v>
      </c>
      <c r="Q3" s="9">
        <f t="shared" si="2"/>
        <v>46112</v>
      </c>
      <c r="R3" s="9">
        <f t="shared" si="2"/>
        <v>46142</v>
      </c>
      <c r="S3" s="9">
        <f t="shared" si="2"/>
        <v>46173</v>
      </c>
      <c r="T3" s="9">
        <f t="shared" si="2"/>
        <v>46203</v>
      </c>
      <c r="U3" s="9">
        <f t="shared" si="2"/>
        <v>46234</v>
      </c>
      <c r="V3" s="9">
        <f t="shared" si="2"/>
        <v>46265</v>
      </c>
      <c r="W3" s="9">
        <f t="shared" si="2"/>
        <v>46295</v>
      </c>
      <c r="X3" s="9">
        <f t="shared" si="2"/>
        <v>46326</v>
      </c>
      <c r="Y3" s="9">
        <f t="shared" si="2"/>
        <v>46356</v>
      </c>
      <c r="Z3" s="9">
        <f t="shared" si="2"/>
        <v>46387</v>
      </c>
      <c r="AA3" s="9">
        <f t="shared" si="2"/>
        <v>46418</v>
      </c>
      <c r="AB3" s="9">
        <f t="shared" si="2"/>
        <v>46446</v>
      </c>
      <c r="AC3" s="9">
        <f t="shared" si="2"/>
        <v>46477</v>
      </c>
      <c r="AD3" s="9">
        <f t="shared" si="2"/>
        <v>46507</v>
      </c>
      <c r="AE3" s="9">
        <f t="shared" si="2"/>
        <v>46538</v>
      </c>
      <c r="AF3" s="9">
        <f t="shared" si="2"/>
        <v>46568</v>
      </c>
      <c r="AG3" s="9">
        <f t="shared" si="2"/>
        <v>46599</v>
      </c>
      <c r="AH3" s="9">
        <f t="shared" si="2"/>
        <v>46630</v>
      </c>
      <c r="AI3" s="9">
        <f t="shared" si="2"/>
        <v>46660</v>
      </c>
      <c r="AJ3" s="9">
        <f t="shared" si="2"/>
        <v>46691</v>
      </c>
      <c r="AK3" s="9">
        <f t="shared" si="2"/>
        <v>46721</v>
      </c>
      <c r="AL3" s="9">
        <f t="shared" si="2"/>
        <v>46752</v>
      </c>
      <c r="AM3" s="9">
        <f t="shared" si="2"/>
        <v>46783</v>
      </c>
      <c r="AN3" s="9">
        <f t="shared" si="2"/>
        <v>46812</v>
      </c>
      <c r="AO3" s="9">
        <f t="shared" si="2"/>
        <v>46843</v>
      </c>
      <c r="AP3" s="9">
        <f t="shared" si="2"/>
        <v>46873</v>
      </c>
      <c r="AQ3" s="9">
        <f t="shared" si="2"/>
        <v>46904</v>
      </c>
      <c r="AR3" s="9">
        <f t="shared" si="2"/>
        <v>46934</v>
      </c>
      <c r="AS3" s="9">
        <f t="shared" si="2"/>
        <v>46965</v>
      </c>
      <c r="AT3" s="9">
        <f t="shared" si="2"/>
        <v>46996</v>
      </c>
      <c r="AU3" s="9">
        <f t="shared" si="2"/>
        <v>47026</v>
      </c>
      <c r="AV3" s="9">
        <f t="shared" si="2"/>
        <v>47057</v>
      </c>
      <c r="AW3" s="9">
        <f t="shared" si="2"/>
        <v>47087</v>
      </c>
      <c r="AX3" s="9">
        <f t="shared" si="2"/>
        <v>47118</v>
      </c>
      <c r="AY3" s="9">
        <f t="shared" si="2"/>
        <v>47149</v>
      </c>
      <c r="AZ3" s="9">
        <f t="shared" si="2"/>
        <v>47177</v>
      </c>
      <c r="BA3" s="9">
        <f t="shared" si="2"/>
        <v>47208</v>
      </c>
      <c r="BB3" s="9">
        <f t="shared" si="2"/>
        <v>47238</v>
      </c>
      <c r="BC3" s="9">
        <f t="shared" si="2"/>
        <v>47269</v>
      </c>
      <c r="BD3" s="9">
        <f t="shared" si="2"/>
        <v>47299</v>
      </c>
      <c r="BE3" s="9">
        <f t="shared" si="2"/>
        <v>47330</v>
      </c>
      <c r="BF3" s="9">
        <f t="shared" si="2"/>
        <v>47361</v>
      </c>
      <c r="BG3" s="9">
        <f t="shared" si="2"/>
        <v>47391</v>
      </c>
      <c r="BH3" s="9">
        <f t="shared" si="2"/>
        <v>47422</v>
      </c>
      <c r="BI3" s="9">
        <f t="shared" si="2"/>
        <v>47452</v>
      </c>
      <c r="BJ3" s="9">
        <f t="shared" si="2"/>
        <v>47483</v>
      </c>
      <c r="BK3" s="1"/>
      <c r="BL3" s="1"/>
    </row>
    <row r="4" ht="14.25" customHeight="1">
      <c r="A4" s="1"/>
      <c r="B4" s="10" t="s">
        <v>3</v>
      </c>
      <c r="C4" s="11">
        <v>1250.0</v>
      </c>
      <c r="D4" s="2"/>
      <c r="E4" s="1"/>
      <c r="F4" s="12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"/>
      <c r="BL4" s="1"/>
    </row>
    <row r="5" ht="14.25" customHeight="1">
      <c r="A5" s="1"/>
      <c r="B5" s="10" t="s">
        <v>4</v>
      </c>
      <c r="C5" s="14">
        <f>+C4-30</f>
        <v>1220</v>
      </c>
      <c r="D5" s="15"/>
      <c r="E5" s="2"/>
      <c r="F5" s="16" t="s">
        <v>5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"/>
      <c r="BL5" s="1"/>
    </row>
    <row r="6" ht="14.25" customHeight="1">
      <c r="A6" s="1"/>
      <c r="B6" s="10" t="s">
        <v>6</v>
      </c>
      <c r="C6" s="11" t="s">
        <v>7</v>
      </c>
      <c r="D6" s="2"/>
      <c r="E6" s="1"/>
      <c r="F6" s="18" t="s">
        <v>8</v>
      </c>
      <c r="G6" s="19">
        <v>10.0</v>
      </c>
      <c r="H6" s="20">
        <f t="shared" ref="H6:BJ6" si="3">+G6</f>
        <v>10</v>
      </c>
      <c r="I6" s="20">
        <f t="shared" si="3"/>
        <v>10</v>
      </c>
      <c r="J6" s="20">
        <f t="shared" si="3"/>
        <v>10</v>
      </c>
      <c r="K6" s="20">
        <f t="shared" si="3"/>
        <v>10</v>
      </c>
      <c r="L6" s="20">
        <f t="shared" si="3"/>
        <v>10</v>
      </c>
      <c r="M6" s="20">
        <f t="shared" si="3"/>
        <v>10</v>
      </c>
      <c r="N6" s="20">
        <f t="shared" si="3"/>
        <v>10</v>
      </c>
      <c r="O6" s="20">
        <f t="shared" si="3"/>
        <v>10</v>
      </c>
      <c r="P6" s="20">
        <f t="shared" si="3"/>
        <v>10</v>
      </c>
      <c r="Q6" s="20">
        <f t="shared" si="3"/>
        <v>10</v>
      </c>
      <c r="R6" s="20">
        <f t="shared" si="3"/>
        <v>10</v>
      </c>
      <c r="S6" s="20">
        <f t="shared" si="3"/>
        <v>10</v>
      </c>
      <c r="T6" s="20">
        <f t="shared" si="3"/>
        <v>10</v>
      </c>
      <c r="U6" s="20">
        <f t="shared" si="3"/>
        <v>10</v>
      </c>
      <c r="V6" s="20">
        <f t="shared" si="3"/>
        <v>10</v>
      </c>
      <c r="W6" s="20">
        <f t="shared" si="3"/>
        <v>10</v>
      </c>
      <c r="X6" s="20">
        <f t="shared" si="3"/>
        <v>10</v>
      </c>
      <c r="Y6" s="20">
        <f t="shared" si="3"/>
        <v>10</v>
      </c>
      <c r="Z6" s="20">
        <f t="shared" si="3"/>
        <v>10</v>
      </c>
      <c r="AA6" s="20">
        <f t="shared" si="3"/>
        <v>10</v>
      </c>
      <c r="AB6" s="20">
        <f t="shared" si="3"/>
        <v>10</v>
      </c>
      <c r="AC6" s="20">
        <f t="shared" si="3"/>
        <v>10</v>
      </c>
      <c r="AD6" s="20">
        <f t="shared" si="3"/>
        <v>10</v>
      </c>
      <c r="AE6" s="20">
        <f t="shared" si="3"/>
        <v>10</v>
      </c>
      <c r="AF6" s="20">
        <f t="shared" si="3"/>
        <v>10</v>
      </c>
      <c r="AG6" s="20">
        <f t="shared" si="3"/>
        <v>10</v>
      </c>
      <c r="AH6" s="20">
        <f t="shared" si="3"/>
        <v>10</v>
      </c>
      <c r="AI6" s="20">
        <f t="shared" si="3"/>
        <v>10</v>
      </c>
      <c r="AJ6" s="20">
        <f t="shared" si="3"/>
        <v>10</v>
      </c>
      <c r="AK6" s="20">
        <f t="shared" si="3"/>
        <v>10</v>
      </c>
      <c r="AL6" s="20">
        <f t="shared" si="3"/>
        <v>10</v>
      </c>
      <c r="AM6" s="20">
        <f t="shared" si="3"/>
        <v>10</v>
      </c>
      <c r="AN6" s="20">
        <f t="shared" si="3"/>
        <v>10</v>
      </c>
      <c r="AO6" s="20">
        <f t="shared" si="3"/>
        <v>10</v>
      </c>
      <c r="AP6" s="20">
        <f t="shared" si="3"/>
        <v>10</v>
      </c>
      <c r="AQ6" s="20">
        <f t="shared" si="3"/>
        <v>10</v>
      </c>
      <c r="AR6" s="20">
        <f t="shared" si="3"/>
        <v>10</v>
      </c>
      <c r="AS6" s="20">
        <f t="shared" si="3"/>
        <v>10</v>
      </c>
      <c r="AT6" s="20">
        <f t="shared" si="3"/>
        <v>10</v>
      </c>
      <c r="AU6" s="20">
        <f t="shared" si="3"/>
        <v>10</v>
      </c>
      <c r="AV6" s="20">
        <f t="shared" si="3"/>
        <v>10</v>
      </c>
      <c r="AW6" s="20">
        <f t="shared" si="3"/>
        <v>10</v>
      </c>
      <c r="AX6" s="20">
        <f t="shared" si="3"/>
        <v>10</v>
      </c>
      <c r="AY6" s="20">
        <f t="shared" si="3"/>
        <v>10</v>
      </c>
      <c r="AZ6" s="20">
        <f t="shared" si="3"/>
        <v>10</v>
      </c>
      <c r="BA6" s="20">
        <f t="shared" si="3"/>
        <v>10</v>
      </c>
      <c r="BB6" s="20">
        <f t="shared" si="3"/>
        <v>10</v>
      </c>
      <c r="BC6" s="20">
        <f t="shared" si="3"/>
        <v>10</v>
      </c>
      <c r="BD6" s="20">
        <f t="shared" si="3"/>
        <v>10</v>
      </c>
      <c r="BE6" s="20">
        <f t="shared" si="3"/>
        <v>10</v>
      </c>
      <c r="BF6" s="20">
        <f t="shared" si="3"/>
        <v>10</v>
      </c>
      <c r="BG6" s="20">
        <f t="shared" si="3"/>
        <v>10</v>
      </c>
      <c r="BH6" s="20">
        <f t="shared" si="3"/>
        <v>10</v>
      </c>
      <c r="BI6" s="20">
        <f t="shared" si="3"/>
        <v>10</v>
      </c>
      <c r="BJ6" s="20">
        <f t="shared" si="3"/>
        <v>10</v>
      </c>
      <c r="BK6" s="1"/>
      <c r="BL6" s="1"/>
    </row>
    <row r="7" ht="14.25" customHeight="1">
      <c r="A7" s="1"/>
      <c r="B7" s="10" t="s">
        <v>9</v>
      </c>
      <c r="C7" s="21">
        <v>29.5</v>
      </c>
      <c r="D7" s="22"/>
      <c r="E7" s="1"/>
      <c r="F7" s="18" t="s">
        <v>10</v>
      </c>
      <c r="G7" s="2">
        <v>1.0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v>0.0</v>
      </c>
      <c r="N7" s="2">
        <v>0.0</v>
      </c>
      <c r="O7" s="2">
        <v>0.0</v>
      </c>
      <c r="P7" s="2">
        <v>0.0</v>
      </c>
      <c r="Q7" s="2">
        <v>0.0</v>
      </c>
      <c r="R7" s="2">
        <v>0.0</v>
      </c>
      <c r="S7" s="2">
        <v>0.0</v>
      </c>
      <c r="T7" s="2">
        <v>0.0</v>
      </c>
      <c r="U7" s="2">
        <v>0.0</v>
      </c>
      <c r="V7" s="2">
        <v>0.0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0.0</v>
      </c>
      <c r="AH7" s="2">
        <v>0.0</v>
      </c>
      <c r="AI7" s="2">
        <v>0.0</v>
      </c>
      <c r="AJ7" s="2">
        <v>0.0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0.0</v>
      </c>
      <c r="AQ7" s="2">
        <v>0.0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>
        <v>0.0</v>
      </c>
      <c r="BG7" s="2">
        <v>0.0</v>
      </c>
      <c r="BH7" s="2">
        <v>0.0</v>
      </c>
      <c r="BI7" s="2">
        <v>0.0</v>
      </c>
      <c r="BJ7" s="2">
        <v>0.0</v>
      </c>
      <c r="BK7" s="2"/>
      <c r="BL7" s="2"/>
    </row>
    <row r="8" ht="14.25" customHeight="1">
      <c r="A8" s="1"/>
      <c r="B8" s="10" t="s">
        <v>11</v>
      </c>
      <c r="C8" s="11">
        <v>110.0</v>
      </c>
      <c r="D8" s="2"/>
      <c r="E8" s="1"/>
      <c r="F8" s="18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1"/>
      <c r="BL8" s="1"/>
    </row>
    <row r="9" ht="14.25" customHeight="1">
      <c r="A9" s="1"/>
      <c r="B9" s="10" t="s">
        <v>12</v>
      </c>
      <c r="C9" s="24">
        <v>2.9</v>
      </c>
      <c r="D9" s="25"/>
      <c r="E9" s="1"/>
      <c r="F9" s="18" t="s">
        <v>13</v>
      </c>
      <c r="G9" s="2">
        <v>0.0</v>
      </c>
      <c r="H9" s="23">
        <f>+G7</f>
        <v>1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0.0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0.0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1"/>
      <c r="BL9" s="1"/>
    </row>
    <row r="10" ht="14.25" customHeight="1">
      <c r="A10" s="1"/>
      <c r="B10" s="10" t="s">
        <v>14</v>
      </c>
      <c r="C10" s="26">
        <f>+C7*C8/1000</f>
        <v>3.245</v>
      </c>
      <c r="D10" s="27"/>
      <c r="E10" s="1"/>
      <c r="F10" s="18" t="s">
        <v>15</v>
      </c>
      <c r="G10" s="28">
        <v>0.0</v>
      </c>
      <c r="H10" s="2">
        <v>1.0</v>
      </c>
      <c r="I10" s="2">
        <v>1.0</v>
      </c>
      <c r="J10" s="2">
        <v>1.0</v>
      </c>
      <c r="K10" s="2">
        <v>1.0</v>
      </c>
      <c r="L10" s="2">
        <v>1.0</v>
      </c>
      <c r="M10" s="2">
        <v>1.0</v>
      </c>
      <c r="N10" s="2">
        <v>1.0</v>
      </c>
      <c r="O10" s="2">
        <v>1.0</v>
      </c>
      <c r="P10" s="2">
        <v>1.0</v>
      </c>
      <c r="Q10" s="2">
        <v>1.0</v>
      </c>
      <c r="R10" s="2">
        <v>1.0</v>
      </c>
      <c r="S10" s="2">
        <v>1.0</v>
      </c>
      <c r="T10" s="2">
        <v>1.0</v>
      </c>
      <c r="U10" s="2">
        <v>1.0</v>
      </c>
      <c r="V10" s="2">
        <v>1.0</v>
      </c>
      <c r="W10" s="2">
        <v>1.0</v>
      </c>
      <c r="X10" s="2">
        <v>1.0</v>
      </c>
      <c r="Y10" s="2">
        <v>1.0</v>
      </c>
      <c r="Z10" s="2">
        <v>1.0</v>
      </c>
      <c r="AA10" s="2">
        <v>1.0</v>
      </c>
      <c r="AB10" s="2">
        <v>1.0</v>
      </c>
      <c r="AC10" s="2">
        <v>1.0</v>
      </c>
      <c r="AD10" s="2">
        <v>1.0</v>
      </c>
      <c r="AE10" s="2">
        <v>1.0</v>
      </c>
      <c r="AF10" s="2">
        <v>1.0</v>
      </c>
      <c r="AG10" s="2">
        <v>1.0</v>
      </c>
      <c r="AH10" s="2">
        <v>1.0</v>
      </c>
      <c r="AI10" s="2">
        <v>1.0</v>
      </c>
      <c r="AJ10" s="2">
        <v>1.0</v>
      </c>
      <c r="AK10" s="2">
        <v>1.0</v>
      </c>
      <c r="AL10" s="2">
        <v>1.0</v>
      </c>
      <c r="AM10" s="2">
        <v>1.0</v>
      </c>
      <c r="AN10" s="2">
        <v>1.0</v>
      </c>
      <c r="AO10" s="2">
        <v>1.0</v>
      </c>
      <c r="AP10" s="2">
        <v>1.0</v>
      </c>
      <c r="AQ10" s="2">
        <v>1.0</v>
      </c>
      <c r="AR10" s="2">
        <v>1.0</v>
      </c>
      <c r="AS10" s="2">
        <v>1.0</v>
      </c>
      <c r="AT10" s="2">
        <v>1.0</v>
      </c>
      <c r="AU10" s="2">
        <v>1.0</v>
      </c>
      <c r="AV10" s="2">
        <v>1.0</v>
      </c>
      <c r="AW10" s="2">
        <v>1.0</v>
      </c>
      <c r="AX10" s="2">
        <v>1.0</v>
      </c>
      <c r="AY10" s="2">
        <v>1.0</v>
      </c>
      <c r="AZ10" s="2">
        <v>1.0</v>
      </c>
      <c r="BA10" s="2">
        <v>1.0</v>
      </c>
      <c r="BB10" s="2">
        <v>1.0</v>
      </c>
      <c r="BC10" s="2">
        <v>1.0</v>
      </c>
      <c r="BD10" s="2">
        <v>1.0</v>
      </c>
      <c r="BE10" s="2">
        <v>1.0</v>
      </c>
      <c r="BF10" s="2">
        <v>1.0</v>
      </c>
      <c r="BG10" s="2">
        <v>1.0</v>
      </c>
      <c r="BH10" s="2">
        <v>1.0</v>
      </c>
      <c r="BI10" s="2">
        <v>1.0</v>
      </c>
      <c r="BJ10" s="2">
        <v>1.0</v>
      </c>
      <c r="BK10" s="1"/>
      <c r="BL10" s="1"/>
    </row>
    <row r="11" ht="14.25" customHeight="1">
      <c r="A11" s="1"/>
      <c r="B11" s="10" t="s">
        <v>16</v>
      </c>
      <c r="C11" s="11">
        <v>396.0</v>
      </c>
      <c r="D11" s="2"/>
      <c r="E11" s="1"/>
      <c r="F11" s="18" t="s">
        <v>17</v>
      </c>
      <c r="G11" s="29">
        <v>0.0</v>
      </c>
      <c r="H11" s="29">
        <v>0.0</v>
      </c>
      <c r="I11" s="29">
        <v>1.0</v>
      </c>
      <c r="J11" s="29">
        <v>1.0</v>
      </c>
      <c r="K11" s="29">
        <v>1.0</v>
      </c>
      <c r="L11" s="29">
        <v>1.0</v>
      </c>
      <c r="M11" s="29">
        <v>1.0</v>
      </c>
      <c r="N11" s="29">
        <v>1.0</v>
      </c>
      <c r="O11" s="29">
        <v>1.0</v>
      </c>
      <c r="P11" s="29">
        <v>1.0</v>
      </c>
      <c r="Q11" s="29">
        <v>1.0</v>
      </c>
      <c r="R11" s="29">
        <v>1.0</v>
      </c>
      <c r="S11" s="29">
        <v>1.0</v>
      </c>
      <c r="T11" s="29">
        <v>1.0</v>
      </c>
      <c r="U11" s="29">
        <v>1.0</v>
      </c>
      <c r="V11" s="29">
        <v>1.0</v>
      </c>
      <c r="W11" s="29">
        <v>0.0</v>
      </c>
      <c r="X11" s="29">
        <v>1.0</v>
      </c>
      <c r="Y11" s="29">
        <v>1.0</v>
      </c>
      <c r="Z11" s="29">
        <v>1.0</v>
      </c>
      <c r="AA11" s="29">
        <v>1.0</v>
      </c>
      <c r="AB11" s="29">
        <v>1.0</v>
      </c>
      <c r="AC11" s="29">
        <v>1.0</v>
      </c>
      <c r="AD11" s="29">
        <v>0.0</v>
      </c>
      <c r="AE11" s="29">
        <v>1.0</v>
      </c>
      <c r="AF11" s="29">
        <v>1.0</v>
      </c>
      <c r="AG11" s="29">
        <v>1.0</v>
      </c>
      <c r="AH11" s="29">
        <v>1.0</v>
      </c>
      <c r="AI11" s="29">
        <v>1.0</v>
      </c>
      <c r="AJ11" s="29">
        <v>1.0</v>
      </c>
      <c r="AK11" s="29">
        <v>0.0</v>
      </c>
      <c r="AL11" s="29">
        <v>1.0</v>
      </c>
      <c r="AM11" s="29">
        <v>1.0</v>
      </c>
      <c r="AN11" s="29">
        <v>1.0</v>
      </c>
      <c r="AO11" s="29">
        <v>1.0</v>
      </c>
      <c r="AP11" s="29">
        <v>1.0</v>
      </c>
      <c r="AQ11" s="29">
        <v>1.0</v>
      </c>
      <c r="AR11" s="29">
        <v>0.0</v>
      </c>
      <c r="AS11" s="29">
        <v>1.0</v>
      </c>
      <c r="AT11" s="29">
        <v>1.0</v>
      </c>
      <c r="AU11" s="29">
        <v>1.0</v>
      </c>
      <c r="AV11" s="29">
        <v>1.0</v>
      </c>
      <c r="AW11" s="29">
        <v>1.0</v>
      </c>
      <c r="AX11" s="29">
        <v>1.0</v>
      </c>
      <c r="AY11" s="29">
        <v>0.0</v>
      </c>
      <c r="AZ11" s="29">
        <v>1.0</v>
      </c>
      <c r="BA11" s="29">
        <v>1.0</v>
      </c>
      <c r="BB11" s="29">
        <v>1.0</v>
      </c>
      <c r="BC11" s="29">
        <v>1.0</v>
      </c>
      <c r="BD11" s="29">
        <v>1.0</v>
      </c>
      <c r="BE11" s="29">
        <v>1.0</v>
      </c>
      <c r="BF11" s="29">
        <v>0.0</v>
      </c>
      <c r="BG11" s="29">
        <v>1.0</v>
      </c>
      <c r="BH11" s="29">
        <v>1.0</v>
      </c>
      <c r="BI11" s="29">
        <v>1.0</v>
      </c>
      <c r="BJ11" s="29">
        <v>1.0</v>
      </c>
      <c r="BK11" s="30"/>
      <c r="BL11" s="30"/>
    </row>
    <row r="12" ht="14.25" customHeight="1">
      <c r="A12" s="1"/>
      <c r="B12" s="10" t="s">
        <v>18</v>
      </c>
      <c r="C12" s="31">
        <f>MIN(C5/C10,C11)</f>
        <v>375.96302</v>
      </c>
      <c r="D12" s="23"/>
      <c r="E12" s="1"/>
      <c r="F12" s="18" t="s">
        <v>19</v>
      </c>
      <c r="G12" s="4">
        <f t="shared" ref="G12:BJ12" si="4">+G10*$C$13*($C$14)*G11</f>
        <v>0</v>
      </c>
      <c r="H12" s="4">
        <f t="shared" si="4"/>
        <v>0</v>
      </c>
      <c r="I12" s="4">
        <f t="shared" si="4"/>
        <v>39.28813559</v>
      </c>
      <c r="J12" s="4">
        <f t="shared" si="4"/>
        <v>39.28813559</v>
      </c>
      <c r="K12" s="4">
        <f t="shared" si="4"/>
        <v>39.28813559</v>
      </c>
      <c r="L12" s="4">
        <f t="shared" si="4"/>
        <v>39.28813559</v>
      </c>
      <c r="M12" s="4">
        <f t="shared" si="4"/>
        <v>39.28813559</v>
      </c>
      <c r="N12" s="4">
        <f t="shared" si="4"/>
        <v>39.28813559</v>
      </c>
      <c r="O12" s="4">
        <f t="shared" si="4"/>
        <v>39.28813559</v>
      </c>
      <c r="P12" s="4">
        <f t="shared" si="4"/>
        <v>39.28813559</v>
      </c>
      <c r="Q12" s="4">
        <f t="shared" si="4"/>
        <v>39.28813559</v>
      </c>
      <c r="R12" s="4">
        <f t="shared" si="4"/>
        <v>39.28813559</v>
      </c>
      <c r="S12" s="4">
        <f t="shared" si="4"/>
        <v>39.28813559</v>
      </c>
      <c r="T12" s="4">
        <f t="shared" si="4"/>
        <v>39.28813559</v>
      </c>
      <c r="U12" s="4">
        <f t="shared" si="4"/>
        <v>39.28813559</v>
      </c>
      <c r="V12" s="4">
        <f t="shared" si="4"/>
        <v>39.28813559</v>
      </c>
      <c r="W12" s="4">
        <f t="shared" si="4"/>
        <v>0</v>
      </c>
      <c r="X12" s="4">
        <f t="shared" si="4"/>
        <v>39.28813559</v>
      </c>
      <c r="Y12" s="4">
        <f t="shared" si="4"/>
        <v>39.28813559</v>
      </c>
      <c r="Z12" s="4">
        <f t="shared" si="4"/>
        <v>39.28813559</v>
      </c>
      <c r="AA12" s="4">
        <f t="shared" si="4"/>
        <v>39.28813559</v>
      </c>
      <c r="AB12" s="4">
        <f t="shared" si="4"/>
        <v>39.28813559</v>
      </c>
      <c r="AC12" s="4">
        <f t="shared" si="4"/>
        <v>39.28813559</v>
      </c>
      <c r="AD12" s="4">
        <f t="shared" si="4"/>
        <v>0</v>
      </c>
      <c r="AE12" s="4">
        <f t="shared" si="4"/>
        <v>39.28813559</v>
      </c>
      <c r="AF12" s="4">
        <f t="shared" si="4"/>
        <v>39.28813559</v>
      </c>
      <c r="AG12" s="4">
        <f t="shared" si="4"/>
        <v>39.28813559</v>
      </c>
      <c r="AH12" s="4">
        <f t="shared" si="4"/>
        <v>39.28813559</v>
      </c>
      <c r="AI12" s="4">
        <f t="shared" si="4"/>
        <v>39.28813559</v>
      </c>
      <c r="AJ12" s="4">
        <f t="shared" si="4"/>
        <v>39.28813559</v>
      </c>
      <c r="AK12" s="4">
        <f t="shared" si="4"/>
        <v>0</v>
      </c>
      <c r="AL12" s="4">
        <f t="shared" si="4"/>
        <v>39.28813559</v>
      </c>
      <c r="AM12" s="4">
        <f t="shared" si="4"/>
        <v>39.28813559</v>
      </c>
      <c r="AN12" s="4">
        <f t="shared" si="4"/>
        <v>39.28813559</v>
      </c>
      <c r="AO12" s="4">
        <f t="shared" si="4"/>
        <v>39.28813559</v>
      </c>
      <c r="AP12" s="4">
        <f t="shared" si="4"/>
        <v>39.28813559</v>
      </c>
      <c r="AQ12" s="4">
        <f t="shared" si="4"/>
        <v>39.28813559</v>
      </c>
      <c r="AR12" s="4">
        <f t="shared" si="4"/>
        <v>0</v>
      </c>
      <c r="AS12" s="4">
        <f t="shared" si="4"/>
        <v>39.28813559</v>
      </c>
      <c r="AT12" s="4">
        <f t="shared" si="4"/>
        <v>39.28813559</v>
      </c>
      <c r="AU12" s="4">
        <f t="shared" si="4"/>
        <v>39.28813559</v>
      </c>
      <c r="AV12" s="4">
        <f t="shared" si="4"/>
        <v>39.28813559</v>
      </c>
      <c r="AW12" s="4">
        <f t="shared" si="4"/>
        <v>39.28813559</v>
      </c>
      <c r="AX12" s="4">
        <f t="shared" si="4"/>
        <v>39.28813559</v>
      </c>
      <c r="AY12" s="4">
        <f t="shared" si="4"/>
        <v>0</v>
      </c>
      <c r="AZ12" s="4">
        <f t="shared" si="4"/>
        <v>39.28813559</v>
      </c>
      <c r="BA12" s="4">
        <f t="shared" si="4"/>
        <v>39.28813559</v>
      </c>
      <c r="BB12" s="4">
        <f t="shared" si="4"/>
        <v>39.28813559</v>
      </c>
      <c r="BC12" s="4">
        <f t="shared" si="4"/>
        <v>39.28813559</v>
      </c>
      <c r="BD12" s="4">
        <f t="shared" si="4"/>
        <v>39.28813559</v>
      </c>
      <c r="BE12" s="4">
        <f t="shared" si="4"/>
        <v>39.28813559</v>
      </c>
      <c r="BF12" s="4">
        <f t="shared" si="4"/>
        <v>0</v>
      </c>
      <c r="BG12" s="4">
        <f t="shared" si="4"/>
        <v>39.28813559</v>
      </c>
      <c r="BH12" s="4">
        <f t="shared" si="4"/>
        <v>39.28813559</v>
      </c>
      <c r="BI12" s="4">
        <f t="shared" si="4"/>
        <v>39.28813559</v>
      </c>
      <c r="BJ12" s="4">
        <f t="shared" si="4"/>
        <v>39.28813559</v>
      </c>
      <c r="BK12" s="1"/>
      <c r="BL12" s="1"/>
    </row>
    <row r="13" ht="14.25" customHeight="1">
      <c r="A13" s="1"/>
      <c r="B13" s="10" t="s">
        <v>20</v>
      </c>
      <c r="C13" s="32">
        <f>+C8*C12/1000</f>
        <v>41.3559322</v>
      </c>
      <c r="D13" s="4"/>
      <c r="E13" s="1"/>
      <c r="F13" s="18"/>
      <c r="G13" s="28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1"/>
      <c r="BL13" s="1"/>
    </row>
    <row r="14" ht="14.25" customHeight="1">
      <c r="A14" s="1"/>
      <c r="B14" s="10" t="s">
        <v>21</v>
      </c>
      <c r="C14" s="33">
        <v>0.95</v>
      </c>
      <c r="D14" s="34"/>
      <c r="E14" s="1"/>
      <c r="F14" s="35" t="s">
        <v>22</v>
      </c>
      <c r="G14" s="36" t="s">
        <v>23</v>
      </c>
      <c r="H14" s="36" t="s">
        <v>24</v>
      </c>
      <c r="I14" s="36" t="s">
        <v>25</v>
      </c>
      <c r="J14" s="36" t="s">
        <v>26</v>
      </c>
      <c r="K14" s="36" t="s">
        <v>27</v>
      </c>
      <c r="L14" s="36" t="s">
        <v>28</v>
      </c>
      <c r="M14" s="36" t="s">
        <v>29</v>
      </c>
      <c r="N14" s="36" t="s">
        <v>30</v>
      </c>
      <c r="O14" s="36" t="s">
        <v>31</v>
      </c>
      <c r="P14" s="37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1"/>
      <c r="BL14" s="1"/>
    </row>
    <row r="15" ht="4.5" customHeight="1">
      <c r="A15" s="1"/>
      <c r="B15" s="10"/>
      <c r="C15" s="33"/>
      <c r="D15" s="34"/>
      <c r="E15" s="1"/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1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1"/>
      <c r="BL15" s="1"/>
    </row>
    <row r="16" ht="14.25" customHeight="1">
      <c r="A16" s="1"/>
      <c r="B16" s="10" t="s">
        <v>32</v>
      </c>
      <c r="C16" s="43">
        <v>54000.0</v>
      </c>
      <c r="D16" s="28"/>
      <c r="E16" s="1"/>
      <c r="F16" s="18" t="s">
        <v>33</v>
      </c>
      <c r="G16" s="20">
        <f t="shared" ref="G16:BJ16" si="5">+G10*$C$16*G11</f>
        <v>0</v>
      </c>
      <c r="H16" s="20">
        <f t="shared" si="5"/>
        <v>0</v>
      </c>
      <c r="I16" s="20">
        <f t="shared" si="5"/>
        <v>54000</v>
      </c>
      <c r="J16" s="20">
        <f t="shared" si="5"/>
        <v>54000</v>
      </c>
      <c r="K16" s="20">
        <f t="shared" si="5"/>
        <v>54000</v>
      </c>
      <c r="L16" s="20">
        <f t="shared" si="5"/>
        <v>54000</v>
      </c>
      <c r="M16" s="20">
        <f t="shared" si="5"/>
        <v>54000</v>
      </c>
      <c r="N16" s="20">
        <f t="shared" si="5"/>
        <v>54000</v>
      </c>
      <c r="O16" s="20">
        <f t="shared" si="5"/>
        <v>54000</v>
      </c>
      <c r="P16" s="20">
        <f t="shared" si="5"/>
        <v>54000</v>
      </c>
      <c r="Q16" s="20">
        <f t="shared" si="5"/>
        <v>54000</v>
      </c>
      <c r="R16" s="20">
        <f t="shared" si="5"/>
        <v>54000</v>
      </c>
      <c r="S16" s="20">
        <f t="shared" si="5"/>
        <v>54000</v>
      </c>
      <c r="T16" s="20">
        <f t="shared" si="5"/>
        <v>54000</v>
      </c>
      <c r="U16" s="20">
        <f t="shared" si="5"/>
        <v>54000</v>
      </c>
      <c r="V16" s="20">
        <f t="shared" si="5"/>
        <v>54000</v>
      </c>
      <c r="W16" s="20">
        <f t="shared" si="5"/>
        <v>0</v>
      </c>
      <c r="X16" s="20">
        <f t="shared" si="5"/>
        <v>54000</v>
      </c>
      <c r="Y16" s="20">
        <f t="shared" si="5"/>
        <v>54000</v>
      </c>
      <c r="Z16" s="20">
        <f t="shared" si="5"/>
        <v>54000</v>
      </c>
      <c r="AA16" s="20">
        <f t="shared" si="5"/>
        <v>54000</v>
      </c>
      <c r="AB16" s="20">
        <f t="shared" si="5"/>
        <v>54000</v>
      </c>
      <c r="AC16" s="20">
        <f t="shared" si="5"/>
        <v>54000</v>
      </c>
      <c r="AD16" s="20">
        <f t="shared" si="5"/>
        <v>0</v>
      </c>
      <c r="AE16" s="20">
        <f t="shared" si="5"/>
        <v>54000</v>
      </c>
      <c r="AF16" s="20">
        <f t="shared" si="5"/>
        <v>54000</v>
      </c>
      <c r="AG16" s="20">
        <f t="shared" si="5"/>
        <v>54000</v>
      </c>
      <c r="AH16" s="20">
        <f t="shared" si="5"/>
        <v>54000</v>
      </c>
      <c r="AI16" s="20">
        <f t="shared" si="5"/>
        <v>54000</v>
      </c>
      <c r="AJ16" s="20">
        <f t="shared" si="5"/>
        <v>54000</v>
      </c>
      <c r="AK16" s="20">
        <f t="shared" si="5"/>
        <v>0</v>
      </c>
      <c r="AL16" s="20">
        <f t="shared" si="5"/>
        <v>54000</v>
      </c>
      <c r="AM16" s="20">
        <f t="shared" si="5"/>
        <v>54000</v>
      </c>
      <c r="AN16" s="20">
        <f t="shared" si="5"/>
        <v>54000</v>
      </c>
      <c r="AO16" s="20">
        <f t="shared" si="5"/>
        <v>54000</v>
      </c>
      <c r="AP16" s="20">
        <f t="shared" si="5"/>
        <v>54000</v>
      </c>
      <c r="AQ16" s="20">
        <f t="shared" si="5"/>
        <v>54000</v>
      </c>
      <c r="AR16" s="20">
        <f t="shared" si="5"/>
        <v>0</v>
      </c>
      <c r="AS16" s="20">
        <f t="shared" si="5"/>
        <v>54000</v>
      </c>
      <c r="AT16" s="20">
        <f t="shared" si="5"/>
        <v>54000</v>
      </c>
      <c r="AU16" s="20">
        <f t="shared" si="5"/>
        <v>54000</v>
      </c>
      <c r="AV16" s="20">
        <f t="shared" si="5"/>
        <v>54000</v>
      </c>
      <c r="AW16" s="20">
        <f t="shared" si="5"/>
        <v>54000</v>
      </c>
      <c r="AX16" s="20">
        <f t="shared" si="5"/>
        <v>54000</v>
      </c>
      <c r="AY16" s="20">
        <f t="shared" si="5"/>
        <v>0</v>
      </c>
      <c r="AZ16" s="20">
        <f t="shared" si="5"/>
        <v>54000</v>
      </c>
      <c r="BA16" s="20">
        <f t="shared" si="5"/>
        <v>54000</v>
      </c>
      <c r="BB16" s="20">
        <f t="shared" si="5"/>
        <v>54000</v>
      </c>
      <c r="BC16" s="20">
        <f t="shared" si="5"/>
        <v>54000</v>
      </c>
      <c r="BD16" s="20">
        <f t="shared" si="5"/>
        <v>54000</v>
      </c>
      <c r="BE16" s="20">
        <f t="shared" si="5"/>
        <v>54000</v>
      </c>
      <c r="BF16" s="20">
        <f t="shared" si="5"/>
        <v>0</v>
      </c>
      <c r="BG16" s="20">
        <f t="shared" si="5"/>
        <v>54000</v>
      </c>
      <c r="BH16" s="20">
        <f t="shared" si="5"/>
        <v>54000</v>
      </c>
      <c r="BI16" s="20">
        <f t="shared" si="5"/>
        <v>54000</v>
      </c>
      <c r="BJ16" s="20">
        <f t="shared" si="5"/>
        <v>54000</v>
      </c>
      <c r="BK16" s="1"/>
      <c r="BL16" s="1"/>
    </row>
    <row r="17" ht="14.25" customHeight="1">
      <c r="A17" s="1"/>
      <c r="B17" s="10" t="s">
        <v>34</v>
      </c>
      <c r="C17" s="33">
        <v>0.1</v>
      </c>
      <c r="D17" s="34"/>
      <c r="E17" s="1"/>
      <c r="F17" s="18" t="s">
        <v>35</v>
      </c>
      <c r="G17" s="23">
        <v>0.0</v>
      </c>
      <c r="H17" s="44">
        <v>5000.0</v>
      </c>
      <c r="I17" s="44">
        <v>5000.0</v>
      </c>
      <c r="J17" s="44">
        <v>5000.0</v>
      </c>
      <c r="K17" s="44">
        <v>5000.0</v>
      </c>
      <c r="L17" s="44">
        <v>5000.0</v>
      </c>
      <c r="M17" s="44">
        <v>5000.0</v>
      </c>
      <c r="N17" s="44">
        <v>5000.0</v>
      </c>
      <c r="O17" s="44">
        <v>5000.0</v>
      </c>
      <c r="P17" s="23">
        <f t="shared" ref="P17:BJ17" si="6">+P12*(P3-O3)*P6*$C$17</f>
        <v>1100.067797</v>
      </c>
      <c r="Q17" s="23">
        <f t="shared" si="6"/>
        <v>1217.932203</v>
      </c>
      <c r="R17" s="23">
        <f t="shared" si="6"/>
        <v>1178.644068</v>
      </c>
      <c r="S17" s="23">
        <f t="shared" si="6"/>
        <v>1217.932203</v>
      </c>
      <c r="T17" s="23">
        <f t="shared" si="6"/>
        <v>1178.644068</v>
      </c>
      <c r="U17" s="23">
        <f t="shared" si="6"/>
        <v>1217.932203</v>
      </c>
      <c r="V17" s="23">
        <f t="shared" si="6"/>
        <v>1217.932203</v>
      </c>
      <c r="W17" s="23">
        <f t="shared" si="6"/>
        <v>0</v>
      </c>
      <c r="X17" s="23">
        <f t="shared" si="6"/>
        <v>1217.932203</v>
      </c>
      <c r="Y17" s="23">
        <f t="shared" si="6"/>
        <v>1178.644068</v>
      </c>
      <c r="Z17" s="23">
        <f t="shared" si="6"/>
        <v>1217.932203</v>
      </c>
      <c r="AA17" s="23">
        <f t="shared" si="6"/>
        <v>1217.932203</v>
      </c>
      <c r="AB17" s="23">
        <f t="shared" si="6"/>
        <v>1100.067797</v>
      </c>
      <c r="AC17" s="23">
        <f t="shared" si="6"/>
        <v>1217.932203</v>
      </c>
      <c r="AD17" s="23">
        <f t="shared" si="6"/>
        <v>0</v>
      </c>
      <c r="AE17" s="23">
        <f t="shared" si="6"/>
        <v>1217.932203</v>
      </c>
      <c r="AF17" s="23">
        <f t="shared" si="6"/>
        <v>1178.644068</v>
      </c>
      <c r="AG17" s="23">
        <f t="shared" si="6"/>
        <v>1217.932203</v>
      </c>
      <c r="AH17" s="23">
        <f t="shared" si="6"/>
        <v>1217.932203</v>
      </c>
      <c r="AI17" s="23">
        <f t="shared" si="6"/>
        <v>1178.644068</v>
      </c>
      <c r="AJ17" s="23">
        <f t="shared" si="6"/>
        <v>1217.932203</v>
      </c>
      <c r="AK17" s="23">
        <f t="shared" si="6"/>
        <v>0</v>
      </c>
      <c r="AL17" s="23">
        <f t="shared" si="6"/>
        <v>1217.932203</v>
      </c>
      <c r="AM17" s="23">
        <f t="shared" si="6"/>
        <v>1217.932203</v>
      </c>
      <c r="AN17" s="23">
        <f t="shared" si="6"/>
        <v>1139.355932</v>
      </c>
      <c r="AO17" s="23">
        <f t="shared" si="6"/>
        <v>1217.932203</v>
      </c>
      <c r="AP17" s="23">
        <f t="shared" si="6"/>
        <v>1178.644068</v>
      </c>
      <c r="AQ17" s="23">
        <f t="shared" si="6"/>
        <v>1217.932203</v>
      </c>
      <c r="AR17" s="23">
        <f t="shared" si="6"/>
        <v>0</v>
      </c>
      <c r="AS17" s="23">
        <f t="shared" si="6"/>
        <v>1217.932203</v>
      </c>
      <c r="AT17" s="23">
        <f t="shared" si="6"/>
        <v>1217.932203</v>
      </c>
      <c r="AU17" s="23">
        <f t="shared" si="6"/>
        <v>1178.644068</v>
      </c>
      <c r="AV17" s="23">
        <f t="shared" si="6"/>
        <v>1217.932203</v>
      </c>
      <c r="AW17" s="23">
        <f t="shared" si="6"/>
        <v>1178.644068</v>
      </c>
      <c r="AX17" s="23">
        <f t="shared" si="6"/>
        <v>1217.932203</v>
      </c>
      <c r="AY17" s="23">
        <f t="shared" si="6"/>
        <v>0</v>
      </c>
      <c r="AZ17" s="23">
        <f t="shared" si="6"/>
        <v>1100.067797</v>
      </c>
      <c r="BA17" s="23">
        <f t="shared" si="6"/>
        <v>1217.932203</v>
      </c>
      <c r="BB17" s="23">
        <f t="shared" si="6"/>
        <v>1178.644068</v>
      </c>
      <c r="BC17" s="23">
        <f t="shared" si="6"/>
        <v>1217.932203</v>
      </c>
      <c r="BD17" s="23">
        <f t="shared" si="6"/>
        <v>1178.644068</v>
      </c>
      <c r="BE17" s="23">
        <f t="shared" si="6"/>
        <v>1217.932203</v>
      </c>
      <c r="BF17" s="23">
        <f t="shared" si="6"/>
        <v>0</v>
      </c>
      <c r="BG17" s="23">
        <f t="shared" si="6"/>
        <v>1178.644068</v>
      </c>
      <c r="BH17" s="23">
        <f t="shared" si="6"/>
        <v>1217.932203</v>
      </c>
      <c r="BI17" s="23">
        <f t="shared" si="6"/>
        <v>1178.644068</v>
      </c>
      <c r="BJ17" s="23">
        <f t="shared" si="6"/>
        <v>1217.932203</v>
      </c>
      <c r="BK17" s="1"/>
      <c r="BL17" s="1"/>
    </row>
    <row r="18" ht="14.25" customHeight="1">
      <c r="A18" s="1"/>
      <c r="B18" s="10" t="s">
        <v>36</v>
      </c>
      <c r="C18" s="45" t="str">
        <f>+Monthly!$B$106</f>
        <v>#REF!</v>
      </c>
      <c r="D18" s="34"/>
      <c r="E18" s="1"/>
      <c r="F18" s="18" t="s">
        <v>37</v>
      </c>
      <c r="G18" s="23">
        <v>0.0</v>
      </c>
      <c r="H18" s="23">
        <v>0.0</v>
      </c>
      <c r="I18" s="23">
        <v>25000.0</v>
      </c>
      <c r="J18" s="23">
        <v>0.0</v>
      </c>
      <c r="K18" s="23">
        <v>0.0</v>
      </c>
      <c r="L18" s="23">
        <v>0.0</v>
      </c>
      <c r="M18" s="23">
        <v>0.0</v>
      </c>
      <c r="N18" s="23">
        <v>0.0</v>
      </c>
      <c r="O18" s="23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0.0</v>
      </c>
      <c r="Z18" s="2">
        <v>0.0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0.0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>
        <v>0.0</v>
      </c>
      <c r="BG18" s="2">
        <v>0.0</v>
      </c>
      <c r="BH18" s="2">
        <v>0.0</v>
      </c>
      <c r="BI18" s="2">
        <v>0.0</v>
      </c>
      <c r="BJ18" s="2">
        <v>0.0</v>
      </c>
      <c r="BK18" s="1"/>
      <c r="BL18" s="1"/>
    </row>
    <row r="19" ht="14.25" customHeight="1">
      <c r="A19" s="1"/>
      <c r="B19" s="10" t="s">
        <v>38</v>
      </c>
      <c r="C19" s="43">
        <v>10000.0</v>
      </c>
      <c r="D19" s="28"/>
      <c r="E19" s="1"/>
      <c r="F19" s="18" t="s">
        <v>39</v>
      </c>
      <c r="G19" s="23">
        <f>+G9*-$C$19</f>
        <v>0</v>
      </c>
      <c r="H19" s="23">
        <v>0.0</v>
      </c>
      <c r="I19" s="23">
        <f>-I18-$C$19</f>
        <v>-35000</v>
      </c>
      <c r="J19" s="23">
        <v>0.0</v>
      </c>
      <c r="K19" s="23">
        <v>0.0</v>
      </c>
      <c r="L19" s="23">
        <v>0.0</v>
      </c>
      <c r="M19" s="23">
        <v>0.0</v>
      </c>
      <c r="N19" s="23">
        <v>0.0</v>
      </c>
      <c r="O19" s="23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0.0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>
        <v>0.0</v>
      </c>
      <c r="BG19" s="2">
        <v>0.0</v>
      </c>
      <c r="BH19" s="2">
        <v>0.0</v>
      </c>
      <c r="BI19" s="2">
        <v>0.0</v>
      </c>
      <c r="BJ19" s="2">
        <v>0.0</v>
      </c>
      <c r="BK19" s="1"/>
      <c r="BL19" s="1"/>
    </row>
    <row r="20" ht="14.25" customHeight="1">
      <c r="A20" s="1"/>
      <c r="B20" s="46" t="s">
        <v>40</v>
      </c>
      <c r="C20" s="47">
        <v>5000.0</v>
      </c>
      <c r="D20" s="28"/>
      <c r="E20" s="1"/>
      <c r="F20" s="48" t="s">
        <v>41</v>
      </c>
      <c r="G20" s="49">
        <f t="shared" ref="G20:BJ20" si="7">+(-$C$20*G10*G11)</f>
        <v>0</v>
      </c>
      <c r="H20" s="49">
        <f t="shared" si="7"/>
        <v>0</v>
      </c>
      <c r="I20" s="49">
        <f t="shared" si="7"/>
        <v>-5000</v>
      </c>
      <c r="J20" s="49">
        <f t="shared" si="7"/>
        <v>-5000</v>
      </c>
      <c r="K20" s="49">
        <f t="shared" si="7"/>
        <v>-5000</v>
      </c>
      <c r="L20" s="49">
        <f t="shared" si="7"/>
        <v>-5000</v>
      </c>
      <c r="M20" s="49">
        <f t="shared" si="7"/>
        <v>-5000</v>
      </c>
      <c r="N20" s="49">
        <f t="shared" si="7"/>
        <v>-5000</v>
      </c>
      <c r="O20" s="49">
        <f t="shared" si="7"/>
        <v>-5000</v>
      </c>
      <c r="P20" s="49">
        <f t="shared" si="7"/>
        <v>-5000</v>
      </c>
      <c r="Q20" s="49">
        <f t="shared" si="7"/>
        <v>-5000</v>
      </c>
      <c r="R20" s="49">
        <f t="shared" si="7"/>
        <v>-5000</v>
      </c>
      <c r="S20" s="49">
        <f t="shared" si="7"/>
        <v>-5000</v>
      </c>
      <c r="T20" s="49">
        <f t="shared" si="7"/>
        <v>-5000</v>
      </c>
      <c r="U20" s="49">
        <f t="shared" si="7"/>
        <v>-5000</v>
      </c>
      <c r="V20" s="49">
        <f t="shared" si="7"/>
        <v>-5000</v>
      </c>
      <c r="W20" s="49">
        <f t="shared" si="7"/>
        <v>0</v>
      </c>
      <c r="X20" s="49">
        <f t="shared" si="7"/>
        <v>-5000</v>
      </c>
      <c r="Y20" s="49">
        <f t="shared" si="7"/>
        <v>-5000</v>
      </c>
      <c r="Z20" s="49">
        <f t="shared" si="7"/>
        <v>-5000</v>
      </c>
      <c r="AA20" s="49">
        <f t="shared" si="7"/>
        <v>-5000</v>
      </c>
      <c r="AB20" s="49">
        <f t="shared" si="7"/>
        <v>-5000</v>
      </c>
      <c r="AC20" s="49">
        <f t="shared" si="7"/>
        <v>-5000</v>
      </c>
      <c r="AD20" s="49">
        <f t="shared" si="7"/>
        <v>0</v>
      </c>
      <c r="AE20" s="49">
        <f t="shared" si="7"/>
        <v>-5000</v>
      </c>
      <c r="AF20" s="49">
        <f t="shared" si="7"/>
        <v>-5000</v>
      </c>
      <c r="AG20" s="49">
        <f t="shared" si="7"/>
        <v>-5000</v>
      </c>
      <c r="AH20" s="49">
        <f t="shared" si="7"/>
        <v>-5000</v>
      </c>
      <c r="AI20" s="49">
        <f t="shared" si="7"/>
        <v>-5000</v>
      </c>
      <c r="AJ20" s="49">
        <f t="shared" si="7"/>
        <v>-5000</v>
      </c>
      <c r="AK20" s="49">
        <f t="shared" si="7"/>
        <v>0</v>
      </c>
      <c r="AL20" s="49">
        <f t="shared" si="7"/>
        <v>-5000</v>
      </c>
      <c r="AM20" s="49">
        <f t="shared" si="7"/>
        <v>-5000</v>
      </c>
      <c r="AN20" s="49">
        <f t="shared" si="7"/>
        <v>-5000</v>
      </c>
      <c r="AO20" s="49">
        <f t="shared" si="7"/>
        <v>-5000</v>
      </c>
      <c r="AP20" s="49">
        <f t="shared" si="7"/>
        <v>-5000</v>
      </c>
      <c r="AQ20" s="49">
        <f t="shared" si="7"/>
        <v>-5000</v>
      </c>
      <c r="AR20" s="49">
        <f t="shared" si="7"/>
        <v>0</v>
      </c>
      <c r="AS20" s="49">
        <f t="shared" si="7"/>
        <v>-5000</v>
      </c>
      <c r="AT20" s="49">
        <f t="shared" si="7"/>
        <v>-5000</v>
      </c>
      <c r="AU20" s="49">
        <f t="shared" si="7"/>
        <v>-5000</v>
      </c>
      <c r="AV20" s="49">
        <f t="shared" si="7"/>
        <v>-5000</v>
      </c>
      <c r="AW20" s="49">
        <f t="shared" si="7"/>
        <v>-5000</v>
      </c>
      <c r="AX20" s="49">
        <f t="shared" si="7"/>
        <v>-5000</v>
      </c>
      <c r="AY20" s="49">
        <f t="shared" si="7"/>
        <v>0</v>
      </c>
      <c r="AZ20" s="49">
        <f t="shared" si="7"/>
        <v>-5000</v>
      </c>
      <c r="BA20" s="49">
        <f t="shared" si="7"/>
        <v>-5000</v>
      </c>
      <c r="BB20" s="49">
        <f t="shared" si="7"/>
        <v>-5000</v>
      </c>
      <c r="BC20" s="49">
        <f t="shared" si="7"/>
        <v>-5000</v>
      </c>
      <c r="BD20" s="49">
        <f t="shared" si="7"/>
        <v>-5000</v>
      </c>
      <c r="BE20" s="49">
        <f t="shared" si="7"/>
        <v>-5000</v>
      </c>
      <c r="BF20" s="49">
        <f t="shared" si="7"/>
        <v>0</v>
      </c>
      <c r="BG20" s="49">
        <f t="shared" si="7"/>
        <v>-5000</v>
      </c>
      <c r="BH20" s="49">
        <f t="shared" si="7"/>
        <v>-5000</v>
      </c>
      <c r="BI20" s="49">
        <f t="shared" si="7"/>
        <v>-5000</v>
      </c>
      <c r="BJ20" s="49">
        <f t="shared" si="7"/>
        <v>-5000</v>
      </c>
      <c r="BK20" s="1"/>
      <c r="BL20" s="1"/>
    </row>
    <row r="21" ht="14.25" customHeight="1">
      <c r="A21" s="1"/>
      <c r="B21" s="1"/>
      <c r="C21" s="1"/>
      <c r="D21" s="50"/>
      <c r="E21" s="1"/>
      <c r="F21" s="51" t="s">
        <v>42</v>
      </c>
      <c r="G21" s="52">
        <f t="shared" ref="G21:BJ21" si="8">SUM(G16:G20)</f>
        <v>0</v>
      </c>
      <c r="H21" s="52">
        <f t="shared" si="8"/>
        <v>5000</v>
      </c>
      <c r="I21" s="52">
        <f t="shared" si="8"/>
        <v>44000</v>
      </c>
      <c r="J21" s="52">
        <f t="shared" si="8"/>
        <v>54000</v>
      </c>
      <c r="K21" s="52">
        <f t="shared" si="8"/>
        <v>54000</v>
      </c>
      <c r="L21" s="52">
        <f t="shared" si="8"/>
        <v>54000</v>
      </c>
      <c r="M21" s="52">
        <f t="shared" si="8"/>
        <v>54000</v>
      </c>
      <c r="N21" s="52">
        <f t="shared" si="8"/>
        <v>54000</v>
      </c>
      <c r="O21" s="52">
        <f t="shared" si="8"/>
        <v>54000</v>
      </c>
      <c r="P21" s="52">
        <f t="shared" si="8"/>
        <v>50100.0678</v>
      </c>
      <c r="Q21" s="52">
        <f t="shared" si="8"/>
        <v>50217.9322</v>
      </c>
      <c r="R21" s="52">
        <f t="shared" si="8"/>
        <v>50178.64407</v>
      </c>
      <c r="S21" s="52">
        <f t="shared" si="8"/>
        <v>50217.9322</v>
      </c>
      <c r="T21" s="52">
        <f t="shared" si="8"/>
        <v>50178.64407</v>
      </c>
      <c r="U21" s="52">
        <f t="shared" si="8"/>
        <v>50217.9322</v>
      </c>
      <c r="V21" s="52">
        <f t="shared" si="8"/>
        <v>50217.9322</v>
      </c>
      <c r="W21" s="52">
        <f t="shared" si="8"/>
        <v>0</v>
      </c>
      <c r="X21" s="52">
        <f t="shared" si="8"/>
        <v>50217.9322</v>
      </c>
      <c r="Y21" s="52">
        <f t="shared" si="8"/>
        <v>50178.64407</v>
      </c>
      <c r="Z21" s="52">
        <f t="shared" si="8"/>
        <v>50217.9322</v>
      </c>
      <c r="AA21" s="52">
        <f t="shared" si="8"/>
        <v>50217.9322</v>
      </c>
      <c r="AB21" s="52">
        <f t="shared" si="8"/>
        <v>50100.0678</v>
      </c>
      <c r="AC21" s="52">
        <f t="shared" si="8"/>
        <v>50217.9322</v>
      </c>
      <c r="AD21" s="52">
        <f t="shared" si="8"/>
        <v>0</v>
      </c>
      <c r="AE21" s="52">
        <f t="shared" si="8"/>
        <v>50217.9322</v>
      </c>
      <c r="AF21" s="52">
        <f t="shared" si="8"/>
        <v>50178.64407</v>
      </c>
      <c r="AG21" s="52">
        <f t="shared" si="8"/>
        <v>50217.9322</v>
      </c>
      <c r="AH21" s="52">
        <f t="shared" si="8"/>
        <v>50217.9322</v>
      </c>
      <c r="AI21" s="52">
        <f t="shared" si="8"/>
        <v>50178.64407</v>
      </c>
      <c r="AJ21" s="52">
        <f t="shared" si="8"/>
        <v>50217.9322</v>
      </c>
      <c r="AK21" s="52">
        <f t="shared" si="8"/>
        <v>0</v>
      </c>
      <c r="AL21" s="52">
        <f t="shared" si="8"/>
        <v>50217.9322</v>
      </c>
      <c r="AM21" s="52">
        <f t="shared" si="8"/>
        <v>50217.9322</v>
      </c>
      <c r="AN21" s="52">
        <f t="shared" si="8"/>
        <v>50139.35593</v>
      </c>
      <c r="AO21" s="52">
        <f t="shared" si="8"/>
        <v>50217.9322</v>
      </c>
      <c r="AP21" s="52">
        <f t="shared" si="8"/>
        <v>50178.64407</v>
      </c>
      <c r="AQ21" s="52">
        <f t="shared" si="8"/>
        <v>50217.9322</v>
      </c>
      <c r="AR21" s="52">
        <f t="shared" si="8"/>
        <v>0</v>
      </c>
      <c r="AS21" s="52">
        <f t="shared" si="8"/>
        <v>50217.9322</v>
      </c>
      <c r="AT21" s="52">
        <f t="shared" si="8"/>
        <v>50217.9322</v>
      </c>
      <c r="AU21" s="52">
        <f t="shared" si="8"/>
        <v>50178.64407</v>
      </c>
      <c r="AV21" s="52">
        <f t="shared" si="8"/>
        <v>50217.9322</v>
      </c>
      <c r="AW21" s="52">
        <f t="shared" si="8"/>
        <v>50178.64407</v>
      </c>
      <c r="AX21" s="52">
        <f t="shared" si="8"/>
        <v>50217.9322</v>
      </c>
      <c r="AY21" s="52">
        <f t="shared" si="8"/>
        <v>0</v>
      </c>
      <c r="AZ21" s="52">
        <f t="shared" si="8"/>
        <v>50100.0678</v>
      </c>
      <c r="BA21" s="52">
        <f t="shared" si="8"/>
        <v>50217.9322</v>
      </c>
      <c r="BB21" s="52">
        <f t="shared" si="8"/>
        <v>50178.64407</v>
      </c>
      <c r="BC21" s="52">
        <f t="shared" si="8"/>
        <v>50217.9322</v>
      </c>
      <c r="BD21" s="52">
        <f t="shared" si="8"/>
        <v>50178.64407</v>
      </c>
      <c r="BE21" s="52">
        <f t="shared" si="8"/>
        <v>50217.9322</v>
      </c>
      <c r="BF21" s="52">
        <f t="shared" si="8"/>
        <v>0</v>
      </c>
      <c r="BG21" s="52">
        <f t="shared" si="8"/>
        <v>50178.64407</v>
      </c>
      <c r="BH21" s="52">
        <f t="shared" si="8"/>
        <v>50217.9322</v>
      </c>
      <c r="BI21" s="52">
        <f t="shared" si="8"/>
        <v>50178.64407</v>
      </c>
      <c r="BJ21" s="52">
        <f t="shared" si="8"/>
        <v>50217.9322</v>
      </c>
      <c r="BK21" s="1"/>
      <c r="BL21" s="1"/>
    </row>
    <row r="22" ht="14.25" customHeight="1">
      <c r="A22" s="1"/>
      <c r="B22" s="35" t="s">
        <v>43</v>
      </c>
      <c r="C22" s="36" t="s">
        <v>44</v>
      </c>
      <c r="D22" s="36" t="s">
        <v>45</v>
      </c>
      <c r="E22" s="1"/>
      <c r="F22" s="18" t="s">
        <v>46</v>
      </c>
      <c r="G22" s="23">
        <f t="shared" ref="G22:I22" si="9">+G7*-$C$28</f>
        <v>-1000000</v>
      </c>
      <c r="H22" s="23">
        <f t="shared" si="9"/>
        <v>0</v>
      </c>
      <c r="I22" s="23">
        <f t="shared" si="9"/>
        <v>0</v>
      </c>
      <c r="J22" s="44">
        <v>10.0</v>
      </c>
      <c r="K22" s="44">
        <v>10.0</v>
      </c>
      <c r="L22" s="44">
        <v>10.0</v>
      </c>
      <c r="M22" s="44">
        <v>10.0</v>
      </c>
      <c r="N22" s="44">
        <v>10.0</v>
      </c>
      <c r="O22" s="44">
        <v>10.0</v>
      </c>
      <c r="P22" s="44">
        <v>10.0</v>
      </c>
      <c r="Q22" s="44">
        <v>10.0</v>
      </c>
      <c r="R22" s="44">
        <v>10.0</v>
      </c>
      <c r="S22" s="44">
        <v>10.0</v>
      </c>
      <c r="T22" s="44">
        <v>10.0</v>
      </c>
      <c r="U22" s="44">
        <v>10.0</v>
      </c>
      <c r="V22" s="44">
        <v>10.0</v>
      </c>
      <c r="W22" s="44">
        <v>10.0</v>
      </c>
      <c r="X22" s="44">
        <v>10.0</v>
      </c>
      <c r="Y22" s="44">
        <v>10.0</v>
      </c>
      <c r="Z22" s="44">
        <v>10.0</v>
      </c>
      <c r="AA22" s="44">
        <v>10.0</v>
      </c>
      <c r="AB22" s="44">
        <v>10.0</v>
      </c>
      <c r="AC22" s="44">
        <v>10.0</v>
      </c>
      <c r="AD22" s="44">
        <v>10.0</v>
      </c>
      <c r="AE22" s="44">
        <v>10.0</v>
      </c>
      <c r="AF22" s="44">
        <v>10.0</v>
      </c>
      <c r="AG22" s="44">
        <v>10.0</v>
      </c>
      <c r="AH22" s="44">
        <v>10.0</v>
      </c>
      <c r="AI22" s="44">
        <v>10.0</v>
      </c>
      <c r="AJ22" s="44">
        <v>10.0</v>
      </c>
      <c r="AK22" s="44">
        <v>10.0</v>
      </c>
      <c r="AL22" s="44">
        <v>10.0</v>
      </c>
      <c r="AM22" s="44">
        <v>10.0</v>
      </c>
      <c r="AN22" s="44">
        <v>10.0</v>
      </c>
      <c r="AO22" s="44">
        <v>10.0</v>
      </c>
      <c r="AP22" s="44">
        <v>10.0</v>
      </c>
      <c r="AQ22" s="44">
        <v>10.0</v>
      </c>
      <c r="AR22" s="44">
        <v>10.0</v>
      </c>
      <c r="AS22" s="44">
        <v>10.0</v>
      </c>
      <c r="AT22" s="44">
        <v>10.0</v>
      </c>
      <c r="AU22" s="44">
        <v>10.0</v>
      </c>
      <c r="AV22" s="44">
        <v>10.0</v>
      </c>
      <c r="AW22" s="44">
        <v>10.0</v>
      </c>
      <c r="AX22" s="44">
        <v>10.0</v>
      </c>
      <c r="AY22" s="44">
        <v>10.0</v>
      </c>
      <c r="AZ22" s="44">
        <v>10.0</v>
      </c>
      <c r="BA22" s="44">
        <v>10.0</v>
      </c>
      <c r="BB22" s="44">
        <v>10.0</v>
      </c>
      <c r="BC22" s="44">
        <v>10.0</v>
      </c>
      <c r="BD22" s="44">
        <v>10.0</v>
      </c>
      <c r="BE22" s="44">
        <v>10.0</v>
      </c>
      <c r="BF22" s="44">
        <v>10.0</v>
      </c>
      <c r="BG22" s="44">
        <v>10.0</v>
      </c>
      <c r="BH22" s="44">
        <v>10.0</v>
      </c>
      <c r="BI22" s="44">
        <v>10.0</v>
      </c>
      <c r="BJ22" s="44">
        <v>10.0</v>
      </c>
      <c r="BK22" s="44"/>
      <c r="BL22" s="1"/>
    </row>
    <row r="23" ht="4.5" customHeight="1">
      <c r="A23" s="1"/>
      <c r="B23" s="39"/>
      <c r="C23" s="7"/>
      <c r="D23" s="39"/>
      <c r="E23" s="1"/>
      <c r="F23" s="48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1"/>
      <c r="BL23" s="1"/>
    </row>
    <row r="24" ht="14.25" customHeight="1">
      <c r="A24" s="1"/>
      <c r="B24" s="18" t="s">
        <v>47</v>
      </c>
      <c r="C24" s="20">
        <v>80000.0</v>
      </c>
      <c r="D24" s="53">
        <f t="shared" ref="D24:D28" si="11">+C24/$C$28</f>
        <v>0.08</v>
      </c>
      <c r="E24" s="1"/>
      <c r="F24" s="54" t="s">
        <v>48</v>
      </c>
      <c r="G24" s="55">
        <f t="shared" ref="G24:BJ24" si="10">SUM(G21:G22)</f>
        <v>-1000000</v>
      </c>
      <c r="H24" s="55">
        <f t="shared" si="10"/>
        <v>5000</v>
      </c>
      <c r="I24" s="55">
        <f t="shared" si="10"/>
        <v>44000</v>
      </c>
      <c r="J24" s="55">
        <f t="shared" si="10"/>
        <v>54010</v>
      </c>
      <c r="K24" s="55">
        <f t="shared" si="10"/>
        <v>54010</v>
      </c>
      <c r="L24" s="55">
        <f t="shared" si="10"/>
        <v>54010</v>
      </c>
      <c r="M24" s="55">
        <f t="shared" si="10"/>
        <v>54010</v>
      </c>
      <c r="N24" s="55">
        <f t="shared" si="10"/>
        <v>54010</v>
      </c>
      <c r="O24" s="55">
        <f t="shared" si="10"/>
        <v>54010</v>
      </c>
      <c r="P24" s="55">
        <f t="shared" si="10"/>
        <v>50110.0678</v>
      </c>
      <c r="Q24" s="55">
        <f t="shared" si="10"/>
        <v>50227.9322</v>
      </c>
      <c r="R24" s="55">
        <f t="shared" si="10"/>
        <v>50188.64407</v>
      </c>
      <c r="S24" s="55">
        <f t="shared" si="10"/>
        <v>50227.9322</v>
      </c>
      <c r="T24" s="55">
        <f t="shared" si="10"/>
        <v>50188.64407</v>
      </c>
      <c r="U24" s="55">
        <f t="shared" si="10"/>
        <v>50227.9322</v>
      </c>
      <c r="V24" s="55">
        <f t="shared" si="10"/>
        <v>50227.9322</v>
      </c>
      <c r="W24" s="55">
        <f t="shared" si="10"/>
        <v>10</v>
      </c>
      <c r="X24" s="55">
        <f t="shared" si="10"/>
        <v>50227.9322</v>
      </c>
      <c r="Y24" s="55">
        <f t="shared" si="10"/>
        <v>50188.64407</v>
      </c>
      <c r="Z24" s="55">
        <f t="shared" si="10"/>
        <v>50227.9322</v>
      </c>
      <c r="AA24" s="55">
        <f t="shared" si="10"/>
        <v>50227.9322</v>
      </c>
      <c r="AB24" s="55">
        <f t="shared" si="10"/>
        <v>50110.0678</v>
      </c>
      <c r="AC24" s="55">
        <f t="shared" si="10"/>
        <v>50227.9322</v>
      </c>
      <c r="AD24" s="55">
        <f t="shared" si="10"/>
        <v>10</v>
      </c>
      <c r="AE24" s="55">
        <f t="shared" si="10"/>
        <v>50227.9322</v>
      </c>
      <c r="AF24" s="55">
        <f t="shared" si="10"/>
        <v>50188.64407</v>
      </c>
      <c r="AG24" s="55">
        <f t="shared" si="10"/>
        <v>50227.9322</v>
      </c>
      <c r="AH24" s="55">
        <f t="shared" si="10"/>
        <v>50227.9322</v>
      </c>
      <c r="AI24" s="55">
        <f t="shared" si="10"/>
        <v>50188.64407</v>
      </c>
      <c r="AJ24" s="55">
        <f t="shared" si="10"/>
        <v>50227.9322</v>
      </c>
      <c r="AK24" s="55">
        <f t="shared" si="10"/>
        <v>10</v>
      </c>
      <c r="AL24" s="55">
        <f t="shared" si="10"/>
        <v>50227.9322</v>
      </c>
      <c r="AM24" s="55">
        <f t="shared" si="10"/>
        <v>50227.9322</v>
      </c>
      <c r="AN24" s="55">
        <f t="shared" si="10"/>
        <v>50149.35593</v>
      </c>
      <c r="AO24" s="55">
        <f t="shared" si="10"/>
        <v>50227.9322</v>
      </c>
      <c r="AP24" s="55">
        <f t="shared" si="10"/>
        <v>50188.64407</v>
      </c>
      <c r="AQ24" s="55">
        <f t="shared" si="10"/>
        <v>50227.9322</v>
      </c>
      <c r="AR24" s="55">
        <f t="shared" si="10"/>
        <v>10</v>
      </c>
      <c r="AS24" s="55">
        <f t="shared" si="10"/>
        <v>50227.9322</v>
      </c>
      <c r="AT24" s="55">
        <f t="shared" si="10"/>
        <v>50227.9322</v>
      </c>
      <c r="AU24" s="55">
        <f t="shared" si="10"/>
        <v>50188.64407</v>
      </c>
      <c r="AV24" s="55">
        <f t="shared" si="10"/>
        <v>50227.9322</v>
      </c>
      <c r="AW24" s="55">
        <f t="shared" si="10"/>
        <v>50188.64407</v>
      </c>
      <c r="AX24" s="55">
        <f t="shared" si="10"/>
        <v>50227.9322</v>
      </c>
      <c r="AY24" s="55">
        <f t="shared" si="10"/>
        <v>10</v>
      </c>
      <c r="AZ24" s="55">
        <f t="shared" si="10"/>
        <v>50110.0678</v>
      </c>
      <c r="BA24" s="55">
        <f t="shared" si="10"/>
        <v>50227.9322</v>
      </c>
      <c r="BB24" s="55">
        <f t="shared" si="10"/>
        <v>50188.64407</v>
      </c>
      <c r="BC24" s="55">
        <f t="shared" si="10"/>
        <v>50227.9322</v>
      </c>
      <c r="BD24" s="55">
        <f t="shared" si="10"/>
        <v>50188.64407</v>
      </c>
      <c r="BE24" s="55">
        <f t="shared" si="10"/>
        <v>50227.9322</v>
      </c>
      <c r="BF24" s="55">
        <f t="shared" si="10"/>
        <v>10</v>
      </c>
      <c r="BG24" s="55">
        <f t="shared" si="10"/>
        <v>50188.64407</v>
      </c>
      <c r="BH24" s="55">
        <f t="shared" si="10"/>
        <v>50227.9322</v>
      </c>
      <c r="BI24" s="55">
        <f t="shared" si="10"/>
        <v>50188.64407</v>
      </c>
      <c r="BJ24" s="55">
        <f t="shared" si="10"/>
        <v>50227.9322</v>
      </c>
      <c r="BK24" s="1"/>
      <c r="BL24" s="1"/>
    </row>
    <row r="25" ht="14.25" customHeight="1">
      <c r="A25" s="1"/>
      <c r="B25" s="18" t="s">
        <v>49</v>
      </c>
      <c r="C25" s="23">
        <f>ROUND(C9*C12*C8,-3)</f>
        <v>120000</v>
      </c>
      <c r="D25" s="53">
        <f t="shared" si="11"/>
        <v>0.12</v>
      </c>
      <c r="E25" s="1"/>
      <c r="F25" s="18"/>
      <c r="G25" s="28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1"/>
      <c r="BL25" s="1"/>
    </row>
    <row r="26" ht="14.25" customHeight="1">
      <c r="A26" s="1"/>
      <c r="B26" s="18" t="s">
        <v>50</v>
      </c>
      <c r="C26" s="23">
        <v>775000.0</v>
      </c>
      <c r="D26" s="53">
        <f t="shared" si="11"/>
        <v>0.775</v>
      </c>
      <c r="E26" s="2"/>
      <c r="F26" s="56" t="s">
        <v>51</v>
      </c>
      <c r="G26" s="57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1"/>
      <c r="BL26" s="1"/>
    </row>
    <row r="27" ht="14.25" customHeight="1">
      <c r="A27" s="1"/>
      <c r="B27" s="48" t="s">
        <v>52</v>
      </c>
      <c r="C27" s="49">
        <v>25000.0</v>
      </c>
      <c r="D27" s="59">
        <f t="shared" si="11"/>
        <v>0.025</v>
      </c>
      <c r="E27" s="2"/>
      <c r="F27" s="60" t="s">
        <v>53</v>
      </c>
      <c r="G27" s="61">
        <f t="shared" ref="G27:BJ27" si="12">IFERROR(SUM($G$21:G21)/-SUM($G$22:G22),0)</f>
        <v>0</v>
      </c>
      <c r="H27" s="61">
        <f t="shared" si="12"/>
        <v>0.005</v>
      </c>
      <c r="I27" s="61">
        <f t="shared" si="12"/>
        <v>0.049</v>
      </c>
      <c r="J27" s="61">
        <f t="shared" si="12"/>
        <v>0.10300103</v>
      </c>
      <c r="K27" s="61">
        <f t="shared" si="12"/>
        <v>0.1570031401</v>
      </c>
      <c r="L27" s="61">
        <f t="shared" si="12"/>
        <v>0.2110063302</v>
      </c>
      <c r="M27" s="61">
        <f t="shared" si="12"/>
        <v>0.2650106004</v>
      </c>
      <c r="N27" s="61">
        <f t="shared" si="12"/>
        <v>0.3190159508</v>
      </c>
      <c r="O27" s="61">
        <f t="shared" si="12"/>
        <v>0.3730223813</v>
      </c>
      <c r="P27" s="61">
        <f t="shared" si="12"/>
        <v>0.4231296869</v>
      </c>
      <c r="Q27" s="61">
        <f t="shared" si="12"/>
        <v>0.4733558685</v>
      </c>
      <c r="R27" s="61">
        <f t="shared" si="12"/>
        <v>0.523543763</v>
      </c>
      <c r="S27" s="61">
        <f t="shared" si="12"/>
        <v>0.5737719535</v>
      </c>
      <c r="T27" s="61">
        <f t="shared" si="12"/>
        <v>0.6239618561</v>
      </c>
      <c r="U27" s="61">
        <f t="shared" si="12"/>
        <v>0.6741920556</v>
      </c>
      <c r="V27" s="61">
        <f t="shared" si="12"/>
        <v>0.7244232598</v>
      </c>
      <c r="W27" s="61">
        <f t="shared" si="12"/>
        <v>0.724430505</v>
      </c>
      <c r="X27" s="61">
        <f t="shared" si="12"/>
        <v>0.7746632164</v>
      </c>
      <c r="Y27" s="61">
        <f t="shared" si="12"/>
        <v>0.8248576382</v>
      </c>
      <c r="Z27" s="61">
        <f t="shared" si="12"/>
        <v>0.8750923589</v>
      </c>
      <c r="AA27" s="61">
        <f t="shared" si="12"/>
        <v>0.9253280845</v>
      </c>
      <c r="AB27" s="61">
        <f t="shared" si="12"/>
        <v>0.9754469281</v>
      </c>
      <c r="AC27" s="61">
        <f t="shared" si="12"/>
        <v>1.025684662</v>
      </c>
      <c r="AD27" s="61">
        <f t="shared" si="12"/>
        <v>1.025694921</v>
      </c>
      <c r="AE27" s="61">
        <f t="shared" si="12"/>
        <v>1.075934163</v>
      </c>
      <c r="AF27" s="61">
        <f t="shared" si="12"/>
        <v>1.126135113</v>
      </c>
      <c r="AG27" s="61">
        <f t="shared" si="12"/>
        <v>1.176376364</v>
      </c>
      <c r="AH27" s="61">
        <f t="shared" si="12"/>
        <v>1.226618621</v>
      </c>
      <c r="AI27" s="61">
        <f t="shared" si="12"/>
        <v>1.276822584</v>
      </c>
      <c r="AJ27" s="61">
        <f t="shared" si="12"/>
        <v>1.32706685</v>
      </c>
      <c r="AK27" s="61">
        <f t="shared" si="12"/>
        <v>1.327080125</v>
      </c>
      <c r="AL27" s="61">
        <f t="shared" si="12"/>
        <v>1.377325899</v>
      </c>
      <c r="AM27" s="61">
        <f t="shared" si="12"/>
        <v>1.427572679</v>
      </c>
      <c r="AN27" s="61">
        <f t="shared" si="12"/>
        <v>1.477741863</v>
      </c>
      <c r="AO27" s="61">
        <f t="shared" si="12"/>
        <v>1.527990652</v>
      </c>
      <c r="AP27" s="61">
        <f t="shared" si="12"/>
        <v>1.578201145</v>
      </c>
      <c r="AQ27" s="61">
        <f t="shared" si="12"/>
        <v>1.628451945</v>
      </c>
      <c r="AR27" s="61">
        <f t="shared" si="12"/>
        <v>1.628468235</v>
      </c>
      <c r="AS27" s="61">
        <f t="shared" si="12"/>
        <v>1.678720543</v>
      </c>
      <c r="AT27" s="61">
        <f t="shared" si="12"/>
        <v>1.728973856</v>
      </c>
      <c r="AU27" s="61">
        <f t="shared" si="12"/>
        <v>1.779188871</v>
      </c>
      <c r="AV27" s="61">
        <f t="shared" si="12"/>
        <v>1.829444195</v>
      </c>
      <c r="AW27" s="61">
        <f t="shared" si="12"/>
        <v>1.87966122</v>
      </c>
      <c r="AX27" s="61">
        <f t="shared" si="12"/>
        <v>1.929918555</v>
      </c>
      <c r="AY27" s="61">
        <f t="shared" si="12"/>
        <v>1.929937862</v>
      </c>
      <c r="AZ27" s="61">
        <f t="shared" si="12"/>
        <v>1.98007879</v>
      </c>
      <c r="BA27" s="61">
        <f t="shared" si="12"/>
        <v>2.030338637</v>
      </c>
      <c r="BB27" s="61">
        <f t="shared" si="12"/>
        <v>2.080560184</v>
      </c>
      <c r="BC27" s="61">
        <f t="shared" si="12"/>
        <v>2.130822043</v>
      </c>
      <c r="BD27" s="61">
        <f t="shared" si="12"/>
        <v>2.1810456</v>
      </c>
      <c r="BE27" s="61">
        <f t="shared" si="12"/>
        <v>2.231309469</v>
      </c>
      <c r="BF27" s="61">
        <f t="shared" si="12"/>
        <v>2.231331793</v>
      </c>
      <c r="BG27" s="61">
        <f t="shared" si="12"/>
        <v>2.281557864</v>
      </c>
      <c r="BH27" s="61">
        <f t="shared" si="12"/>
        <v>2.331824247</v>
      </c>
      <c r="BI27" s="61">
        <f t="shared" si="12"/>
        <v>2.382052328</v>
      </c>
      <c r="BJ27" s="61">
        <f t="shared" si="12"/>
        <v>2.432320723</v>
      </c>
      <c r="BK27" s="1"/>
      <c r="BL27" s="1"/>
    </row>
    <row r="28" ht="14.25" customHeight="1">
      <c r="A28" s="1"/>
      <c r="B28" s="51" t="s">
        <v>54</v>
      </c>
      <c r="C28" s="52">
        <f>SUM(C24:C27)</f>
        <v>1000000</v>
      </c>
      <c r="D28" s="62">
        <f t="shared" si="11"/>
        <v>1</v>
      </c>
      <c r="E28" s="1"/>
      <c r="F28" s="63" t="s">
        <v>55</v>
      </c>
      <c r="G28" s="64"/>
      <c r="H28" s="64">
        <f t="shared" ref="H28:BJ28" si="13">IFERROR(XIRR($G$24:H24,$G$3:H3),0)</f>
        <v>0</v>
      </c>
      <c r="I28" s="64">
        <f t="shared" si="13"/>
        <v>0</v>
      </c>
      <c r="J28" s="64">
        <f t="shared" si="13"/>
        <v>0</v>
      </c>
      <c r="K28" s="64">
        <f t="shared" si="13"/>
        <v>-0.9990000649</v>
      </c>
      <c r="L28" s="64">
        <f t="shared" si="13"/>
        <v>-0.992728572</v>
      </c>
      <c r="M28" s="64">
        <f t="shared" si="13"/>
        <v>-0.974523251</v>
      </c>
      <c r="N28" s="64">
        <f t="shared" si="13"/>
        <v>-0.9396018491</v>
      </c>
      <c r="O28" s="64">
        <f t="shared" si="13"/>
        <v>-0.8874646095</v>
      </c>
      <c r="P28" s="64">
        <f t="shared" si="13"/>
        <v>-0.8265605603</v>
      </c>
      <c r="Q28" s="64">
        <f t="shared" si="13"/>
        <v>-0.7554421211</v>
      </c>
      <c r="R28" s="64">
        <f t="shared" si="13"/>
        <v>-0.6781593103</v>
      </c>
      <c r="S28" s="64">
        <f t="shared" si="13"/>
        <v>-0.5974755239</v>
      </c>
      <c r="T28" s="64">
        <f t="shared" si="13"/>
        <v>-0.5162567487</v>
      </c>
      <c r="U28" s="64">
        <f t="shared" si="13"/>
        <v>-0.4360639127</v>
      </c>
      <c r="V28" s="64">
        <f t="shared" si="13"/>
        <v>-0.3583216949</v>
      </c>
      <c r="W28" s="64">
        <f t="shared" si="13"/>
        <v>-0.358306256</v>
      </c>
      <c r="X28" s="64">
        <f t="shared" si="13"/>
        <v>-0.2819308934</v>
      </c>
      <c r="Y28" s="64">
        <f t="shared" si="13"/>
        <v>-0.2108269845</v>
      </c>
      <c r="Z28" s="64">
        <f t="shared" si="13"/>
        <v>-0.1446182064</v>
      </c>
      <c r="AA28" s="64">
        <f t="shared" si="13"/>
        <v>-0.08314889637</v>
      </c>
      <c r="AB28" s="64">
        <f t="shared" si="13"/>
        <v>-0.02631107229</v>
      </c>
      <c r="AC28" s="64">
        <f t="shared" si="13"/>
        <v>0.02648808452</v>
      </c>
      <c r="AD28" s="64">
        <f t="shared" si="13"/>
        <v>0.02649818716</v>
      </c>
      <c r="AE28" s="64">
        <f t="shared" si="13"/>
        <v>0.07510009104</v>
      </c>
      <c r="AF28" s="64">
        <f t="shared" si="13"/>
        <v>0.1197772739</v>
      </c>
      <c r="AG28" s="64">
        <f t="shared" si="13"/>
        <v>0.1609535268</v>
      </c>
      <c r="AH28" s="64">
        <f t="shared" si="13"/>
        <v>0.1989109469</v>
      </c>
      <c r="AI28" s="64">
        <f t="shared" si="13"/>
        <v>0.2339279529</v>
      </c>
      <c r="AJ28" s="64">
        <f t="shared" si="13"/>
        <v>0.2662985386</v>
      </c>
      <c r="AK28" s="64">
        <f t="shared" si="13"/>
        <v>0.266304675</v>
      </c>
      <c r="AL28" s="64">
        <f t="shared" si="13"/>
        <v>0.2956180052</v>
      </c>
      <c r="AM28" s="64">
        <f t="shared" si="13"/>
        <v>0.3226815614</v>
      </c>
      <c r="AN28" s="64">
        <f t="shared" si="13"/>
        <v>0.3477037666</v>
      </c>
      <c r="AO28" s="64">
        <f t="shared" si="13"/>
        <v>0.3709057436</v>
      </c>
      <c r="AP28" s="64">
        <f t="shared" si="13"/>
        <v>0.3924126996</v>
      </c>
      <c r="AQ28" s="64">
        <f t="shared" si="13"/>
        <v>0.412384418</v>
      </c>
      <c r="AR28" s="64">
        <f t="shared" si="13"/>
        <v>0.4123881965</v>
      </c>
      <c r="AS28" s="64">
        <f t="shared" si="13"/>
        <v>0.4304115388</v>
      </c>
      <c r="AT28" s="64">
        <f t="shared" si="13"/>
        <v>0.4471562543</v>
      </c>
      <c r="AU28" s="64">
        <f t="shared" si="13"/>
        <v>0.4627342884</v>
      </c>
      <c r="AV28" s="64">
        <f t="shared" si="13"/>
        <v>0.4772501226</v>
      </c>
      <c r="AW28" s="64">
        <f t="shared" si="13"/>
        <v>0.4907827498</v>
      </c>
      <c r="AX28" s="64">
        <f t="shared" si="13"/>
        <v>0.5034167516</v>
      </c>
      <c r="AY28" s="64">
        <f t="shared" si="13"/>
        <v>0.5034191396</v>
      </c>
      <c r="AZ28" s="64">
        <f t="shared" si="13"/>
        <v>0.5148246472</v>
      </c>
      <c r="BA28" s="64">
        <f t="shared" si="13"/>
        <v>0.5255070388</v>
      </c>
      <c r="BB28" s="64">
        <f t="shared" si="13"/>
        <v>0.5355007208</v>
      </c>
      <c r="BC28" s="64">
        <f t="shared" si="13"/>
        <v>0.5448615154</v>
      </c>
      <c r="BD28" s="64">
        <f t="shared" si="13"/>
        <v>0.5536329796</v>
      </c>
      <c r="BE28" s="64">
        <f t="shared" si="13"/>
        <v>0.5618613186</v>
      </c>
      <c r="BF28" s="64">
        <f t="shared" si="13"/>
        <v>0.5618628751</v>
      </c>
      <c r="BG28" s="64">
        <f t="shared" si="13"/>
        <v>0.5692980096</v>
      </c>
      <c r="BH28" s="64">
        <f t="shared" si="13"/>
        <v>0.576283432</v>
      </c>
      <c r="BI28" s="64">
        <f t="shared" si="13"/>
        <v>0.5828485857</v>
      </c>
      <c r="BJ28" s="64">
        <f t="shared" si="13"/>
        <v>0.5890246092</v>
      </c>
      <c r="BK28" s="1"/>
      <c r="BL28" s="1"/>
    </row>
    <row r="29" ht="14.25" customHeight="1">
      <c r="A29" s="1"/>
      <c r="B29" s="65"/>
      <c r="C29" s="66"/>
      <c r="D29" s="66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ht="14.25" customHeight="1">
      <c r="A30" s="1"/>
      <c r="B30" s="35" t="s">
        <v>56</v>
      </c>
      <c r="C30" s="67"/>
      <c r="D30" s="7"/>
      <c r="E30" s="1"/>
      <c r="F30" s="68"/>
      <c r="G30" s="1"/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ht="4.5" customHeight="1">
      <c r="A31" s="1"/>
      <c r="B31" s="1"/>
      <c r="C31" s="20"/>
      <c r="D31" s="20"/>
      <c r="E31" s="1"/>
      <c r="F31" s="20"/>
      <c r="G31" s="1"/>
      <c r="H31" s="2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ht="14.25" customHeight="1">
      <c r="A32" s="1"/>
      <c r="B32" s="1" t="s">
        <v>57</v>
      </c>
      <c r="C32" s="69">
        <f>+C16</f>
        <v>54000</v>
      </c>
      <c r="D32" s="69"/>
      <c r="E32" s="1"/>
      <c r="F32" s="1"/>
      <c r="G32" s="1"/>
      <c r="H32" s="2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ht="14.25" customHeight="1">
      <c r="A33" s="1"/>
      <c r="B33" s="1" t="s">
        <v>35</v>
      </c>
      <c r="C33" s="70">
        <v>5000.0</v>
      </c>
      <c r="D33" s="15"/>
      <c r="E33" s="1"/>
      <c r="F33" s="66"/>
      <c r="G33" s="1"/>
      <c r="H33" s="6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ht="14.25" customHeight="1">
      <c r="A34" s="1"/>
      <c r="B34" s="71" t="s">
        <v>58</v>
      </c>
      <c r="C34" s="49">
        <f>-C20</f>
        <v>-5000</v>
      </c>
      <c r="D34" s="23"/>
      <c r="E34" s="1"/>
      <c r="F34" s="20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ht="14.25" customHeight="1">
      <c r="A35" s="1"/>
      <c r="B35" s="72" t="s">
        <v>56</v>
      </c>
      <c r="C35" s="73">
        <f>SUM(C32:C34)</f>
        <v>54000</v>
      </c>
      <c r="D35" s="74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ht="4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ht="14.25" customHeight="1">
      <c r="A37" s="1"/>
      <c r="B37" s="75" t="s">
        <v>59</v>
      </c>
      <c r="C37" s="76">
        <f>(C28/C35)/12</f>
        <v>1.543209877</v>
      </c>
      <c r="D37" s="76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ht="4.5" customHeight="1">
      <c r="A38" s="1"/>
      <c r="B38" s="77"/>
      <c r="C38" s="77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</row>
  </sheetData>
  <conditionalFormatting sqref="G11:BL11">
    <cfRule type="colorScale" priority="1">
      <colorScale>
        <cfvo type="min"/>
        <cfvo type="max"/>
        <color rgb="FFF8696B"/>
        <color rgb="FFFCFCFF"/>
      </colorScale>
    </cfRule>
  </conditionalFormatting>
  <conditionalFormatting sqref="G11:BL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2025-05-06T21:52:30Z</dcterms:created>
  <dc:creator>Sean Milmoe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0x01010071004ECD71559241932772DD66964CBE</vt:lpwstr>
  </property>
</Properties>
</file>