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ag\00-thesis\00-code\"/>
    </mc:Choice>
  </mc:AlternateContent>
  <bookViews>
    <workbookView xWindow="0" yWindow="20400" windowWidth="28800" windowHeight="11850" firstSheet="1" activeTab="10"/>
  </bookViews>
  <sheets>
    <sheet name="Checker" sheetId="4" r:id="rId1"/>
    <sheet name="assembler" sheetId="58" r:id="rId2"/>
    <sheet name="100000" sheetId="61" r:id="rId3"/>
    <sheet name="s4_a (2)" sheetId="78" r:id="rId4"/>
    <sheet name="print" sheetId="68" r:id="rId5"/>
    <sheet name="settings_" sheetId="79" r:id="rId6"/>
    <sheet name="def_a" sheetId="63" r:id="rId7"/>
    <sheet name="s1_a" sheetId="67" r:id="rId8"/>
    <sheet name="s2_a" sheetId="66" r:id="rId9"/>
    <sheet name="s3_a" sheetId="65" r:id="rId10"/>
    <sheet name="change_a" sheetId="76" r:id="rId11"/>
    <sheet name="_" sheetId="69" r:id="rId12"/>
    <sheet name="settings_top1" sheetId="71" r:id="rId13"/>
    <sheet name="z1" sheetId="73" r:id="rId14"/>
    <sheet name="z3" sheetId="74" r:id="rId15"/>
    <sheet name="change" sheetId="77" r:id="rId16"/>
    <sheet name="Tables" sheetId="8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6" i="66" l="1"/>
  <c r="D5" i="76"/>
  <c r="O2" i="76"/>
  <c r="G12" i="77"/>
  <c r="H12" i="77"/>
  <c r="F12" i="77"/>
  <c r="C19" i="77"/>
  <c r="D19" i="77"/>
  <c r="B19" i="77"/>
  <c r="B16" i="77"/>
  <c r="C16" i="77"/>
  <c r="H16" i="77" s="1"/>
  <c r="D16" i="77"/>
  <c r="B17" i="77"/>
  <c r="C17" i="77"/>
  <c r="D17" i="77"/>
  <c r="H17" i="77" s="1"/>
  <c r="B18" i="77"/>
  <c r="C18" i="77"/>
  <c r="H18" i="77" s="1"/>
  <c r="D18" i="77"/>
  <c r="C15" i="77"/>
  <c r="H15" i="77" s="1"/>
  <c r="D15" i="77"/>
  <c r="B15" i="77"/>
  <c r="B14" i="77"/>
  <c r="C14" i="77"/>
  <c r="D14" i="77"/>
  <c r="C13" i="77"/>
  <c r="D13" i="77"/>
  <c r="B13" i="77"/>
  <c r="H19" i="77"/>
  <c r="A19" i="77"/>
  <c r="A18" i="77"/>
  <c r="A17" i="77"/>
  <c r="A16" i="77"/>
  <c r="A15" i="77"/>
  <c r="H14" i="77"/>
  <c r="A14" i="77"/>
  <c r="H13" i="77"/>
  <c r="A13" i="77"/>
  <c r="D12" i="77"/>
  <c r="C12" i="77"/>
  <c r="B12" i="77"/>
  <c r="A12" i="77"/>
  <c r="G13" i="76"/>
  <c r="I19" i="76"/>
  <c r="H19" i="76"/>
  <c r="G19" i="76"/>
  <c r="I18" i="76"/>
  <c r="H18" i="76"/>
  <c r="G18" i="76"/>
  <c r="I17" i="76"/>
  <c r="H17" i="76"/>
  <c r="G17" i="76"/>
  <c r="I16" i="76"/>
  <c r="G16" i="76"/>
  <c r="I15" i="76"/>
  <c r="H15" i="76"/>
  <c r="G15" i="76"/>
  <c r="I14" i="76"/>
  <c r="H14" i="76"/>
  <c r="G14" i="76"/>
  <c r="I13" i="76"/>
  <c r="H13" i="76"/>
  <c r="B12" i="76"/>
  <c r="C12" i="76"/>
  <c r="D12" i="76"/>
  <c r="E12" i="76"/>
  <c r="A19" i="76"/>
  <c r="B19" i="76"/>
  <c r="A12" i="76"/>
  <c r="A13" i="76"/>
  <c r="A14" i="76"/>
  <c r="A15" i="76"/>
  <c r="A16" i="76"/>
  <c r="A17" i="76"/>
  <c r="A18" i="76"/>
  <c r="B35" i="76"/>
  <c r="C35" i="76"/>
  <c r="D35" i="76"/>
  <c r="E35" i="76"/>
  <c r="B36" i="76"/>
  <c r="C36" i="76"/>
  <c r="D36" i="76"/>
  <c r="E36" i="76"/>
  <c r="B37" i="76"/>
  <c r="C37" i="76"/>
  <c r="D37" i="76"/>
  <c r="E37" i="76"/>
  <c r="C34" i="76"/>
  <c r="D34" i="76"/>
  <c r="E34" i="76"/>
  <c r="B34" i="76"/>
  <c r="C32" i="76"/>
  <c r="D32" i="76"/>
  <c r="E32" i="76"/>
  <c r="C33" i="76"/>
  <c r="D33" i="76"/>
  <c r="E33" i="76"/>
  <c r="B33" i="76"/>
  <c r="B32" i="76"/>
  <c r="C13" i="76"/>
  <c r="G25" i="76"/>
  <c r="J11" i="68"/>
  <c r="J10" i="68"/>
  <c r="K10" i="68" s="1"/>
  <c r="J9" i="68"/>
  <c r="I17" i="71"/>
  <c r="I13" i="71"/>
  <c r="I9" i="71"/>
  <c r="K11" i="68"/>
  <c r="K9" i="68"/>
  <c r="I10" i="68"/>
  <c r="I11" i="68"/>
  <c r="I9" i="68"/>
  <c r="H11" i="68"/>
  <c r="H10" i="68"/>
  <c r="H9" i="68"/>
  <c r="H8" i="68"/>
  <c r="G11" i="68"/>
  <c r="G10" i="68"/>
  <c r="G9" i="68"/>
  <c r="G8" i="68"/>
  <c r="F9" i="68"/>
  <c r="F11" i="68"/>
  <c r="F10" i="68"/>
  <c r="F8" i="68"/>
  <c r="E8" i="68"/>
  <c r="E9" i="68"/>
  <c r="E10" i="68"/>
  <c r="E11" i="68"/>
  <c r="D11" i="68"/>
  <c r="D10" i="68"/>
  <c r="D9" i="68"/>
  <c r="D8" i="68"/>
  <c r="C9" i="68"/>
  <c r="C10" i="68"/>
  <c r="C11" i="68"/>
  <c r="C8" i="68"/>
  <c r="B8" i="68"/>
  <c r="B9" i="68"/>
  <c r="B11" i="68"/>
  <c r="B10" i="68"/>
  <c r="I8" i="68"/>
  <c r="J8" i="68"/>
  <c r="C7" i="68"/>
  <c r="D7" i="68"/>
  <c r="E7" i="68"/>
  <c r="F7" i="68"/>
  <c r="G7" i="68"/>
  <c r="H7" i="68"/>
  <c r="I7" i="68"/>
  <c r="J7" i="68"/>
  <c r="B7" i="68"/>
  <c r="K3" i="68"/>
  <c r="K5" i="68"/>
  <c r="K4" i="68"/>
  <c r="J5" i="68"/>
  <c r="J4" i="68"/>
  <c r="J3" i="68"/>
  <c r="F3" i="68"/>
  <c r="E3" i="68"/>
  <c r="H2" i="68"/>
  <c r="G2" i="68"/>
  <c r="F2" i="68"/>
  <c r="H5" i="68"/>
  <c r="H4" i="68"/>
  <c r="H3" i="68"/>
  <c r="G5" i="68"/>
  <c r="G4" i="68"/>
  <c r="G3" i="68"/>
  <c r="F5" i="68"/>
  <c r="F4" i="68"/>
  <c r="E5" i="68"/>
  <c r="E4" i="68"/>
  <c r="E2" i="68"/>
  <c r="D5" i="68"/>
  <c r="D4" i="68"/>
  <c r="D3" i="68"/>
  <c r="D2" i="68"/>
  <c r="C5" i="68"/>
  <c r="C4" i="68"/>
  <c r="C3" i="68"/>
  <c r="C2" i="68"/>
  <c r="B5" i="68"/>
  <c r="B4" i="68"/>
  <c r="B3" i="68"/>
  <c r="B2" i="68"/>
  <c r="C1" i="58"/>
  <c r="C12" i="58"/>
  <c r="E2" i="58"/>
  <c r="N2" i="61"/>
  <c r="AG23" i="74"/>
  <c r="AG24" i="73"/>
  <c r="AG25" i="73"/>
  <c r="AG26" i="73"/>
  <c r="AG27" i="73"/>
  <c r="AG28" i="73"/>
  <c r="AG23" i="73"/>
  <c r="AE23" i="73"/>
  <c r="O12" i="74"/>
  <c r="P12" i="74"/>
  <c r="Q12" i="74"/>
  <c r="R12" i="74"/>
  <c r="N13" i="74"/>
  <c r="N14" i="74"/>
  <c r="N12" i="74"/>
  <c r="N13" i="73"/>
  <c r="N14" i="73"/>
  <c r="O12" i="73"/>
  <c r="P12" i="73"/>
  <c r="Q12" i="73"/>
  <c r="R12" i="73"/>
  <c r="N12" i="73"/>
  <c r="M16" i="71"/>
  <c r="M6" i="71"/>
  <c r="P4" i="76"/>
  <c r="R2" i="76"/>
  <c r="P2" i="76"/>
  <c r="AN25" i="66"/>
  <c r="O12" i="65"/>
  <c r="P12" i="65"/>
  <c r="Q12" i="65"/>
  <c r="R12" i="65"/>
  <c r="S12" i="65"/>
  <c r="N13" i="65"/>
  <c r="N14" i="65"/>
  <c r="N15" i="65"/>
  <c r="N12" i="65"/>
  <c r="O12" i="66"/>
  <c r="P12" i="66"/>
  <c r="Q12" i="66"/>
  <c r="R12" i="66"/>
  <c r="S12" i="66"/>
  <c r="N14" i="66"/>
  <c r="N15" i="66"/>
  <c r="N12" i="66"/>
  <c r="N13" i="66"/>
  <c r="O12" i="63"/>
  <c r="P12" i="63"/>
  <c r="Q12" i="63"/>
  <c r="R12" i="63"/>
  <c r="S12" i="63"/>
  <c r="N12" i="63"/>
  <c r="N14" i="63"/>
  <c r="N15" i="63"/>
  <c r="N13" i="63"/>
  <c r="P12" i="67"/>
  <c r="Q12" i="67"/>
  <c r="R12" i="67"/>
  <c r="S12" i="67"/>
  <c r="O12" i="67"/>
  <c r="N14" i="67"/>
  <c r="N15" i="67"/>
  <c r="N13" i="67"/>
  <c r="AN23" i="67"/>
  <c r="AN24" i="67"/>
  <c r="AN25" i="67"/>
  <c r="AN26" i="67"/>
  <c r="AN27" i="67"/>
  <c r="AN28" i="67"/>
  <c r="AL23" i="67"/>
  <c r="AN24" i="63"/>
  <c r="AN25" i="63"/>
  <c r="AN26" i="63"/>
  <c r="AN27" i="63"/>
  <c r="AN28" i="63"/>
  <c r="AN23" i="63"/>
  <c r="AL23" i="63"/>
  <c r="F14" i="77" l="1"/>
  <c r="F15" i="77"/>
  <c r="F18" i="77"/>
  <c r="F19" i="77"/>
  <c r="G13" i="77"/>
  <c r="G14" i="77"/>
  <c r="G15" i="77"/>
  <c r="G16" i="77"/>
  <c r="G17" i="77"/>
  <c r="G18" i="77"/>
  <c r="G19" i="77"/>
  <c r="F13" i="77"/>
  <c r="F16" i="77"/>
  <c r="F17" i="77"/>
  <c r="L19" i="79"/>
  <c r="I23" i="71"/>
  <c r="G23" i="71"/>
  <c r="I26" i="79"/>
  <c r="G26" i="79"/>
  <c r="E26" i="79"/>
  <c r="I24" i="79"/>
  <c r="G24" i="79"/>
  <c r="E24" i="79"/>
  <c r="G23" i="79"/>
  <c r="E23" i="79"/>
  <c r="I41" i="71" l="1"/>
  <c r="I42" i="71"/>
  <c r="I39" i="71"/>
  <c r="I40" i="71"/>
  <c r="I37" i="71"/>
  <c r="I38" i="71"/>
  <c r="C17" i="71"/>
  <c r="J12" i="71"/>
  <c r="J7" i="71"/>
  <c r="H12" i="71"/>
  <c r="H7" i="71"/>
  <c r="I24" i="71" s="1"/>
  <c r="K34" i="71"/>
  <c r="I34" i="71"/>
  <c r="E34" i="71"/>
  <c r="C34" i="71"/>
  <c r="A34" i="71"/>
  <c r="K33" i="71"/>
  <c r="I33" i="71"/>
  <c r="E33" i="71"/>
  <c r="C33" i="71"/>
  <c r="A33" i="71"/>
  <c r="K32" i="71"/>
  <c r="I32" i="71"/>
  <c r="E32" i="71"/>
  <c r="C32" i="71"/>
  <c r="A32" i="71"/>
  <c r="E23" i="71"/>
  <c r="AC36" i="71"/>
  <c r="AD36" i="71"/>
  <c r="I38" i="79"/>
  <c r="I43" i="79"/>
  <c r="I44" i="79"/>
  <c r="I41" i="79"/>
  <c r="I42" i="79"/>
  <c r="I39" i="79"/>
  <c r="I40" i="79"/>
  <c r="I37" i="79"/>
  <c r="U38" i="79"/>
  <c r="O11" i="79"/>
  <c r="O16" i="79" s="1"/>
  <c r="O6" i="79"/>
  <c r="K33" i="79" l="1"/>
  <c r="K32" i="79"/>
  <c r="I35" i="79"/>
  <c r="I32" i="79"/>
  <c r="C32" i="79"/>
  <c r="C33" i="79"/>
  <c r="C34" i="79"/>
  <c r="C35" i="79"/>
  <c r="E35" i="79"/>
  <c r="E33" i="79"/>
  <c r="A33" i="79"/>
  <c r="A34" i="79"/>
  <c r="A35" i="79"/>
  <c r="A32" i="79"/>
  <c r="E32" i="79"/>
  <c r="E3" i="79"/>
  <c r="E2" i="79"/>
  <c r="E7" i="79"/>
  <c r="E18" i="79"/>
  <c r="V38" i="79" l="1"/>
  <c r="W38" i="79" s="1"/>
  <c r="B12" i="4"/>
  <c r="V28" i="80" l="1"/>
  <c r="U28" i="80"/>
  <c r="T28" i="80"/>
  <c r="S28" i="80"/>
  <c r="R28" i="80"/>
  <c r="Q28" i="80"/>
  <c r="P28" i="80"/>
  <c r="O28" i="80"/>
  <c r="N28" i="80"/>
  <c r="V27" i="80"/>
  <c r="U27" i="80"/>
  <c r="T27" i="80"/>
  <c r="S27" i="80"/>
  <c r="R27" i="80"/>
  <c r="Q27" i="80"/>
  <c r="P27" i="80"/>
  <c r="O27" i="80"/>
  <c r="N27" i="80"/>
  <c r="V26" i="80"/>
  <c r="U26" i="80"/>
  <c r="T26" i="80"/>
  <c r="S26" i="80"/>
  <c r="R26" i="80"/>
  <c r="Q26" i="80"/>
  <c r="P26" i="80"/>
  <c r="O26" i="80"/>
  <c r="N26" i="80"/>
  <c r="T25" i="80"/>
  <c r="S25" i="80"/>
  <c r="R25" i="80"/>
  <c r="Q25" i="80"/>
  <c r="P25" i="80"/>
  <c r="O25" i="80"/>
  <c r="N25" i="80"/>
  <c r="H28" i="80"/>
  <c r="G28" i="80"/>
  <c r="F28" i="80"/>
  <c r="E28" i="80"/>
  <c r="D28" i="80"/>
  <c r="C28" i="80"/>
  <c r="B28" i="80"/>
  <c r="H27" i="80"/>
  <c r="G27" i="80"/>
  <c r="F27" i="80"/>
  <c r="E27" i="80"/>
  <c r="D27" i="80"/>
  <c r="C27" i="80"/>
  <c r="B27" i="80"/>
  <c r="H26" i="80"/>
  <c r="G26" i="80"/>
  <c r="F26" i="80"/>
  <c r="E26" i="80"/>
  <c r="D26" i="80"/>
  <c r="C26" i="80"/>
  <c r="B26" i="80"/>
  <c r="J28" i="80"/>
  <c r="J27" i="80"/>
  <c r="J26" i="80"/>
  <c r="I28" i="80"/>
  <c r="I27" i="80"/>
  <c r="I26" i="80"/>
  <c r="H25" i="80"/>
  <c r="G25" i="80"/>
  <c r="F25" i="80"/>
  <c r="E25" i="80"/>
  <c r="D25" i="80"/>
  <c r="C25" i="80"/>
  <c r="B25" i="80"/>
  <c r="U16" i="80" l="1"/>
  <c r="U11" i="80"/>
  <c r="T16" i="80"/>
  <c r="T11" i="80"/>
  <c r="T6" i="80"/>
  <c r="S19" i="80"/>
  <c r="T19" i="80" s="1"/>
  <c r="S18" i="80"/>
  <c r="T18" i="80" s="1"/>
  <c r="M18" i="80"/>
  <c r="S17" i="80"/>
  <c r="T17" i="80" s="1"/>
  <c r="S14" i="80"/>
  <c r="T14" i="80" s="1"/>
  <c r="S13" i="80"/>
  <c r="T13" i="80" s="1"/>
  <c r="M13" i="80"/>
  <c r="S12" i="80"/>
  <c r="T12" i="80" s="1"/>
  <c r="S9" i="80"/>
  <c r="T9" i="80" s="1"/>
  <c r="R9" i="80"/>
  <c r="R14" i="80" s="1"/>
  <c r="R19" i="80" s="1"/>
  <c r="S8" i="80"/>
  <c r="T8" i="80" s="1"/>
  <c r="R8" i="80"/>
  <c r="R13" i="80" s="1"/>
  <c r="R18" i="80" s="1"/>
  <c r="M8" i="80"/>
  <c r="S7" i="80"/>
  <c r="T7" i="80" s="1"/>
  <c r="R7" i="80"/>
  <c r="R12" i="80" s="1"/>
  <c r="R17" i="80" s="1"/>
  <c r="N6" i="80"/>
  <c r="N11" i="80" s="1"/>
  <c r="N16" i="80" s="1"/>
  <c r="S4" i="80"/>
  <c r="T4" i="80" s="1"/>
  <c r="S3" i="80"/>
  <c r="T3" i="80" s="1"/>
  <c r="S2" i="80"/>
  <c r="T2" i="80" s="1"/>
  <c r="R19" i="73" l="1"/>
  <c r="Q19" i="73"/>
  <c r="P19" i="73"/>
  <c r="O19" i="73"/>
  <c r="R18" i="73"/>
  <c r="D2" i="63"/>
  <c r="E2" i="63"/>
  <c r="F2" i="63"/>
  <c r="G2" i="63"/>
  <c r="H2" i="63"/>
  <c r="D3" i="63"/>
  <c r="E3" i="63"/>
  <c r="F3" i="63"/>
  <c r="G3" i="63"/>
  <c r="H3" i="63"/>
  <c r="D4" i="63"/>
  <c r="E4" i="63"/>
  <c r="F4" i="63"/>
  <c r="G4" i="63"/>
  <c r="H4" i="63"/>
  <c r="D5" i="63"/>
  <c r="E5" i="63"/>
  <c r="F5" i="63"/>
  <c r="G5" i="63"/>
  <c r="H5" i="63"/>
  <c r="D6" i="63"/>
  <c r="E6" i="63"/>
  <c r="F6" i="63"/>
  <c r="G6" i="63"/>
  <c r="H6" i="63"/>
  <c r="D7" i="63"/>
  <c r="E7" i="63"/>
  <c r="F7" i="63"/>
  <c r="G7" i="63"/>
  <c r="H7" i="63"/>
  <c r="D8" i="63"/>
  <c r="E8" i="63"/>
  <c r="F8" i="63"/>
  <c r="G8" i="63"/>
  <c r="H8" i="63"/>
  <c r="D9" i="63"/>
  <c r="E9" i="63"/>
  <c r="F9" i="63"/>
  <c r="G9" i="63"/>
  <c r="H9" i="63"/>
  <c r="D10" i="63"/>
  <c r="E10" i="63"/>
  <c r="F10" i="63"/>
  <c r="G10" i="63"/>
  <c r="H10" i="63"/>
  <c r="D12" i="63"/>
  <c r="E12" i="63"/>
  <c r="E23" i="63" s="1"/>
  <c r="E34" i="63" s="1"/>
  <c r="E45" i="63" s="1"/>
  <c r="E56" i="63" s="1"/>
  <c r="E67" i="63" s="1"/>
  <c r="E78" i="63" s="1"/>
  <c r="E89" i="63" s="1"/>
  <c r="E100" i="63" s="1"/>
  <c r="E111" i="63" s="1"/>
  <c r="E122" i="63" s="1"/>
  <c r="E133" i="63" s="1"/>
  <c r="E144" i="63" s="1"/>
  <c r="E155" i="63" s="1"/>
  <c r="F12" i="63"/>
  <c r="F23" i="63" s="1"/>
  <c r="F34" i="63" s="1"/>
  <c r="F45" i="63" s="1"/>
  <c r="F56" i="63" s="1"/>
  <c r="F67" i="63" s="1"/>
  <c r="F78" i="63" s="1"/>
  <c r="F89" i="63" s="1"/>
  <c r="F100" i="63" s="1"/>
  <c r="F111" i="63" s="1"/>
  <c r="F122" i="63" s="1"/>
  <c r="F133" i="63" s="1"/>
  <c r="F144" i="63" s="1"/>
  <c r="F155" i="63" s="1"/>
  <c r="G12" i="63"/>
  <c r="H12" i="63"/>
  <c r="D13" i="63"/>
  <c r="E13" i="63"/>
  <c r="F13" i="63"/>
  <c r="G13" i="63"/>
  <c r="H13" i="63"/>
  <c r="D14" i="63"/>
  <c r="E14" i="63"/>
  <c r="F14" i="63"/>
  <c r="G14" i="63"/>
  <c r="H14" i="63"/>
  <c r="D15" i="63"/>
  <c r="E15" i="63"/>
  <c r="F15" i="63"/>
  <c r="G15" i="63"/>
  <c r="H15" i="63"/>
  <c r="D16" i="63"/>
  <c r="E16" i="63"/>
  <c r="F16" i="63"/>
  <c r="G16" i="63"/>
  <c r="H16" i="63"/>
  <c r="D17" i="63"/>
  <c r="E17" i="63"/>
  <c r="F17" i="63"/>
  <c r="G17" i="63"/>
  <c r="H17" i="63"/>
  <c r="D18" i="63"/>
  <c r="E18" i="63"/>
  <c r="F18" i="63"/>
  <c r="G18" i="63"/>
  <c r="H18" i="63"/>
  <c r="D19" i="63"/>
  <c r="E19" i="63"/>
  <c r="F19" i="63"/>
  <c r="G19" i="63"/>
  <c r="H19" i="63"/>
  <c r="D20" i="63"/>
  <c r="E20" i="63"/>
  <c r="F20" i="63"/>
  <c r="G20" i="63"/>
  <c r="H20" i="63"/>
  <c r="D21" i="63"/>
  <c r="E21" i="63"/>
  <c r="F21" i="63"/>
  <c r="G21" i="63"/>
  <c r="H21" i="63"/>
  <c r="D23" i="63"/>
  <c r="D34" i="63" s="1"/>
  <c r="D45" i="63" s="1"/>
  <c r="D56" i="63" s="1"/>
  <c r="D67" i="63" s="1"/>
  <c r="D78" i="63" s="1"/>
  <c r="D89" i="63" s="1"/>
  <c r="D100" i="63" s="1"/>
  <c r="D111" i="63" s="1"/>
  <c r="D122" i="63" s="1"/>
  <c r="D133" i="63" s="1"/>
  <c r="D144" i="63" s="1"/>
  <c r="D155" i="63" s="1"/>
  <c r="G23" i="63"/>
  <c r="G34" i="63" s="1"/>
  <c r="G45" i="63" s="1"/>
  <c r="G56" i="63" s="1"/>
  <c r="G67" i="63" s="1"/>
  <c r="G78" i="63" s="1"/>
  <c r="G89" i="63" s="1"/>
  <c r="G100" i="63" s="1"/>
  <c r="G111" i="63" s="1"/>
  <c r="G122" i="63" s="1"/>
  <c r="G133" i="63" s="1"/>
  <c r="G144" i="63" s="1"/>
  <c r="G155" i="63" s="1"/>
  <c r="H23" i="63"/>
  <c r="H34" i="63" s="1"/>
  <c r="H45" i="63" s="1"/>
  <c r="H56" i="63" s="1"/>
  <c r="H67" i="63" s="1"/>
  <c r="H78" i="63" s="1"/>
  <c r="H89" i="63" s="1"/>
  <c r="H100" i="63" s="1"/>
  <c r="H111" i="63" s="1"/>
  <c r="H122" i="63" s="1"/>
  <c r="H133" i="63" s="1"/>
  <c r="H144" i="63" s="1"/>
  <c r="H155" i="63" s="1"/>
  <c r="D24" i="63"/>
  <c r="E24" i="63"/>
  <c r="F24" i="63"/>
  <c r="G24" i="63"/>
  <c r="H24" i="63"/>
  <c r="D25" i="63"/>
  <c r="E25" i="63"/>
  <c r="F25" i="63"/>
  <c r="G25" i="63"/>
  <c r="H25" i="63"/>
  <c r="D26" i="63"/>
  <c r="E26" i="63"/>
  <c r="F26" i="63"/>
  <c r="G26" i="63"/>
  <c r="H26" i="63"/>
  <c r="D27" i="63"/>
  <c r="E27" i="63"/>
  <c r="F27" i="63"/>
  <c r="G27" i="63"/>
  <c r="H27" i="63"/>
  <c r="D28" i="63"/>
  <c r="E28" i="63"/>
  <c r="F28" i="63"/>
  <c r="G28" i="63"/>
  <c r="H28" i="63"/>
  <c r="D29" i="63"/>
  <c r="E29" i="63"/>
  <c r="F29" i="63"/>
  <c r="G29" i="63"/>
  <c r="H29" i="63"/>
  <c r="D30" i="63"/>
  <c r="E30" i="63"/>
  <c r="F30" i="63"/>
  <c r="G30" i="63"/>
  <c r="H30" i="63"/>
  <c r="D31" i="63"/>
  <c r="E31" i="63"/>
  <c r="F31" i="63"/>
  <c r="G31" i="63"/>
  <c r="H31" i="63"/>
  <c r="D32" i="63"/>
  <c r="E32" i="63"/>
  <c r="F32" i="63"/>
  <c r="G32" i="63"/>
  <c r="H32" i="63"/>
  <c r="D35" i="63"/>
  <c r="E35" i="63"/>
  <c r="F35" i="63"/>
  <c r="G35" i="63"/>
  <c r="H35" i="63"/>
  <c r="D36" i="63"/>
  <c r="E36" i="63"/>
  <c r="F36" i="63"/>
  <c r="G36" i="63"/>
  <c r="H36" i="63"/>
  <c r="D37" i="63"/>
  <c r="E37" i="63"/>
  <c r="F37" i="63"/>
  <c r="G37" i="63"/>
  <c r="H37" i="63"/>
  <c r="D38" i="63"/>
  <c r="E38" i="63"/>
  <c r="F38" i="63"/>
  <c r="G38" i="63"/>
  <c r="H38" i="63"/>
  <c r="D39" i="63"/>
  <c r="E39" i="63"/>
  <c r="F39" i="63"/>
  <c r="G39" i="63"/>
  <c r="H39" i="63"/>
  <c r="D40" i="63"/>
  <c r="E40" i="63"/>
  <c r="F40" i="63"/>
  <c r="G40" i="63"/>
  <c r="H40" i="63"/>
  <c r="D41" i="63"/>
  <c r="E41" i="63"/>
  <c r="F41" i="63"/>
  <c r="G41" i="63"/>
  <c r="H41" i="63"/>
  <c r="D42" i="63"/>
  <c r="E42" i="63"/>
  <c r="F42" i="63"/>
  <c r="G42" i="63"/>
  <c r="H42" i="63"/>
  <c r="D43" i="63"/>
  <c r="E43" i="63"/>
  <c r="F43" i="63"/>
  <c r="G43" i="63"/>
  <c r="H43" i="63"/>
  <c r="D46" i="63"/>
  <c r="E46" i="63"/>
  <c r="F46" i="63"/>
  <c r="G46" i="63"/>
  <c r="H46" i="63"/>
  <c r="D47" i="63"/>
  <c r="E47" i="63"/>
  <c r="F47" i="63"/>
  <c r="G47" i="63"/>
  <c r="H47" i="63"/>
  <c r="D48" i="63"/>
  <c r="E48" i="63"/>
  <c r="F48" i="63"/>
  <c r="G48" i="63"/>
  <c r="H48" i="63"/>
  <c r="D49" i="63"/>
  <c r="E49" i="63"/>
  <c r="F49" i="63"/>
  <c r="G49" i="63"/>
  <c r="H49" i="63"/>
  <c r="D50" i="63"/>
  <c r="E50" i="63"/>
  <c r="F50" i="63"/>
  <c r="G50" i="63"/>
  <c r="H50" i="63"/>
  <c r="D51" i="63"/>
  <c r="E51" i="63"/>
  <c r="F51" i="63"/>
  <c r="G51" i="63"/>
  <c r="H51" i="63"/>
  <c r="D52" i="63"/>
  <c r="E52" i="63"/>
  <c r="F52" i="63"/>
  <c r="G52" i="63"/>
  <c r="H52" i="63"/>
  <c r="D53" i="63"/>
  <c r="E53" i="63"/>
  <c r="F53" i="63"/>
  <c r="G53" i="63"/>
  <c r="H53" i="63"/>
  <c r="D54" i="63"/>
  <c r="E54" i="63"/>
  <c r="F54" i="63"/>
  <c r="G54" i="63"/>
  <c r="H54" i="63"/>
  <c r="D57" i="63"/>
  <c r="E57" i="63"/>
  <c r="F57" i="63"/>
  <c r="G57" i="63"/>
  <c r="H57" i="63"/>
  <c r="D58" i="63"/>
  <c r="E58" i="63"/>
  <c r="F58" i="63"/>
  <c r="G58" i="63"/>
  <c r="H58" i="63"/>
  <c r="D59" i="63"/>
  <c r="E59" i="63"/>
  <c r="F59" i="63"/>
  <c r="G59" i="63"/>
  <c r="H59" i="63"/>
  <c r="D60" i="63"/>
  <c r="E60" i="63"/>
  <c r="F60" i="63"/>
  <c r="G60" i="63"/>
  <c r="H60" i="63"/>
  <c r="D61" i="63"/>
  <c r="E61" i="63"/>
  <c r="F61" i="63"/>
  <c r="G61" i="63"/>
  <c r="H61" i="63"/>
  <c r="D62" i="63"/>
  <c r="E62" i="63"/>
  <c r="F62" i="63"/>
  <c r="G62" i="63"/>
  <c r="H62" i="63"/>
  <c r="D63" i="63"/>
  <c r="E63" i="63"/>
  <c r="F63" i="63"/>
  <c r="G63" i="63"/>
  <c r="H63" i="63"/>
  <c r="D64" i="63"/>
  <c r="E64" i="63"/>
  <c r="F64" i="63"/>
  <c r="G64" i="63"/>
  <c r="H64" i="63"/>
  <c r="D65" i="63"/>
  <c r="E65" i="63"/>
  <c r="F65" i="63"/>
  <c r="G65" i="63"/>
  <c r="H65" i="63"/>
  <c r="D68" i="63"/>
  <c r="E68" i="63"/>
  <c r="F68" i="63"/>
  <c r="G68" i="63"/>
  <c r="H68" i="63"/>
  <c r="D69" i="63"/>
  <c r="E69" i="63"/>
  <c r="F69" i="63"/>
  <c r="G69" i="63"/>
  <c r="H69" i="63"/>
  <c r="D70" i="63"/>
  <c r="E70" i="63"/>
  <c r="F70" i="63"/>
  <c r="G70" i="63"/>
  <c r="H70" i="63"/>
  <c r="D71" i="63"/>
  <c r="E71" i="63"/>
  <c r="F71" i="63"/>
  <c r="G71" i="63"/>
  <c r="H71" i="63"/>
  <c r="D72" i="63"/>
  <c r="E72" i="63"/>
  <c r="F72" i="63"/>
  <c r="G72" i="63"/>
  <c r="H72" i="63"/>
  <c r="D73" i="63"/>
  <c r="E73" i="63"/>
  <c r="F73" i="63"/>
  <c r="G73" i="63"/>
  <c r="H73" i="63"/>
  <c r="D74" i="63"/>
  <c r="E74" i="63"/>
  <c r="F74" i="63"/>
  <c r="G74" i="63"/>
  <c r="H74" i="63"/>
  <c r="D75" i="63"/>
  <c r="E75" i="63"/>
  <c r="F75" i="63"/>
  <c r="G75" i="63"/>
  <c r="H75" i="63"/>
  <c r="D76" i="63"/>
  <c r="E76" i="63"/>
  <c r="F76" i="63"/>
  <c r="G76" i="63"/>
  <c r="H76" i="63"/>
  <c r="D79" i="63"/>
  <c r="E79" i="63"/>
  <c r="F79" i="63"/>
  <c r="G79" i="63"/>
  <c r="H79" i="63"/>
  <c r="D80" i="63"/>
  <c r="E80" i="63"/>
  <c r="F80" i="63"/>
  <c r="G80" i="63"/>
  <c r="H80" i="63"/>
  <c r="D81" i="63"/>
  <c r="E81" i="63"/>
  <c r="F81" i="63"/>
  <c r="G81" i="63"/>
  <c r="H81" i="63"/>
  <c r="D82" i="63"/>
  <c r="E82" i="63"/>
  <c r="F82" i="63"/>
  <c r="G82" i="63"/>
  <c r="H82" i="63"/>
  <c r="D83" i="63"/>
  <c r="E83" i="63"/>
  <c r="F83" i="63"/>
  <c r="G83" i="63"/>
  <c r="H83" i="63"/>
  <c r="D84" i="63"/>
  <c r="E84" i="63"/>
  <c r="F84" i="63"/>
  <c r="G84" i="63"/>
  <c r="H84" i="63"/>
  <c r="D85" i="63"/>
  <c r="E85" i="63"/>
  <c r="F85" i="63"/>
  <c r="G85" i="63"/>
  <c r="H85" i="63"/>
  <c r="D86" i="63"/>
  <c r="E86" i="63"/>
  <c r="F86" i="63"/>
  <c r="G86" i="63"/>
  <c r="H86" i="63"/>
  <c r="D87" i="63"/>
  <c r="E87" i="63"/>
  <c r="F87" i="63"/>
  <c r="G87" i="63"/>
  <c r="H87" i="63"/>
  <c r="D90" i="63"/>
  <c r="E90" i="63"/>
  <c r="F90" i="63"/>
  <c r="G90" i="63"/>
  <c r="H90" i="63"/>
  <c r="D91" i="63"/>
  <c r="E91" i="63"/>
  <c r="F91" i="63"/>
  <c r="G91" i="63"/>
  <c r="H91" i="63"/>
  <c r="D92" i="63"/>
  <c r="E92" i="63"/>
  <c r="F92" i="63"/>
  <c r="G92" i="63"/>
  <c r="H92" i="63"/>
  <c r="D93" i="63"/>
  <c r="E93" i="63"/>
  <c r="F93" i="63"/>
  <c r="G93" i="63"/>
  <c r="H93" i="63"/>
  <c r="D94" i="63"/>
  <c r="E94" i="63"/>
  <c r="F94" i="63"/>
  <c r="G94" i="63"/>
  <c r="H94" i="63"/>
  <c r="D95" i="63"/>
  <c r="E95" i="63"/>
  <c r="F95" i="63"/>
  <c r="G95" i="63"/>
  <c r="H95" i="63"/>
  <c r="D96" i="63"/>
  <c r="E96" i="63"/>
  <c r="F96" i="63"/>
  <c r="G96" i="63"/>
  <c r="H96" i="63"/>
  <c r="D97" i="63"/>
  <c r="E97" i="63"/>
  <c r="F97" i="63"/>
  <c r="G97" i="63"/>
  <c r="H97" i="63"/>
  <c r="D98" i="63"/>
  <c r="E98" i="63"/>
  <c r="F98" i="63"/>
  <c r="G98" i="63"/>
  <c r="H98" i="63"/>
  <c r="D101" i="63"/>
  <c r="E101" i="63"/>
  <c r="F101" i="63"/>
  <c r="G101" i="63"/>
  <c r="H101" i="63"/>
  <c r="D102" i="63"/>
  <c r="E102" i="63"/>
  <c r="F102" i="63"/>
  <c r="G102" i="63"/>
  <c r="H102" i="63"/>
  <c r="D103" i="63"/>
  <c r="E103" i="63"/>
  <c r="F103" i="63"/>
  <c r="G103" i="63"/>
  <c r="H103" i="63"/>
  <c r="D104" i="63"/>
  <c r="E104" i="63"/>
  <c r="F104" i="63"/>
  <c r="G104" i="63"/>
  <c r="H104" i="63"/>
  <c r="D105" i="63"/>
  <c r="E105" i="63"/>
  <c r="F105" i="63"/>
  <c r="G105" i="63"/>
  <c r="H105" i="63"/>
  <c r="D106" i="63"/>
  <c r="E106" i="63"/>
  <c r="F106" i="63"/>
  <c r="G106" i="63"/>
  <c r="H106" i="63"/>
  <c r="D107" i="63"/>
  <c r="E107" i="63"/>
  <c r="F107" i="63"/>
  <c r="G107" i="63"/>
  <c r="H107" i="63"/>
  <c r="D108" i="63"/>
  <c r="E108" i="63"/>
  <c r="F108" i="63"/>
  <c r="G108" i="63"/>
  <c r="H108" i="63"/>
  <c r="D109" i="63"/>
  <c r="E109" i="63"/>
  <c r="F109" i="63"/>
  <c r="G109" i="63"/>
  <c r="H109" i="63"/>
  <c r="D112" i="63"/>
  <c r="E112" i="63"/>
  <c r="F112" i="63"/>
  <c r="G112" i="63"/>
  <c r="H112" i="63"/>
  <c r="D113" i="63"/>
  <c r="E113" i="63"/>
  <c r="F113" i="63"/>
  <c r="G113" i="63"/>
  <c r="H113" i="63"/>
  <c r="D114" i="63"/>
  <c r="E114" i="63"/>
  <c r="F114" i="63"/>
  <c r="G114" i="63"/>
  <c r="H114" i="63"/>
  <c r="D115" i="63"/>
  <c r="E115" i="63"/>
  <c r="F115" i="63"/>
  <c r="G115" i="63"/>
  <c r="H115" i="63"/>
  <c r="D116" i="63"/>
  <c r="E116" i="63"/>
  <c r="F116" i="63"/>
  <c r="G116" i="63"/>
  <c r="H116" i="63"/>
  <c r="D117" i="63"/>
  <c r="E117" i="63"/>
  <c r="F117" i="63"/>
  <c r="G117" i="63"/>
  <c r="H117" i="63"/>
  <c r="D118" i="63"/>
  <c r="E118" i="63"/>
  <c r="F118" i="63"/>
  <c r="G118" i="63"/>
  <c r="H118" i="63"/>
  <c r="D119" i="63"/>
  <c r="E119" i="63"/>
  <c r="F119" i="63"/>
  <c r="G119" i="63"/>
  <c r="H119" i="63"/>
  <c r="D120" i="63"/>
  <c r="E120" i="63"/>
  <c r="F120" i="63"/>
  <c r="G120" i="63"/>
  <c r="H120" i="63"/>
  <c r="D123" i="63"/>
  <c r="E123" i="63"/>
  <c r="F123" i="63"/>
  <c r="G123" i="63"/>
  <c r="H123" i="63"/>
  <c r="D124" i="63"/>
  <c r="E124" i="63"/>
  <c r="F124" i="63"/>
  <c r="G124" i="63"/>
  <c r="H124" i="63"/>
  <c r="D125" i="63"/>
  <c r="E125" i="63"/>
  <c r="F125" i="63"/>
  <c r="G125" i="63"/>
  <c r="H125" i="63"/>
  <c r="D126" i="63"/>
  <c r="E126" i="63"/>
  <c r="F126" i="63"/>
  <c r="G126" i="63"/>
  <c r="H126" i="63"/>
  <c r="D127" i="63"/>
  <c r="E127" i="63"/>
  <c r="F127" i="63"/>
  <c r="G127" i="63"/>
  <c r="H127" i="63"/>
  <c r="D128" i="63"/>
  <c r="E128" i="63"/>
  <c r="F128" i="63"/>
  <c r="G128" i="63"/>
  <c r="H128" i="63"/>
  <c r="D129" i="63"/>
  <c r="E129" i="63"/>
  <c r="F129" i="63"/>
  <c r="G129" i="63"/>
  <c r="H129" i="63"/>
  <c r="D130" i="63"/>
  <c r="E130" i="63"/>
  <c r="F130" i="63"/>
  <c r="G130" i="63"/>
  <c r="H130" i="63"/>
  <c r="D131" i="63"/>
  <c r="E131" i="63"/>
  <c r="F131" i="63"/>
  <c r="G131" i="63"/>
  <c r="H131" i="63"/>
  <c r="D134" i="63"/>
  <c r="E134" i="63"/>
  <c r="F134" i="63"/>
  <c r="G134" i="63"/>
  <c r="H134" i="63"/>
  <c r="D135" i="63"/>
  <c r="E135" i="63"/>
  <c r="F135" i="63"/>
  <c r="G135" i="63"/>
  <c r="H135" i="63"/>
  <c r="D136" i="63"/>
  <c r="E136" i="63"/>
  <c r="F136" i="63"/>
  <c r="G136" i="63"/>
  <c r="H136" i="63"/>
  <c r="D137" i="63"/>
  <c r="E137" i="63"/>
  <c r="F137" i="63"/>
  <c r="G137" i="63"/>
  <c r="H137" i="63"/>
  <c r="D138" i="63"/>
  <c r="E138" i="63"/>
  <c r="F138" i="63"/>
  <c r="G138" i="63"/>
  <c r="H138" i="63"/>
  <c r="D139" i="63"/>
  <c r="E139" i="63"/>
  <c r="F139" i="63"/>
  <c r="G139" i="63"/>
  <c r="H139" i="63"/>
  <c r="D140" i="63"/>
  <c r="E140" i="63"/>
  <c r="F140" i="63"/>
  <c r="G140" i="63"/>
  <c r="H140" i="63"/>
  <c r="D141" i="63"/>
  <c r="E141" i="63"/>
  <c r="F141" i="63"/>
  <c r="G141" i="63"/>
  <c r="H141" i="63"/>
  <c r="D142" i="63"/>
  <c r="E142" i="63"/>
  <c r="F142" i="63"/>
  <c r="G142" i="63"/>
  <c r="H142" i="63"/>
  <c r="D145" i="63"/>
  <c r="E145" i="63"/>
  <c r="F145" i="63"/>
  <c r="G145" i="63"/>
  <c r="H145" i="63"/>
  <c r="D146" i="63"/>
  <c r="E146" i="63"/>
  <c r="F146" i="63"/>
  <c r="G146" i="63"/>
  <c r="H146" i="63"/>
  <c r="D147" i="63"/>
  <c r="E147" i="63"/>
  <c r="F147" i="63"/>
  <c r="G147" i="63"/>
  <c r="H147" i="63"/>
  <c r="D148" i="63"/>
  <c r="E148" i="63"/>
  <c r="F148" i="63"/>
  <c r="G148" i="63"/>
  <c r="H148" i="63"/>
  <c r="D149" i="63"/>
  <c r="E149" i="63"/>
  <c r="F149" i="63"/>
  <c r="G149" i="63"/>
  <c r="H149" i="63"/>
  <c r="D150" i="63"/>
  <c r="E150" i="63"/>
  <c r="F150" i="63"/>
  <c r="G150" i="63"/>
  <c r="H150" i="63"/>
  <c r="D151" i="63"/>
  <c r="E151" i="63"/>
  <c r="F151" i="63"/>
  <c r="G151" i="63"/>
  <c r="H151" i="63"/>
  <c r="D152" i="63"/>
  <c r="E152" i="63"/>
  <c r="F152" i="63"/>
  <c r="G152" i="63"/>
  <c r="H152" i="63"/>
  <c r="D153" i="63"/>
  <c r="E153" i="63"/>
  <c r="F153" i="63"/>
  <c r="G153" i="63"/>
  <c r="H153" i="63"/>
  <c r="D156" i="63"/>
  <c r="E156" i="63"/>
  <c r="F156" i="63"/>
  <c r="G156" i="63"/>
  <c r="H156" i="63"/>
  <c r="D157" i="63"/>
  <c r="E157" i="63"/>
  <c r="F157" i="63"/>
  <c r="G157" i="63"/>
  <c r="H157" i="63"/>
  <c r="D158" i="63"/>
  <c r="E158" i="63"/>
  <c r="F158" i="63"/>
  <c r="G158" i="63"/>
  <c r="H158" i="63"/>
  <c r="D159" i="63"/>
  <c r="E159" i="63"/>
  <c r="F159" i="63"/>
  <c r="G159" i="63"/>
  <c r="H159" i="63"/>
  <c r="D160" i="63"/>
  <c r="E160" i="63"/>
  <c r="F160" i="63"/>
  <c r="G160" i="63"/>
  <c r="H160" i="63"/>
  <c r="D161" i="63"/>
  <c r="E161" i="63"/>
  <c r="F161" i="63"/>
  <c r="G161" i="63"/>
  <c r="H161" i="63"/>
  <c r="D162" i="63"/>
  <c r="E162" i="63"/>
  <c r="F162" i="63"/>
  <c r="G162" i="63"/>
  <c r="H162" i="63"/>
  <c r="D163" i="63"/>
  <c r="E163" i="63"/>
  <c r="F163" i="63"/>
  <c r="G163" i="63"/>
  <c r="H163" i="63"/>
  <c r="D164" i="63"/>
  <c r="E164" i="63"/>
  <c r="F164" i="63"/>
  <c r="G164" i="63"/>
  <c r="H164" i="63"/>
  <c r="F8" i="71"/>
  <c r="F13" i="71" s="1"/>
  <c r="F18" i="71" s="1"/>
  <c r="F9" i="71"/>
  <c r="F14" i="71" s="1"/>
  <c r="F19" i="71" s="1"/>
  <c r="F7" i="71"/>
  <c r="F12" i="71" s="1"/>
  <c r="F17" i="71" s="1"/>
  <c r="H6" i="71"/>
  <c r="H11" i="71" s="1"/>
  <c r="H16" i="71" s="1"/>
  <c r="B6" i="71"/>
  <c r="B11" i="71" s="1"/>
  <c r="B16" i="71" s="1"/>
  <c r="V42" i="71"/>
  <c r="V40" i="71"/>
  <c r="R35" i="71"/>
  <c r="T30" i="71"/>
  <c r="T35" i="71" s="1"/>
  <c r="S30" i="71"/>
  <c r="S35" i="71" s="1"/>
  <c r="R30" i="71"/>
  <c r="R32" i="71" s="1"/>
  <c r="Z28" i="71"/>
  <c r="B20" i="79"/>
  <c r="C12" i="79"/>
  <c r="K34" i="79" s="1"/>
  <c r="B12" i="79"/>
  <c r="I6" i="79"/>
  <c r="I11" i="79" s="1"/>
  <c r="I16" i="79" s="1"/>
  <c r="M17" i="79"/>
  <c r="E12" i="79" l="1"/>
  <c r="E34" i="79"/>
  <c r="L17" i="79"/>
  <c r="S32" i="71"/>
  <c r="R38" i="71"/>
  <c r="R36" i="79"/>
  <c r="S36" i="79"/>
  <c r="S41" i="79" s="1"/>
  <c r="Q36" i="79"/>
  <c r="U48" i="79"/>
  <c r="R38" i="79" l="1"/>
  <c r="R41" i="79"/>
  <c r="S38" i="79"/>
  <c r="S38" i="71"/>
  <c r="T32" i="71"/>
  <c r="T38" i="71" s="1"/>
  <c r="Q38" i="79"/>
  <c r="Q44" i="79" s="1"/>
  <c r="Q41" i="79"/>
  <c r="M7" i="79" l="1"/>
  <c r="M12" i="79"/>
  <c r="R44" i="79"/>
  <c r="G160" i="78"/>
  <c r="H6" i="79"/>
  <c r="AL36" i="79"/>
  <c r="AK36" i="79"/>
  <c r="AJ36" i="79"/>
  <c r="AI36" i="79"/>
  <c r="AH36" i="79"/>
  <c r="AG36" i="79"/>
  <c r="AF36" i="79"/>
  <c r="AE36" i="79"/>
  <c r="AD36" i="79"/>
  <c r="AC36" i="79"/>
  <c r="AO35" i="79"/>
  <c r="AN35" i="79"/>
  <c r="AY33" i="79"/>
  <c r="AN33" i="79"/>
  <c r="AY32" i="79"/>
  <c r="AN32" i="79"/>
  <c r="AY31" i="79"/>
  <c r="AN31" i="79"/>
  <c r="AY30" i="79"/>
  <c r="AN30" i="79"/>
  <c r="AY29" i="79"/>
  <c r="AN29" i="79"/>
  <c r="AY28" i="79"/>
  <c r="AN28" i="79"/>
  <c r="AY27" i="79"/>
  <c r="AN27" i="79"/>
  <c r="AY26" i="79"/>
  <c r="AN26" i="79"/>
  <c r="BK22" i="79"/>
  <c r="BG22" i="79"/>
  <c r="BC22" i="79"/>
  <c r="AP22" i="79"/>
  <c r="AK22" i="79"/>
  <c r="AF22" i="79"/>
  <c r="BK21" i="79"/>
  <c r="BG21" i="79"/>
  <c r="BC21" i="79"/>
  <c r="AP21" i="79"/>
  <c r="AK21" i="79"/>
  <c r="AF21" i="79"/>
  <c r="BK20" i="79"/>
  <c r="BG20" i="79"/>
  <c r="BC20" i="79"/>
  <c r="AP20" i="79"/>
  <c r="AK20" i="79"/>
  <c r="AF20" i="79"/>
  <c r="BK19" i="79"/>
  <c r="BG19" i="79"/>
  <c r="BC19" i="79"/>
  <c r="AP19" i="79"/>
  <c r="AK19" i="79"/>
  <c r="AF19" i="79"/>
  <c r="BK18" i="79"/>
  <c r="BG18" i="79"/>
  <c r="BC18" i="79"/>
  <c r="AP18" i="79"/>
  <c r="AK18" i="79"/>
  <c r="AF18" i="79"/>
  <c r="BK17" i="79"/>
  <c r="BG17" i="79"/>
  <c r="BC17" i="79"/>
  <c r="AP17" i="79"/>
  <c r="AK17" i="79"/>
  <c r="AF17" i="79"/>
  <c r="BK16" i="79"/>
  <c r="BG16" i="79"/>
  <c r="BC16" i="79"/>
  <c r="AP16" i="79"/>
  <c r="AK16" i="79"/>
  <c r="AF16" i="79"/>
  <c r="V16" i="79"/>
  <c r="H16" i="79"/>
  <c r="C16" i="79"/>
  <c r="B16" i="79"/>
  <c r="BK15" i="79"/>
  <c r="BG15" i="79"/>
  <c r="BC15" i="79"/>
  <c r="AP15" i="79"/>
  <c r="AK15" i="79"/>
  <c r="AF15" i="79"/>
  <c r="BK13" i="79"/>
  <c r="BJ13" i="79"/>
  <c r="BI13" i="79"/>
  <c r="BH13" i="79"/>
  <c r="BG13" i="79"/>
  <c r="BF13" i="79"/>
  <c r="BE13" i="79"/>
  <c r="BD13" i="79"/>
  <c r="BC13" i="79"/>
  <c r="BB13" i="79"/>
  <c r="BA13" i="79"/>
  <c r="AZ13" i="79"/>
  <c r="AS13" i="79"/>
  <c r="AQ13" i="79"/>
  <c r="AP13" i="79"/>
  <c r="AO13" i="79"/>
  <c r="AN13" i="79"/>
  <c r="AM13" i="79"/>
  <c r="AL13" i="79"/>
  <c r="AK13" i="79"/>
  <c r="AJ13" i="79"/>
  <c r="AI13" i="79"/>
  <c r="AH13" i="79"/>
  <c r="AG13" i="79"/>
  <c r="AF13" i="79"/>
  <c r="AE13" i="79"/>
  <c r="AD13" i="79"/>
  <c r="AC13" i="79"/>
  <c r="BN12" i="79"/>
  <c r="BM12" i="79"/>
  <c r="AT12" i="79"/>
  <c r="AT13" i="79" s="1"/>
  <c r="AS12" i="79"/>
  <c r="G12" i="79"/>
  <c r="V11" i="79"/>
  <c r="H11" i="79"/>
  <c r="C11" i="79"/>
  <c r="B11" i="79"/>
  <c r="BM10" i="79"/>
  <c r="AS10" i="79"/>
  <c r="BM9" i="79"/>
  <c r="AS9" i="79"/>
  <c r="AU9" i="79" s="1"/>
  <c r="F9" i="79"/>
  <c r="F14" i="79" s="1"/>
  <c r="F19" i="79" s="1"/>
  <c r="BM8" i="79"/>
  <c r="AS8" i="79"/>
  <c r="F8" i="79"/>
  <c r="F13" i="79" s="1"/>
  <c r="F18" i="79" s="1"/>
  <c r="A8" i="79"/>
  <c r="A13" i="79" s="1"/>
  <c r="A18" i="79" s="1"/>
  <c r="BM7" i="79"/>
  <c r="AS7" i="79"/>
  <c r="F7" i="79"/>
  <c r="F12" i="79" s="1"/>
  <c r="F17" i="79" s="1"/>
  <c r="A7" i="79"/>
  <c r="A12" i="79" s="1"/>
  <c r="A17" i="79" s="1"/>
  <c r="BM6" i="79"/>
  <c r="AS6" i="79"/>
  <c r="V6" i="79"/>
  <c r="D6" i="79"/>
  <c r="C6" i="79"/>
  <c r="B6" i="79"/>
  <c r="BM5" i="79"/>
  <c r="AS5" i="79"/>
  <c r="BM4" i="79"/>
  <c r="AS4" i="79"/>
  <c r="G4" i="79"/>
  <c r="BM3" i="79"/>
  <c r="AS3" i="79"/>
  <c r="G3" i="79"/>
  <c r="G2" i="79"/>
  <c r="V1" i="79"/>
  <c r="H164" i="78"/>
  <c r="G164" i="78"/>
  <c r="F164" i="78"/>
  <c r="E164" i="78"/>
  <c r="D164" i="78"/>
  <c r="H163" i="78"/>
  <c r="G163" i="78"/>
  <c r="F163" i="78"/>
  <c r="E163" i="78"/>
  <c r="D163" i="78"/>
  <c r="H162" i="78"/>
  <c r="G162" i="78"/>
  <c r="F162" i="78"/>
  <c r="E162" i="78"/>
  <c r="D162" i="78"/>
  <c r="H161" i="78"/>
  <c r="G161" i="78"/>
  <c r="F161" i="78"/>
  <c r="E161" i="78"/>
  <c r="D161" i="78"/>
  <c r="J161" i="78" s="1"/>
  <c r="H160" i="78"/>
  <c r="F160" i="78"/>
  <c r="E160" i="78"/>
  <c r="J160" i="78" s="1"/>
  <c r="D160" i="78"/>
  <c r="H159" i="78"/>
  <c r="G159" i="78"/>
  <c r="F159" i="78"/>
  <c r="E159" i="78"/>
  <c r="D159" i="78"/>
  <c r="H158" i="78"/>
  <c r="G158" i="78"/>
  <c r="F158" i="78"/>
  <c r="E158" i="78"/>
  <c r="D158" i="78"/>
  <c r="H157" i="78"/>
  <c r="G157" i="78"/>
  <c r="F157" i="78"/>
  <c r="E157" i="78"/>
  <c r="D157" i="78"/>
  <c r="J157" i="78" s="1"/>
  <c r="H156" i="78"/>
  <c r="G156" i="78"/>
  <c r="F156" i="78"/>
  <c r="E156" i="78"/>
  <c r="J156" i="78" s="1"/>
  <c r="D156" i="78"/>
  <c r="C155" i="78"/>
  <c r="H153" i="78"/>
  <c r="G153" i="78"/>
  <c r="F153" i="78"/>
  <c r="E153" i="78"/>
  <c r="D153" i="78"/>
  <c r="H152" i="78"/>
  <c r="G152" i="78"/>
  <c r="F152" i="78"/>
  <c r="E152" i="78"/>
  <c r="D152" i="78"/>
  <c r="J152" i="78" s="1"/>
  <c r="H151" i="78"/>
  <c r="G151" i="78"/>
  <c r="F151" i="78"/>
  <c r="E151" i="78"/>
  <c r="J151" i="78" s="1"/>
  <c r="D151" i="78"/>
  <c r="H150" i="78"/>
  <c r="G150" i="78"/>
  <c r="F150" i="78"/>
  <c r="E150" i="78"/>
  <c r="D150" i="78"/>
  <c r="H149" i="78"/>
  <c r="G149" i="78"/>
  <c r="F149" i="78"/>
  <c r="E149" i="78"/>
  <c r="D149" i="78"/>
  <c r="H148" i="78"/>
  <c r="G148" i="78"/>
  <c r="F148" i="78"/>
  <c r="E148" i="78"/>
  <c r="D148" i="78"/>
  <c r="J148" i="78" s="1"/>
  <c r="H147" i="78"/>
  <c r="G147" i="78"/>
  <c r="F147" i="78"/>
  <c r="E147" i="78"/>
  <c r="J147" i="78" s="1"/>
  <c r="D147" i="78"/>
  <c r="H146" i="78"/>
  <c r="G146" i="78"/>
  <c r="F146" i="78"/>
  <c r="E146" i="78"/>
  <c r="D146" i="78"/>
  <c r="H145" i="78"/>
  <c r="G145" i="78"/>
  <c r="F145" i="78"/>
  <c r="E145" i="78"/>
  <c r="D145" i="78"/>
  <c r="C144" i="78"/>
  <c r="H142" i="78"/>
  <c r="G142" i="78"/>
  <c r="F142" i="78"/>
  <c r="E142" i="78"/>
  <c r="D142" i="78"/>
  <c r="H141" i="78"/>
  <c r="G141" i="78"/>
  <c r="F141" i="78"/>
  <c r="E141" i="78"/>
  <c r="D141" i="78"/>
  <c r="H140" i="78"/>
  <c r="G140" i="78"/>
  <c r="F140" i="78"/>
  <c r="E140" i="78"/>
  <c r="D140" i="78"/>
  <c r="H139" i="78"/>
  <c r="G139" i="78"/>
  <c r="F139" i="78"/>
  <c r="E139" i="78"/>
  <c r="D139" i="78"/>
  <c r="J139" i="78" s="1"/>
  <c r="H138" i="78"/>
  <c r="G138" i="78"/>
  <c r="F138" i="78"/>
  <c r="E138" i="78"/>
  <c r="J138" i="78" s="1"/>
  <c r="D138" i="78"/>
  <c r="H137" i="78"/>
  <c r="G137" i="78"/>
  <c r="F137" i="78"/>
  <c r="E137" i="78"/>
  <c r="D137" i="78"/>
  <c r="H136" i="78"/>
  <c r="G136" i="78"/>
  <c r="F136" i="78"/>
  <c r="E136" i="78"/>
  <c r="D136" i="78"/>
  <c r="H135" i="78"/>
  <c r="G135" i="78"/>
  <c r="F135" i="78"/>
  <c r="E135" i="78"/>
  <c r="D135" i="78"/>
  <c r="J135" i="78" s="1"/>
  <c r="H134" i="78"/>
  <c r="G134" i="78"/>
  <c r="F134" i="78"/>
  <c r="E134" i="78"/>
  <c r="J134" i="78" s="1"/>
  <c r="D134" i="78"/>
  <c r="C133" i="78"/>
  <c r="H131" i="78"/>
  <c r="G131" i="78"/>
  <c r="F131" i="78"/>
  <c r="E131" i="78"/>
  <c r="D131" i="78"/>
  <c r="H130" i="78"/>
  <c r="G130" i="78"/>
  <c r="F130" i="78"/>
  <c r="E130" i="78"/>
  <c r="D130" i="78"/>
  <c r="J130" i="78" s="1"/>
  <c r="H129" i="78"/>
  <c r="G129" i="78"/>
  <c r="F129" i="78"/>
  <c r="E129" i="78"/>
  <c r="J129" i="78" s="1"/>
  <c r="D129" i="78"/>
  <c r="H128" i="78"/>
  <c r="G128" i="78"/>
  <c r="F128" i="78"/>
  <c r="E128" i="78"/>
  <c r="D128" i="78"/>
  <c r="H127" i="78"/>
  <c r="G127" i="78"/>
  <c r="F127" i="78"/>
  <c r="E127" i="78"/>
  <c r="D127" i="78"/>
  <c r="H126" i="78"/>
  <c r="G126" i="78"/>
  <c r="F126" i="78"/>
  <c r="E126" i="78"/>
  <c r="D126" i="78"/>
  <c r="J126" i="78" s="1"/>
  <c r="H125" i="78"/>
  <c r="G125" i="78"/>
  <c r="F125" i="78"/>
  <c r="E125" i="78"/>
  <c r="J125" i="78" s="1"/>
  <c r="D125" i="78"/>
  <c r="H124" i="78"/>
  <c r="G124" i="78"/>
  <c r="F124" i="78"/>
  <c r="E124" i="78"/>
  <c r="D124" i="78"/>
  <c r="H123" i="78"/>
  <c r="G123" i="78"/>
  <c r="F123" i="78"/>
  <c r="E123" i="78"/>
  <c r="D123" i="78"/>
  <c r="C122" i="78"/>
  <c r="H120" i="78"/>
  <c r="G120" i="78"/>
  <c r="F120" i="78"/>
  <c r="E120" i="78"/>
  <c r="D120" i="78"/>
  <c r="H119" i="78"/>
  <c r="G119" i="78"/>
  <c r="F119" i="78"/>
  <c r="E119" i="78"/>
  <c r="D119" i="78"/>
  <c r="H118" i="78"/>
  <c r="G118" i="78"/>
  <c r="F118" i="78"/>
  <c r="E118" i="78"/>
  <c r="D118" i="78"/>
  <c r="H117" i="78"/>
  <c r="G117" i="78"/>
  <c r="F117" i="78"/>
  <c r="E117" i="78"/>
  <c r="D117" i="78"/>
  <c r="J117" i="78" s="1"/>
  <c r="H116" i="78"/>
  <c r="G116" i="78"/>
  <c r="F116" i="78"/>
  <c r="E116" i="78"/>
  <c r="J116" i="78" s="1"/>
  <c r="D116" i="78"/>
  <c r="H115" i="78"/>
  <c r="G115" i="78"/>
  <c r="F115" i="78"/>
  <c r="E115" i="78"/>
  <c r="D115" i="78"/>
  <c r="H114" i="78"/>
  <c r="G114" i="78"/>
  <c r="F114" i="78"/>
  <c r="E114" i="78"/>
  <c r="D114" i="78"/>
  <c r="H113" i="78"/>
  <c r="G113" i="78"/>
  <c r="F113" i="78"/>
  <c r="E113" i="78"/>
  <c r="D113" i="78"/>
  <c r="J113" i="78" s="1"/>
  <c r="H112" i="78"/>
  <c r="G112" i="78"/>
  <c r="F112" i="78"/>
  <c r="E112" i="78"/>
  <c r="J112" i="78" s="1"/>
  <c r="D112" i="78"/>
  <c r="C111" i="78"/>
  <c r="H109" i="78"/>
  <c r="G109" i="78"/>
  <c r="F109" i="78"/>
  <c r="E109" i="78"/>
  <c r="D109" i="78"/>
  <c r="H108" i="78"/>
  <c r="G108" i="78"/>
  <c r="F108" i="78"/>
  <c r="E108" i="78"/>
  <c r="D108" i="78"/>
  <c r="J108" i="78" s="1"/>
  <c r="H107" i="78"/>
  <c r="G107" i="78"/>
  <c r="F107" i="78"/>
  <c r="E107" i="78"/>
  <c r="J107" i="78" s="1"/>
  <c r="D107" i="78"/>
  <c r="H106" i="78"/>
  <c r="G106" i="78"/>
  <c r="F106" i="78"/>
  <c r="E106" i="78"/>
  <c r="D106" i="78"/>
  <c r="H105" i="78"/>
  <c r="G105" i="78"/>
  <c r="F105" i="78"/>
  <c r="E105" i="78"/>
  <c r="D105" i="78"/>
  <c r="H104" i="78"/>
  <c r="G104" i="78"/>
  <c r="F104" i="78"/>
  <c r="E104" i="78"/>
  <c r="D104" i="78"/>
  <c r="J104" i="78" s="1"/>
  <c r="H103" i="78"/>
  <c r="G103" i="78"/>
  <c r="F103" i="78"/>
  <c r="E103" i="78"/>
  <c r="J103" i="78" s="1"/>
  <c r="D103" i="78"/>
  <c r="H102" i="78"/>
  <c r="G102" i="78"/>
  <c r="F102" i="78"/>
  <c r="E102" i="78"/>
  <c r="D102" i="78"/>
  <c r="H101" i="78"/>
  <c r="G101" i="78"/>
  <c r="F101" i="78"/>
  <c r="E101" i="78"/>
  <c r="D101" i="78"/>
  <c r="C100" i="78"/>
  <c r="H98" i="78"/>
  <c r="G98" i="78"/>
  <c r="F98" i="78"/>
  <c r="E98" i="78"/>
  <c r="D98" i="78"/>
  <c r="H97" i="78"/>
  <c r="G97" i="78"/>
  <c r="F97" i="78"/>
  <c r="E97" i="78"/>
  <c r="D97" i="78"/>
  <c r="H96" i="78"/>
  <c r="G96" i="78"/>
  <c r="F96" i="78"/>
  <c r="E96" i="78"/>
  <c r="D96" i="78"/>
  <c r="H95" i="78"/>
  <c r="G95" i="78"/>
  <c r="F95" i="78"/>
  <c r="E95" i="78"/>
  <c r="D95" i="78"/>
  <c r="J95" i="78" s="1"/>
  <c r="H94" i="78"/>
  <c r="G94" i="78"/>
  <c r="F94" i="78"/>
  <c r="E94" i="78"/>
  <c r="J94" i="78" s="1"/>
  <c r="D94" i="78"/>
  <c r="H93" i="78"/>
  <c r="G93" i="78"/>
  <c r="F93" i="78"/>
  <c r="E93" i="78"/>
  <c r="D93" i="78"/>
  <c r="H92" i="78"/>
  <c r="G92" i="78"/>
  <c r="F92" i="78"/>
  <c r="E92" i="78"/>
  <c r="D92" i="78"/>
  <c r="H91" i="78"/>
  <c r="G91" i="78"/>
  <c r="F91" i="78"/>
  <c r="E91" i="78"/>
  <c r="D91" i="78"/>
  <c r="J91" i="78" s="1"/>
  <c r="H90" i="78"/>
  <c r="G90" i="78"/>
  <c r="F90" i="78"/>
  <c r="E90" i="78"/>
  <c r="J90" i="78" s="1"/>
  <c r="D90" i="78"/>
  <c r="C89" i="78"/>
  <c r="H87" i="78"/>
  <c r="G87" i="78"/>
  <c r="F87" i="78"/>
  <c r="E87" i="78"/>
  <c r="D87" i="78"/>
  <c r="H86" i="78"/>
  <c r="G86" i="78"/>
  <c r="F86" i="78"/>
  <c r="E86" i="78"/>
  <c r="D86" i="78"/>
  <c r="H85" i="78"/>
  <c r="G85" i="78"/>
  <c r="F85" i="78"/>
  <c r="E85" i="78"/>
  <c r="J85" i="78" s="1"/>
  <c r="L85" i="78" s="1"/>
  <c r="D85" i="78"/>
  <c r="H84" i="78"/>
  <c r="G84" i="78"/>
  <c r="F84" i="78"/>
  <c r="E84" i="78"/>
  <c r="D84" i="78"/>
  <c r="H83" i="78"/>
  <c r="G83" i="78"/>
  <c r="F83" i="78"/>
  <c r="E83" i="78"/>
  <c r="D83" i="78"/>
  <c r="H82" i="78"/>
  <c r="G82" i="78"/>
  <c r="F82" i="78"/>
  <c r="E82" i="78"/>
  <c r="D82" i="78"/>
  <c r="H81" i="78"/>
  <c r="G81" i="78"/>
  <c r="F81" i="78"/>
  <c r="E81" i="78"/>
  <c r="J81" i="78" s="1"/>
  <c r="L81" i="78" s="1"/>
  <c r="D81" i="78"/>
  <c r="H80" i="78"/>
  <c r="G80" i="78"/>
  <c r="F80" i="78"/>
  <c r="E80" i="78"/>
  <c r="D80" i="78"/>
  <c r="H79" i="78"/>
  <c r="G79" i="78"/>
  <c r="F79" i="78"/>
  <c r="E79" i="78"/>
  <c r="D79" i="78"/>
  <c r="C78" i="78"/>
  <c r="H76" i="78"/>
  <c r="G76" i="78"/>
  <c r="F76" i="78"/>
  <c r="E76" i="78"/>
  <c r="D76" i="78"/>
  <c r="H75" i="78"/>
  <c r="G75" i="78"/>
  <c r="F75" i="78"/>
  <c r="E75" i="78"/>
  <c r="D75" i="78"/>
  <c r="H74" i="78"/>
  <c r="G74" i="78"/>
  <c r="F74" i="78"/>
  <c r="E74" i="78"/>
  <c r="D74" i="78"/>
  <c r="H73" i="78"/>
  <c r="G73" i="78"/>
  <c r="F73" i="78"/>
  <c r="E73" i="78"/>
  <c r="D73" i="78"/>
  <c r="H72" i="78"/>
  <c r="G72" i="78"/>
  <c r="F72" i="78"/>
  <c r="E72" i="78"/>
  <c r="J72" i="78" s="1"/>
  <c r="L72" i="78" s="1"/>
  <c r="D72" i="78"/>
  <c r="H71" i="78"/>
  <c r="G71" i="78"/>
  <c r="F71" i="78"/>
  <c r="E71" i="78"/>
  <c r="D71" i="78"/>
  <c r="C71" i="78"/>
  <c r="C82" i="78" s="1"/>
  <c r="C93" i="78" s="1"/>
  <c r="C104" i="78" s="1"/>
  <c r="C115" i="78" s="1"/>
  <c r="C126" i="78" s="1"/>
  <c r="C137" i="78" s="1"/>
  <c r="C148" i="78" s="1"/>
  <c r="C159" i="78" s="1"/>
  <c r="H70" i="78"/>
  <c r="G70" i="78"/>
  <c r="F70" i="78"/>
  <c r="E70" i="78"/>
  <c r="D70" i="78"/>
  <c r="H69" i="78"/>
  <c r="G69" i="78"/>
  <c r="F69" i="78"/>
  <c r="E69" i="78"/>
  <c r="J69" i="78" s="1"/>
  <c r="D69" i="78"/>
  <c r="H68" i="78"/>
  <c r="G68" i="78"/>
  <c r="F68" i="78"/>
  <c r="E68" i="78"/>
  <c r="D68" i="78"/>
  <c r="C67" i="78"/>
  <c r="H65" i="78"/>
  <c r="G65" i="78"/>
  <c r="F65" i="78"/>
  <c r="E65" i="78"/>
  <c r="D65" i="78"/>
  <c r="C65" i="78"/>
  <c r="C76" i="78" s="1"/>
  <c r="C87" i="78" s="1"/>
  <c r="C98" i="78" s="1"/>
  <c r="C109" i="78" s="1"/>
  <c r="C120" i="78" s="1"/>
  <c r="C131" i="78" s="1"/>
  <c r="C142" i="78" s="1"/>
  <c r="C153" i="78" s="1"/>
  <c r="C164" i="78" s="1"/>
  <c r="H64" i="78"/>
  <c r="G64" i="78"/>
  <c r="F64" i="78"/>
  <c r="E64" i="78"/>
  <c r="D64" i="78"/>
  <c r="C64" i="78"/>
  <c r="C75" i="78" s="1"/>
  <c r="C86" i="78" s="1"/>
  <c r="C97" i="78" s="1"/>
  <c r="C108" i="78" s="1"/>
  <c r="C119" i="78" s="1"/>
  <c r="C130" i="78" s="1"/>
  <c r="C141" i="78" s="1"/>
  <c r="C152" i="78" s="1"/>
  <c r="C163" i="78" s="1"/>
  <c r="H63" i="78"/>
  <c r="G63" i="78"/>
  <c r="F63" i="78"/>
  <c r="E63" i="78"/>
  <c r="D63" i="78"/>
  <c r="C63" i="78"/>
  <c r="C74" i="78" s="1"/>
  <c r="C85" i="78" s="1"/>
  <c r="C96" i="78" s="1"/>
  <c r="C107" i="78" s="1"/>
  <c r="C118" i="78" s="1"/>
  <c r="C129" i="78" s="1"/>
  <c r="C140" i="78" s="1"/>
  <c r="C151" i="78" s="1"/>
  <c r="C162" i="78" s="1"/>
  <c r="H62" i="78"/>
  <c r="G62" i="78"/>
  <c r="F62" i="78"/>
  <c r="E62" i="78"/>
  <c r="D62" i="78"/>
  <c r="C62" i="78"/>
  <c r="C73" i="78" s="1"/>
  <c r="C84" i="78" s="1"/>
  <c r="C95" i="78" s="1"/>
  <c r="C106" i="78" s="1"/>
  <c r="C117" i="78" s="1"/>
  <c r="C128" i="78" s="1"/>
  <c r="C139" i="78" s="1"/>
  <c r="C150" i="78" s="1"/>
  <c r="C161" i="78" s="1"/>
  <c r="H61" i="78"/>
  <c r="G61" i="78"/>
  <c r="F61" i="78"/>
  <c r="E61" i="78"/>
  <c r="D61" i="78"/>
  <c r="C61" i="78"/>
  <c r="C72" i="78" s="1"/>
  <c r="C83" i="78" s="1"/>
  <c r="C94" i="78" s="1"/>
  <c r="C105" i="78" s="1"/>
  <c r="C116" i="78" s="1"/>
  <c r="C127" i="78" s="1"/>
  <c r="C138" i="78" s="1"/>
  <c r="C149" i="78" s="1"/>
  <c r="C160" i="78" s="1"/>
  <c r="H60" i="78"/>
  <c r="G60" i="78"/>
  <c r="F60" i="78"/>
  <c r="E60" i="78"/>
  <c r="D60" i="78"/>
  <c r="C60" i="78"/>
  <c r="H59" i="78"/>
  <c r="G59" i="78"/>
  <c r="F59" i="78"/>
  <c r="E59" i="78"/>
  <c r="D59" i="78"/>
  <c r="J59" i="78" s="1"/>
  <c r="L59" i="78" s="1"/>
  <c r="C59" i="78"/>
  <c r="C70" i="78" s="1"/>
  <c r="C81" i="78" s="1"/>
  <c r="C92" i="78" s="1"/>
  <c r="C103" i="78" s="1"/>
  <c r="C114" i="78" s="1"/>
  <c r="C125" i="78" s="1"/>
  <c r="C136" i="78" s="1"/>
  <c r="C147" i="78" s="1"/>
  <c r="C158" i="78" s="1"/>
  <c r="H58" i="78"/>
  <c r="G58" i="78"/>
  <c r="F58" i="78"/>
  <c r="E58" i="78"/>
  <c r="D58" i="78"/>
  <c r="C58" i="78"/>
  <c r="C69" i="78" s="1"/>
  <c r="C80" i="78" s="1"/>
  <c r="C91" i="78" s="1"/>
  <c r="C102" i="78" s="1"/>
  <c r="C113" i="78" s="1"/>
  <c r="C124" i="78" s="1"/>
  <c r="C135" i="78" s="1"/>
  <c r="C146" i="78" s="1"/>
  <c r="C157" i="78" s="1"/>
  <c r="H57" i="78"/>
  <c r="G57" i="78"/>
  <c r="F57" i="78"/>
  <c r="E57" i="78"/>
  <c r="D57" i="78"/>
  <c r="C57" i="78"/>
  <c r="C68" i="78" s="1"/>
  <c r="C79" i="78" s="1"/>
  <c r="C90" i="78" s="1"/>
  <c r="C101" i="78" s="1"/>
  <c r="C112" i="78" s="1"/>
  <c r="C123" i="78" s="1"/>
  <c r="C134" i="78" s="1"/>
  <c r="C145" i="78" s="1"/>
  <c r="C156" i="78" s="1"/>
  <c r="C56" i="78"/>
  <c r="H54" i="78"/>
  <c r="G54" i="78"/>
  <c r="F54" i="78"/>
  <c r="E54" i="78"/>
  <c r="D54" i="78"/>
  <c r="C54" i="78"/>
  <c r="H53" i="78"/>
  <c r="G53" i="78"/>
  <c r="F53" i="78"/>
  <c r="E53" i="78"/>
  <c r="D53" i="78"/>
  <c r="C53" i="78"/>
  <c r="H52" i="78"/>
  <c r="G52" i="78"/>
  <c r="F52" i="78"/>
  <c r="E52" i="78"/>
  <c r="D52" i="78"/>
  <c r="C52" i="78"/>
  <c r="H51" i="78"/>
  <c r="G51" i="78"/>
  <c r="F51" i="78"/>
  <c r="E51" i="78"/>
  <c r="D51" i="78"/>
  <c r="C51" i="78"/>
  <c r="H50" i="78"/>
  <c r="G50" i="78"/>
  <c r="F50" i="78"/>
  <c r="E50" i="78"/>
  <c r="D50" i="78"/>
  <c r="C50" i="78"/>
  <c r="H49" i="78"/>
  <c r="G49" i="78"/>
  <c r="F49" i="78"/>
  <c r="E49" i="78"/>
  <c r="D49" i="78"/>
  <c r="C49" i="78"/>
  <c r="H48" i="78"/>
  <c r="G48" i="78"/>
  <c r="F48" i="78"/>
  <c r="E48" i="78"/>
  <c r="D48" i="78"/>
  <c r="C48" i="78"/>
  <c r="H47" i="78"/>
  <c r="G47" i="78"/>
  <c r="F47" i="78"/>
  <c r="E47" i="78"/>
  <c r="D47" i="78"/>
  <c r="C47" i="78"/>
  <c r="H46" i="78"/>
  <c r="G46" i="78"/>
  <c r="F46" i="78"/>
  <c r="E46" i="78"/>
  <c r="D46" i="78"/>
  <c r="C46" i="78"/>
  <c r="C45" i="78"/>
  <c r="H43" i="78"/>
  <c r="G43" i="78"/>
  <c r="F43" i="78"/>
  <c r="E43" i="78"/>
  <c r="D43" i="78"/>
  <c r="C43" i="78"/>
  <c r="H42" i="78"/>
  <c r="G42" i="78"/>
  <c r="F42" i="78"/>
  <c r="E42" i="78"/>
  <c r="D42" i="78"/>
  <c r="J42" i="78" s="1"/>
  <c r="C42" i="78"/>
  <c r="H41" i="78"/>
  <c r="G41" i="78"/>
  <c r="F41" i="78"/>
  <c r="E41" i="78"/>
  <c r="D41" i="78"/>
  <c r="C41" i="78"/>
  <c r="H40" i="78"/>
  <c r="G40" i="78"/>
  <c r="F40" i="78"/>
  <c r="E40" i="78"/>
  <c r="D40" i="78"/>
  <c r="J40" i="78" s="1"/>
  <c r="L40" i="78" s="1"/>
  <c r="C40" i="78"/>
  <c r="H39" i="78"/>
  <c r="G39" i="78"/>
  <c r="F39" i="78"/>
  <c r="E39" i="78"/>
  <c r="D39" i="78"/>
  <c r="C39" i="78"/>
  <c r="H38" i="78"/>
  <c r="G38" i="78"/>
  <c r="F38" i="78"/>
  <c r="E38" i="78"/>
  <c r="D38" i="78"/>
  <c r="J38" i="78" s="1"/>
  <c r="L38" i="78" s="1"/>
  <c r="C38" i="78"/>
  <c r="H37" i="78"/>
  <c r="G37" i="78"/>
  <c r="F37" i="78"/>
  <c r="E37" i="78"/>
  <c r="D37" i="78"/>
  <c r="C37" i="78"/>
  <c r="H36" i="78"/>
  <c r="G36" i="78"/>
  <c r="F36" i="78"/>
  <c r="E36" i="78"/>
  <c r="D36" i="78"/>
  <c r="J36" i="78" s="1"/>
  <c r="C36" i="78"/>
  <c r="H35" i="78"/>
  <c r="G35" i="78"/>
  <c r="F35" i="78"/>
  <c r="E35" i="78"/>
  <c r="D35" i="78"/>
  <c r="C35" i="78"/>
  <c r="C34" i="78"/>
  <c r="H32" i="78"/>
  <c r="G32" i="78"/>
  <c r="F32" i="78"/>
  <c r="E32" i="78"/>
  <c r="D32" i="78"/>
  <c r="C32" i="78"/>
  <c r="H31" i="78"/>
  <c r="G31" i="78"/>
  <c r="F31" i="78"/>
  <c r="E31" i="78"/>
  <c r="D31" i="78"/>
  <c r="J31" i="78" s="1"/>
  <c r="L31" i="78" s="1"/>
  <c r="C31" i="78"/>
  <c r="H30" i="78"/>
  <c r="G30" i="78"/>
  <c r="F30" i="78"/>
  <c r="E30" i="78"/>
  <c r="D30" i="78"/>
  <c r="C30" i="78"/>
  <c r="H29" i="78"/>
  <c r="G29" i="78"/>
  <c r="F29" i="78"/>
  <c r="E29" i="78"/>
  <c r="D29" i="78"/>
  <c r="C29" i="78"/>
  <c r="H28" i="78"/>
  <c r="G28" i="78"/>
  <c r="F28" i="78"/>
  <c r="E28" i="78"/>
  <c r="D28" i="78"/>
  <c r="J28" i="78" s="1"/>
  <c r="L28" i="78" s="1"/>
  <c r="C28" i="78"/>
  <c r="V27" i="78"/>
  <c r="H27" i="78"/>
  <c r="G27" i="78"/>
  <c r="F27" i="78"/>
  <c r="E27" i="78"/>
  <c r="D27" i="78"/>
  <c r="C27" i="78"/>
  <c r="H26" i="78"/>
  <c r="G26" i="78"/>
  <c r="F26" i="78"/>
  <c r="E26" i="78"/>
  <c r="D26" i="78"/>
  <c r="J26" i="78" s="1"/>
  <c r="L26" i="78" s="1"/>
  <c r="C26" i="78"/>
  <c r="V25" i="78"/>
  <c r="H25" i="78"/>
  <c r="G25" i="78"/>
  <c r="F25" i="78"/>
  <c r="E25" i="78"/>
  <c r="D25" i="78"/>
  <c r="C25" i="78"/>
  <c r="H24" i="78"/>
  <c r="G24" i="78"/>
  <c r="F24" i="78"/>
  <c r="E24" i="78"/>
  <c r="D24" i="78"/>
  <c r="C24" i="78"/>
  <c r="C23" i="78"/>
  <c r="H21" i="78"/>
  <c r="G21" i="78"/>
  <c r="F21" i="78"/>
  <c r="E21" i="78"/>
  <c r="D21" i="78"/>
  <c r="C21" i="78"/>
  <c r="S20" i="78"/>
  <c r="R20" i="78"/>
  <c r="Q20" i="78"/>
  <c r="P20" i="78"/>
  <c r="O20" i="78"/>
  <c r="N20" i="78"/>
  <c r="H20" i="78"/>
  <c r="G20" i="78"/>
  <c r="F20" i="78"/>
  <c r="E20" i="78"/>
  <c r="D20" i="78"/>
  <c r="C20" i="78"/>
  <c r="S19" i="78"/>
  <c r="R19" i="78"/>
  <c r="Q19" i="78"/>
  <c r="P19" i="78"/>
  <c r="O19" i="78"/>
  <c r="N19" i="78"/>
  <c r="H19" i="78"/>
  <c r="G19" i="78"/>
  <c r="F19" i="78"/>
  <c r="E19" i="78"/>
  <c r="D19" i="78"/>
  <c r="C19" i="78"/>
  <c r="S18" i="78"/>
  <c r="R18" i="78"/>
  <c r="Q18" i="78"/>
  <c r="P18" i="78"/>
  <c r="W31" i="78" s="1"/>
  <c r="O18" i="78"/>
  <c r="N18" i="78"/>
  <c r="H18" i="78"/>
  <c r="G18" i="78"/>
  <c r="F18" i="78"/>
  <c r="E18" i="78"/>
  <c r="D18" i="78"/>
  <c r="C18" i="78"/>
  <c r="S17" i="78"/>
  <c r="R17" i="78"/>
  <c r="Q17" i="78"/>
  <c r="P17" i="78"/>
  <c r="O17" i="78"/>
  <c r="N17" i="78"/>
  <c r="H17" i="78"/>
  <c r="G17" i="78"/>
  <c r="F17" i="78"/>
  <c r="E17" i="78"/>
  <c r="D17" i="78"/>
  <c r="C17" i="78"/>
  <c r="H16" i="78"/>
  <c r="G16" i="78"/>
  <c r="F16" i="78"/>
  <c r="E16" i="78"/>
  <c r="D16" i="78"/>
  <c r="C16" i="78"/>
  <c r="H15" i="78"/>
  <c r="G15" i="78"/>
  <c r="F15" i="78"/>
  <c r="E15" i="78"/>
  <c r="D15" i="78"/>
  <c r="C15" i="78"/>
  <c r="H14" i="78"/>
  <c r="G14" i="78"/>
  <c r="F14" i="78"/>
  <c r="E14" i="78"/>
  <c r="D14" i="78"/>
  <c r="C14" i="78"/>
  <c r="H13" i="78"/>
  <c r="G13" i="78"/>
  <c r="F13" i="78"/>
  <c r="E13" i="78"/>
  <c r="D13" i="78"/>
  <c r="C13" i="78"/>
  <c r="H12" i="78"/>
  <c r="H23" i="78" s="1"/>
  <c r="H34" i="78" s="1"/>
  <c r="H45" i="78" s="1"/>
  <c r="H56" i="78" s="1"/>
  <c r="H67" i="78" s="1"/>
  <c r="H78" i="78" s="1"/>
  <c r="H89" i="78" s="1"/>
  <c r="H100" i="78" s="1"/>
  <c r="H111" i="78" s="1"/>
  <c r="H122" i="78" s="1"/>
  <c r="H133" i="78" s="1"/>
  <c r="H144" i="78" s="1"/>
  <c r="H155" i="78" s="1"/>
  <c r="H166" i="78" s="1"/>
  <c r="G12" i="78"/>
  <c r="G23" i="78" s="1"/>
  <c r="G34" i="78" s="1"/>
  <c r="G45" i="78" s="1"/>
  <c r="G56" i="78" s="1"/>
  <c r="G67" i="78" s="1"/>
  <c r="G78" i="78" s="1"/>
  <c r="G89" i="78" s="1"/>
  <c r="G100" i="78" s="1"/>
  <c r="G111" i="78" s="1"/>
  <c r="G122" i="78" s="1"/>
  <c r="G133" i="78" s="1"/>
  <c r="G144" i="78" s="1"/>
  <c r="G155" i="78" s="1"/>
  <c r="G166" i="78" s="1"/>
  <c r="F12" i="78"/>
  <c r="F23" i="78" s="1"/>
  <c r="F34" i="78" s="1"/>
  <c r="F45" i="78" s="1"/>
  <c r="F56" i="78" s="1"/>
  <c r="F67" i="78" s="1"/>
  <c r="F78" i="78" s="1"/>
  <c r="F89" i="78" s="1"/>
  <c r="F100" i="78" s="1"/>
  <c r="F111" i="78" s="1"/>
  <c r="F122" i="78" s="1"/>
  <c r="F133" i="78" s="1"/>
  <c r="F144" i="78" s="1"/>
  <c r="F155" i="78" s="1"/>
  <c r="F166" i="78" s="1"/>
  <c r="E12" i="78"/>
  <c r="W28" i="78" s="1"/>
  <c r="D12" i="78"/>
  <c r="D23" i="78" s="1"/>
  <c r="D34" i="78" s="1"/>
  <c r="D45" i="78" s="1"/>
  <c r="D56" i="78" s="1"/>
  <c r="D67" i="78" s="1"/>
  <c r="D78" i="78" s="1"/>
  <c r="D89" i="78" s="1"/>
  <c r="D100" i="78" s="1"/>
  <c r="D111" i="78" s="1"/>
  <c r="D122" i="78" s="1"/>
  <c r="D133" i="78" s="1"/>
  <c r="D144" i="78" s="1"/>
  <c r="D155" i="78" s="1"/>
  <c r="D166" i="78" s="1"/>
  <c r="C12" i="78"/>
  <c r="H10" i="78"/>
  <c r="V31" i="78" s="1"/>
  <c r="G10" i="78"/>
  <c r="F10" i="78"/>
  <c r="E10" i="78"/>
  <c r="D10" i="78"/>
  <c r="H9" i="78"/>
  <c r="V30" i="78" s="1"/>
  <c r="G9" i="78"/>
  <c r="F9" i="78"/>
  <c r="E9" i="78"/>
  <c r="D9" i="78"/>
  <c r="H8" i="78"/>
  <c r="V29" i="78" s="1"/>
  <c r="G8" i="78"/>
  <c r="F8" i="78"/>
  <c r="E8" i="78"/>
  <c r="J8" i="78" s="1"/>
  <c r="L8" i="78" s="1"/>
  <c r="D8" i="78"/>
  <c r="H7" i="78"/>
  <c r="V28" i="78" s="1"/>
  <c r="G7" i="78"/>
  <c r="F7" i="78"/>
  <c r="E7" i="78"/>
  <c r="D7" i="78"/>
  <c r="H6" i="78"/>
  <c r="G6" i="78"/>
  <c r="F6" i="78"/>
  <c r="E6" i="78"/>
  <c r="D6" i="78"/>
  <c r="H5" i="78"/>
  <c r="V26" i="78" s="1"/>
  <c r="G5" i="78"/>
  <c r="F5" i="78"/>
  <c r="E5" i="78"/>
  <c r="D5" i="78"/>
  <c r="H4" i="78"/>
  <c r="G4" i="78"/>
  <c r="F4" i="78"/>
  <c r="E4" i="78"/>
  <c r="J4" i="78" s="1"/>
  <c r="L4" i="78" s="1"/>
  <c r="D4" i="78"/>
  <c r="H3" i="78"/>
  <c r="V24" i="78" s="1"/>
  <c r="G3" i="78"/>
  <c r="F3" i="78"/>
  <c r="E3" i="78"/>
  <c r="J3" i="78" s="1"/>
  <c r="L3" i="78" s="1"/>
  <c r="D3" i="78"/>
  <c r="H2" i="78"/>
  <c r="V23" i="78" s="1"/>
  <c r="G2" i="78"/>
  <c r="F2" i="78"/>
  <c r="E2" i="78"/>
  <c r="D2" i="78"/>
  <c r="J2" i="78" s="1"/>
  <c r="L2" i="78" s="1"/>
  <c r="C1" i="78"/>
  <c r="AY18" i="79" l="1"/>
  <c r="H2" i="79"/>
  <c r="I2" i="79"/>
  <c r="H4" i="79"/>
  <c r="I4" i="79"/>
  <c r="H3" i="79"/>
  <c r="I3" i="79"/>
  <c r="L12" i="79"/>
  <c r="L14" i="79"/>
  <c r="I13" i="79" s="1"/>
  <c r="L7" i="79"/>
  <c r="L9" i="79"/>
  <c r="I9" i="79" s="1"/>
  <c r="H12" i="79"/>
  <c r="AO36" i="79"/>
  <c r="AZ15" i="79"/>
  <c r="AX16" i="79"/>
  <c r="AY17" i="79"/>
  <c r="S44" i="79"/>
  <c r="AZ18" i="79"/>
  <c r="AX19" i="79"/>
  <c r="BO5" i="79"/>
  <c r="BO10" i="79"/>
  <c r="AY21" i="79"/>
  <c r="BO3" i="79"/>
  <c r="BO8" i="79"/>
  <c r="AU10" i="79"/>
  <c r="AX18" i="79"/>
  <c r="AX20" i="79"/>
  <c r="AU4" i="79"/>
  <c r="BN13" i="79"/>
  <c r="AU6" i="79"/>
  <c r="AX15" i="79"/>
  <c r="AZ29" i="79"/>
  <c r="BC29" i="79" s="1"/>
  <c r="AY19" i="79"/>
  <c r="AP26" i="79"/>
  <c r="AP27" i="79"/>
  <c r="AP28" i="79"/>
  <c r="AP30" i="79"/>
  <c r="AP32" i="79"/>
  <c r="AN36" i="79"/>
  <c r="BO6" i="79"/>
  <c r="BO7" i="79"/>
  <c r="AU8" i="79"/>
  <c r="AX28" i="79"/>
  <c r="BB28" i="79" s="1"/>
  <c r="AX21" i="79"/>
  <c r="AY22" i="79"/>
  <c r="AZ20" i="79"/>
  <c r="AY16" i="79"/>
  <c r="AZ19" i="79"/>
  <c r="AZ22" i="79"/>
  <c r="BO9" i="79"/>
  <c r="AZ16" i="79"/>
  <c r="AZ28" i="79"/>
  <c r="BC28" i="79" s="1"/>
  <c r="AX31" i="79"/>
  <c r="BB31" i="79" s="1"/>
  <c r="AP31" i="79"/>
  <c r="AU5" i="79"/>
  <c r="AU7" i="79"/>
  <c r="BM13" i="79"/>
  <c r="AY15" i="79"/>
  <c r="AX17" i="79"/>
  <c r="AZ17" i="79"/>
  <c r="AY20" i="79"/>
  <c r="AX33" i="79"/>
  <c r="BB33" i="79" s="1"/>
  <c r="AU3" i="79"/>
  <c r="BO4" i="79"/>
  <c r="AP29" i="79"/>
  <c r="AP33" i="79"/>
  <c r="J13" i="78"/>
  <c r="L13" i="78" s="1"/>
  <c r="J17" i="78"/>
  <c r="L17" i="78" s="1"/>
  <c r="J19" i="78"/>
  <c r="L19" i="78" s="1"/>
  <c r="J24" i="78"/>
  <c r="J27" i="78"/>
  <c r="L27" i="78" s="1"/>
  <c r="J57" i="78"/>
  <c r="J61" i="78"/>
  <c r="L61" i="78" s="1"/>
  <c r="J63" i="78"/>
  <c r="L63" i="78" s="1"/>
  <c r="J70" i="78"/>
  <c r="L70" i="78" s="1"/>
  <c r="J7" i="78"/>
  <c r="L7" i="78" s="1"/>
  <c r="J46" i="78"/>
  <c r="J48" i="78"/>
  <c r="L48" i="78" s="1"/>
  <c r="J50" i="78"/>
  <c r="L50" i="78" s="1"/>
  <c r="J52" i="78"/>
  <c r="L52" i="78" s="1"/>
  <c r="J58" i="78"/>
  <c r="J60" i="78"/>
  <c r="L60" i="78" s="1"/>
  <c r="J62" i="78"/>
  <c r="L62" i="78" s="1"/>
  <c r="J68" i="78"/>
  <c r="J74" i="78"/>
  <c r="L74" i="78" s="1"/>
  <c r="J79" i="78"/>
  <c r="J83" i="78"/>
  <c r="L83" i="78" s="1"/>
  <c r="J92" i="78"/>
  <c r="L92" i="78" s="1"/>
  <c r="J93" i="78"/>
  <c r="L93" i="78" s="1"/>
  <c r="J96" i="78"/>
  <c r="L96" i="78" s="1"/>
  <c r="J101" i="78"/>
  <c r="L101" i="78" s="1"/>
  <c r="J102" i="78"/>
  <c r="J105" i="78"/>
  <c r="L105" i="78" s="1"/>
  <c r="J114" i="78"/>
  <c r="L114" i="78" s="1"/>
  <c r="J118" i="78"/>
  <c r="L118" i="78" s="1"/>
  <c r="J119" i="78"/>
  <c r="L119" i="78" s="1"/>
  <c r="J123" i="78"/>
  <c r="J127" i="78"/>
  <c r="L127" i="78" s="1"/>
  <c r="J128" i="78"/>
  <c r="L128" i="78" s="1"/>
  <c r="J136" i="78"/>
  <c r="L136" i="78" s="1"/>
  <c r="J137" i="78"/>
  <c r="L137" i="78" s="1"/>
  <c r="J140" i="78"/>
  <c r="L140" i="78" s="1"/>
  <c r="J145" i="78"/>
  <c r="J149" i="78"/>
  <c r="L149" i="78" s="1"/>
  <c r="J150" i="78"/>
  <c r="L150" i="78" s="1"/>
  <c r="J158" i="78"/>
  <c r="L158" i="78" s="1"/>
  <c r="J162" i="78"/>
  <c r="L162" i="78" s="1"/>
  <c r="J163" i="78"/>
  <c r="J6" i="78"/>
  <c r="L6" i="78" s="1"/>
  <c r="J15" i="78"/>
  <c r="L15" i="78" s="1"/>
  <c r="J18" i="78"/>
  <c r="L18" i="78" s="1"/>
  <c r="J20" i="78"/>
  <c r="L20" i="78" s="1"/>
  <c r="J29" i="78"/>
  <c r="L29" i="78" s="1"/>
  <c r="J30" i="78"/>
  <c r="L30" i="78" s="1"/>
  <c r="J14" i="78"/>
  <c r="J16" i="78"/>
  <c r="L16" i="78" s="1"/>
  <c r="J25" i="78"/>
  <c r="J35" i="78"/>
  <c r="L35" i="78" s="1"/>
  <c r="J37" i="78"/>
  <c r="L37" i="78" s="1"/>
  <c r="J39" i="78"/>
  <c r="L39" i="78" s="1"/>
  <c r="J41" i="78"/>
  <c r="L41" i="78" s="1"/>
  <c r="J47" i="78"/>
  <c r="J49" i="78"/>
  <c r="L49" i="78" s="1"/>
  <c r="J51" i="78"/>
  <c r="L51" i="78" s="1"/>
  <c r="J53" i="78"/>
  <c r="J64" i="78"/>
  <c r="L64" i="78" s="1"/>
  <c r="J71" i="78"/>
  <c r="L71" i="78" s="1"/>
  <c r="AZ21" i="79"/>
  <c r="AZ26" i="79"/>
  <c r="BD26" i="79" s="1"/>
  <c r="Q1" i="79"/>
  <c r="AX22" i="79"/>
  <c r="AZ33" i="79"/>
  <c r="BC33" i="79" s="1"/>
  <c r="AX27" i="79"/>
  <c r="BB27" i="79" s="1"/>
  <c r="S1" i="79"/>
  <c r="AX26" i="79"/>
  <c r="AZ27" i="79"/>
  <c r="BC27" i="79" s="1"/>
  <c r="AZ30" i="79"/>
  <c r="BC30" i="79" s="1"/>
  <c r="AZ31" i="79"/>
  <c r="BC31" i="79" s="1"/>
  <c r="AX29" i="79"/>
  <c r="BB29" i="79" s="1"/>
  <c r="AX30" i="79"/>
  <c r="BB30" i="79" s="1"/>
  <c r="AX32" i="79"/>
  <c r="BB32" i="79" s="1"/>
  <c r="AZ32" i="79"/>
  <c r="L14" i="78"/>
  <c r="L25" i="78"/>
  <c r="L36" i="78"/>
  <c r="L42" i="78"/>
  <c r="L69" i="78"/>
  <c r="X25" i="78"/>
  <c r="L24" i="78"/>
  <c r="L57" i="78"/>
  <c r="L46" i="78"/>
  <c r="L68" i="78"/>
  <c r="L58" i="78"/>
  <c r="L145" i="78"/>
  <c r="W30" i="78"/>
  <c r="L116" i="78"/>
  <c r="L117" i="78"/>
  <c r="L134" i="78"/>
  <c r="J146" i="78"/>
  <c r="L160" i="78"/>
  <c r="L161" i="78"/>
  <c r="W24" i="78"/>
  <c r="Y30" i="78"/>
  <c r="Y28" i="78"/>
  <c r="Y26" i="78"/>
  <c r="Y24" i="78"/>
  <c r="E23" i="78"/>
  <c r="E34" i="78" s="1"/>
  <c r="E45" i="78" s="1"/>
  <c r="W23" i="78"/>
  <c r="X24" i="78"/>
  <c r="W27" i="78"/>
  <c r="X28" i="78"/>
  <c r="X23" i="78"/>
  <c r="W26" i="78"/>
  <c r="X27" i="78"/>
  <c r="J9" i="78"/>
  <c r="L9" i="78" s="1"/>
  <c r="Z23" i="78"/>
  <c r="W25" i="78"/>
  <c r="X26" i="78"/>
  <c r="Z27" i="78"/>
  <c r="W29" i="78"/>
  <c r="X30" i="78"/>
  <c r="Z31" i="78"/>
  <c r="J73" i="78"/>
  <c r="L73" i="78" s="1"/>
  <c r="J75" i="78"/>
  <c r="L75" i="78" s="1"/>
  <c r="J80" i="78"/>
  <c r="L80" i="78" s="1"/>
  <c r="J82" i="78"/>
  <c r="L82" i="78" s="1"/>
  <c r="J84" i="78"/>
  <c r="L84" i="78" s="1"/>
  <c r="J86" i="78"/>
  <c r="L86" i="78" s="1"/>
  <c r="J97" i="78"/>
  <c r="L97" i="78" s="1"/>
  <c r="L107" i="78"/>
  <c r="L108" i="78"/>
  <c r="J115" i="78"/>
  <c r="L115" i="78" s="1"/>
  <c r="L125" i="78"/>
  <c r="L126" i="78"/>
  <c r="J141" i="78"/>
  <c r="L141" i="78" s="1"/>
  <c r="L151" i="78"/>
  <c r="L152" i="78"/>
  <c r="J159" i="78"/>
  <c r="L159" i="78" s="1"/>
  <c r="L94" i="78"/>
  <c r="L95" i="78"/>
  <c r="J106" i="78"/>
  <c r="L106" i="78" s="1"/>
  <c r="L112" i="78"/>
  <c r="L113" i="78"/>
  <c r="J124" i="78"/>
  <c r="L138" i="78"/>
  <c r="L139" i="78"/>
  <c r="L157" i="78"/>
  <c r="L163" i="78"/>
  <c r="J5" i="78"/>
  <c r="L5" i="78" s="1"/>
  <c r="L103" i="78"/>
  <c r="L104" i="78"/>
  <c r="L129" i="78"/>
  <c r="L130" i="78"/>
  <c r="L147" i="78"/>
  <c r="L148" i="78"/>
  <c r="A18" i="71"/>
  <c r="A13" i="71"/>
  <c r="A8" i="71"/>
  <c r="C8" i="79" l="1"/>
  <c r="K3" i="79"/>
  <c r="I23" i="79"/>
  <c r="K2" i="79"/>
  <c r="K12" i="79"/>
  <c r="I25" i="79"/>
  <c r="K4" i="79"/>
  <c r="O3" i="79"/>
  <c r="O4" i="79" s="1"/>
  <c r="V4" i="79" s="1"/>
  <c r="C13" i="79"/>
  <c r="O13" i="79"/>
  <c r="BD28" i="79"/>
  <c r="BD29" i="79"/>
  <c r="BD33" i="79"/>
  <c r="Z1" i="79"/>
  <c r="T1" i="79"/>
  <c r="AA1" i="79" s="1"/>
  <c r="P1" i="79"/>
  <c r="X1" i="79"/>
  <c r="R1" i="79"/>
  <c r="Y1" i="79" s="1"/>
  <c r="BD31" i="79"/>
  <c r="BD30" i="79"/>
  <c r="BD32" i="79"/>
  <c r="BC32" i="79"/>
  <c r="BD27" i="79"/>
  <c r="BC26" i="79"/>
  <c r="BB26" i="79"/>
  <c r="E56" i="78"/>
  <c r="Z28" i="78"/>
  <c r="Z24" i="78"/>
  <c r="Z29" i="78"/>
  <c r="Z25" i="78"/>
  <c r="Z30" i="78"/>
  <c r="Z26" i="78"/>
  <c r="Y25" i="78"/>
  <c r="Y29" i="78"/>
  <c r="X29" i="78"/>
  <c r="X31" i="78"/>
  <c r="Y23" i="78"/>
  <c r="Y27" i="78"/>
  <c r="Y31" i="78"/>
  <c r="R19" i="74"/>
  <c r="Q19" i="74"/>
  <c r="P19" i="74"/>
  <c r="O19" i="74"/>
  <c r="R18" i="74"/>
  <c r="Q18" i="74"/>
  <c r="P18" i="74"/>
  <c r="O18" i="74"/>
  <c r="AD25" i="63"/>
  <c r="AB29" i="63"/>
  <c r="H120" i="67"/>
  <c r="G120" i="67"/>
  <c r="F120" i="67"/>
  <c r="E120" i="67"/>
  <c r="D120" i="67"/>
  <c r="C120" i="67"/>
  <c r="H119" i="67"/>
  <c r="G119" i="67"/>
  <c r="F119" i="67"/>
  <c r="E119" i="67"/>
  <c r="D119" i="67"/>
  <c r="C119" i="67"/>
  <c r="H118" i="67"/>
  <c r="G118" i="67"/>
  <c r="F118" i="67"/>
  <c r="E118" i="67"/>
  <c r="D118" i="67"/>
  <c r="C118" i="67"/>
  <c r="H117" i="67"/>
  <c r="G117" i="67"/>
  <c r="F117" i="67"/>
  <c r="E117" i="67"/>
  <c r="D117" i="67"/>
  <c r="C117" i="67"/>
  <c r="H116" i="67"/>
  <c r="G116" i="67"/>
  <c r="F116" i="67"/>
  <c r="E116" i="67"/>
  <c r="D116" i="67"/>
  <c r="C116" i="67"/>
  <c r="H115" i="67"/>
  <c r="G115" i="67"/>
  <c r="F115" i="67"/>
  <c r="E115" i="67"/>
  <c r="D115" i="67"/>
  <c r="C115" i="67"/>
  <c r="H114" i="67"/>
  <c r="G114" i="67"/>
  <c r="F114" i="67"/>
  <c r="E114" i="67"/>
  <c r="D114" i="67"/>
  <c r="C114" i="67"/>
  <c r="H113" i="67"/>
  <c r="G113" i="67"/>
  <c r="F113" i="67"/>
  <c r="E113" i="67"/>
  <c r="D113" i="67"/>
  <c r="C113" i="67"/>
  <c r="H112" i="67"/>
  <c r="G112" i="67"/>
  <c r="F112" i="67"/>
  <c r="E112" i="67"/>
  <c r="D112" i="67"/>
  <c r="C112" i="67"/>
  <c r="H111" i="67"/>
  <c r="G111" i="67"/>
  <c r="F111" i="67"/>
  <c r="E111" i="67"/>
  <c r="D111" i="67"/>
  <c r="C111" i="67"/>
  <c r="H120" i="65"/>
  <c r="G120" i="65"/>
  <c r="F120" i="65"/>
  <c r="E120" i="65"/>
  <c r="D120" i="65"/>
  <c r="C120" i="65"/>
  <c r="H119" i="65"/>
  <c r="G119" i="65"/>
  <c r="F119" i="65"/>
  <c r="E119" i="65"/>
  <c r="D119" i="65"/>
  <c r="C119" i="65"/>
  <c r="H118" i="65"/>
  <c r="G118" i="65"/>
  <c r="F118" i="65"/>
  <c r="E118" i="65"/>
  <c r="D118" i="65"/>
  <c r="C118" i="65"/>
  <c r="H117" i="65"/>
  <c r="G117" i="65"/>
  <c r="F117" i="65"/>
  <c r="E117" i="65"/>
  <c r="D117" i="65"/>
  <c r="C117" i="65"/>
  <c r="H116" i="65"/>
  <c r="G116" i="65"/>
  <c r="F116" i="65"/>
  <c r="E116" i="65"/>
  <c r="D116" i="65"/>
  <c r="C116" i="65"/>
  <c r="H115" i="65"/>
  <c r="G115" i="65"/>
  <c r="F115" i="65"/>
  <c r="E115" i="65"/>
  <c r="D115" i="65"/>
  <c r="C115" i="65"/>
  <c r="H114" i="65"/>
  <c r="G114" i="65"/>
  <c r="F114" i="65"/>
  <c r="E114" i="65"/>
  <c r="D114" i="65"/>
  <c r="C114" i="65"/>
  <c r="H113" i="65"/>
  <c r="G113" i="65"/>
  <c r="F113" i="65"/>
  <c r="E113" i="65"/>
  <c r="D113" i="65"/>
  <c r="C113" i="65"/>
  <c r="H112" i="65"/>
  <c r="G112" i="65"/>
  <c r="F112" i="65"/>
  <c r="E112" i="65"/>
  <c r="D112" i="65"/>
  <c r="C112" i="65"/>
  <c r="H111" i="65"/>
  <c r="G111" i="65"/>
  <c r="F111" i="65"/>
  <c r="E111" i="65"/>
  <c r="D111" i="65"/>
  <c r="C111" i="65"/>
  <c r="H120" i="66"/>
  <c r="G120" i="66"/>
  <c r="F120" i="66"/>
  <c r="E120" i="66"/>
  <c r="D120" i="66"/>
  <c r="C120" i="66"/>
  <c r="H119" i="66"/>
  <c r="G119" i="66"/>
  <c r="F119" i="66"/>
  <c r="E119" i="66"/>
  <c r="D119" i="66"/>
  <c r="C119" i="66"/>
  <c r="H118" i="66"/>
  <c r="G118" i="66"/>
  <c r="F118" i="66"/>
  <c r="E118" i="66"/>
  <c r="D118" i="66"/>
  <c r="C118" i="66"/>
  <c r="H117" i="66"/>
  <c r="G117" i="66"/>
  <c r="F117" i="66"/>
  <c r="E117" i="66"/>
  <c r="D117" i="66"/>
  <c r="C117" i="66"/>
  <c r="H116" i="66"/>
  <c r="G116" i="66"/>
  <c r="F116" i="66"/>
  <c r="E116" i="66"/>
  <c r="D116" i="66"/>
  <c r="C116" i="66"/>
  <c r="H115" i="66"/>
  <c r="G115" i="66"/>
  <c r="F115" i="66"/>
  <c r="E115" i="66"/>
  <c r="D115" i="66"/>
  <c r="C115" i="66"/>
  <c r="H114" i="66"/>
  <c r="G114" i="66"/>
  <c r="F114" i="66"/>
  <c r="E114" i="66"/>
  <c r="D114" i="66"/>
  <c r="C114" i="66"/>
  <c r="H113" i="66"/>
  <c r="G113" i="66"/>
  <c r="F113" i="66"/>
  <c r="E113" i="66"/>
  <c r="D113" i="66"/>
  <c r="C113" i="66"/>
  <c r="H112" i="66"/>
  <c r="G112" i="66"/>
  <c r="F112" i="66"/>
  <c r="E112" i="66"/>
  <c r="D112" i="66"/>
  <c r="C112" i="66"/>
  <c r="H111" i="66"/>
  <c r="G111" i="66"/>
  <c r="F111" i="66"/>
  <c r="E111" i="66"/>
  <c r="D111" i="66"/>
  <c r="C111" i="66"/>
  <c r="C120" i="63"/>
  <c r="C119" i="63"/>
  <c r="C118" i="63"/>
  <c r="C117" i="63"/>
  <c r="C116" i="63"/>
  <c r="C115" i="63"/>
  <c r="C114" i="63"/>
  <c r="C113" i="63"/>
  <c r="C112" i="63"/>
  <c r="C111" i="63"/>
  <c r="E120" i="74"/>
  <c r="E119" i="74"/>
  <c r="E118" i="74"/>
  <c r="E117" i="74"/>
  <c r="E116" i="74"/>
  <c r="E115" i="74"/>
  <c r="E114" i="74"/>
  <c r="E113" i="74"/>
  <c r="E112" i="74"/>
  <c r="E120" i="73"/>
  <c r="E119" i="73"/>
  <c r="E118" i="73"/>
  <c r="E117" i="73"/>
  <c r="E116" i="73"/>
  <c r="E115" i="73"/>
  <c r="E114" i="73"/>
  <c r="E113" i="73"/>
  <c r="E112" i="73"/>
  <c r="D123" i="73"/>
  <c r="T6" i="71"/>
  <c r="T1" i="71"/>
  <c r="T16" i="71"/>
  <c r="H164" i="74"/>
  <c r="G164" i="74"/>
  <c r="F164" i="74"/>
  <c r="E164" i="74"/>
  <c r="D164" i="74"/>
  <c r="H163" i="74"/>
  <c r="G163" i="74"/>
  <c r="F163" i="74"/>
  <c r="E163" i="74"/>
  <c r="J163" i="74" s="1"/>
  <c r="D163" i="74"/>
  <c r="H162" i="74"/>
  <c r="G162" i="74"/>
  <c r="F162" i="74"/>
  <c r="E162" i="74"/>
  <c r="D162" i="74"/>
  <c r="H161" i="74"/>
  <c r="G161" i="74"/>
  <c r="F161" i="74"/>
  <c r="E161" i="74"/>
  <c r="D161" i="74"/>
  <c r="H160" i="74"/>
  <c r="G160" i="74"/>
  <c r="F160" i="74"/>
  <c r="E160" i="74"/>
  <c r="D160" i="74"/>
  <c r="H159" i="74"/>
  <c r="G159" i="74"/>
  <c r="F159" i="74"/>
  <c r="E159" i="74"/>
  <c r="J159" i="74" s="1"/>
  <c r="D159" i="74"/>
  <c r="H158" i="74"/>
  <c r="G158" i="74"/>
  <c r="F158" i="74"/>
  <c r="E158" i="74"/>
  <c r="D158" i="74"/>
  <c r="H157" i="74"/>
  <c r="G157" i="74"/>
  <c r="F157" i="74"/>
  <c r="E157" i="74"/>
  <c r="D157" i="74"/>
  <c r="H156" i="74"/>
  <c r="G156" i="74"/>
  <c r="F156" i="74"/>
  <c r="E156" i="74"/>
  <c r="D156" i="74"/>
  <c r="C155" i="74"/>
  <c r="H153" i="74"/>
  <c r="G153" i="74"/>
  <c r="F153" i="74"/>
  <c r="E153" i="74"/>
  <c r="D153" i="74"/>
  <c r="H152" i="74"/>
  <c r="G152" i="74"/>
  <c r="F152" i="74"/>
  <c r="E152" i="74"/>
  <c r="D152" i="74"/>
  <c r="H151" i="74"/>
  <c r="G151" i="74"/>
  <c r="F151" i="74"/>
  <c r="E151" i="74"/>
  <c r="D151" i="74"/>
  <c r="H150" i="74"/>
  <c r="G150" i="74"/>
  <c r="F150" i="74"/>
  <c r="E150" i="74"/>
  <c r="J150" i="74" s="1"/>
  <c r="D150" i="74"/>
  <c r="H149" i="74"/>
  <c r="G149" i="74"/>
  <c r="F149" i="74"/>
  <c r="E149" i="74"/>
  <c r="D149" i="74"/>
  <c r="H148" i="74"/>
  <c r="G148" i="74"/>
  <c r="F148" i="74"/>
  <c r="E148" i="74"/>
  <c r="D148" i="74"/>
  <c r="H147" i="74"/>
  <c r="G147" i="74"/>
  <c r="F147" i="74"/>
  <c r="E147" i="74"/>
  <c r="D147" i="74"/>
  <c r="H146" i="74"/>
  <c r="G146" i="74"/>
  <c r="F146" i="74"/>
  <c r="E146" i="74"/>
  <c r="J146" i="74" s="1"/>
  <c r="D146" i="74"/>
  <c r="H145" i="74"/>
  <c r="G145" i="74"/>
  <c r="F145" i="74"/>
  <c r="E145" i="74"/>
  <c r="D145" i="74"/>
  <c r="C144" i="74"/>
  <c r="H142" i="74"/>
  <c r="G142" i="74"/>
  <c r="F142" i="74"/>
  <c r="E142" i="74"/>
  <c r="D142" i="74"/>
  <c r="H141" i="74"/>
  <c r="G141" i="74"/>
  <c r="F141" i="74"/>
  <c r="E141" i="74"/>
  <c r="J141" i="74" s="1"/>
  <c r="D141" i="74"/>
  <c r="H140" i="74"/>
  <c r="G140" i="74"/>
  <c r="F140" i="74"/>
  <c r="E140" i="74"/>
  <c r="D140" i="74"/>
  <c r="H139" i="74"/>
  <c r="G139" i="74"/>
  <c r="F139" i="74"/>
  <c r="E139" i="74"/>
  <c r="D139" i="74"/>
  <c r="H138" i="74"/>
  <c r="G138" i="74"/>
  <c r="F138" i="74"/>
  <c r="E138" i="74"/>
  <c r="D138" i="74"/>
  <c r="H137" i="74"/>
  <c r="G137" i="74"/>
  <c r="F137" i="74"/>
  <c r="E137" i="74"/>
  <c r="J137" i="74" s="1"/>
  <c r="D137" i="74"/>
  <c r="H136" i="74"/>
  <c r="G136" i="74"/>
  <c r="F136" i="74"/>
  <c r="E136" i="74"/>
  <c r="D136" i="74"/>
  <c r="H135" i="74"/>
  <c r="G135" i="74"/>
  <c r="F135" i="74"/>
  <c r="E135" i="74"/>
  <c r="D135" i="74"/>
  <c r="H134" i="74"/>
  <c r="G134" i="74"/>
  <c r="F134" i="74"/>
  <c r="E134" i="74"/>
  <c r="D134" i="74"/>
  <c r="C133" i="74"/>
  <c r="H131" i="74"/>
  <c r="G131" i="74"/>
  <c r="F131" i="74"/>
  <c r="E131" i="74"/>
  <c r="D131" i="74"/>
  <c r="H130" i="74"/>
  <c r="G130" i="74"/>
  <c r="F130" i="74"/>
  <c r="E130" i="74"/>
  <c r="D130" i="74"/>
  <c r="H129" i="74"/>
  <c r="G129" i="74"/>
  <c r="F129" i="74"/>
  <c r="E129" i="74"/>
  <c r="D129" i="74"/>
  <c r="H128" i="74"/>
  <c r="G128" i="74"/>
  <c r="F128" i="74"/>
  <c r="E128" i="74"/>
  <c r="D128" i="74"/>
  <c r="H127" i="74"/>
  <c r="G127" i="74"/>
  <c r="F127" i="74"/>
  <c r="E127" i="74"/>
  <c r="D127" i="74"/>
  <c r="H126" i="74"/>
  <c r="G126" i="74"/>
  <c r="F126" i="74"/>
  <c r="E126" i="74"/>
  <c r="D126" i="74"/>
  <c r="H125" i="74"/>
  <c r="G125" i="74"/>
  <c r="F125" i="74"/>
  <c r="E125" i="74"/>
  <c r="D125" i="74"/>
  <c r="H124" i="74"/>
  <c r="G124" i="74"/>
  <c r="F124" i="74"/>
  <c r="E124" i="74"/>
  <c r="D124" i="74"/>
  <c r="H123" i="74"/>
  <c r="G123" i="74"/>
  <c r="F123" i="74"/>
  <c r="E123" i="74"/>
  <c r="D123" i="74"/>
  <c r="C122" i="74"/>
  <c r="H120" i="74"/>
  <c r="G120" i="74"/>
  <c r="F120" i="74"/>
  <c r="D120" i="74"/>
  <c r="H119" i="74"/>
  <c r="G119" i="74"/>
  <c r="F119" i="74"/>
  <c r="D119" i="74"/>
  <c r="H118" i="74"/>
  <c r="G118" i="74"/>
  <c r="F118" i="74"/>
  <c r="D118" i="74"/>
  <c r="H117" i="74"/>
  <c r="G117" i="74"/>
  <c r="F117" i="74"/>
  <c r="D117" i="74"/>
  <c r="H116" i="74"/>
  <c r="G116" i="74"/>
  <c r="F116" i="74"/>
  <c r="D116" i="74"/>
  <c r="H115" i="74"/>
  <c r="G115" i="74"/>
  <c r="F115" i="74"/>
  <c r="D115" i="74"/>
  <c r="H114" i="74"/>
  <c r="G114" i="74"/>
  <c r="F114" i="74"/>
  <c r="D114" i="74"/>
  <c r="H113" i="74"/>
  <c r="G113" i="74"/>
  <c r="F113" i="74"/>
  <c r="D113" i="74"/>
  <c r="H112" i="74"/>
  <c r="G112" i="74"/>
  <c r="F112" i="74"/>
  <c r="D112" i="74"/>
  <c r="C111" i="74"/>
  <c r="H109" i="74"/>
  <c r="G109" i="74"/>
  <c r="F109" i="74"/>
  <c r="E109" i="74"/>
  <c r="D109" i="74"/>
  <c r="H108" i="74"/>
  <c r="G108" i="74"/>
  <c r="F108" i="74"/>
  <c r="E108" i="74"/>
  <c r="D108" i="74"/>
  <c r="H107" i="74"/>
  <c r="G107" i="74"/>
  <c r="F107" i="74"/>
  <c r="E107" i="74"/>
  <c r="D107" i="74"/>
  <c r="H106" i="74"/>
  <c r="G106" i="74"/>
  <c r="F106" i="74"/>
  <c r="E106" i="74"/>
  <c r="D106" i="74"/>
  <c r="H105" i="74"/>
  <c r="G105" i="74"/>
  <c r="F105" i="74"/>
  <c r="E105" i="74"/>
  <c r="D105" i="74"/>
  <c r="H104" i="74"/>
  <c r="G104" i="74"/>
  <c r="F104" i="74"/>
  <c r="E104" i="74"/>
  <c r="D104" i="74"/>
  <c r="H103" i="74"/>
  <c r="G103" i="74"/>
  <c r="F103" i="74"/>
  <c r="E103" i="74"/>
  <c r="D103" i="74"/>
  <c r="H102" i="74"/>
  <c r="G102" i="74"/>
  <c r="F102" i="74"/>
  <c r="E102" i="74"/>
  <c r="D102" i="74"/>
  <c r="H101" i="74"/>
  <c r="G101" i="74"/>
  <c r="F101" i="74"/>
  <c r="E101" i="74"/>
  <c r="D101" i="74"/>
  <c r="C100" i="74"/>
  <c r="H98" i="74"/>
  <c r="G98" i="74"/>
  <c r="F98" i="74"/>
  <c r="E98" i="74"/>
  <c r="D98" i="74"/>
  <c r="H97" i="74"/>
  <c r="G97" i="74"/>
  <c r="F97" i="74"/>
  <c r="E97" i="74"/>
  <c r="D97" i="74"/>
  <c r="H96" i="74"/>
  <c r="G96" i="74"/>
  <c r="F96" i="74"/>
  <c r="E96" i="74"/>
  <c r="D96" i="74"/>
  <c r="H95" i="74"/>
  <c r="G95" i="74"/>
  <c r="F95" i="74"/>
  <c r="E95" i="74"/>
  <c r="D95" i="74"/>
  <c r="H94" i="74"/>
  <c r="G94" i="74"/>
  <c r="F94" i="74"/>
  <c r="E94" i="74"/>
  <c r="D94" i="74"/>
  <c r="H93" i="74"/>
  <c r="G93" i="74"/>
  <c r="F93" i="74"/>
  <c r="E93" i="74"/>
  <c r="D93" i="74"/>
  <c r="H92" i="74"/>
  <c r="G92" i="74"/>
  <c r="F92" i="74"/>
  <c r="E92" i="74"/>
  <c r="D92" i="74"/>
  <c r="H91" i="74"/>
  <c r="G91" i="74"/>
  <c r="F91" i="74"/>
  <c r="E91" i="74"/>
  <c r="D91" i="74"/>
  <c r="H90" i="74"/>
  <c r="G90" i="74"/>
  <c r="F90" i="74"/>
  <c r="E90" i="74"/>
  <c r="D90" i="74"/>
  <c r="C89" i="74"/>
  <c r="H87" i="74"/>
  <c r="G87" i="74"/>
  <c r="F87" i="74"/>
  <c r="E87" i="74"/>
  <c r="D87" i="74"/>
  <c r="H86" i="74"/>
  <c r="G86" i="74"/>
  <c r="F86" i="74"/>
  <c r="E86" i="74"/>
  <c r="D86" i="74"/>
  <c r="H85" i="74"/>
  <c r="G85" i="74"/>
  <c r="F85" i="74"/>
  <c r="E85" i="74"/>
  <c r="D85" i="74"/>
  <c r="H84" i="74"/>
  <c r="G84" i="74"/>
  <c r="F84" i="74"/>
  <c r="E84" i="74"/>
  <c r="D84" i="74"/>
  <c r="H83" i="74"/>
  <c r="G83" i="74"/>
  <c r="F83" i="74"/>
  <c r="E83" i="74"/>
  <c r="D83" i="74"/>
  <c r="H82" i="74"/>
  <c r="G82" i="74"/>
  <c r="F82" i="74"/>
  <c r="E82" i="74"/>
  <c r="D82" i="74"/>
  <c r="H81" i="74"/>
  <c r="G81" i="74"/>
  <c r="F81" i="74"/>
  <c r="E81" i="74"/>
  <c r="D81" i="74"/>
  <c r="H80" i="74"/>
  <c r="G80" i="74"/>
  <c r="F80" i="74"/>
  <c r="E80" i="74"/>
  <c r="D80" i="74"/>
  <c r="H79" i="74"/>
  <c r="G79" i="74"/>
  <c r="F79" i="74"/>
  <c r="E79" i="74"/>
  <c r="D79" i="74"/>
  <c r="C78" i="74"/>
  <c r="H76" i="74"/>
  <c r="G76" i="74"/>
  <c r="F76" i="74"/>
  <c r="E76" i="74"/>
  <c r="D76" i="74"/>
  <c r="H75" i="74"/>
  <c r="G75" i="74"/>
  <c r="F75" i="74"/>
  <c r="E75" i="74"/>
  <c r="D75" i="74"/>
  <c r="H74" i="74"/>
  <c r="G74" i="74"/>
  <c r="AB29" i="74" s="1"/>
  <c r="F74" i="74"/>
  <c r="E74" i="74"/>
  <c r="D74" i="74"/>
  <c r="H73" i="74"/>
  <c r="G73" i="74"/>
  <c r="AB28" i="74" s="1"/>
  <c r="F73" i="74"/>
  <c r="E73" i="74"/>
  <c r="D73" i="74"/>
  <c r="H72" i="74"/>
  <c r="G72" i="74"/>
  <c r="F72" i="74"/>
  <c r="E72" i="74"/>
  <c r="D72" i="74"/>
  <c r="H71" i="74"/>
  <c r="G71" i="74"/>
  <c r="F71" i="74"/>
  <c r="E71" i="74"/>
  <c r="D71" i="74"/>
  <c r="H70" i="74"/>
  <c r="G70" i="74"/>
  <c r="AB25" i="74" s="1"/>
  <c r="F70" i="74"/>
  <c r="E70" i="74"/>
  <c r="D70" i="74"/>
  <c r="H69" i="74"/>
  <c r="G69" i="74"/>
  <c r="F69" i="74"/>
  <c r="E69" i="74"/>
  <c r="D69" i="74"/>
  <c r="H68" i="74"/>
  <c r="G68" i="74"/>
  <c r="AB23" i="74" s="1"/>
  <c r="F68" i="74"/>
  <c r="E68" i="74"/>
  <c r="D68" i="74"/>
  <c r="C67" i="74"/>
  <c r="H65" i="74"/>
  <c r="G65" i="74"/>
  <c r="F65" i="74"/>
  <c r="E65" i="74"/>
  <c r="D65" i="74"/>
  <c r="C65" i="74"/>
  <c r="C76" i="74" s="1"/>
  <c r="C87" i="74" s="1"/>
  <c r="C98" i="74" s="1"/>
  <c r="C109" i="74" s="1"/>
  <c r="C120" i="74" s="1"/>
  <c r="C131" i="74" s="1"/>
  <c r="C142" i="74" s="1"/>
  <c r="C153" i="74" s="1"/>
  <c r="C164" i="74" s="1"/>
  <c r="H64" i="74"/>
  <c r="G64" i="74"/>
  <c r="AA30" i="74" s="1"/>
  <c r="F64" i="74"/>
  <c r="E64" i="74"/>
  <c r="D64" i="74"/>
  <c r="C64" i="74"/>
  <c r="C75" i="74" s="1"/>
  <c r="C86" i="74" s="1"/>
  <c r="C97" i="74" s="1"/>
  <c r="C108" i="74" s="1"/>
  <c r="C119" i="74" s="1"/>
  <c r="C130" i="74" s="1"/>
  <c r="C141" i="74" s="1"/>
  <c r="C152" i="74" s="1"/>
  <c r="C163" i="74" s="1"/>
  <c r="H63" i="74"/>
  <c r="G63" i="74"/>
  <c r="F63" i="74"/>
  <c r="E63" i="74"/>
  <c r="D63" i="74"/>
  <c r="C63" i="74"/>
  <c r="C74" i="74" s="1"/>
  <c r="C85" i="74" s="1"/>
  <c r="C96" i="74" s="1"/>
  <c r="C107" i="74" s="1"/>
  <c r="C118" i="74" s="1"/>
  <c r="C129" i="74" s="1"/>
  <c r="C140" i="74" s="1"/>
  <c r="C151" i="74" s="1"/>
  <c r="C162" i="74" s="1"/>
  <c r="H62" i="74"/>
  <c r="G62" i="74"/>
  <c r="F62" i="74"/>
  <c r="E62" i="74"/>
  <c r="D62" i="74"/>
  <c r="C62" i="74"/>
  <c r="C73" i="74" s="1"/>
  <c r="C84" i="74" s="1"/>
  <c r="C95" i="74" s="1"/>
  <c r="C106" i="74" s="1"/>
  <c r="C117" i="74" s="1"/>
  <c r="C128" i="74" s="1"/>
  <c r="C139" i="74" s="1"/>
  <c r="C150" i="74" s="1"/>
  <c r="C161" i="74" s="1"/>
  <c r="H61" i="74"/>
  <c r="G61" i="74"/>
  <c r="F61" i="74"/>
  <c r="E61" i="74"/>
  <c r="D61" i="74"/>
  <c r="C61" i="74"/>
  <c r="C72" i="74" s="1"/>
  <c r="C83" i="74" s="1"/>
  <c r="C94" i="74" s="1"/>
  <c r="C105" i="74" s="1"/>
  <c r="C116" i="74" s="1"/>
  <c r="C127" i="74" s="1"/>
  <c r="C138" i="74" s="1"/>
  <c r="C149" i="74" s="1"/>
  <c r="C160" i="74" s="1"/>
  <c r="H60" i="74"/>
  <c r="G60" i="74"/>
  <c r="F60" i="74"/>
  <c r="E60" i="74"/>
  <c r="D60" i="74"/>
  <c r="C60" i="74"/>
  <c r="C71" i="74" s="1"/>
  <c r="C82" i="74" s="1"/>
  <c r="C93" i="74" s="1"/>
  <c r="C104" i="74" s="1"/>
  <c r="C115" i="74" s="1"/>
  <c r="C126" i="74" s="1"/>
  <c r="C137" i="74" s="1"/>
  <c r="C148" i="74" s="1"/>
  <c r="C159" i="74" s="1"/>
  <c r="H59" i="74"/>
  <c r="G59" i="74"/>
  <c r="F59" i="74"/>
  <c r="E59" i="74"/>
  <c r="D59" i="74"/>
  <c r="C59" i="74"/>
  <c r="C70" i="74" s="1"/>
  <c r="C81" i="74" s="1"/>
  <c r="C92" i="74" s="1"/>
  <c r="C103" i="74" s="1"/>
  <c r="C114" i="74" s="1"/>
  <c r="C125" i="74" s="1"/>
  <c r="C136" i="74" s="1"/>
  <c r="C147" i="74" s="1"/>
  <c r="C158" i="74" s="1"/>
  <c r="H58" i="74"/>
  <c r="G58" i="74"/>
  <c r="F58" i="74"/>
  <c r="E58" i="74"/>
  <c r="D58" i="74"/>
  <c r="C58" i="74"/>
  <c r="C69" i="74" s="1"/>
  <c r="C80" i="74" s="1"/>
  <c r="C91" i="74" s="1"/>
  <c r="C102" i="74" s="1"/>
  <c r="C113" i="74" s="1"/>
  <c r="C124" i="74" s="1"/>
  <c r="C135" i="74" s="1"/>
  <c r="C146" i="74" s="1"/>
  <c r="C157" i="74" s="1"/>
  <c r="H57" i="74"/>
  <c r="G57" i="74"/>
  <c r="F57" i="74"/>
  <c r="E57" i="74"/>
  <c r="D57" i="74"/>
  <c r="C57" i="74"/>
  <c r="C68" i="74" s="1"/>
  <c r="C79" i="74" s="1"/>
  <c r="C90" i="74" s="1"/>
  <c r="C101" i="74" s="1"/>
  <c r="C112" i="74" s="1"/>
  <c r="C123" i="74" s="1"/>
  <c r="C134" i="74" s="1"/>
  <c r="C145" i="74" s="1"/>
  <c r="C156" i="74" s="1"/>
  <c r="C56" i="74"/>
  <c r="H54" i="74"/>
  <c r="G54" i="74"/>
  <c r="Z31" i="74" s="1"/>
  <c r="F54" i="74"/>
  <c r="E54" i="74"/>
  <c r="D54" i="74"/>
  <c r="C54" i="74"/>
  <c r="H53" i="74"/>
  <c r="G53" i="74"/>
  <c r="F53" i="74"/>
  <c r="E53" i="74"/>
  <c r="D53" i="74"/>
  <c r="C53" i="74"/>
  <c r="H52" i="74"/>
  <c r="G52" i="74"/>
  <c r="Z29" i="74" s="1"/>
  <c r="F52" i="74"/>
  <c r="E52" i="74"/>
  <c r="D52" i="74"/>
  <c r="C52" i="74"/>
  <c r="H51" i="74"/>
  <c r="G51" i="74"/>
  <c r="F51" i="74"/>
  <c r="E51" i="74"/>
  <c r="D51" i="74"/>
  <c r="C51" i="74"/>
  <c r="H50" i="74"/>
  <c r="G50" i="74"/>
  <c r="Z27" i="74" s="1"/>
  <c r="F50" i="74"/>
  <c r="E50" i="74"/>
  <c r="D50" i="74"/>
  <c r="C50" i="74"/>
  <c r="H49" i="74"/>
  <c r="G49" i="74"/>
  <c r="F49" i="74"/>
  <c r="E49" i="74"/>
  <c r="D49" i="74"/>
  <c r="C49" i="74"/>
  <c r="H48" i="74"/>
  <c r="G48" i="74"/>
  <c r="Z25" i="74" s="1"/>
  <c r="F48" i="74"/>
  <c r="E48" i="74"/>
  <c r="D48" i="74"/>
  <c r="C48" i="74"/>
  <c r="H47" i="74"/>
  <c r="G47" i="74"/>
  <c r="F47" i="74"/>
  <c r="E47" i="74"/>
  <c r="D47" i="74"/>
  <c r="C47" i="74"/>
  <c r="H46" i="74"/>
  <c r="G46" i="74"/>
  <c r="Z23" i="74" s="1"/>
  <c r="F46" i="74"/>
  <c r="E46" i="74"/>
  <c r="D46" i="74"/>
  <c r="C46" i="74"/>
  <c r="C45" i="74"/>
  <c r="H43" i="74"/>
  <c r="G43" i="74"/>
  <c r="F43" i="74"/>
  <c r="E43" i="74"/>
  <c r="D43" i="74"/>
  <c r="C43" i="74"/>
  <c r="H42" i="74"/>
  <c r="G42" i="74"/>
  <c r="F42" i="74"/>
  <c r="E42" i="74"/>
  <c r="D42" i="74"/>
  <c r="C42" i="74"/>
  <c r="H41" i="74"/>
  <c r="G41" i="74"/>
  <c r="F41" i="74"/>
  <c r="E41" i="74"/>
  <c r="D41" i="74"/>
  <c r="C41" i="74"/>
  <c r="H40" i="74"/>
  <c r="G40" i="74"/>
  <c r="F40" i="74"/>
  <c r="E40" i="74"/>
  <c r="D40" i="74"/>
  <c r="C40" i="74"/>
  <c r="H39" i="74"/>
  <c r="G39" i="74"/>
  <c r="F39" i="74"/>
  <c r="E39" i="74"/>
  <c r="D39" i="74"/>
  <c r="C39" i="74"/>
  <c r="H38" i="74"/>
  <c r="G38" i="74"/>
  <c r="F38" i="74"/>
  <c r="E38" i="74"/>
  <c r="D38" i="74"/>
  <c r="C38" i="74"/>
  <c r="H37" i="74"/>
  <c r="G37" i="74"/>
  <c r="F37" i="74"/>
  <c r="E37" i="74"/>
  <c r="D37" i="74"/>
  <c r="C37" i="74"/>
  <c r="H36" i="74"/>
  <c r="G36" i="74"/>
  <c r="F36" i="74"/>
  <c r="E36" i="74"/>
  <c r="D36" i="74"/>
  <c r="C36" i="74"/>
  <c r="H35" i="74"/>
  <c r="G35" i="74"/>
  <c r="F35" i="74"/>
  <c r="E35" i="74"/>
  <c r="D35" i="74"/>
  <c r="C35" i="74"/>
  <c r="C34" i="74"/>
  <c r="H32" i="74"/>
  <c r="G32" i="74"/>
  <c r="F32" i="74"/>
  <c r="E32" i="74"/>
  <c r="D32" i="74"/>
  <c r="C32" i="74"/>
  <c r="H31" i="74"/>
  <c r="G31" i="74"/>
  <c r="F31" i="74"/>
  <c r="E31" i="74"/>
  <c r="D31" i="74"/>
  <c r="C31" i="74"/>
  <c r="H30" i="74"/>
  <c r="G30" i="74"/>
  <c r="F30" i="74"/>
  <c r="E30" i="74"/>
  <c r="D30" i="74"/>
  <c r="C30" i="74"/>
  <c r="H29" i="74"/>
  <c r="G29" i="74"/>
  <c r="F29" i="74"/>
  <c r="E29" i="74"/>
  <c r="D29" i="74"/>
  <c r="C29" i="74"/>
  <c r="H28" i="74"/>
  <c r="G28" i="74"/>
  <c r="F28" i="74"/>
  <c r="E28" i="74"/>
  <c r="D28" i="74"/>
  <c r="C28" i="74"/>
  <c r="H27" i="74"/>
  <c r="G27" i="74"/>
  <c r="F27" i="74"/>
  <c r="E27" i="74"/>
  <c r="D27" i="74"/>
  <c r="C27" i="74"/>
  <c r="H26" i="74"/>
  <c r="G26" i="74"/>
  <c r="F26" i="74"/>
  <c r="E26" i="74"/>
  <c r="D26" i="74"/>
  <c r="C26" i="74"/>
  <c r="H25" i="74"/>
  <c r="G25" i="74"/>
  <c r="F25" i="74"/>
  <c r="E25" i="74"/>
  <c r="D25" i="74"/>
  <c r="C25" i="74"/>
  <c r="H24" i="74"/>
  <c r="G24" i="74"/>
  <c r="F24" i="74"/>
  <c r="E24" i="74"/>
  <c r="D24" i="74"/>
  <c r="C24" i="74"/>
  <c r="C23" i="74"/>
  <c r="H21" i="74"/>
  <c r="G21" i="74"/>
  <c r="F21" i="74"/>
  <c r="E21" i="74"/>
  <c r="D21" i="74"/>
  <c r="C21" i="74"/>
  <c r="H20" i="74"/>
  <c r="G20" i="74"/>
  <c r="F20" i="74"/>
  <c r="E20" i="74"/>
  <c r="D20" i="74"/>
  <c r="C20" i="74"/>
  <c r="N19" i="74"/>
  <c r="H19" i="74"/>
  <c r="G19" i="74"/>
  <c r="F19" i="74"/>
  <c r="E19" i="74"/>
  <c r="D19" i="74"/>
  <c r="C19" i="74"/>
  <c r="N18" i="74"/>
  <c r="H18" i="74"/>
  <c r="G18" i="74"/>
  <c r="F18" i="74"/>
  <c r="E18" i="74"/>
  <c r="D18" i="74"/>
  <c r="C18" i="74"/>
  <c r="R17" i="74"/>
  <c r="Q17" i="74"/>
  <c r="P17" i="74"/>
  <c r="O17" i="74"/>
  <c r="N17" i="74"/>
  <c r="H17" i="74"/>
  <c r="G17" i="74"/>
  <c r="F17" i="74"/>
  <c r="E17" i="74"/>
  <c r="D17" i="74"/>
  <c r="C17" i="74"/>
  <c r="H16" i="74"/>
  <c r="G16" i="74"/>
  <c r="F16" i="74"/>
  <c r="E16" i="74"/>
  <c r="D16" i="74"/>
  <c r="C16" i="74"/>
  <c r="H15" i="74"/>
  <c r="G15" i="74"/>
  <c r="F15" i="74"/>
  <c r="E15" i="74"/>
  <c r="D15" i="74"/>
  <c r="C15" i="74"/>
  <c r="H14" i="74"/>
  <c r="G14" i="74"/>
  <c r="F14" i="74"/>
  <c r="E14" i="74"/>
  <c r="D14" i="74"/>
  <c r="C14" i="74"/>
  <c r="H13" i="74"/>
  <c r="G13" i="74"/>
  <c r="F13" i="74"/>
  <c r="E13" i="74"/>
  <c r="D13" i="74"/>
  <c r="C13" i="74"/>
  <c r="H12" i="74"/>
  <c r="H23" i="74" s="1"/>
  <c r="H34" i="74" s="1"/>
  <c r="H45" i="74" s="1"/>
  <c r="H56" i="74" s="1"/>
  <c r="H67" i="74" s="1"/>
  <c r="H78" i="74" s="1"/>
  <c r="H89" i="74" s="1"/>
  <c r="H100" i="74" s="1"/>
  <c r="H111" i="74" s="1"/>
  <c r="H122" i="74" s="1"/>
  <c r="H133" i="74" s="1"/>
  <c r="H144" i="74" s="1"/>
  <c r="H155" i="74" s="1"/>
  <c r="H166" i="74" s="1"/>
  <c r="G12" i="74"/>
  <c r="G23" i="74" s="1"/>
  <c r="G34" i="74" s="1"/>
  <c r="G45" i="74" s="1"/>
  <c r="G56" i="74" s="1"/>
  <c r="G67" i="74" s="1"/>
  <c r="G78" i="74" s="1"/>
  <c r="G89" i="74" s="1"/>
  <c r="G100" i="74" s="1"/>
  <c r="G111" i="74" s="1"/>
  <c r="G122" i="74" s="1"/>
  <c r="G133" i="74" s="1"/>
  <c r="G144" i="74" s="1"/>
  <c r="G155" i="74" s="1"/>
  <c r="G166" i="74" s="1"/>
  <c r="F12" i="74"/>
  <c r="F23" i="74" s="1"/>
  <c r="F34" i="74" s="1"/>
  <c r="F45" i="74" s="1"/>
  <c r="F56" i="74" s="1"/>
  <c r="F67" i="74" s="1"/>
  <c r="F78" i="74" s="1"/>
  <c r="F89" i="74" s="1"/>
  <c r="F100" i="74" s="1"/>
  <c r="F111" i="74" s="1"/>
  <c r="F122" i="74" s="1"/>
  <c r="F133" i="74" s="1"/>
  <c r="F144" i="74" s="1"/>
  <c r="F155" i="74" s="1"/>
  <c r="F166" i="74" s="1"/>
  <c r="E12" i="74"/>
  <c r="E23" i="74" s="1"/>
  <c r="E34" i="74" s="1"/>
  <c r="E45" i="74" s="1"/>
  <c r="E56" i="74" s="1"/>
  <c r="E67" i="74" s="1"/>
  <c r="E78" i="74" s="1"/>
  <c r="E89" i="74" s="1"/>
  <c r="E100" i="74" s="1"/>
  <c r="E111" i="74" s="1"/>
  <c r="E122" i="74" s="1"/>
  <c r="E133" i="74" s="1"/>
  <c r="E144" i="74" s="1"/>
  <c r="E155" i="74" s="1"/>
  <c r="E166" i="74" s="1"/>
  <c r="D12" i="74"/>
  <c r="D23" i="74" s="1"/>
  <c r="D34" i="74" s="1"/>
  <c r="D45" i="74" s="1"/>
  <c r="D56" i="74" s="1"/>
  <c r="D67" i="74" s="1"/>
  <c r="D78" i="74" s="1"/>
  <c r="D89" i="74" s="1"/>
  <c r="D100" i="74" s="1"/>
  <c r="D111" i="74" s="1"/>
  <c r="D122" i="74" s="1"/>
  <c r="D133" i="74" s="1"/>
  <c r="D144" i="74" s="1"/>
  <c r="D155" i="74" s="1"/>
  <c r="D166" i="74" s="1"/>
  <c r="C12" i="74"/>
  <c r="H10" i="74"/>
  <c r="G10" i="74"/>
  <c r="F10" i="74"/>
  <c r="E10" i="74"/>
  <c r="D10" i="74"/>
  <c r="H9" i="74"/>
  <c r="G9" i="74"/>
  <c r="F9" i="74"/>
  <c r="E9" i="74"/>
  <c r="D9" i="74"/>
  <c r="H8" i="74"/>
  <c r="G8" i="74"/>
  <c r="F8" i="74"/>
  <c r="E8" i="74"/>
  <c r="D8" i="74"/>
  <c r="H7" i="74"/>
  <c r="G7" i="74"/>
  <c r="F7" i="74"/>
  <c r="E7" i="74"/>
  <c r="D7" i="74"/>
  <c r="H6" i="74"/>
  <c r="G6" i="74"/>
  <c r="F6" i="74"/>
  <c r="E6" i="74"/>
  <c r="D6" i="74"/>
  <c r="H5" i="74"/>
  <c r="G5" i="74"/>
  <c r="F5" i="74"/>
  <c r="E5" i="74"/>
  <c r="D5" i="74"/>
  <c r="H4" i="74"/>
  <c r="G4" i="74"/>
  <c r="F4" i="74"/>
  <c r="E4" i="74"/>
  <c r="D4" i="74"/>
  <c r="H3" i="74"/>
  <c r="G3" i="74"/>
  <c r="F3" i="74"/>
  <c r="E3" i="74"/>
  <c r="D3" i="74"/>
  <c r="H2" i="74"/>
  <c r="G2" i="74"/>
  <c r="F2" i="74"/>
  <c r="E2" i="74"/>
  <c r="D2" i="74"/>
  <c r="C1" i="74"/>
  <c r="H164" i="73"/>
  <c r="G164" i="73"/>
  <c r="F164" i="73"/>
  <c r="E164" i="73"/>
  <c r="D164" i="73"/>
  <c r="H163" i="73"/>
  <c r="G163" i="73"/>
  <c r="F163" i="73"/>
  <c r="E163" i="73"/>
  <c r="D163" i="73"/>
  <c r="H162" i="73"/>
  <c r="G162" i="73"/>
  <c r="F162" i="73"/>
  <c r="E162" i="73"/>
  <c r="D162" i="73"/>
  <c r="H161" i="73"/>
  <c r="G161" i="73"/>
  <c r="F161" i="73"/>
  <c r="E161" i="73"/>
  <c r="D161" i="73"/>
  <c r="H160" i="73"/>
  <c r="G160" i="73"/>
  <c r="F160" i="73"/>
  <c r="E160" i="73"/>
  <c r="D160" i="73"/>
  <c r="H159" i="73"/>
  <c r="G159" i="73"/>
  <c r="F159" i="73"/>
  <c r="E159" i="73"/>
  <c r="D159" i="73"/>
  <c r="H158" i="73"/>
  <c r="G158" i="73"/>
  <c r="F158" i="73"/>
  <c r="E158" i="73"/>
  <c r="D158" i="73"/>
  <c r="H157" i="73"/>
  <c r="G157" i="73"/>
  <c r="F157" i="73"/>
  <c r="E157" i="73"/>
  <c r="D157" i="73"/>
  <c r="H156" i="73"/>
  <c r="G156" i="73"/>
  <c r="F156" i="73"/>
  <c r="E156" i="73"/>
  <c r="D156" i="73"/>
  <c r="C155" i="73"/>
  <c r="H153" i="73"/>
  <c r="G153" i="73"/>
  <c r="F153" i="73"/>
  <c r="E153" i="73"/>
  <c r="D153" i="73"/>
  <c r="H152" i="73"/>
  <c r="G152" i="73"/>
  <c r="F152" i="73"/>
  <c r="E152" i="73"/>
  <c r="J152" i="73" s="1"/>
  <c r="D152" i="73"/>
  <c r="H151" i="73"/>
  <c r="G151" i="73"/>
  <c r="F151" i="73"/>
  <c r="E151" i="73"/>
  <c r="D151" i="73"/>
  <c r="H150" i="73"/>
  <c r="G150" i="73"/>
  <c r="F150" i="73"/>
  <c r="E150" i="73"/>
  <c r="D150" i="73"/>
  <c r="H149" i="73"/>
  <c r="G149" i="73"/>
  <c r="F149" i="73"/>
  <c r="E149" i="73"/>
  <c r="D149" i="73"/>
  <c r="H148" i="73"/>
  <c r="G148" i="73"/>
  <c r="F148" i="73"/>
  <c r="E148" i="73"/>
  <c r="D148" i="73"/>
  <c r="H147" i="73"/>
  <c r="G147" i="73"/>
  <c r="F147" i="73"/>
  <c r="E147" i="73"/>
  <c r="D147" i="73"/>
  <c r="H146" i="73"/>
  <c r="G146" i="73"/>
  <c r="F146" i="73"/>
  <c r="E146" i="73"/>
  <c r="D146" i="73"/>
  <c r="H145" i="73"/>
  <c r="G145" i="73"/>
  <c r="F145" i="73"/>
  <c r="E145" i="73"/>
  <c r="D145" i="73"/>
  <c r="C144" i="73"/>
  <c r="H142" i="73"/>
  <c r="G142" i="73"/>
  <c r="F142" i="73"/>
  <c r="E142" i="73"/>
  <c r="D142" i="73"/>
  <c r="H141" i="73"/>
  <c r="G141" i="73"/>
  <c r="F141" i="73"/>
  <c r="E141" i="73"/>
  <c r="D141" i="73"/>
  <c r="H140" i="73"/>
  <c r="G140" i="73"/>
  <c r="F140" i="73"/>
  <c r="E140" i="73"/>
  <c r="D140" i="73"/>
  <c r="H139" i="73"/>
  <c r="G139" i="73"/>
  <c r="F139" i="73"/>
  <c r="E139" i="73"/>
  <c r="D139" i="73"/>
  <c r="H138" i="73"/>
  <c r="G138" i="73"/>
  <c r="F138" i="73"/>
  <c r="E138" i="73"/>
  <c r="D138" i="73"/>
  <c r="H137" i="73"/>
  <c r="G137" i="73"/>
  <c r="F137" i="73"/>
  <c r="E137" i="73"/>
  <c r="D137" i="73"/>
  <c r="H136" i="73"/>
  <c r="G136" i="73"/>
  <c r="F136" i="73"/>
  <c r="E136" i="73"/>
  <c r="D136" i="73"/>
  <c r="H135" i="73"/>
  <c r="G135" i="73"/>
  <c r="F135" i="73"/>
  <c r="E135" i="73"/>
  <c r="D135" i="73"/>
  <c r="H134" i="73"/>
  <c r="G134" i="73"/>
  <c r="F134" i="73"/>
  <c r="E134" i="73"/>
  <c r="D134" i="73"/>
  <c r="C133" i="73"/>
  <c r="H131" i="73"/>
  <c r="G131" i="73"/>
  <c r="F131" i="73"/>
  <c r="E131" i="73"/>
  <c r="D131" i="73"/>
  <c r="H130" i="73"/>
  <c r="G130" i="73"/>
  <c r="F130" i="73"/>
  <c r="E130" i="73"/>
  <c r="D130" i="73"/>
  <c r="H129" i="73"/>
  <c r="G129" i="73"/>
  <c r="F129" i="73"/>
  <c r="E129" i="73"/>
  <c r="D129" i="73"/>
  <c r="H128" i="73"/>
  <c r="G128" i="73"/>
  <c r="F128" i="73"/>
  <c r="E128" i="73"/>
  <c r="D128" i="73"/>
  <c r="H127" i="73"/>
  <c r="G127" i="73"/>
  <c r="F127" i="73"/>
  <c r="E127" i="73"/>
  <c r="D127" i="73"/>
  <c r="H126" i="73"/>
  <c r="G126" i="73"/>
  <c r="F126" i="73"/>
  <c r="E126" i="73"/>
  <c r="D126" i="73"/>
  <c r="H125" i="73"/>
  <c r="G125" i="73"/>
  <c r="F125" i="73"/>
  <c r="E125" i="73"/>
  <c r="D125" i="73"/>
  <c r="H124" i="73"/>
  <c r="G124" i="73"/>
  <c r="F124" i="73"/>
  <c r="E124" i="73"/>
  <c r="D124" i="73"/>
  <c r="H123" i="73"/>
  <c r="G123" i="73"/>
  <c r="F123" i="73"/>
  <c r="E123" i="73"/>
  <c r="C122" i="73"/>
  <c r="H120" i="73"/>
  <c r="G120" i="73"/>
  <c r="F120" i="73"/>
  <c r="D120" i="73"/>
  <c r="H119" i="73"/>
  <c r="G119" i="73"/>
  <c r="F119" i="73"/>
  <c r="D119" i="73"/>
  <c r="H118" i="73"/>
  <c r="G118" i="73"/>
  <c r="F118" i="73"/>
  <c r="D118" i="73"/>
  <c r="H117" i="73"/>
  <c r="G117" i="73"/>
  <c r="F117" i="73"/>
  <c r="D117" i="73"/>
  <c r="H116" i="73"/>
  <c r="G116" i="73"/>
  <c r="F116" i="73"/>
  <c r="D116" i="73"/>
  <c r="J116" i="73" s="1"/>
  <c r="H115" i="73"/>
  <c r="G115" i="73"/>
  <c r="F115" i="73"/>
  <c r="D115" i="73"/>
  <c r="H114" i="73"/>
  <c r="G114" i="73"/>
  <c r="F114" i="73"/>
  <c r="D114" i="73"/>
  <c r="H113" i="73"/>
  <c r="G113" i="73"/>
  <c r="F113" i="73"/>
  <c r="D113" i="73"/>
  <c r="H112" i="73"/>
  <c r="G112" i="73"/>
  <c r="F112" i="73"/>
  <c r="D112" i="73"/>
  <c r="C111" i="73"/>
  <c r="H109" i="73"/>
  <c r="G109" i="73"/>
  <c r="F109" i="73"/>
  <c r="E109" i="73"/>
  <c r="D109" i="73"/>
  <c r="H108" i="73"/>
  <c r="G108" i="73"/>
  <c r="F108" i="73"/>
  <c r="E108" i="73"/>
  <c r="D108" i="73"/>
  <c r="H107" i="73"/>
  <c r="G107" i="73"/>
  <c r="F107" i="73"/>
  <c r="E107" i="73"/>
  <c r="D107" i="73"/>
  <c r="H106" i="73"/>
  <c r="G106" i="73"/>
  <c r="F106" i="73"/>
  <c r="E106" i="73"/>
  <c r="D106" i="73"/>
  <c r="H105" i="73"/>
  <c r="G105" i="73"/>
  <c r="F105" i="73"/>
  <c r="E105" i="73"/>
  <c r="D105" i="73"/>
  <c r="H104" i="73"/>
  <c r="G104" i="73"/>
  <c r="F104" i="73"/>
  <c r="E104" i="73"/>
  <c r="D104" i="73"/>
  <c r="H103" i="73"/>
  <c r="G103" i="73"/>
  <c r="F103" i="73"/>
  <c r="E103" i="73"/>
  <c r="D103" i="73"/>
  <c r="H102" i="73"/>
  <c r="G102" i="73"/>
  <c r="F102" i="73"/>
  <c r="E102" i="73"/>
  <c r="D102" i="73"/>
  <c r="H101" i="73"/>
  <c r="G101" i="73"/>
  <c r="F101" i="73"/>
  <c r="E101" i="73"/>
  <c r="D101" i="73"/>
  <c r="C100" i="73"/>
  <c r="H98" i="73"/>
  <c r="G98" i="73"/>
  <c r="F98" i="73"/>
  <c r="E98" i="73"/>
  <c r="D98" i="73"/>
  <c r="H97" i="73"/>
  <c r="G97" i="73"/>
  <c r="F97" i="73"/>
  <c r="E97" i="73"/>
  <c r="D97" i="73"/>
  <c r="H96" i="73"/>
  <c r="G96" i="73"/>
  <c r="F96" i="73"/>
  <c r="E96" i="73"/>
  <c r="D96" i="73"/>
  <c r="H95" i="73"/>
  <c r="G95" i="73"/>
  <c r="F95" i="73"/>
  <c r="E95" i="73"/>
  <c r="D95" i="73"/>
  <c r="H94" i="73"/>
  <c r="G94" i="73"/>
  <c r="F94" i="73"/>
  <c r="E94" i="73"/>
  <c r="D94" i="73"/>
  <c r="H93" i="73"/>
  <c r="G93" i="73"/>
  <c r="F93" i="73"/>
  <c r="E93" i="73"/>
  <c r="D93" i="73"/>
  <c r="H92" i="73"/>
  <c r="G92" i="73"/>
  <c r="F92" i="73"/>
  <c r="E92" i="73"/>
  <c r="D92" i="73"/>
  <c r="H91" i="73"/>
  <c r="G91" i="73"/>
  <c r="F91" i="73"/>
  <c r="E91" i="73"/>
  <c r="D91" i="73"/>
  <c r="H90" i="73"/>
  <c r="G90" i="73"/>
  <c r="F90" i="73"/>
  <c r="E90" i="73"/>
  <c r="D90" i="73"/>
  <c r="C89" i="73"/>
  <c r="H87" i="73"/>
  <c r="G87" i="73"/>
  <c r="F87" i="73"/>
  <c r="E87" i="73"/>
  <c r="D87" i="73"/>
  <c r="AC31" i="73" s="1"/>
  <c r="H86" i="73"/>
  <c r="G86" i="73"/>
  <c r="F86" i="73"/>
  <c r="E86" i="73"/>
  <c r="D86" i="73"/>
  <c r="AC30" i="73" s="1"/>
  <c r="H85" i="73"/>
  <c r="G85" i="73"/>
  <c r="F85" i="73"/>
  <c r="E85" i="73"/>
  <c r="D85" i="73"/>
  <c r="AC29" i="73" s="1"/>
  <c r="H84" i="73"/>
  <c r="G84" i="73"/>
  <c r="F84" i="73"/>
  <c r="E84" i="73"/>
  <c r="D84" i="73"/>
  <c r="AC28" i="73" s="1"/>
  <c r="H83" i="73"/>
  <c r="G83" i="73"/>
  <c r="F83" i="73"/>
  <c r="E83" i="73"/>
  <c r="D83" i="73"/>
  <c r="AC27" i="73" s="1"/>
  <c r="H82" i="73"/>
  <c r="G82" i="73"/>
  <c r="F82" i="73"/>
  <c r="E82" i="73"/>
  <c r="D82" i="73"/>
  <c r="AC26" i="73" s="1"/>
  <c r="H81" i="73"/>
  <c r="G81" i="73"/>
  <c r="F81" i="73"/>
  <c r="E81" i="73"/>
  <c r="D81" i="73"/>
  <c r="AC25" i="73" s="1"/>
  <c r="H80" i="73"/>
  <c r="G80" i="73"/>
  <c r="F80" i="73"/>
  <c r="E80" i="73"/>
  <c r="D80" i="73"/>
  <c r="AC24" i="73" s="1"/>
  <c r="H79" i="73"/>
  <c r="G79" i="73"/>
  <c r="F79" i="73"/>
  <c r="E79" i="73"/>
  <c r="D79" i="73"/>
  <c r="AC23" i="73" s="1"/>
  <c r="C78" i="73"/>
  <c r="H76" i="73"/>
  <c r="G76" i="73"/>
  <c r="AB31" i="73" s="1"/>
  <c r="F76" i="73"/>
  <c r="E76" i="73"/>
  <c r="D76" i="73"/>
  <c r="H75" i="73"/>
  <c r="G75" i="73"/>
  <c r="AB30" i="73" s="1"/>
  <c r="F75" i="73"/>
  <c r="E75" i="73"/>
  <c r="D75" i="73"/>
  <c r="H74" i="73"/>
  <c r="G74" i="73"/>
  <c r="AB29" i="73" s="1"/>
  <c r="F74" i="73"/>
  <c r="E74" i="73"/>
  <c r="D74" i="73"/>
  <c r="H73" i="73"/>
  <c r="G73" i="73"/>
  <c r="AB28" i="73" s="1"/>
  <c r="F73" i="73"/>
  <c r="E73" i="73"/>
  <c r="D73" i="73"/>
  <c r="H72" i="73"/>
  <c r="G72" i="73"/>
  <c r="AB27" i="73" s="1"/>
  <c r="F72" i="73"/>
  <c r="E72" i="73"/>
  <c r="D72" i="73"/>
  <c r="H71" i="73"/>
  <c r="G71" i="73"/>
  <c r="AB26" i="73" s="1"/>
  <c r="F71" i="73"/>
  <c r="E71" i="73"/>
  <c r="D71" i="73"/>
  <c r="H70" i="73"/>
  <c r="G70" i="73"/>
  <c r="AB25" i="73" s="1"/>
  <c r="F70" i="73"/>
  <c r="E70" i="73"/>
  <c r="D70" i="73"/>
  <c r="H69" i="73"/>
  <c r="G69" i="73"/>
  <c r="AB24" i="73" s="1"/>
  <c r="F69" i="73"/>
  <c r="E69" i="73"/>
  <c r="D69" i="73"/>
  <c r="H68" i="73"/>
  <c r="G68" i="73"/>
  <c r="AB23" i="73" s="1"/>
  <c r="F68" i="73"/>
  <c r="E68" i="73"/>
  <c r="D68" i="73"/>
  <c r="C67" i="73"/>
  <c r="H65" i="73"/>
  <c r="G65" i="73"/>
  <c r="AA31" i="73" s="1"/>
  <c r="F65" i="73"/>
  <c r="E65" i="73"/>
  <c r="D65" i="73"/>
  <c r="C65" i="73"/>
  <c r="C76" i="73" s="1"/>
  <c r="C87" i="73" s="1"/>
  <c r="C98" i="73" s="1"/>
  <c r="C109" i="73" s="1"/>
  <c r="C120" i="73" s="1"/>
  <c r="C131" i="73" s="1"/>
  <c r="C142" i="73" s="1"/>
  <c r="C153" i="73" s="1"/>
  <c r="C164" i="73" s="1"/>
  <c r="H64" i="73"/>
  <c r="G64" i="73"/>
  <c r="AA30" i="73" s="1"/>
  <c r="F64" i="73"/>
  <c r="E64" i="73"/>
  <c r="D64" i="73"/>
  <c r="C64" i="73"/>
  <c r="C75" i="73" s="1"/>
  <c r="C86" i="73" s="1"/>
  <c r="C97" i="73" s="1"/>
  <c r="C108" i="73" s="1"/>
  <c r="C119" i="73" s="1"/>
  <c r="C130" i="73" s="1"/>
  <c r="C141" i="73" s="1"/>
  <c r="C152" i="73" s="1"/>
  <c r="C163" i="73" s="1"/>
  <c r="H63" i="73"/>
  <c r="G63" i="73"/>
  <c r="AA29" i="73" s="1"/>
  <c r="F63" i="73"/>
  <c r="E63" i="73"/>
  <c r="D63" i="73"/>
  <c r="C63" i="73"/>
  <c r="C74" i="73" s="1"/>
  <c r="C85" i="73" s="1"/>
  <c r="C96" i="73" s="1"/>
  <c r="C107" i="73" s="1"/>
  <c r="C118" i="73" s="1"/>
  <c r="C129" i="73" s="1"/>
  <c r="C140" i="73" s="1"/>
  <c r="C151" i="73" s="1"/>
  <c r="C162" i="73" s="1"/>
  <c r="H62" i="73"/>
  <c r="G62" i="73"/>
  <c r="AA28" i="73" s="1"/>
  <c r="F62" i="73"/>
  <c r="E62" i="73"/>
  <c r="D62" i="73"/>
  <c r="C62" i="73"/>
  <c r="C73" i="73" s="1"/>
  <c r="C84" i="73" s="1"/>
  <c r="C95" i="73" s="1"/>
  <c r="C106" i="73" s="1"/>
  <c r="C117" i="73" s="1"/>
  <c r="C128" i="73" s="1"/>
  <c r="C139" i="73" s="1"/>
  <c r="C150" i="73" s="1"/>
  <c r="C161" i="73" s="1"/>
  <c r="H61" i="73"/>
  <c r="G61" i="73"/>
  <c r="AA27" i="73" s="1"/>
  <c r="F61" i="73"/>
  <c r="E61" i="73"/>
  <c r="D61" i="73"/>
  <c r="C61" i="73"/>
  <c r="C72" i="73" s="1"/>
  <c r="C83" i="73" s="1"/>
  <c r="C94" i="73" s="1"/>
  <c r="C105" i="73" s="1"/>
  <c r="C116" i="73" s="1"/>
  <c r="C127" i="73" s="1"/>
  <c r="C138" i="73" s="1"/>
  <c r="C149" i="73" s="1"/>
  <c r="C160" i="73" s="1"/>
  <c r="H60" i="73"/>
  <c r="G60" i="73"/>
  <c r="AA26" i="73" s="1"/>
  <c r="F60" i="73"/>
  <c r="E60" i="73"/>
  <c r="D60" i="73"/>
  <c r="C60" i="73"/>
  <c r="C71" i="73" s="1"/>
  <c r="C82" i="73" s="1"/>
  <c r="C93" i="73" s="1"/>
  <c r="C104" i="73" s="1"/>
  <c r="C115" i="73" s="1"/>
  <c r="C126" i="73" s="1"/>
  <c r="C137" i="73" s="1"/>
  <c r="C148" i="73" s="1"/>
  <c r="C159" i="73" s="1"/>
  <c r="H59" i="73"/>
  <c r="G59" i="73"/>
  <c r="AA25" i="73" s="1"/>
  <c r="F59" i="73"/>
  <c r="E59" i="73"/>
  <c r="D59" i="73"/>
  <c r="C59" i="73"/>
  <c r="C70" i="73" s="1"/>
  <c r="C81" i="73" s="1"/>
  <c r="C92" i="73" s="1"/>
  <c r="C103" i="73" s="1"/>
  <c r="C114" i="73" s="1"/>
  <c r="C125" i="73" s="1"/>
  <c r="C136" i="73" s="1"/>
  <c r="C147" i="73" s="1"/>
  <c r="C158" i="73" s="1"/>
  <c r="H58" i="73"/>
  <c r="G58" i="73"/>
  <c r="AA24" i="73" s="1"/>
  <c r="F58" i="73"/>
  <c r="E58" i="73"/>
  <c r="D58" i="73"/>
  <c r="C58" i="73"/>
  <c r="C69" i="73" s="1"/>
  <c r="C80" i="73" s="1"/>
  <c r="C91" i="73" s="1"/>
  <c r="C102" i="73" s="1"/>
  <c r="C113" i="73" s="1"/>
  <c r="C124" i="73" s="1"/>
  <c r="C135" i="73" s="1"/>
  <c r="C146" i="73" s="1"/>
  <c r="C157" i="73" s="1"/>
  <c r="H57" i="73"/>
  <c r="G57" i="73"/>
  <c r="AA23" i="73" s="1"/>
  <c r="F57" i="73"/>
  <c r="E57" i="73"/>
  <c r="D57" i="73"/>
  <c r="C57" i="73"/>
  <c r="C68" i="73" s="1"/>
  <c r="C79" i="73" s="1"/>
  <c r="C90" i="73" s="1"/>
  <c r="C101" i="73" s="1"/>
  <c r="C112" i="73" s="1"/>
  <c r="C123" i="73" s="1"/>
  <c r="C134" i="73" s="1"/>
  <c r="C145" i="73" s="1"/>
  <c r="C156" i="73" s="1"/>
  <c r="C56" i="73"/>
  <c r="H54" i="73"/>
  <c r="G54" i="73"/>
  <c r="Z31" i="73" s="1"/>
  <c r="F54" i="73"/>
  <c r="E54" i="73"/>
  <c r="D54" i="73"/>
  <c r="C54" i="73"/>
  <c r="H53" i="73"/>
  <c r="G53" i="73"/>
  <c r="Z30" i="73" s="1"/>
  <c r="F53" i="73"/>
  <c r="E53" i="73"/>
  <c r="D53" i="73"/>
  <c r="C53" i="73"/>
  <c r="H52" i="73"/>
  <c r="G52" i="73"/>
  <c r="Z29" i="73" s="1"/>
  <c r="F52" i="73"/>
  <c r="E52" i="73"/>
  <c r="D52" i="73"/>
  <c r="C52" i="73"/>
  <c r="H51" i="73"/>
  <c r="G51" i="73"/>
  <c r="Z28" i="73" s="1"/>
  <c r="F51" i="73"/>
  <c r="E51" i="73"/>
  <c r="D51" i="73"/>
  <c r="C51" i="73"/>
  <c r="H50" i="73"/>
  <c r="G50" i="73"/>
  <c r="Z27" i="73" s="1"/>
  <c r="F50" i="73"/>
  <c r="E50" i="73"/>
  <c r="D50" i="73"/>
  <c r="C50" i="73"/>
  <c r="H49" i="73"/>
  <c r="G49" i="73"/>
  <c r="Z26" i="73" s="1"/>
  <c r="F49" i="73"/>
  <c r="E49" i="73"/>
  <c r="D49" i="73"/>
  <c r="C49" i="73"/>
  <c r="H48" i="73"/>
  <c r="G48" i="73"/>
  <c r="Z25" i="73" s="1"/>
  <c r="F48" i="73"/>
  <c r="E48" i="73"/>
  <c r="D48" i="73"/>
  <c r="C48" i="73"/>
  <c r="H47" i="73"/>
  <c r="G47" i="73"/>
  <c r="Z24" i="73" s="1"/>
  <c r="F47" i="73"/>
  <c r="E47" i="73"/>
  <c r="D47" i="73"/>
  <c r="C47" i="73"/>
  <c r="H46" i="73"/>
  <c r="G46" i="73"/>
  <c r="Z23" i="73" s="1"/>
  <c r="F46" i="73"/>
  <c r="E46" i="73"/>
  <c r="D46" i="73"/>
  <c r="C46" i="73"/>
  <c r="C45" i="73"/>
  <c r="H43" i="73"/>
  <c r="G43" i="73"/>
  <c r="F43" i="73"/>
  <c r="E43" i="73"/>
  <c r="D43" i="73"/>
  <c r="Y31" i="73" s="1"/>
  <c r="C43" i="73"/>
  <c r="H42" i="73"/>
  <c r="G42" i="73"/>
  <c r="F42" i="73"/>
  <c r="E42" i="73"/>
  <c r="D42" i="73"/>
  <c r="Y30" i="73" s="1"/>
  <c r="C42" i="73"/>
  <c r="H41" i="73"/>
  <c r="G41" i="73"/>
  <c r="F41" i="73"/>
  <c r="E41" i="73"/>
  <c r="D41" i="73"/>
  <c r="Y29" i="73" s="1"/>
  <c r="C41" i="73"/>
  <c r="H40" i="73"/>
  <c r="G40" i="73"/>
  <c r="F40" i="73"/>
  <c r="E40" i="73"/>
  <c r="D40" i="73"/>
  <c r="Y28" i="73" s="1"/>
  <c r="C40" i="73"/>
  <c r="H39" i="73"/>
  <c r="G39" i="73"/>
  <c r="F39" i="73"/>
  <c r="E39" i="73"/>
  <c r="D39" i="73"/>
  <c r="Y27" i="73" s="1"/>
  <c r="C39" i="73"/>
  <c r="H38" i="73"/>
  <c r="G38" i="73"/>
  <c r="F38" i="73"/>
  <c r="E38" i="73"/>
  <c r="D38" i="73"/>
  <c r="Y26" i="73" s="1"/>
  <c r="C38" i="73"/>
  <c r="H37" i="73"/>
  <c r="G37" i="73"/>
  <c r="F37" i="73"/>
  <c r="E37" i="73"/>
  <c r="D37" i="73"/>
  <c r="Y25" i="73" s="1"/>
  <c r="C28" i="77" s="1"/>
  <c r="C37" i="73"/>
  <c r="H36" i="73"/>
  <c r="G36" i="73"/>
  <c r="F36" i="73"/>
  <c r="E36" i="73"/>
  <c r="D36" i="73"/>
  <c r="Y24" i="73" s="1"/>
  <c r="C36" i="73"/>
  <c r="H35" i="73"/>
  <c r="G35" i="73"/>
  <c r="F35" i="73"/>
  <c r="E35" i="73"/>
  <c r="D35" i="73"/>
  <c r="Y23" i="73" s="1"/>
  <c r="C35" i="73"/>
  <c r="C34" i="73"/>
  <c r="H32" i="73"/>
  <c r="G32" i="73"/>
  <c r="F32" i="73"/>
  <c r="E32" i="73"/>
  <c r="D32" i="73"/>
  <c r="C32" i="73"/>
  <c r="H31" i="73"/>
  <c r="G31" i="73"/>
  <c r="F31" i="73"/>
  <c r="E31" i="73"/>
  <c r="D31" i="73"/>
  <c r="C31" i="73"/>
  <c r="H30" i="73"/>
  <c r="G30" i="73"/>
  <c r="F30" i="73"/>
  <c r="E30" i="73"/>
  <c r="D30" i="73"/>
  <c r="C30" i="73"/>
  <c r="H29" i="73"/>
  <c r="G29" i="73"/>
  <c r="F29" i="73"/>
  <c r="E29" i="73"/>
  <c r="D29" i="73"/>
  <c r="C29" i="73"/>
  <c r="H28" i="73"/>
  <c r="G28" i="73"/>
  <c r="F28" i="73"/>
  <c r="E28" i="73"/>
  <c r="D28" i="73"/>
  <c r="C28" i="73"/>
  <c r="H27" i="73"/>
  <c r="G27" i="73"/>
  <c r="F27" i="73"/>
  <c r="E27" i="73"/>
  <c r="D27" i="73"/>
  <c r="C27" i="73"/>
  <c r="H26" i="73"/>
  <c r="G26" i="73"/>
  <c r="F26" i="73"/>
  <c r="E26" i="73"/>
  <c r="D26" i="73"/>
  <c r="C26" i="73"/>
  <c r="H25" i="73"/>
  <c r="G25" i="73"/>
  <c r="F25" i="73"/>
  <c r="E25" i="73"/>
  <c r="D25" i="73"/>
  <c r="C25" i="73"/>
  <c r="H24" i="73"/>
  <c r="G24" i="73"/>
  <c r="F24" i="73"/>
  <c r="E24" i="73"/>
  <c r="D24" i="73"/>
  <c r="C24" i="73"/>
  <c r="C23" i="73"/>
  <c r="H21" i="73"/>
  <c r="G21" i="73"/>
  <c r="F21" i="73"/>
  <c r="E21" i="73"/>
  <c r="D21" i="73"/>
  <c r="C21" i="73"/>
  <c r="H20" i="73"/>
  <c r="G20" i="73"/>
  <c r="F20" i="73"/>
  <c r="E20" i="73"/>
  <c r="D20" i="73"/>
  <c r="C20" i="73"/>
  <c r="N19" i="73"/>
  <c r="H19" i="73"/>
  <c r="G19" i="73"/>
  <c r="F19" i="73"/>
  <c r="E19" i="73"/>
  <c r="D19" i="73"/>
  <c r="C19" i="73"/>
  <c r="Q18" i="73"/>
  <c r="P18" i="73"/>
  <c r="O18" i="73"/>
  <c r="N18" i="73"/>
  <c r="H18" i="73"/>
  <c r="G18" i="73"/>
  <c r="F18" i="73"/>
  <c r="E18" i="73"/>
  <c r="D18" i="73"/>
  <c r="C18" i="73"/>
  <c r="R17" i="73"/>
  <c r="Q17" i="73"/>
  <c r="P17" i="73"/>
  <c r="O17" i="73"/>
  <c r="N17" i="73"/>
  <c r="H17" i="73"/>
  <c r="G17" i="73"/>
  <c r="F17" i="73"/>
  <c r="E17" i="73"/>
  <c r="D17" i="73"/>
  <c r="C17" i="73"/>
  <c r="H16" i="73"/>
  <c r="G16" i="73"/>
  <c r="F16" i="73"/>
  <c r="E16" i="73"/>
  <c r="D16" i="73"/>
  <c r="C16" i="73"/>
  <c r="H15" i="73"/>
  <c r="G15" i="73"/>
  <c r="F15" i="73"/>
  <c r="E15" i="73"/>
  <c r="D15" i="73"/>
  <c r="C15" i="73"/>
  <c r="H14" i="73"/>
  <c r="G14" i="73"/>
  <c r="F14" i="73"/>
  <c r="E14" i="73"/>
  <c r="D14" i="73"/>
  <c r="C14" i="73"/>
  <c r="H13" i="73"/>
  <c r="G13" i="73"/>
  <c r="F13" i="73"/>
  <c r="E13" i="73"/>
  <c r="D13" i="73"/>
  <c r="C13" i="73"/>
  <c r="H12" i="73"/>
  <c r="H23" i="73" s="1"/>
  <c r="H34" i="73" s="1"/>
  <c r="H45" i="73" s="1"/>
  <c r="H56" i="73" s="1"/>
  <c r="H67" i="73" s="1"/>
  <c r="H78" i="73" s="1"/>
  <c r="H89" i="73" s="1"/>
  <c r="H100" i="73" s="1"/>
  <c r="H111" i="73" s="1"/>
  <c r="H122" i="73" s="1"/>
  <c r="H133" i="73" s="1"/>
  <c r="H144" i="73" s="1"/>
  <c r="H155" i="73" s="1"/>
  <c r="H166" i="73" s="1"/>
  <c r="G12" i="73"/>
  <c r="G23" i="73" s="1"/>
  <c r="G34" i="73" s="1"/>
  <c r="G45" i="73" s="1"/>
  <c r="G56" i="73" s="1"/>
  <c r="G67" i="73" s="1"/>
  <c r="G78" i="73" s="1"/>
  <c r="G89" i="73" s="1"/>
  <c r="G100" i="73" s="1"/>
  <c r="G111" i="73" s="1"/>
  <c r="G122" i="73" s="1"/>
  <c r="G133" i="73" s="1"/>
  <c r="G144" i="73" s="1"/>
  <c r="G155" i="73" s="1"/>
  <c r="G166" i="73" s="1"/>
  <c r="F12" i="73"/>
  <c r="F23" i="73" s="1"/>
  <c r="F34" i="73" s="1"/>
  <c r="F45" i="73" s="1"/>
  <c r="F56" i="73" s="1"/>
  <c r="F67" i="73" s="1"/>
  <c r="F78" i="73" s="1"/>
  <c r="F89" i="73" s="1"/>
  <c r="F100" i="73" s="1"/>
  <c r="F111" i="73" s="1"/>
  <c r="F122" i="73" s="1"/>
  <c r="F133" i="73" s="1"/>
  <c r="F144" i="73" s="1"/>
  <c r="F155" i="73" s="1"/>
  <c r="F166" i="73" s="1"/>
  <c r="E12" i="73"/>
  <c r="E23" i="73" s="1"/>
  <c r="E34" i="73" s="1"/>
  <c r="E45" i="73" s="1"/>
  <c r="E56" i="73" s="1"/>
  <c r="E67" i="73" s="1"/>
  <c r="E78" i="73" s="1"/>
  <c r="E89" i="73" s="1"/>
  <c r="E100" i="73" s="1"/>
  <c r="E111" i="73" s="1"/>
  <c r="E122" i="73" s="1"/>
  <c r="E133" i="73" s="1"/>
  <c r="E144" i="73" s="1"/>
  <c r="E155" i="73" s="1"/>
  <c r="E166" i="73" s="1"/>
  <c r="D12" i="73"/>
  <c r="D23" i="73" s="1"/>
  <c r="D34" i="73" s="1"/>
  <c r="D45" i="73" s="1"/>
  <c r="D56" i="73" s="1"/>
  <c r="D67" i="73" s="1"/>
  <c r="D78" i="73" s="1"/>
  <c r="D89" i="73" s="1"/>
  <c r="D100" i="73" s="1"/>
  <c r="D111" i="73" s="1"/>
  <c r="D122" i="73" s="1"/>
  <c r="D133" i="73" s="1"/>
  <c r="D144" i="73" s="1"/>
  <c r="D155" i="73" s="1"/>
  <c r="D166" i="73" s="1"/>
  <c r="C12" i="73"/>
  <c r="H10" i="73"/>
  <c r="G10" i="73"/>
  <c r="F10" i="73"/>
  <c r="E10" i="73"/>
  <c r="D10" i="73"/>
  <c r="H9" i="73"/>
  <c r="G9" i="73"/>
  <c r="F9" i="73"/>
  <c r="E9" i="73"/>
  <c r="D9" i="73"/>
  <c r="H8" i="73"/>
  <c r="G8" i="73"/>
  <c r="F8" i="73"/>
  <c r="E8" i="73"/>
  <c r="D8" i="73"/>
  <c r="H7" i="73"/>
  <c r="G7" i="73"/>
  <c r="F7" i="73"/>
  <c r="E7" i="73"/>
  <c r="D7" i="73"/>
  <c r="H6" i="73"/>
  <c r="G6" i="73"/>
  <c r="F6" i="73"/>
  <c r="E6" i="73"/>
  <c r="D6" i="73"/>
  <c r="H5" i="73"/>
  <c r="G5" i="73"/>
  <c r="F5" i="73"/>
  <c r="E5" i="73"/>
  <c r="D5" i="73"/>
  <c r="H4" i="73"/>
  <c r="G4" i="73"/>
  <c r="F4" i="73"/>
  <c r="E4" i="73"/>
  <c r="D4" i="73"/>
  <c r="H3" i="73"/>
  <c r="G3" i="73"/>
  <c r="F3" i="73"/>
  <c r="E3" i="73"/>
  <c r="D3" i="73"/>
  <c r="H2" i="73"/>
  <c r="G2" i="73"/>
  <c r="F2" i="73"/>
  <c r="E2" i="73"/>
  <c r="D2" i="73"/>
  <c r="C1" i="73"/>
  <c r="S20" i="67"/>
  <c r="R20" i="67"/>
  <c r="Q20" i="67"/>
  <c r="P20" i="67"/>
  <c r="O20" i="67"/>
  <c r="N20" i="67"/>
  <c r="S19" i="67"/>
  <c r="R19" i="67"/>
  <c r="Q19" i="67"/>
  <c r="P19" i="67"/>
  <c r="O19" i="67"/>
  <c r="N19" i="67"/>
  <c r="S18" i="67"/>
  <c r="R18" i="67"/>
  <c r="Q18" i="67"/>
  <c r="P18" i="67"/>
  <c r="O18" i="67"/>
  <c r="N18" i="67"/>
  <c r="S17" i="67"/>
  <c r="R17" i="67"/>
  <c r="Q17" i="67"/>
  <c r="P17" i="67"/>
  <c r="O17" i="67"/>
  <c r="N17" i="67"/>
  <c r="N20" i="65"/>
  <c r="N18" i="65"/>
  <c r="S17" i="65"/>
  <c r="Q17" i="65"/>
  <c r="O17" i="65"/>
  <c r="S20" i="65"/>
  <c r="R20" i="65"/>
  <c r="Q20" i="65"/>
  <c r="P20" i="65"/>
  <c r="O20" i="65"/>
  <c r="AF30" i="65" s="1"/>
  <c r="S19" i="65"/>
  <c r="R19" i="65"/>
  <c r="Q19" i="65"/>
  <c r="P19" i="65"/>
  <c r="O19" i="65"/>
  <c r="N19" i="65"/>
  <c r="S18" i="65"/>
  <c r="R18" i="65"/>
  <c r="Q18" i="65"/>
  <c r="P18" i="65"/>
  <c r="O18" i="65"/>
  <c r="R17" i="65"/>
  <c r="N17" i="65"/>
  <c r="N20" i="66"/>
  <c r="S17" i="66"/>
  <c r="Q17" i="66"/>
  <c r="O17" i="66"/>
  <c r="S20" i="66"/>
  <c r="R20" i="66"/>
  <c r="Q20" i="66"/>
  <c r="P20" i="66"/>
  <c r="O20" i="66"/>
  <c r="AF30" i="66" s="1"/>
  <c r="S19" i="66"/>
  <c r="R19" i="66"/>
  <c r="Q19" i="66"/>
  <c r="P19" i="66"/>
  <c r="O19" i="66"/>
  <c r="N19" i="66"/>
  <c r="S18" i="66"/>
  <c r="Z24" i="66" s="1"/>
  <c r="R18" i="66"/>
  <c r="Q18" i="66"/>
  <c r="P18" i="66"/>
  <c r="O18" i="66"/>
  <c r="R17" i="66"/>
  <c r="P17" i="66"/>
  <c r="N17" i="66"/>
  <c r="O17" i="63"/>
  <c r="P17" i="63"/>
  <c r="Q17" i="63"/>
  <c r="R17" i="63"/>
  <c r="S17" i="63"/>
  <c r="N18" i="63"/>
  <c r="N19" i="63"/>
  <c r="N20" i="63"/>
  <c r="N17" i="63"/>
  <c r="S20" i="63"/>
  <c r="AJ24" i="63" s="1"/>
  <c r="R20" i="63"/>
  <c r="AI27" i="63" s="1"/>
  <c r="Q20" i="63"/>
  <c r="AH31" i="63" s="1"/>
  <c r="P20" i="63"/>
  <c r="O20" i="63"/>
  <c r="AF24" i="63" s="1"/>
  <c r="S19" i="63"/>
  <c r="AE23" i="63" s="1"/>
  <c r="R19" i="63"/>
  <c r="AD24" i="63" s="1"/>
  <c r="Q19" i="63"/>
  <c r="AC23" i="63" s="1"/>
  <c r="P19" i="63"/>
  <c r="AB24" i="63" s="1"/>
  <c r="O19" i="63"/>
  <c r="AA31" i="63" s="1"/>
  <c r="S18" i="63"/>
  <c r="R18" i="63"/>
  <c r="Q18" i="63"/>
  <c r="X26" i="63" s="1"/>
  <c r="P18" i="63"/>
  <c r="W26" i="63" s="1"/>
  <c r="O18" i="63"/>
  <c r="AL36" i="71"/>
  <c r="AK36" i="71"/>
  <c r="AJ36" i="71"/>
  <c r="AI36" i="71"/>
  <c r="AH36" i="71"/>
  <c r="AG36" i="71"/>
  <c r="AF36" i="71"/>
  <c r="AE36" i="71"/>
  <c r="AO35" i="71"/>
  <c r="AO36" i="71" s="1"/>
  <c r="AN35" i="71"/>
  <c r="AN36" i="71" s="1"/>
  <c r="AY33" i="71"/>
  <c r="AN33" i="71"/>
  <c r="AY32" i="71"/>
  <c r="AN32" i="71"/>
  <c r="AP32" i="71" s="1"/>
  <c r="AY31" i="71"/>
  <c r="AN31" i="71"/>
  <c r="AY30" i="71"/>
  <c r="AN30" i="71"/>
  <c r="AP30" i="71" s="1"/>
  <c r="AY29" i="71"/>
  <c r="AN29" i="71"/>
  <c r="AY28" i="71"/>
  <c r="AN28" i="71"/>
  <c r="AP28" i="71" s="1"/>
  <c r="AY27" i="71"/>
  <c r="AN27" i="71"/>
  <c r="AP27" i="71" s="1"/>
  <c r="AY26" i="71"/>
  <c r="AN26" i="71"/>
  <c r="AP26" i="71" s="1"/>
  <c r="BK22" i="71"/>
  <c r="BG22" i="71"/>
  <c r="BC22" i="71"/>
  <c r="AZ33" i="71" s="1"/>
  <c r="BC33" i="71" s="1"/>
  <c r="AP22" i="71"/>
  <c r="AK22" i="71"/>
  <c r="AF22" i="71"/>
  <c r="BK21" i="71"/>
  <c r="BG21" i="71"/>
  <c r="BC21" i="71"/>
  <c r="AP21" i="71"/>
  <c r="AZ21" i="71" s="1"/>
  <c r="AK21" i="71"/>
  <c r="AY21" i="71" s="1"/>
  <c r="AF21" i="71"/>
  <c r="AX21" i="71" s="1"/>
  <c r="BK20" i="71"/>
  <c r="BG20" i="71"/>
  <c r="BC20" i="71"/>
  <c r="AP20" i="71"/>
  <c r="AZ20" i="71" s="1"/>
  <c r="AK20" i="71"/>
  <c r="AY20" i="71" s="1"/>
  <c r="AF20" i="71"/>
  <c r="AX20" i="71" s="1"/>
  <c r="BK19" i="71"/>
  <c r="BG19" i="71"/>
  <c r="BC19" i="71"/>
  <c r="AP19" i="71"/>
  <c r="AZ19" i="71" s="1"/>
  <c r="AK19" i="71"/>
  <c r="AY19" i="71" s="1"/>
  <c r="AF19" i="71"/>
  <c r="AX19" i="71" s="1"/>
  <c r="G19" i="71"/>
  <c r="H19" i="71" s="1"/>
  <c r="BK18" i="71"/>
  <c r="BG18" i="71"/>
  <c r="BC18" i="71"/>
  <c r="AP18" i="71"/>
  <c r="AZ18" i="71" s="1"/>
  <c r="AK18" i="71"/>
  <c r="AY18" i="71" s="1"/>
  <c r="AF18" i="71"/>
  <c r="AX18" i="71" s="1"/>
  <c r="G18" i="71"/>
  <c r="H18" i="71" s="1"/>
  <c r="BK17" i="71"/>
  <c r="BG17" i="71"/>
  <c r="BC17" i="71"/>
  <c r="AZ28" i="71" s="1"/>
  <c r="BC28" i="71" s="1"/>
  <c r="AP17" i="71"/>
  <c r="AZ17" i="71" s="1"/>
  <c r="AK17" i="71"/>
  <c r="AY17" i="71" s="1"/>
  <c r="AF17" i="71"/>
  <c r="AX17" i="71" s="1"/>
  <c r="G17" i="71"/>
  <c r="H17" i="71" s="1"/>
  <c r="BK16" i="71"/>
  <c r="BG16" i="71"/>
  <c r="BC16" i="71"/>
  <c r="AP16" i="71"/>
  <c r="AZ16" i="71" s="1"/>
  <c r="AK16" i="71"/>
  <c r="AY16" i="71" s="1"/>
  <c r="AF16" i="71"/>
  <c r="AX16" i="71" s="1"/>
  <c r="BK15" i="71"/>
  <c r="BG15" i="71"/>
  <c r="BC15" i="71"/>
  <c r="AZ26" i="71" s="1"/>
  <c r="AZ15" i="71"/>
  <c r="AP15" i="71"/>
  <c r="AK15" i="71"/>
  <c r="AY15" i="71" s="1"/>
  <c r="AF15" i="71"/>
  <c r="AX15" i="71" s="1"/>
  <c r="G14" i="71"/>
  <c r="H14" i="71" s="1"/>
  <c r="BK13" i="71"/>
  <c r="BJ13" i="71"/>
  <c r="BI13" i="71"/>
  <c r="BH13" i="71"/>
  <c r="BG13" i="71"/>
  <c r="BF13" i="71"/>
  <c r="BE13" i="71"/>
  <c r="BD13" i="71"/>
  <c r="BC13" i="71"/>
  <c r="BB13" i="71"/>
  <c r="BA13" i="71"/>
  <c r="AZ13" i="71"/>
  <c r="AT13" i="71"/>
  <c r="AQ13" i="71"/>
  <c r="AP13" i="71"/>
  <c r="AO13" i="71"/>
  <c r="AN13" i="71"/>
  <c r="AM13" i="71"/>
  <c r="AL13" i="71"/>
  <c r="AK13" i="71"/>
  <c r="AJ13" i="71"/>
  <c r="AI13" i="71"/>
  <c r="AH13" i="71"/>
  <c r="AG13" i="71"/>
  <c r="AF13" i="71"/>
  <c r="AE13" i="71"/>
  <c r="AD13" i="71"/>
  <c r="AC13" i="71"/>
  <c r="G13" i="71"/>
  <c r="H13" i="71" s="1"/>
  <c r="BN12" i="71"/>
  <c r="BN13" i="71" s="1"/>
  <c r="BM12" i="71"/>
  <c r="BM13" i="71" s="1"/>
  <c r="AT12" i="71"/>
  <c r="AS12" i="71"/>
  <c r="AS13" i="71" s="1"/>
  <c r="G12" i="71"/>
  <c r="BM10" i="71"/>
  <c r="AS10" i="71"/>
  <c r="BM9" i="71"/>
  <c r="BO9" i="71" s="1"/>
  <c r="AS9" i="71"/>
  <c r="AU9" i="71" s="1"/>
  <c r="G9" i="71"/>
  <c r="H9" i="71" s="1"/>
  <c r="BM8" i="71"/>
  <c r="AS8" i="71"/>
  <c r="AU8" i="71" s="1"/>
  <c r="G8" i="71"/>
  <c r="H8" i="71" s="1"/>
  <c r="BM7" i="71"/>
  <c r="AS7" i="71"/>
  <c r="G7" i="71"/>
  <c r="BM6" i="71"/>
  <c r="BO6" i="71" s="1"/>
  <c r="AS6" i="71"/>
  <c r="BM5" i="71"/>
  <c r="AS5" i="71"/>
  <c r="AU5" i="71" s="1"/>
  <c r="BM4" i="71"/>
  <c r="BO4" i="71" s="1"/>
  <c r="AS4" i="71"/>
  <c r="AU4" i="71" s="1"/>
  <c r="G4" i="71"/>
  <c r="H4" i="71" s="1"/>
  <c r="J4" i="71" s="1"/>
  <c r="BO3" i="71"/>
  <c r="BM3" i="71"/>
  <c r="AS3" i="71"/>
  <c r="AU3" i="71" s="1"/>
  <c r="G3" i="71"/>
  <c r="M3" i="71"/>
  <c r="G2" i="71"/>
  <c r="H2" i="71" s="1"/>
  <c r="J2" i="71" s="1"/>
  <c r="H164" i="67"/>
  <c r="G164" i="67"/>
  <c r="F164" i="67"/>
  <c r="E164" i="67"/>
  <c r="D164" i="67"/>
  <c r="H163" i="67"/>
  <c r="G163" i="67"/>
  <c r="AJ30" i="67" s="1"/>
  <c r="F163" i="67"/>
  <c r="E163" i="67"/>
  <c r="D163" i="67"/>
  <c r="H162" i="67"/>
  <c r="G162" i="67"/>
  <c r="F162" i="67"/>
  <c r="E162" i="67"/>
  <c r="D162" i="67"/>
  <c r="H161" i="67"/>
  <c r="G161" i="67"/>
  <c r="F161" i="67"/>
  <c r="E161" i="67"/>
  <c r="D161" i="67"/>
  <c r="H160" i="67"/>
  <c r="G160" i="67"/>
  <c r="F160" i="67"/>
  <c r="E160" i="67"/>
  <c r="D160" i="67"/>
  <c r="H159" i="67"/>
  <c r="G159" i="67"/>
  <c r="AJ26" i="67" s="1"/>
  <c r="F159" i="67"/>
  <c r="E159" i="67"/>
  <c r="D159" i="67"/>
  <c r="H158" i="67"/>
  <c r="G158" i="67"/>
  <c r="F158" i="67"/>
  <c r="E158" i="67"/>
  <c r="D158" i="67"/>
  <c r="H157" i="67"/>
  <c r="G157" i="67"/>
  <c r="F157" i="67"/>
  <c r="E157" i="67"/>
  <c r="D157" i="67"/>
  <c r="H156" i="67"/>
  <c r="G156" i="67"/>
  <c r="F156" i="67"/>
  <c r="E156" i="67"/>
  <c r="D156" i="67"/>
  <c r="C155" i="67"/>
  <c r="H153" i="67"/>
  <c r="G153" i="67"/>
  <c r="F153" i="67"/>
  <c r="E153" i="67"/>
  <c r="D153" i="67"/>
  <c r="H152" i="67"/>
  <c r="G152" i="67"/>
  <c r="F152" i="67"/>
  <c r="E152" i="67"/>
  <c r="D152" i="67"/>
  <c r="H151" i="67"/>
  <c r="G151" i="67"/>
  <c r="F151" i="67"/>
  <c r="E151" i="67"/>
  <c r="D151" i="67"/>
  <c r="H150" i="67"/>
  <c r="G150" i="67"/>
  <c r="AI28" i="67" s="1"/>
  <c r="F150" i="67"/>
  <c r="E150" i="67"/>
  <c r="D150" i="67"/>
  <c r="H149" i="67"/>
  <c r="G149" i="67"/>
  <c r="F149" i="67"/>
  <c r="E149" i="67"/>
  <c r="D149" i="67"/>
  <c r="H148" i="67"/>
  <c r="G148" i="67"/>
  <c r="F148" i="67"/>
  <c r="E148" i="67"/>
  <c r="D148" i="67"/>
  <c r="H147" i="67"/>
  <c r="G147" i="67"/>
  <c r="F147" i="67"/>
  <c r="E147" i="67"/>
  <c r="D147" i="67"/>
  <c r="H146" i="67"/>
  <c r="G146" i="67"/>
  <c r="AI24" i="67" s="1"/>
  <c r="F146" i="67"/>
  <c r="E146" i="67"/>
  <c r="D146" i="67"/>
  <c r="H145" i="67"/>
  <c r="G145" i="67"/>
  <c r="F145" i="67"/>
  <c r="E145" i="67"/>
  <c r="D145" i="67"/>
  <c r="C144" i="67"/>
  <c r="H142" i="67"/>
  <c r="G142" i="67"/>
  <c r="AH31" i="67" s="1"/>
  <c r="F142" i="67"/>
  <c r="E142" i="67"/>
  <c r="D142" i="67"/>
  <c r="H141" i="67"/>
  <c r="G141" i="67"/>
  <c r="AH30" i="67" s="1"/>
  <c r="F141" i="67"/>
  <c r="E141" i="67"/>
  <c r="D141" i="67"/>
  <c r="H140" i="67"/>
  <c r="G140" i="67"/>
  <c r="AH29" i="67" s="1"/>
  <c r="F140" i="67"/>
  <c r="E140" i="67"/>
  <c r="D140" i="67"/>
  <c r="H139" i="67"/>
  <c r="G139" i="67"/>
  <c r="AH28" i="67" s="1"/>
  <c r="F139" i="67"/>
  <c r="E139" i="67"/>
  <c r="D139" i="67"/>
  <c r="H138" i="67"/>
  <c r="G138" i="67"/>
  <c r="AH27" i="67" s="1"/>
  <c r="F138" i="67"/>
  <c r="E138" i="67"/>
  <c r="D138" i="67"/>
  <c r="H137" i="67"/>
  <c r="G137" i="67"/>
  <c r="AH26" i="67" s="1"/>
  <c r="F137" i="67"/>
  <c r="E137" i="67"/>
  <c r="D137" i="67"/>
  <c r="H136" i="67"/>
  <c r="G136" i="67"/>
  <c r="AH25" i="67" s="1"/>
  <c r="F136" i="67"/>
  <c r="E136" i="67"/>
  <c r="D136" i="67"/>
  <c r="H135" i="67"/>
  <c r="G135" i="67"/>
  <c r="AH24" i="67" s="1"/>
  <c r="F135" i="67"/>
  <c r="E135" i="67"/>
  <c r="D135" i="67"/>
  <c r="H134" i="67"/>
  <c r="G134" i="67"/>
  <c r="AH23" i="67" s="1"/>
  <c r="F134" i="67"/>
  <c r="E134" i="67"/>
  <c r="D134" i="67"/>
  <c r="C133" i="67"/>
  <c r="H131" i="67"/>
  <c r="G131" i="67"/>
  <c r="AG31" i="67" s="1"/>
  <c r="F131" i="67"/>
  <c r="E131" i="67"/>
  <c r="D131" i="67"/>
  <c r="H130" i="67"/>
  <c r="G130" i="67"/>
  <c r="AG30" i="67" s="1"/>
  <c r="F130" i="67"/>
  <c r="E130" i="67"/>
  <c r="D130" i="67"/>
  <c r="H129" i="67"/>
  <c r="G129" i="67"/>
  <c r="AG29" i="67" s="1"/>
  <c r="F129" i="67"/>
  <c r="E129" i="67"/>
  <c r="D129" i="67"/>
  <c r="H128" i="67"/>
  <c r="G128" i="67"/>
  <c r="AG28" i="67" s="1"/>
  <c r="F128" i="67"/>
  <c r="E128" i="67"/>
  <c r="D128" i="67"/>
  <c r="H127" i="67"/>
  <c r="G127" i="67"/>
  <c r="AG27" i="67" s="1"/>
  <c r="F127" i="67"/>
  <c r="E127" i="67"/>
  <c r="D127" i="67"/>
  <c r="H126" i="67"/>
  <c r="G126" i="67"/>
  <c r="AG26" i="67" s="1"/>
  <c r="F126" i="67"/>
  <c r="E126" i="67"/>
  <c r="D126" i="67"/>
  <c r="H125" i="67"/>
  <c r="G125" i="67"/>
  <c r="AG25" i="67" s="1"/>
  <c r="F125" i="67"/>
  <c r="E125" i="67"/>
  <c r="D125" i="67"/>
  <c r="H124" i="67"/>
  <c r="G124" i="67"/>
  <c r="AG24" i="67" s="1"/>
  <c r="F124" i="67"/>
  <c r="E124" i="67"/>
  <c r="D124" i="67"/>
  <c r="H123" i="67"/>
  <c r="G123" i="67"/>
  <c r="AG23" i="67" s="1"/>
  <c r="F123" i="67"/>
  <c r="E123" i="67"/>
  <c r="D123" i="67"/>
  <c r="C122" i="67"/>
  <c r="H109" i="67"/>
  <c r="G109" i="67"/>
  <c r="AE31" i="67" s="1"/>
  <c r="F109" i="67"/>
  <c r="E109" i="67"/>
  <c r="D109" i="67"/>
  <c r="H108" i="67"/>
  <c r="G108" i="67"/>
  <c r="F108" i="67"/>
  <c r="E108" i="67"/>
  <c r="D108" i="67"/>
  <c r="H107" i="67"/>
  <c r="G107" i="67"/>
  <c r="AE29" i="67" s="1"/>
  <c r="F107" i="67"/>
  <c r="E107" i="67"/>
  <c r="D107" i="67"/>
  <c r="H106" i="67"/>
  <c r="G106" i="67"/>
  <c r="AE28" i="67" s="1"/>
  <c r="F106" i="67"/>
  <c r="E106" i="67"/>
  <c r="D106" i="67"/>
  <c r="H105" i="67"/>
  <c r="G105" i="67"/>
  <c r="AE27" i="67" s="1"/>
  <c r="F105" i="67"/>
  <c r="E105" i="67"/>
  <c r="D105" i="67"/>
  <c r="H104" i="67"/>
  <c r="G104" i="67"/>
  <c r="F104" i="67"/>
  <c r="E104" i="67"/>
  <c r="D104" i="67"/>
  <c r="H103" i="67"/>
  <c r="G103" i="67"/>
  <c r="AE25" i="67" s="1"/>
  <c r="F103" i="67"/>
  <c r="E103" i="67"/>
  <c r="D103" i="67"/>
  <c r="H102" i="67"/>
  <c r="G102" i="67"/>
  <c r="AE24" i="67" s="1"/>
  <c r="F102" i="67"/>
  <c r="E102" i="67"/>
  <c r="D102" i="67"/>
  <c r="H101" i="67"/>
  <c r="G101" i="67"/>
  <c r="AE23" i="67" s="1"/>
  <c r="F101" i="67"/>
  <c r="E101" i="67"/>
  <c r="D101" i="67"/>
  <c r="C100" i="67"/>
  <c r="H98" i="67"/>
  <c r="G98" i="67"/>
  <c r="F98" i="67"/>
  <c r="E98" i="67"/>
  <c r="D98" i="67"/>
  <c r="H97" i="67"/>
  <c r="G97" i="67"/>
  <c r="AD30" i="67" s="1"/>
  <c r="F97" i="67"/>
  <c r="E97" i="67"/>
  <c r="D97" i="67"/>
  <c r="H96" i="67"/>
  <c r="G96" i="67"/>
  <c r="F96" i="67"/>
  <c r="E96" i="67"/>
  <c r="D96" i="67"/>
  <c r="H95" i="67"/>
  <c r="G95" i="67"/>
  <c r="AD28" i="67" s="1"/>
  <c r="F95" i="67"/>
  <c r="E95" i="67"/>
  <c r="D95" i="67"/>
  <c r="H94" i="67"/>
  <c r="G94" i="67"/>
  <c r="F94" i="67"/>
  <c r="E94" i="67"/>
  <c r="D94" i="67"/>
  <c r="H93" i="67"/>
  <c r="G93" i="67"/>
  <c r="AD26" i="67" s="1"/>
  <c r="F93" i="67"/>
  <c r="E93" i="67"/>
  <c r="D93" i="67"/>
  <c r="H92" i="67"/>
  <c r="G92" i="67"/>
  <c r="F92" i="67"/>
  <c r="E92" i="67"/>
  <c r="D92" i="67"/>
  <c r="H91" i="67"/>
  <c r="G91" i="67"/>
  <c r="AD24" i="67" s="1"/>
  <c r="F91" i="67"/>
  <c r="E91" i="67"/>
  <c r="D91" i="67"/>
  <c r="H90" i="67"/>
  <c r="G90" i="67"/>
  <c r="F90" i="67"/>
  <c r="E90" i="67"/>
  <c r="D90" i="67"/>
  <c r="C89" i="67"/>
  <c r="H87" i="67"/>
  <c r="G87" i="67"/>
  <c r="AC31" i="67" s="1"/>
  <c r="F87" i="67"/>
  <c r="E87" i="67"/>
  <c r="D87" i="67"/>
  <c r="H86" i="67"/>
  <c r="G86" i="67"/>
  <c r="F86" i="67"/>
  <c r="E86" i="67"/>
  <c r="D86" i="67"/>
  <c r="H85" i="67"/>
  <c r="G85" i="67"/>
  <c r="F85" i="67"/>
  <c r="E85" i="67"/>
  <c r="D85" i="67"/>
  <c r="H84" i="67"/>
  <c r="G84" i="67"/>
  <c r="F84" i="67"/>
  <c r="E84" i="67"/>
  <c r="D84" i="67"/>
  <c r="H83" i="67"/>
  <c r="G83" i="67"/>
  <c r="AC27" i="67" s="1"/>
  <c r="F83" i="67"/>
  <c r="E83" i="67"/>
  <c r="D83" i="67"/>
  <c r="H82" i="67"/>
  <c r="G82" i="67"/>
  <c r="F82" i="67"/>
  <c r="E82" i="67"/>
  <c r="D82" i="67"/>
  <c r="H81" i="67"/>
  <c r="G81" i="67"/>
  <c r="F81" i="67"/>
  <c r="E81" i="67"/>
  <c r="D81" i="67"/>
  <c r="H80" i="67"/>
  <c r="G80" i="67"/>
  <c r="F80" i="67"/>
  <c r="E80" i="67"/>
  <c r="D80" i="67"/>
  <c r="H79" i="67"/>
  <c r="G79" i="67"/>
  <c r="AC23" i="67" s="1"/>
  <c r="F79" i="67"/>
  <c r="E79" i="67"/>
  <c r="D79" i="67"/>
  <c r="C78" i="67"/>
  <c r="H76" i="67"/>
  <c r="G76" i="67"/>
  <c r="F76" i="67"/>
  <c r="E76" i="67"/>
  <c r="D76" i="67"/>
  <c r="H75" i="67"/>
  <c r="G75" i="67"/>
  <c r="AB30" i="67" s="1"/>
  <c r="F75" i="67"/>
  <c r="E75" i="67"/>
  <c r="D75" i="67"/>
  <c r="H74" i="67"/>
  <c r="G74" i="67"/>
  <c r="AB29" i="67" s="1"/>
  <c r="F74" i="67"/>
  <c r="E74" i="67"/>
  <c r="D74" i="67"/>
  <c r="H73" i="67"/>
  <c r="G73" i="67"/>
  <c r="AB28" i="67" s="1"/>
  <c r="F73" i="67"/>
  <c r="E73" i="67"/>
  <c r="D73" i="67"/>
  <c r="H72" i="67"/>
  <c r="G72" i="67"/>
  <c r="F72" i="67"/>
  <c r="E72" i="67"/>
  <c r="D72" i="67"/>
  <c r="H71" i="67"/>
  <c r="G71" i="67"/>
  <c r="AB26" i="67" s="1"/>
  <c r="F71" i="67"/>
  <c r="E71" i="67"/>
  <c r="D71" i="67"/>
  <c r="C71" i="67"/>
  <c r="C82" i="67" s="1"/>
  <c r="C93" i="67" s="1"/>
  <c r="C104" i="67" s="1"/>
  <c r="H70" i="67"/>
  <c r="G70" i="67"/>
  <c r="AB25" i="67" s="1"/>
  <c r="F70" i="67"/>
  <c r="E70" i="67"/>
  <c r="D70" i="67"/>
  <c r="C70" i="67"/>
  <c r="C81" i="67" s="1"/>
  <c r="C92" i="67" s="1"/>
  <c r="C103" i="67" s="1"/>
  <c r="C125" i="67" s="1"/>
  <c r="C136" i="67" s="1"/>
  <c r="C147" i="67" s="1"/>
  <c r="C158" i="67" s="1"/>
  <c r="H69" i="67"/>
  <c r="G69" i="67"/>
  <c r="AB24" i="67" s="1"/>
  <c r="F69" i="67"/>
  <c r="E69" i="67"/>
  <c r="D69" i="67"/>
  <c r="H68" i="67"/>
  <c r="G68" i="67"/>
  <c r="AB23" i="67" s="1"/>
  <c r="F68" i="67"/>
  <c r="E68" i="67"/>
  <c r="D68" i="67"/>
  <c r="C67" i="67"/>
  <c r="H65" i="67"/>
  <c r="G65" i="67"/>
  <c r="AA31" i="67" s="1"/>
  <c r="F65" i="67"/>
  <c r="E65" i="67"/>
  <c r="D65" i="67"/>
  <c r="C65" i="67"/>
  <c r="C76" i="67" s="1"/>
  <c r="C87" i="67" s="1"/>
  <c r="C98" i="67" s="1"/>
  <c r="C109" i="67" s="1"/>
  <c r="C131" i="67" s="1"/>
  <c r="C142" i="67" s="1"/>
  <c r="C153" i="67" s="1"/>
  <c r="C164" i="67" s="1"/>
  <c r="H64" i="67"/>
  <c r="G64" i="67"/>
  <c r="AA30" i="67" s="1"/>
  <c r="F64" i="67"/>
  <c r="E64" i="67"/>
  <c r="D64" i="67"/>
  <c r="C64" i="67"/>
  <c r="C75" i="67" s="1"/>
  <c r="C86" i="67" s="1"/>
  <c r="C97" i="67" s="1"/>
  <c r="C108" i="67" s="1"/>
  <c r="H63" i="67"/>
  <c r="G63" i="67"/>
  <c r="AA29" i="67" s="1"/>
  <c r="F63" i="67"/>
  <c r="E63" i="67"/>
  <c r="D63" i="67"/>
  <c r="C63" i="67"/>
  <c r="C74" i="67" s="1"/>
  <c r="C85" i="67" s="1"/>
  <c r="C96" i="67" s="1"/>
  <c r="C107" i="67" s="1"/>
  <c r="C129" i="67" s="1"/>
  <c r="C140" i="67" s="1"/>
  <c r="C151" i="67" s="1"/>
  <c r="C162" i="67" s="1"/>
  <c r="H62" i="67"/>
  <c r="G62" i="67"/>
  <c r="AA28" i="67" s="1"/>
  <c r="F62" i="67"/>
  <c r="E62" i="67"/>
  <c r="D62" i="67"/>
  <c r="C62" i="67"/>
  <c r="C73" i="67" s="1"/>
  <c r="C84" i="67" s="1"/>
  <c r="C95" i="67" s="1"/>
  <c r="C106" i="67" s="1"/>
  <c r="H61" i="67"/>
  <c r="G61" i="67"/>
  <c r="AA27" i="67" s="1"/>
  <c r="F61" i="67"/>
  <c r="E61" i="67"/>
  <c r="D61" i="67"/>
  <c r="C61" i="67"/>
  <c r="C72" i="67" s="1"/>
  <c r="C83" i="67" s="1"/>
  <c r="C94" i="67" s="1"/>
  <c r="C105" i="67" s="1"/>
  <c r="C127" i="67" s="1"/>
  <c r="C138" i="67" s="1"/>
  <c r="C149" i="67" s="1"/>
  <c r="C160" i="67" s="1"/>
  <c r="H60" i="67"/>
  <c r="G60" i="67"/>
  <c r="AA26" i="67" s="1"/>
  <c r="F60" i="67"/>
  <c r="E60" i="67"/>
  <c r="D60" i="67"/>
  <c r="C60" i="67"/>
  <c r="H59" i="67"/>
  <c r="G59" i="67"/>
  <c r="AA25" i="67" s="1"/>
  <c r="F59" i="67"/>
  <c r="E59" i="67"/>
  <c r="D59" i="67"/>
  <c r="C59" i="67"/>
  <c r="H58" i="67"/>
  <c r="G58" i="67"/>
  <c r="AA24" i="67" s="1"/>
  <c r="F58" i="67"/>
  <c r="E58" i="67"/>
  <c r="D58" i="67"/>
  <c r="C58" i="67"/>
  <c r="C69" i="67" s="1"/>
  <c r="C80" i="67" s="1"/>
  <c r="C91" i="67" s="1"/>
  <c r="C102" i="67" s="1"/>
  <c r="H57" i="67"/>
  <c r="G57" i="67"/>
  <c r="AA23" i="67" s="1"/>
  <c r="F57" i="67"/>
  <c r="E57" i="67"/>
  <c r="D57" i="67"/>
  <c r="C57" i="67"/>
  <c r="C68" i="67" s="1"/>
  <c r="C79" i="67" s="1"/>
  <c r="C90" i="67" s="1"/>
  <c r="C101" i="67" s="1"/>
  <c r="C123" i="67" s="1"/>
  <c r="C134" i="67" s="1"/>
  <c r="C145" i="67" s="1"/>
  <c r="C156" i="67" s="1"/>
  <c r="C56" i="67"/>
  <c r="H54" i="67"/>
  <c r="G54" i="67"/>
  <c r="F54" i="67"/>
  <c r="E54" i="67"/>
  <c r="D54" i="67"/>
  <c r="C54" i="67"/>
  <c r="H53" i="67"/>
  <c r="G53" i="67"/>
  <c r="F53" i="67"/>
  <c r="E53" i="67"/>
  <c r="D53" i="67"/>
  <c r="C53" i="67"/>
  <c r="H52" i="67"/>
  <c r="G52" i="67"/>
  <c r="F52" i="67"/>
  <c r="E52" i="67"/>
  <c r="D52" i="67"/>
  <c r="C52" i="67"/>
  <c r="H51" i="67"/>
  <c r="G51" i="67"/>
  <c r="F51" i="67"/>
  <c r="E51" i="67"/>
  <c r="D51" i="67"/>
  <c r="C51" i="67"/>
  <c r="H50" i="67"/>
  <c r="G50" i="67"/>
  <c r="F50" i="67"/>
  <c r="E50" i="67"/>
  <c r="D50" i="67"/>
  <c r="C50" i="67"/>
  <c r="H49" i="67"/>
  <c r="G49" i="67"/>
  <c r="F49" i="67"/>
  <c r="E49" i="67"/>
  <c r="D49" i="67"/>
  <c r="C49" i="67"/>
  <c r="H48" i="67"/>
  <c r="Z25" i="67" s="1"/>
  <c r="G48" i="67"/>
  <c r="F48" i="67"/>
  <c r="E48" i="67"/>
  <c r="D48" i="67"/>
  <c r="C48" i="67"/>
  <c r="H47" i="67"/>
  <c r="G47" i="67"/>
  <c r="F47" i="67"/>
  <c r="E47" i="67"/>
  <c r="D47" i="67"/>
  <c r="C47" i="67"/>
  <c r="H46" i="67"/>
  <c r="Z23" i="67" s="1"/>
  <c r="G46" i="67"/>
  <c r="F46" i="67"/>
  <c r="E46" i="67"/>
  <c r="D46" i="67"/>
  <c r="C46" i="67"/>
  <c r="C45" i="67"/>
  <c r="H43" i="67"/>
  <c r="G43" i="67"/>
  <c r="F43" i="67"/>
  <c r="E43" i="67"/>
  <c r="D43" i="67"/>
  <c r="C43" i="67"/>
  <c r="H42" i="67"/>
  <c r="G42" i="67"/>
  <c r="F42" i="67"/>
  <c r="E42" i="67"/>
  <c r="D42" i="67"/>
  <c r="C42" i="67"/>
  <c r="H41" i="67"/>
  <c r="G41" i="67"/>
  <c r="F41" i="67"/>
  <c r="E41" i="67"/>
  <c r="D41" i="67"/>
  <c r="C41" i="67"/>
  <c r="H40" i="67"/>
  <c r="G40" i="67"/>
  <c r="F40" i="67"/>
  <c r="E40" i="67"/>
  <c r="D40" i="67"/>
  <c r="C40" i="67"/>
  <c r="H39" i="67"/>
  <c r="G39" i="67"/>
  <c r="F39" i="67"/>
  <c r="E39" i="67"/>
  <c r="D39" i="67"/>
  <c r="C39" i="67"/>
  <c r="H38" i="67"/>
  <c r="G38" i="67"/>
  <c r="F38" i="67"/>
  <c r="E38" i="67"/>
  <c r="D38" i="67"/>
  <c r="C38" i="67"/>
  <c r="H37" i="67"/>
  <c r="G37" i="67"/>
  <c r="F37" i="67"/>
  <c r="E37" i="67"/>
  <c r="D37" i="67"/>
  <c r="C37" i="67"/>
  <c r="H36" i="67"/>
  <c r="G36" i="67"/>
  <c r="F36" i="67"/>
  <c r="E36" i="67"/>
  <c r="D36" i="67"/>
  <c r="C36" i="67"/>
  <c r="H35" i="67"/>
  <c r="G35" i="67"/>
  <c r="F35" i="67"/>
  <c r="E35" i="67"/>
  <c r="D35" i="67"/>
  <c r="C35" i="67"/>
  <c r="C34" i="67"/>
  <c r="H32" i="67"/>
  <c r="X31" i="67" s="1"/>
  <c r="G32" i="67"/>
  <c r="F32" i="67"/>
  <c r="E32" i="67"/>
  <c r="D32" i="67"/>
  <c r="C32" i="67"/>
  <c r="H31" i="67"/>
  <c r="X30" i="67" s="1"/>
  <c r="G31" i="67"/>
  <c r="F31" i="67"/>
  <c r="E31" i="67"/>
  <c r="D31" i="67"/>
  <c r="C31" i="67"/>
  <c r="H30" i="67"/>
  <c r="X29" i="67" s="1"/>
  <c r="G30" i="67"/>
  <c r="F30" i="67"/>
  <c r="E30" i="67"/>
  <c r="D30" i="67"/>
  <c r="C30" i="67"/>
  <c r="H29" i="67"/>
  <c r="X28" i="67" s="1"/>
  <c r="G29" i="67"/>
  <c r="F29" i="67"/>
  <c r="E29" i="67"/>
  <c r="D29" i="67"/>
  <c r="C29" i="67"/>
  <c r="H28" i="67"/>
  <c r="X27" i="67" s="1"/>
  <c r="G28" i="67"/>
  <c r="F28" i="67"/>
  <c r="E28" i="67"/>
  <c r="D28" i="67"/>
  <c r="C28" i="67"/>
  <c r="H27" i="67"/>
  <c r="X26" i="67" s="1"/>
  <c r="G27" i="67"/>
  <c r="F27" i="67"/>
  <c r="E27" i="67"/>
  <c r="D27" i="67"/>
  <c r="C27" i="67"/>
  <c r="H26" i="67"/>
  <c r="X25" i="67" s="1"/>
  <c r="G26" i="67"/>
  <c r="F26" i="67"/>
  <c r="E26" i="67"/>
  <c r="D26" i="67"/>
  <c r="C26" i="67"/>
  <c r="H25" i="67"/>
  <c r="X24" i="67" s="1"/>
  <c r="G25" i="67"/>
  <c r="F25" i="67"/>
  <c r="E25" i="67"/>
  <c r="D25" i="67"/>
  <c r="C25" i="67"/>
  <c r="H24" i="67"/>
  <c r="X23" i="67" s="1"/>
  <c r="G24" i="67"/>
  <c r="F24" i="67"/>
  <c r="E24" i="67"/>
  <c r="D24" i="67"/>
  <c r="C24" i="67"/>
  <c r="G23" i="67"/>
  <c r="G34" i="67" s="1"/>
  <c r="G45" i="67" s="1"/>
  <c r="G56" i="67" s="1"/>
  <c r="G67" i="67" s="1"/>
  <c r="G78" i="67" s="1"/>
  <c r="G89" i="67" s="1"/>
  <c r="G100" i="67" s="1"/>
  <c r="E23" i="67"/>
  <c r="E34" i="67" s="1"/>
  <c r="E45" i="67" s="1"/>
  <c r="E56" i="67" s="1"/>
  <c r="E67" i="67" s="1"/>
  <c r="E78" i="67" s="1"/>
  <c r="E89" i="67" s="1"/>
  <c r="E100" i="67" s="1"/>
  <c r="E122" i="67" s="1"/>
  <c r="E133" i="67" s="1"/>
  <c r="E144" i="67" s="1"/>
  <c r="E155" i="67" s="1"/>
  <c r="E166" i="67" s="1"/>
  <c r="C23" i="67"/>
  <c r="H21" i="67"/>
  <c r="W31" i="67" s="1"/>
  <c r="G21" i="67"/>
  <c r="F21" i="67"/>
  <c r="E21" i="67"/>
  <c r="D21" i="67"/>
  <c r="C21" i="67"/>
  <c r="H20" i="67"/>
  <c r="G20" i="67"/>
  <c r="F20" i="67"/>
  <c r="E20" i="67"/>
  <c r="D20" i="67"/>
  <c r="C20" i="67"/>
  <c r="H19" i="67"/>
  <c r="W29" i="67" s="1"/>
  <c r="G19" i="67"/>
  <c r="F19" i="67"/>
  <c r="E19" i="67"/>
  <c r="D19" i="67"/>
  <c r="C19" i="67"/>
  <c r="H18" i="67"/>
  <c r="G18" i="67"/>
  <c r="F18" i="67"/>
  <c r="E18" i="67"/>
  <c r="D18" i="67"/>
  <c r="C18" i="67"/>
  <c r="H17" i="67"/>
  <c r="W27" i="67" s="1"/>
  <c r="G17" i="67"/>
  <c r="F17" i="67"/>
  <c r="E17" i="67"/>
  <c r="D17" i="67"/>
  <c r="C17" i="67"/>
  <c r="H16" i="67"/>
  <c r="G16" i="67"/>
  <c r="F16" i="67"/>
  <c r="E16" i="67"/>
  <c r="D16" i="67"/>
  <c r="C16" i="67"/>
  <c r="H15" i="67"/>
  <c r="W25" i="67" s="1"/>
  <c r="G15" i="67"/>
  <c r="F15" i="67"/>
  <c r="E15" i="67"/>
  <c r="D15" i="67"/>
  <c r="C15" i="67"/>
  <c r="H14" i="67"/>
  <c r="G14" i="67"/>
  <c r="F14" i="67"/>
  <c r="E14" i="67"/>
  <c r="D14" i="67"/>
  <c r="C14" i="67"/>
  <c r="H13" i="67"/>
  <c r="W23" i="67" s="1"/>
  <c r="G13" i="67"/>
  <c r="F13" i="67"/>
  <c r="E13" i="67"/>
  <c r="D13" i="67"/>
  <c r="C13" i="67"/>
  <c r="H12" i="67"/>
  <c r="H23" i="67" s="1"/>
  <c r="H34" i="67" s="1"/>
  <c r="H45" i="67" s="1"/>
  <c r="H56" i="67" s="1"/>
  <c r="H67" i="67" s="1"/>
  <c r="H78" i="67" s="1"/>
  <c r="H89" i="67" s="1"/>
  <c r="H100" i="67" s="1"/>
  <c r="H122" i="67" s="1"/>
  <c r="H133" i="67" s="1"/>
  <c r="H144" i="67" s="1"/>
  <c r="H155" i="67" s="1"/>
  <c r="H166" i="67" s="1"/>
  <c r="G12" i="67"/>
  <c r="F12" i="67"/>
  <c r="F23" i="67" s="1"/>
  <c r="F34" i="67" s="1"/>
  <c r="F45" i="67" s="1"/>
  <c r="F56" i="67" s="1"/>
  <c r="F67" i="67" s="1"/>
  <c r="F78" i="67" s="1"/>
  <c r="F89" i="67" s="1"/>
  <c r="F100" i="67" s="1"/>
  <c r="F122" i="67" s="1"/>
  <c r="F133" i="67" s="1"/>
  <c r="F144" i="67" s="1"/>
  <c r="F155" i="67" s="1"/>
  <c r="F166" i="67" s="1"/>
  <c r="E12" i="67"/>
  <c r="D12" i="67"/>
  <c r="D23" i="67" s="1"/>
  <c r="D34" i="67" s="1"/>
  <c r="D45" i="67" s="1"/>
  <c r="D56" i="67" s="1"/>
  <c r="D67" i="67" s="1"/>
  <c r="D78" i="67" s="1"/>
  <c r="D89" i="67" s="1"/>
  <c r="D100" i="67" s="1"/>
  <c r="D122" i="67" s="1"/>
  <c r="D133" i="67" s="1"/>
  <c r="D144" i="67" s="1"/>
  <c r="D155" i="67" s="1"/>
  <c r="D166" i="67" s="1"/>
  <c r="C12" i="67"/>
  <c r="H10" i="67"/>
  <c r="G10" i="67"/>
  <c r="F10" i="67"/>
  <c r="E10" i="67"/>
  <c r="D10" i="67"/>
  <c r="H9" i="67"/>
  <c r="V30" i="67" s="1"/>
  <c r="G9" i="67"/>
  <c r="F9" i="67"/>
  <c r="E9" i="67"/>
  <c r="D9" i="67"/>
  <c r="H8" i="67"/>
  <c r="V29" i="67" s="1"/>
  <c r="G8" i="67"/>
  <c r="F8" i="67"/>
  <c r="E8" i="67"/>
  <c r="D8" i="67"/>
  <c r="H7" i="67"/>
  <c r="G7" i="67"/>
  <c r="F7" i="67"/>
  <c r="E7" i="67"/>
  <c r="D7" i="67"/>
  <c r="H6" i="67"/>
  <c r="G6" i="67"/>
  <c r="F6" i="67"/>
  <c r="E6" i="67"/>
  <c r="D6" i="67"/>
  <c r="H5" i="67"/>
  <c r="V26" i="67" s="1"/>
  <c r="G5" i="67"/>
  <c r="F5" i="67"/>
  <c r="E5" i="67"/>
  <c r="D5" i="67"/>
  <c r="H4" i="67"/>
  <c r="V25" i="67" s="1"/>
  <c r="G4" i="67"/>
  <c r="F4" i="67"/>
  <c r="E4" i="67"/>
  <c r="D4" i="67"/>
  <c r="H3" i="67"/>
  <c r="G3" i="67"/>
  <c r="F3" i="67"/>
  <c r="E3" i="67"/>
  <c r="D3" i="67"/>
  <c r="H2" i="67"/>
  <c r="G2" i="67"/>
  <c r="F2" i="67"/>
  <c r="E2" i="67"/>
  <c r="D2" i="67"/>
  <c r="C1" i="67"/>
  <c r="H164" i="66"/>
  <c r="G164" i="66"/>
  <c r="F164" i="66"/>
  <c r="E164" i="66"/>
  <c r="D164" i="66"/>
  <c r="H163" i="66"/>
  <c r="G163" i="66"/>
  <c r="F163" i="66"/>
  <c r="E163" i="66"/>
  <c r="D163" i="66"/>
  <c r="H162" i="66"/>
  <c r="G162" i="66"/>
  <c r="AJ29" i="66" s="1"/>
  <c r="F162" i="66"/>
  <c r="E162" i="66"/>
  <c r="D162" i="66"/>
  <c r="H161" i="66"/>
  <c r="G161" i="66"/>
  <c r="F161" i="66"/>
  <c r="E161" i="66"/>
  <c r="D161" i="66"/>
  <c r="H160" i="66"/>
  <c r="G160" i="66"/>
  <c r="F160" i="66"/>
  <c r="E160" i="66"/>
  <c r="D160" i="66"/>
  <c r="H159" i="66"/>
  <c r="G159" i="66"/>
  <c r="F159" i="66"/>
  <c r="E159" i="66"/>
  <c r="D159" i="66"/>
  <c r="H158" i="66"/>
  <c r="G158" i="66"/>
  <c r="AJ25" i="66" s="1"/>
  <c r="F158" i="66"/>
  <c r="E158" i="66"/>
  <c r="D158" i="66"/>
  <c r="H157" i="66"/>
  <c r="G157" i="66"/>
  <c r="F157" i="66"/>
  <c r="E157" i="66"/>
  <c r="D157" i="66"/>
  <c r="H156" i="66"/>
  <c r="G156" i="66"/>
  <c r="F156" i="66"/>
  <c r="E156" i="66"/>
  <c r="D156" i="66"/>
  <c r="C155" i="66"/>
  <c r="H153" i="66"/>
  <c r="G153" i="66"/>
  <c r="AI31" i="66" s="1"/>
  <c r="F153" i="66"/>
  <c r="E153" i="66"/>
  <c r="D153" i="66"/>
  <c r="H152" i="66"/>
  <c r="G152" i="66"/>
  <c r="F152" i="66"/>
  <c r="E152" i="66"/>
  <c r="D152" i="66"/>
  <c r="H151" i="66"/>
  <c r="G151" i="66"/>
  <c r="F151" i="66"/>
  <c r="E151" i="66"/>
  <c r="D151" i="66"/>
  <c r="H150" i="66"/>
  <c r="G150" i="66"/>
  <c r="AI28" i="66" s="1"/>
  <c r="F150" i="66"/>
  <c r="E150" i="66"/>
  <c r="D150" i="66"/>
  <c r="H149" i="66"/>
  <c r="G149" i="66"/>
  <c r="AI27" i="66" s="1"/>
  <c r="F149" i="66"/>
  <c r="E149" i="66"/>
  <c r="D149" i="66"/>
  <c r="H148" i="66"/>
  <c r="G148" i="66"/>
  <c r="F148" i="66"/>
  <c r="E148" i="66"/>
  <c r="D148" i="66"/>
  <c r="H147" i="66"/>
  <c r="G147" i="66"/>
  <c r="F147" i="66"/>
  <c r="E147" i="66"/>
  <c r="D147" i="66"/>
  <c r="H146" i="66"/>
  <c r="G146" i="66"/>
  <c r="AI24" i="66" s="1"/>
  <c r="F146" i="66"/>
  <c r="E146" i="66"/>
  <c r="D146" i="66"/>
  <c r="H145" i="66"/>
  <c r="G145" i="66"/>
  <c r="AI23" i="66" s="1"/>
  <c r="F145" i="66"/>
  <c r="E145" i="66"/>
  <c r="D145" i="66"/>
  <c r="C144" i="66"/>
  <c r="H142" i="66"/>
  <c r="G142" i="66"/>
  <c r="AH31" i="66" s="1"/>
  <c r="F142" i="66"/>
  <c r="E142" i="66"/>
  <c r="D142" i="66"/>
  <c r="H141" i="66"/>
  <c r="G141" i="66"/>
  <c r="F141" i="66"/>
  <c r="E141" i="66"/>
  <c r="D141" i="66"/>
  <c r="H140" i="66"/>
  <c r="G140" i="66"/>
  <c r="F140" i="66"/>
  <c r="E140" i="66"/>
  <c r="D140" i="66"/>
  <c r="H139" i="66"/>
  <c r="G139" i="66"/>
  <c r="F139" i="66"/>
  <c r="E139" i="66"/>
  <c r="D139" i="66"/>
  <c r="H138" i="66"/>
  <c r="G138" i="66"/>
  <c r="AH27" i="66" s="1"/>
  <c r="F138" i="66"/>
  <c r="E138" i="66"/>
  <c r="D138" i="66"/>
  <c r="H137" i="66"/>
  <c r="G137" i="66"/>
  <c r="AH26" i="66" s="1"/>
  <c r="F137" i="66"/>
  <c r="E137" i="66"/>
  <c r="D137" i="66"/>
  <c r="H136" i="66"/>
  <c r="G136" i="66"/>
  <c r="F136" i="66"/>
  <c r="E136" i="66"/>
  <c r="D136" i="66"/>
  <c r="H135" i="66"/>
  <c r="G135" i="66"/>
  <c r="F135" i="66"/>
  <c r="E135" i="66"/>
  <c r="D135" i="66"/>
  <c r="H134" i="66"/>
  <c r="G134" i="66"/>
  <c r="AH23" i="66" s="1"/>
  <c r="F134" i="66"/>
  <c r="E134" i="66"/>
  <c r="D134" i="66"/>
  <c r="C133" i="66"/>
  <c r="H131" i="66"/>
  <c r="G131" i="66"/>
  <c r="F131" i="66"/>
  <c r="E131" i="66"/>
  <c r="D131" i="66"/>
  <c r="H130" i="66"/>
  <c r="G130" i="66"/>
  <c r="F130" i="66"/>
  <c r="E130" i="66"/>
  <c r="D130" i="66"/>
  <c r="H129" i="66"/>
  <c r="G129" i="66"/>
  <c r="AG29" i="66" s="1"/>
  <c r="F129" i="66"/>
  <c r="E129" i="66"/>
  <c r="D129" i="66"/>
  <c r="H128" i="66"/>
  <c r="G128" i="66"/>
  <c r="F128" i="66"/>
  <c r="E128" i="66"/>
  <c r="D128" i="66"/>
  <c r="H127" i="66"/>
  <c r="G127" i="66"/>
  <c r="F127" i="66"/>
  <c r="E127" i="66"/>
  <c r="D127" i="66"/>
  <c r="H126" i="66"/>
  <c r="G126" i="66"/>
  <c r="F126" i="66"/>
  <c r="E126" i="66"/>
  <c r="D126" i="66"/>
  <c r="H125" i="66"/>
  <c r="G125" i="66"/>
  <c r="AG25" i="66" s="1"/>
  <c r="F125" i="66"/>
  <c r="E125" i="66"/>
  <c r="D125" i="66"/>
  <c r="H124" i="66"/>
  <c r="G124" i="66"/>
  <c r="F124" i="66"/>
  <c r="E124" i="66"/>
  <c r="D124" i="66"/>
  <c r="H123" i="66"/>
  <c r="G123" i="66"/>
  <c r="F123" i="66"/>
  <c r="E123" i="66"/>
  <c r="D123" i="66"/>
  <c r="C122" i="66"/>
  <c r="H109" i="66"/>
  <c r="G109" i="66"/>
  <c r="AE31" i="66" s="1"/>
  <c r="F109" i="66"/>
  <c r="E109" i="66"/>
  <c r="D109" i="66"/>
  <c r="H108" i="66"/>
  <c r="G108" i="66"/>
  <c r="AE30" i="66" s="1"/>
  <c r="F108" i="66"/>
  <c r="E108" i="66"/>
  <c r="D108" i="66"/>
  <c r="H107" i="66"/>
  <c r="G107" i="66"/>
  <c r="AE29" i="66" s="1"/>
  <c r="F107" i="66"/>
  <c r="E107" i="66"/>
  <c r="D107" i="66"/>
  <c r="H106" i="66"/>
  <c r="G106" i="66"/>
  <c r="AE28" i="66" s="1"/>
  <c r="F106" i="66"/>
  <c r="E106" i="66"/>
  <c r="D106" i="66"/>
  <c r="H105" i="66"/>
  <c r="G105" i="66"/>
  <c r="AE27" i="66" s="1"/>
  <c r="F105" i="66"/>
  <c r="E105" i="66"/>
  <c r="D105" i="66"/>
  <c r="H104" i="66"/>
  <c r="G104" i="66"/>
  <c r="AE26" i="66" s="1"/>
  <c r="F104" i="66"/>
  <c r="E104" i="66"/>
  <c r="D104" i="66"/>
  <c r="H103" i="66"/>
  <c r="G103" i="66"/>
  <c r="AE25" i="66" s="1"/>
  <c r="F103" i="66"/>
  <c r="E103" i="66"/>
  <c r="D103" i="66"/>
  <c r="H102" i="66"/>
  <c r="G102" i="66"/>
  <c r="AE24" i="66" s="1"/>
  <c r="F102" i="66"/>
  <c r="E102" i="66"/>
  <c r="D102" i="66"/>
  <c r="H101" i="66"/>
  <c r="G101" i="66"/>
  <c r="AE23" i="66" s="1"/>
  <c r="F101" i="66"/>
  <c r="E101" i="66"/>
  <c r="D101" i="66"/>
  <c r="C100" i="66"/>
  <c r="H98" i="66"/>
  <c r="G98" i="66"/>
  <c r="F98" i="66"/>
  <c r="E98" i="66"/>
  <c r="D98" i="66"/>
  <c r="H97" i="66"/>
  <c r="G97" i="66"/>
  <c r="AD30" i="66" s="1"/>
  <c r="F97" i="66"/>
  <c r="E97" i="66"/>
  <c r="D97" i="66"/>
  <c r="H96" i="66"/>
  <c r="G96" i="66"/>
  <c r="F96" i="66"/>
  <c r="E96" i="66"/>
  <c r="D96" i="66"/>
  <c r="H95" i="66"/>
  <c r="G95" i="66"/>
  <c r="F95" i="66"/>
  <c r="E95" i="66"/>
  <c r="D95" i="66"/>
  <c r="H94" i="66"/>
  <c r="G94" i="66"/>
  <c r="F94" i="66"/>
  <c r="E94" i="66"/>
  <c r="D94" i="66"/>
  <c r="H93" i="66"/>
  <c r="G93" i="66"/>
  <c r="AD26" i="66" s="1"/>
  <c r="F93" i="66"/>
  <c r="E93" i="66"/>
  <c r="D93" i="66"/>
  <c r="H92" i="66"/>
  <c r="G92" i="66"/>
  <c r="F92" i="66"/>
  <c r="E92" i="66"/>
  <c r="D92" i="66"/>
  <c r="H91" i="66"/>
  <c r="G91" i="66"/>
  <c r="F91" i="66"/>
  <c r="E91" i="66"/>
  <c r="D91" i="66"/>
  <c r="H90" i="66"/>
  <c r="G90" i="66"/>
  <c r="F90" i="66"/>
  <c r="E90" i="66"/>
  <c r="D90" i="66"/>
  <c r="C89" i="66"/>
  <c r="H87" i="66"/>
  <c r="G87" i="66"/>
  <c r="F87" i="66"/>
  <c r="E87" i="66"/>
  <c r="D87" i="66"/>
  <c r="H86" i="66"/>
  <c r="G86" i="66"/>
  <c r="F86" i="66"/>
  <c r="E86" i="66"/>
  <c r="D86" i="66"/>
  <c r="H85" i="66"/>
  <c r="G85" i="66"/>
  <c r="F85" i="66"/>
  <c r="E85" i="66"/>
  <c r="D85" i="66"/>
  <c r="H84" i="66"/>
  <c r="G84" i="66"/>
  <c r="F84" i="66"/>
  <c r="E84" i="66"/>
  <c r="D84" i="66"/>
  <c r="H83" i="66"/>
  <c r="G83" i="66"/>
  <c r="F83" i="66"/>
  <c r="E83" i="66"/>
  <c r="D83" i="66"/>
  <c r="H82" i="66"/>
  <c r="G82" i="66"/>
  <c r="F82" i="66"/>
  <c r="E82" i="66"/>
  <c r="D82" i="66"/>
  <c r="H81" i="66"/>
  <c r="G81" i="66"/>
  <c r="F81" i="66"/>
  <c r="E81" i="66"/>
  <c r="D81" i="66"/>
  <c r="H80" i="66"/>
  <c r="G80" i="66"/>
  <c r="F80" i="66"/>
  <c r="E80" i="66"/>
  <c r="D80" i="66"/>
  <c r="H79" i="66"/>
  <c r="G79" i="66"/>
  <c r="F79" i="66"/>
  <c r="E79" i="66"/>
  <c r="D79" i="66"/>
  <c r="C78" i="66"/>
  <c r="H76" i="66"/>
  <c r="G76" i="66"/>
  <c r="AB31" i="66" s="1"/>
  <c r="F76" i="66"/>
  <c r="E76" i="66"/>
  <c r="D76" i="66"/>
  <c r="H75" i="66"/>
  <c r="G75" i="66"/>
  <c r="F75" i="66"/>
  <c r="E75" i="66"/>
  <c r="D75" i="66"/>
  <c r="H74" i="66"/>
  <c r="G74" i="66"/>
  <c r="AB29" i="66" s="1"/>
  <c r="F74" i="66"/>
  <c r="E74" i="66"/>
  <c r="D74" i="66"/>
  <c r="C74" i="66"/>
  <c r="C85" i="66" s="1"/>
  <c r="C96" i="66" s="1"/>
  <c r="C107" i="66" s="1"/>
  <c r="C129" i="66" s="1"/>
  <c r="C140" i="66" s="1"/>
  <c r="C151" i="66" s="1"/>
  <c r="C162" i="66" s="1"/>
  <c r="H73" i="66"/>
  <c r="G73" i="66"/>
  <c r="AB28" i="66" s="1"/>
  <c r="F73" i="66"/>
  <c r="E73" i="66"/>
  <c r="D73" i="66"/>
  <c r="H72" i="66"/>
  <c r="G72" i="66"/>
  <c r="AB27" i="66" s="1"/>
  <c r="F72" i="66"/>
  <c r="E72" i="66"/>
  <c r="D72" i="66"/>
  <c r="H71" i="66"/>
  <c r="G71" i="66"/>
  <c r="AB26" i="66" s="1"/>
  <c r="F71" i="66"/>
  <c r="E71" i="66"/>
  <c r="D71" i="66"/>
  <c r="H70" i="66"/>
  <c r="G70" i="66"/>
  <c r="AB25" i="66" s="1"/>
  <c r="F70" i="66"/>
  <c r="E70" i="66"/>
  <c r="D70" i="66"/>
  <c r="C70" i="66"/>
  <c r="C81" i="66" s="1"/>
  <c r="C92" i="66" s="1"/>
  <c r="C103" i="66" s="1"/>
  <c r="C125" i="66" s="1"/>
  <c r="C136" i="66" s="1"/>
  <c r="C147" i="66" s="1"/>
  <c r="C158" i="66" s="1"/>
  <c r="H69" i="66"/>
  <c r="G69" i="66"/>
  <c r="AB24" i="66" s="1"/>
  <c r="F69" i="66"/>
  <c r="E69" i="66"/>
  <c r="D69" i="66"/>
  <c r="H68" i="66"/>
  <c r="G68" i="66"/>
  <c r="AB23" i="66" s="1"/>
  <c r="F68" i="66"/>
  <c r="E68" i="66"/>
  <c r="D68" i="66"/>
  <c r="C67" i="66"/>
  <c r="H65" i="66"/>
  <c r="G65" i="66"/>
  <c r="AA31" i="66" s="1"/>
  <c r="F65" i="66"/>
  <c r="E65" i="66"/>
  <c r="D65" i="66"/>
  <c r="C65" i="66"/>
  <c r="C76" i="66" s="1"/>
  <c r="C87" i="66" s="1"/>
  <c r="C98" i="66" s="1"/>
  <c r="C109" i="66" s="1"/>
  <c r="C131" i="66" s="1"/>
  <c r="C142" i="66" s="1"/>
  <c r="C153" i="66" s="1"/>
  <c r="C164" i="66" s="1"/>
  <c r="H64" i="66"/>
  <c r="G64" i="66"/>
  <c r="F64" i="66"/>
  <c r="E64" i="66"/>
  <c r="D64" i="66"/>
  <c r="C64" i="66"/>
  <c r="C75" i="66" s="1"/>
  <c r="C86" i="66" s="1"/>
  <c r="C97" i="66" s="1"/>
  <c r="C108" i="66" s="1"/>
  <c r="H63" i="66"/>
  <c r="G63" i="66"/>
  <c r="AA29" i="66" s="1"/>
  <c r="F63" i="66"/>
  <c r="E63" i="66"/>
  <c r="D63" i="66"/>
  <c r="C63" i="66"/>
  <c r="H62" i="66"/>
  <c r="G62" i="66"/>
  <c r="F62" i="66"/>
  <c r="E62" i="66"/>
  <c r="D62" i="66"/>
  <c r="C62" i="66"/>
  <c r="C73" i="66" s="1"/>
  <c r="C84" i="66" s="1"/>
  <c r="C95" i="66" s="1"/>
  <c r="C106" i="66" s="1"/>
  <c r="H61" i="66"/>
  <c r="G61" i="66"/>
  <c r="AA27" i="66" s="1"/>
  <c r="F61" i="66"/>
  <c r="E61" i="66"/>
  <c r="D61" i="66"/>
  <c r="C61" i="66"/>
  <c r="C72" i="66" s="1"/>
  <c r="C83" i="66" s="1"/>
  <c r="C94" i="66" s="1"/>
  <c r="C105" i="66" s="1"/>
  <c r="C127" i="66" s="1"/>
  <c r="C138" i="66" s="1"/>
  <c r="C149" i="66" s="1"/>
  <c r="C160" i="66" s="1"/>
  <c r="H60" i="66"/>
  <c r="G60" i="66"/>
  <c r="F60" i="66"/>
  <c r="E60" i="66"/>
  <c r="D60" i="66"/>
  <c r="C60" i="66"/>
  <c r="C71" i="66" s="1"/>
  <c r="C82" i="66" s="1"/>
  <c r="C93" i="66" s="1"/>
  <c r="C104" i="66" s="1"/>
  <c r="H59" i="66"/>
  <c r="G59" i="66"/>
  <c r="AA25" i="66" s="1"/>
  <c r="F59" i="66"/>
  <c r="E59" i="66"/>
  <c r="D59" i="66"/>
  <c r="C59" i="66"/>
  <c r="H58" i="66"/>
  <c r="G58" i="66"/>
  <c r="F58" i="66"/>
  <c r="E58" i="66"/>
  <c r="D58" i="66"/>
  <c r="C58" i="66"/>
  <c r="C69" i="66" s="1"/>
  <c r="C80" i="66" s="1"/>
  <c r="C91" i="66" s="1"/>
  <c r="C102" i="66" s="1"/>
  <c r="H57" i="66"/>
  <c r="G57" i="66"/>
  <c r="AA23" i="66" s="1"/>
  <c r="F57" i="66"/>
  <c r="E57" i="66"/>
  <c r="D57" i="66"/>
  <c r="C57" i="66"/>
  <c r="C68" i="66" s="1"/>
  <c r="C79" i="66" s="1"/>
  <c r="C90" i="66" s="1"/>
  <c r="C101" i="66" s="1"/>
  <c r="C123" i="66" s="1"/>
  <c r="C134" i="66" s="1"/>
  <c r="C145" i="66" s="1"/>
  <c r="C156" i="66" s="1"/>
  <c r="C56" i="66"/>
  <c r="H54" i="66"/>
  <c r="G54" i="66"/>
  <c r="F54" i="66"/>
  <c r="E54" i="66"/>
  <c r="D54" i="66"/>
  <c r="C54" i="66"/>
  <c r="H53" i="66"/>
  <c r="G53" i="66"/>
  <c r="F53" i="66"/>
  <c r="E53" i="66"/>
  <c r="D53" i="66"/>
  <c r="C53" i="66"/>
  <c r="H52" i="66"/>
  <c r="G52" i="66"/>
  <c r="F52" i="66"/>
  <c r="E52" i="66"/>
  <c r="D52" i="66"/>
  <c r="C52" i="66"/>
  <c r="H51" i="66"/>
  <c r="G51" i="66"/>
  <c r="F51" i="66"/>
  <c r="E51" i="66"/>
  <c r="D51" i="66"/>
  <c r="C51" i="66"/>
  <c r="H50" i="66"/>
  <c r="G50" i="66"/>
  <c r="F50" i="66"/>
  <c r="E50" i="66"/>
  <c r="D50" i="66"/>
  <c r="C50" i="66"/>
  <c r="H49" i="66"/>
  <c r="G49" i="66"/>
  <c r="F49" i="66"/>
  <c r="E49" i="66"/>
  <c r="D49" i="66"/>
  <c r="C49" i="66"/>
  <c r="H48" i="66"/>
  <c r="G48" i="66"/>
  <c r="F48" i="66"/>
  <c r="E48" i="66"/>
  <c r="D48" i="66"/>
  <c r="C48" i="66"/>
  <c r="H47" i="66"/>
  <c r="G47" i="66"/>
  <c r="F47" i="66"/>
  <c r="E47" i="66"/>
  <c r="D47" i="66"/>
  <c r="C47" i="66"/>
  <c r="H46" i="66"/>
  <c r="G46" i="66"/>
  <c r="F46" i="66"/>
  <c r="E46" i="66"/>
  <c r="D46" i="66"/>
  <c r="C46" i="66"/>
  <c r="C45" i="66"/>
  <c r="H43" i="66"/>
  <c r="Y31" i="66" s="1"/>
  <c r="G43" i="66"/>
  <c r="F43" i="66"/>
  <c r="E43" i="66"/>
  <c r="D43" i="66"/>
  <c r="C43" i="66"/>
  <c r="H42" i="66"/>
  <c r="G42" i="66"/>
  <c r="F42" i="66"/>
  <c r="E42" i="66"/>
  <c r="D42" i="66"/>
  <c r="Y30" i="66" s="1"/>
  <c r="C42" i="66"/>
  <c r="H41" i="66"/>
  <c r="G41" i="66"/>
  <c r="F41" i="66"/>
  <c r="E41" i="66"/>
  <c r="D41" i="66"/>
  <c r="Y29" i="66" s="1"/>
  <c r="C41" i="66"/>
  <c r="H40" i="66"/>
  <c r="G40" i="66"/>
  <c r="F40" i="66"/>
  <c r="E40" i="66"/>
  <c r="D40" i="66"/>
  <c r="Y28" i="66" s="1"/>
  <c r="C40" i="66"/>
  <c r="H39" i="66"/>
  <c r="G39" i="66"/>
  <c r="F39" i="66"/>
  <c r="E39" i="66"/>
  <c r="D39" i="66"/>
  <c r="C39" i="66"/>
  <c r="H38" i="66"/>
  <c r="G38" i="66"/>
  <c r="F38" i="66"/>
  <c r="E38" i="66"/>
  <c r="D38" i="66"/>
  <c r="Y26" i="66" s="1"/>
  <c r="C38" i="66"/>
  <c r="H37" i="66"/>
  <c r="G37" i="66"/>
  <c r="F37" i="66"/>
  <c r="E37" i="66"/>
  <c r="D37" i="66"/>
  <c r="Y25" i="66" s="1"/>
  <c r="C37" i="66"/>
  <c r="H36" i="66"/>
  <c r="G36" i="66"/>
  <c r="F36" i="66"/>
  <c r="E36" i="66"/>
  <c r="D36" i="66"/>
  <c r="Y24" i="66" s="1"/>
  <c r="C36" i="66"/>
  <c r="H35" i="66"/>
  <c r="G35" i="66"/>
  <c r="F35" i="66"/>
  <c r="E35" i="66"/>
  <c r="D35" i="66"/>
  <c r="C35" i="66"/>
  <c r="C34" i="66"/>
  <c r="H32" i="66"/>
  <c r="G32" i="66"/>
  <c r="F32" i="66"/>
  <c r="E32" i="66"/>
  <c r="D32" i="66"/>
  <c r="C32" i="66"/>
  <c r="H31" i="66"/>
  <c r="G31" i="66"/>
  <c r="F31" i="66"/>
  <c r="E31" i="66"/>
  <c r="D31" i="66"/>
  <c r="C31" i="66"/>
  <c r="H30" i="66"/>
  <c r="G30" i="66"/>
  <c r="F30" i="66"/>
  <c r="E30" i="66"/>
  <c r="D30" i="66"/>
  <c r="C30" i="66"/>
  <c r="H29" i="66"/>
  <c r="G29" i="66"/>
  <c r="F29" i="66"/>
  <c r="E29" i="66"/>
  <c r="D29" i="66"/>
  <c r="C29" i="66"/>
  <c r="H28" i="66"/>
  <c r="G28" i="66"/>
  <c r="F28" i="66"/>
  <c r="E28" i="66"/>
  <c r="D28" i="66"/>
  <c r="C28" i="66"/>
  <c r="H27" i="66"/>
  <c r="G27" i="66"/>
  <c r="F27" i="66"/>
  <c r="E27" i="66"/>
  <c r="D27" i="66"/>
  <c r="C27" i="66"/>
  <c r="H26" i="66"/>
  <c r="G26" i="66"/>
  <c r="F26" i="66"/>
  <c r="E26" i="66"/>
  <c r="D26" i="66"/>
  <c r="C26" i="66"/>
  <c r="H25" i="66"/>
  <c r="G25" i="66"/>
  <c r="F25" i="66"/>
  <c r="E25" i="66"/>
  <c r="D25" i="66"/>
  <c r="C25" i="66"/>
  <c r="H24" i="66"/>
  <c r="G24" i="66"/>
  <c r="F24" i="66"/>
  <c r="E24" i="66"/>
  <c r="D24" i="66"/>
  <c r="C24" i="66"/>
  <c r="H23" i="66"/>
  <c r="H34" i="66" s="1"/>
  <c r="H45" i="66" s="1"/>
  <c r="H56" i="66" s="1"/>
  <c r="H67" i="66" s="1"/>
  <c r="H78" i="66" s="1"/>
  <c r="H89" i="66" s="1"/>
  <c r="C23" i="66"/>
  <c r="H21" i="66"/>
  <c r="G21" i="66"/>
  <c r="F21" i="66"/>
  <c r="E21" i="66"/>
  <c r="D21" i="66"/>
  <c r="C21" i="66"/>
  <c r="H20" i="66"/>
  <c r="G20" i="66"/>
  <c r="F20" i="66"/>
  <c r="E20" i="66"/>
  <c r="D20" i="66"/>
  <c r="C20" i="66"/>
  <c r="H19" i="66"/>
  <c r="G19" i="66"/>
  <c r="F19" i="66"/>
  <c r="E19" i="66"/>
  <c r="D19" i="66"/>
  <c r="C19" i="66"/>
  <c r="H18" i="66"/>
  <c r="G18" i="66"/>
  <c r="F18" i="66"/>
  <c r="E18" i="66"/>
  <c r="D18" i="66"/>
  <c r="C18" i="66"/>
  <c r="H17" i="66"/>
  <c r="G17" i="66"/>
  <c r="F17" i="66"/>
  <c r="E17" i="66"/>
  <c r="D17" i="66"/>
  <c r="C17" i="66"/>
  <c r="H16" i="66"/>
  <c r="G16" i="66"/>
  <c r="F16" i="66"/>
  <c r="E16" i="66"/>
  <c r="D16" i="66"/>
  <c r="C16" i="66"/>
  <c r="H15" i="66"/>
  <c r="G15" i="66"/>
  <c r="F15" i="66"/>
  <c r="E15" i="66"/>
  <c r="D15" i="66"/>
  <c r="C15" i="66"/>
  <c r="H14" i="66"/>
  <c r="G14" i="66"/>
  <c r="F14" i="66"/>
  <c r="E14" i="66"/>
  <c r="D14" i="66"/>
  <c r="C14" i="66"/>
  <c r="H13" i="66"/>
  <c r="G13" i="66"/>
  <c r="F13" i="66"/>
  <c r="E13" i="66"/>
  <c r="D13" i="66"/>
  <c r="C13" i="66"/>
  <c r="H12" i="66"/>
  <c r="G12" i="66"/>
  <c r="G23" i="66" s="1"/>
  <c r="G34" i="66" s="1"/>
  <c r="G45" i="66" s="1"/>
  <c r="G56" i="66" s="1"/>
  <c r="G67" i="66" s="1"/>
  <c r="G78" i="66" s="1"/>
  <c r="G89" i="66" s="1"/>
  <c r="G100" i="66" s="1"/>
  <c r="F12" i="66"/>
  <c r="F23" i="66" s="1"/>
  <c r="F34" i="66" s="1"/>
  <c r="F45" i="66" s="1"/>
  <c r="F56" i="66" s="1"/>
  <c r="F67" i="66" s="1"/>
  <c r="F78" i="66" s="1"/>
  <c r="F89" i="66" s="1"/>
  <c r="F100" i="66" s="1"/>
  <c r="F122" i="66" s="1"/>
  <c r="F133" i="66" s="1"/>
  <c r="F144" i="66" s="1"/>
  <c r="F155" i="66" s="1"/>
  <c r="F166" i="66" s="1"/>
  <c r="E12" i="66"/>
  <c r="E23" i="66" s="1"/>
  <c r="E34" i="66" s="1"/>
  <c r="E45" i="66" s="1"/>
  <c r="E56" i="66" s="1"/>
  <c r="E67" i="66" s="1"/>
  <c r="E78" i="66" s="1"/>
  <c r="E89" i="66" s="1"/>
  <c r="E100" i="66" s="1"/>
  <c r="D12" i="66"/>
  <c r="D23" i="66" s="1"/>
  <c r="D34" i="66" s="1"/>
  <c r="D45" i="66" s="1"/>
  <c r="D56" i="66" s="1"/>
  <c r="D67" i="66" s="1"/>
  <c r="D78" i="66" s="1"/>
  <c r="D89" i="66" s="1"/>
  <c r="C12" i="66"/>
  <c r="H10" i="66"/>
  <c r="G10" i="66"/>
  <c r="F10" i="66"/>
  <c r="E10" i="66"/>
  <c r="D10" i="66"/>
  <c r="H9" i="66"/>
  <c r="G9" i="66"/>
  <c r="F9" i="66"/>
  <c r="E9" i="66"/>
  <c r="D9" i="66"/>
  <c r="H8" i="66"/>
  <c r="G8" i="66"/>
  <c r="F8" i="66"/>
  <c r="E8" i="66"/>
  <c r="D8" i="66"/>
  <c r="H7" i="66"/>
  <c r="G7" i="66"/>
  <c r="F7" i="66"/>
  <c r="E7" i="66"/>
  <c r="D7" i="66"/>
  <c r="H6" i="66"/>
  <c r="G6" i="66"/>
  <c r="F6" i="66"/>
  <c r="E6" i="66"/>
  <c r="D6" i="66"/>
  <c r="H5" i="66"/>
  <c r="G5" i="66"/>
  <c r="F5" i="66"/>
  <c r="E5" i="66"/>
  <c r="D5" i="66"/>
  <c r="H4" i="66"/>
  <c r="G4" i="66"/>
  <c r="F4" i="66"/>
  <c r="E4" i="66"/>
  <c r="D4" i="66"/>
  <c r="H3" i="66"/>
  <c r="G3" i="66"/>
  <c r="F3" i="66"/>
  <c r="E3" i="66"/>
  <c r="D3" i="66"/>
  <c r="H2" i="66"/>
  <c r="G2" i="66"/>
  <c r="F2" i="66"/>
  <c r="E2" i="66"/>
  <c r="D2" i="66"/>
  <c r="C1" i="66"/>
  <c r="H164" i="65"/>
  <c r="G164" i="65"/>
  <c r="F164" i="65"/>
  <c r="E164" i="65"/>
  <c r="D164" i="65"/>
  <c r="H163" i="65"/>
  <c r="G163" i="65"/>
  <c r="F163" i="65"/>
  <c r="E163" i="65"/>
  <c r="D163" i="65"/>
  <c r="H162" i="65"/>
  <c r="G162" i="65"/>
  <c r="F162" i="65"/>
  <c r="E162" i="65"/>
  <c r="D162" i="65"/>
  <c r="H161" i="65"/>
  <c r="G161" i="65"/>
  <c r="F161" i="65"/>
  <c r="E161" i="65"/>
  <c r="D161" i="65"/>
  <c r="H160" i="65"/>
  <c r="G160" i="65"/>
  <c r="F160" i="65"/>
  <c r="E160" i="65"/>
  <c r="D160" i="65"/>
  <c r="H159" i="65"/>
  <c r="G159" i="65"/>
  <c r="F159" i="65"/>
  <c r="E159" i="65"/>
  <c r="D159" i="65"/>
  <c r="H158" i="65"/>
  <c r="G158" i="65"/>
  <c r="F158" i="65"/>
  <c r="E158" i="65"/>
  <c r="D158" i="65"/>
  <c r="H157" i="65"/>
  <c r="G157" i="65"/>
  <c r="F157" i="65"/>
  <c r="E157" i="65"/>
  <c r="D157" i="65"/>
  <c r="H156" i="65"/>
  <c r="G156" i="65"/>
  <c r="F156" i="65"/>
  <c r="E156" i="65"/>
  <c r="D156" i="65"/>
  <c r="C155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C144" i="65"/>
  <c r="H142" i="65"/>
  <c r="G142" i="65"/>
  <c r="F142" i="65"/>
  <c r="E142" i="65"/>
  <c r="D142" i="65"/>
  <c r="H141" i="65"/>
  <c r="G141" i="65"/>
  <c r="F141" i="65"/>
  <c r="E141" i="65"/>
  <c r="D141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C133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AG28" i="65" s="1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4" i="65"/>
  <c r="G124" i="65"/>
  <c r="AG24" i="65" s="1"/>
  <c r="F124" i="65"/>
  <c r="E124" i="65"/>
  <c r="D124" i="65"/>
  <c r="H123" i="65"/>
  <c r="G123" i="65"/>
  <c r="F123" i="65"/>
  <c r="E123" i="65"/>
  <c r="D123" i="65"/>
  <c r="C122" i="65"/>
  <c r="H109" i="65"/>
  <c r="G109" i="65"/>
  <c r="F109" i="65"/>
  <c r="E109" i="65"/>
  <c r="D109" i="65"/>
  <c r="H108" i="65"/>
  <c r="G108" i="65"/>
  <c r="F108" i="65"/>
  <c r="E108" i="65"/>
  <c r="D108" i="65"/>
  <c r="H107" i="65"/>
  <c r="G107" i="65"/>
  <c r="F107" i="65"/>
  <c r="E107" i="65"/>
  <c r="D107" i="65"/>
  <c r="H106" i="65"/>
  <c r="G106" i="65"/>
  <c r="F106" i="65"/>
  <c r="E106" i="65"/>
  <c r="D106" i="65"/>
  <c r="H105" i="65"/>
  <c r="G105" i="65"/>
  <c r="F105" i="65"/>
  <c r="E105" i="65"/>
  <c r="D105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C100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C89" i="65"/>
  <c r="H87" i="65"/>
  <c r="G87" i="65"/>
  <c r="F87" i="65"/>
  <c r="E87" i="65"/>
  <c r="D87" i="65"/>
  <c r="H86" i="65"/>
  <c r="G86" i="65"/>
  <c r="AC30" i="65" s="1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AC26" i="65" s="1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C78" i="65"/>
  <c r="H76" i="65"/>
  <c r="G76" i="65"/>
  <c r="AB31" i="65" s="1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AB27" i="65" s="1"/>
  <c r="F72" i="65"/>
  <c r="E72" i="65"/>
  <c r="D72" i="65"/>
  <c r="H71" i="65"/>
  <c r="G71" i="65"/>
  <c r="F71" i="65"/>
  <c r="E71" i="65"/>
  <c r="D71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AB23" i="65" s="1"/>
  <c r="F68" i="65"/>
  <c r="E68" i="65"/>
  <c r="D68" i="65"/>
  <c r="C67" i="65"/>
  <c r="H65" i="65"/>
  <c r="G65" i="65"/>
  <c r="F65" i="65"/>
  <c r="E65" i="65"/>
  <c r="D65" i="65"/>
  <c r="C65" i="65"/>
  <c r="C76" i="65" s="1"/>
  <c r="C87" i="65" s="1"/>
  <c r="C98" i="65" s="1"/>
  <c r="C109" i="65" s="1"/>
  <c r="C131" i="65" s="1"/>
  <c r="C142" i="65" s="1"/>
  <c r="C153" i="65" s="1"/>
  <c r="C164" i="65" s="1"/>
  <c r="H64" i="65"/>
  <c r="G64" i="65"/>
  <c r="F64" i="65"/>
  <c r="E64" i="65"/>
  <c r="D64" i="65"/>
  <c r="C64" i="65"/>
  <c r="C75" i="65" s="1"/>
  <c r="C86" i="65" s="1"/>
  <c r="C97" i="65" s="1"/>
  <c r="C108" i="65" s="1"/>
  <c r="H63" i="65"/>
  <c r="G63" i="65"/>
  <c r="F63" i="65"/>
  <c r="E63" i="65"/>
  <c r="D63" i="65"/>
  <c r="C63" i="65"/>
  <c r="C74" i="65" s="1"/>
  <c r="C85" i="65" s="1"/>
  <c r="C96" i="65" s="1"/>
  <c r="C107" i="65" s="1"/>
  <c r="C129" i="65" s="1"/>
  <c r="C140" i="65" s="1"/>
  <c r="C151" i="65" s="1"/>
  <c r="C162" i="65" s="1"/>
  <c r="H62" i="65"/>
  <c r="G62" i="65"/>
  <c r="F62" i="65"/>
  <c r="E62" i="65"/>
  <c r="D62" i="65"/>
  <c r="C62" i="65"/>
  <c r="C73" i="65" s="1"/>
  <c r="C84" i="65" s="1"/>
  <c r="C95" i="65" s="1"/>
  <c r="C106" i="65" s="1"/>
  <c r="H61" i="65"/>
  <c r="G61" i="65"/>
  <c r="F61" i="65"/>
  <c r="E61" i="65"/>
  <c r="D61" i="65"/>
  <c r="C61" i="65"/>
  <c r="C72" i="65" s="1"/>
  <c r="C83" i="65" s="1"/>
  <c r="C94" i="65" s="1"/>
  <c r="C105" i="65" s="1"/>
  <c r="C127" i="65" s="1"/>
  <c r="C138" i="65" s="1"/>
  <c r="C149" i="65" s="1"/>
  <c r="C160" i="65" s="1"/>
  <c r="H60" i="65"/>
  <c r="G60" i="65"/>
  <c r="F60" i="65"/>
  <c r="E60" i="65"/>
  <c r="D60" i="65"/>
  <c r="C60" i="65"/>
  <c r="C71" i="65" s="1"/>
  <c r="C82" i="65" s="1"/>
  <c r="C93" i="65" s="1"/>
  <c r="C104" i="65" s="1"/>
  <c r="H59" i="65"/>
  <c r="G59" i="65"/>
  <c r="F59" i="65"/>
  <c r="E59" i="65"/>
  <c r="D59" i="65"/>
  <c r="C59" i="65"/>
  <c r="C70" i="65" s="1"/>
  <c r="C81" i="65" s="1"/>
  <c r="C92" i="65" s="1"/>
  <c r="C103" i="65" s="1"/>
  <c r="C125" i="65" s="1"/>
  <c r="C136" i="65" s="1"/>
  <c r="C147" i="65" s="1"/>
  <c r="C158" i="65" s="1"/>
  <c r="H58" i="65"/>
  <c r="G58" i="65"/>
  <c r="F58" i="65"/>
  <c r="E58" i="65"/>
  <c r="D58" i="65"/>
  <c r="C58" i="65"/>
  <c r="C69" i="65" s="1"/>
  <c r="C80" i="65" s="1"/>
  <c r="C91" i="65" s="1"/>
  <c r="C102" i="65" s="1"/>
  <c r="H57" i="65"/>
  <c r="G57" i="65"/>
  <c r="F57" i="65"/>
  <c r="E57" i="65"/>
  <c r="D57" i="65"/>
  <c r="C57" i="65"/>
  <c r="C68" i="65" s="1"/>
  <c r="C79" i="65" s="1"/>
  <c r="C90" i="65" s="1"/>
  <c r="C101" i="65" s="1"/>
  <c r="C123" i="65" s="1"/>
  <c r="C134" i="65" s="1"/>
  <c r="C145" i="65" s="1"/>
  <c r="C156" i="65" s="1"/>
  <c r="C56" i="65"/>
  <c r="H54" i="65"/>
  <c r="G54" i="65"/>
  <c r="F54" i="65"/>
  <c r="E54" i="65"/>
  <c r="D54" i="65"/>
  <c r="C54" i="65"/>
  <c r="H53" i="65"/>
  <c r="G53" i="65"/>
  <c r="F53" i="65"/>
  <c r="E53" i="65"/>
  <c r="D53" i="65"/>
  <c r="C53" i="65"/>
  <c r="H52" i="65"/>
  <c r="G52" i="65"/>
  <c r="F52" i="65"/>
  <c r="E52" i="65"/>
  <c r="D52" i="65"/>
  <c r="C52" i="65"/>
  <c r="H51" i="65"/>
  <c r="G51" i="65"/>
  <c r="F51" i="65"/>
  <c r="E51" i="65"/>
  <c r="D51" i="65"/>
  <c r="C51" i="65"/>
  <c r="H50" i="65"/>
  <c r="G50" i="65"/>
  <c r="F50" i="65"/>
  <c r="E50" i="65"/>
  <c r="D50" i="65"/>
  <c r="C50" i="65"/>
  <c r="H49" i="65"/>
  <c r="G49" i="65"/>
  <c r="F49" i="65"/>
  <c r="E49" i="65"/>
  <c r="D49" i="65"/>
  <c r="C49" i="65"/>
  <c r="H48" i="65"/>
  <c r="G48" i="65"/>
  <c r="F48" i="65"/>
  <c r="E48" i="65"/>
  <c r="D48" i="65"/>
  <c r="C48" i="65"/>
  <c r="H47" i="65"/>
  <c r="G47" i="65"/>
  <c r="F47" i="65"/>
  <c r="E47" i="65"/>
  <c r="D47" i="65"/>
  <c r="C47" i="65"/>
  <c r="H46" i="65"/>
  <c r="G46" i="65"/>
  <c r="F46" i="65"/>
  <c r="E46" i="65"/>
  <c r="D46" i="65"/>
  <c r="C46" i="65"/>
  <c r="C45" i="65"/>
  <c r="H43" i="65"/>
  <c r="G43" i="65"/>
  <c r="F43" i="65"/>
  <c r="E43" i="65"/>
  <c r="D43" i="65"/>
  <c r="C43" i="65"/>
  <c r="H42" i="65"/>
  <c r="G42" i="65"/>
  <c r="F42" i="65"/>
  <c r="E42" i="65"/>
  <c r="D42" i="65"/>
  <c r="C42" i="65"/>
  <c r="H41" i="65"/>
  <c r="G41" i="65"/>
  <c r="Y29" i="65" s="1"/>
  <c r="F41" i="65"/>
  <c r="E41" i="65"/>
  <c r="D41" i="65"/>
  <c r="C41" i="65"/>
  <c r="H40" i="65"/>
  <c r="G40" i="65"/>
  <c r="F40" i="65"/>
  <c r="E40" i="65"/>
  <c r="D40" i="65"/>
  <c r="C40" i="65"/>
  <c r="H39" i="65"/>
  <c r="G39" i="65"/>
  <c r="F39" i="65"/>
  <c r="E39" i="65"/>
  <c r="D39" i="65"/>
  <c r="C39" i="65"/>
  <c r="H38" i="65"/>
  <c r="G38" i="65"/>
  <c r="F38" i="65"/>
  <c r="E38" i="65"/>
  <c r="D38" i="65"/>
  <c r="C38" i="65"/>
  <c r="H37" i="65"/>
  <c r="G37" i="65"/>
  <c r="Y25" i="65" s="1"/>
  <c r="F37" i="65"/>
  <c r="E37" i="65"/>
  <c r="D37" i="65"/>
  <c r="C37" i="65"/>
  <c r="H36" i="65"/>
  <c r="G36" i="65"/>
  <c r="F36" i="65"/>
  <c r="E36" i="65"/>
  <c r="D36" i="65"/>
  <c r="C36" i="65"/>
  <c r="H35" i="65"/>
  <c r="G35" i="65"/>
  <c r="F35" i="65"/>
  <c r="E35" i="65"/>
  <c r="D35" i="65"/>
  <c r="C35" i="65"/>
  <c r="C34" i="65"/>
  <c r="H32" i="65"/>
  <c r="G32" i="65"/>
  <c r="F32" i="65"/>
  <c r="E32" i="65"/>
  <c r="D32" i="65"/>
  <c r="C32" i="65"/>
  <c r="H31" i="65"/>
  <c r="G31" i="65"/>
  <c r="F31" i="65"/>
  <c r="E31" i="65"/>
  <c r="D31" i="65"/>
  <c r="C31" i="65"/>
  <c r="H30" i="65"/>
  <c r="G30" i="65"/>
  <c r="F30" i="65"/>
  <c r="E30" i="65"/>
  <c r="D30" i="65"/>
  <c r="C30" i="65"/>
  <c r="H29" i="65"/>
  <c r="G29" i="65"/>
  <c r="F29" i="65"/>
  <c r="E29" i="65"/>
  <c r="D29" i="65"/>
  <c r="C29" i="65"/>
  <c r="H28" i="65"/>
  <c r="G28" i="65"/>
  <c r="F28" i="65"/>
  <c r="E28" i="65"/>
  <c r="D28" i="65"/>
  <c r="C28" i="65"/>
  <c r="H27" i="65"/>
  <c r="G27" i="65"/>
  <c r="F27" i="65"/>
  <c r="E27" i="65"/>
  <c r="D27" i="65"/>
  <c r="C27" i="65"/>
  <c r="H26" i="65"/>
  <c r="G26" i="65"/>
  <c r="F26" i="65"/>
  <c r="E26" i="65"/>
  <c r="D26" i="65"/>
  <c r="C26" i="65"/>
  <c r="H25" i="65"/>
  <c r="G25" i="65"/>
  <c r="F25" i="65"/>
  <c r="E25" i="65"/>
  <c r="D25" i="65"/>
  <c r="C25" i="65"/>
  <c r="H24" i="65"/>
  <c r="G24" i="65"/>
  <c r="F24" i="65"/>
  <c r="E24" i="65"/>
  <c r="D24" i="65"/>
  <c r="C24" i="65"/>
  <c r="H23" i="65"/>
  <c r="H34" i="65" s="1"/>
  <c r="H45" i="65" s="1"/>
  <c r="H56" i="65" s="1"/>
  <c r="H67" i="65" s="1"/>
  <c r="H78" i="65" s="1"/>
  <c r="H89" i="65" s="1"/>
  <c r="H100" i="65" s="1"/>
  <c r="C23" i="65"/>
  <c r="H21" i="65"/>
  <c r="G21" i="65"/>
  <c r="F21" i="65"/>
  <c r="E21" i="65"/>
  <c r="D21" i="65"/>
  <c r="C21" i="65"/>
  <c r="H20" i="65"/>
  <c r="G20" i="65"/>
  <c r="F20" i="65"/>
  <c r="E20" i="65"/>
  <c r="D20" i="65"/>
  <c r="C20" i="65"/>
  <c r="H19" i="65"/>
  <c r="G19" i="65"/>
  <c r="F19" i="65"/>
  <c r="E19" i="65"/>
  <c r="D19" i="65"/>
  <c r="C19" i="65"/>
  <c r="H18" i="65"/>
  <c r="G18" i="65"/>
  <c r="F18" i="65"/>
  <c r="E18" i="65"/>
  <c r="D18" i="65"/>
  <c r="C18" i="65"/>
  <c r="H17" i="65"/>
  <c r="G17" i="65"/>
  <c r="F17" i="65"/>
  <c r="E17" i="65"/>
  <c r="D17" i="65"/>
  <c r="C17" i="65"/>
  <c r="H16" i="65"/>
  <c r="G16" i="65"/>
  <c r="F16" i="65"/>
  <c r="E16" i="65"/>
  <c r="D16" i="65"/>
  <c r="C16" i="65"/>
  <c r="H15" i="65"/>
  <c r="G15" i="65"/>
  <c r="F15" i="65"/>
  <c r="E15" i="65"/>
  <c r="D15" i="65"/>
  <c r="C15" i="65"/>
  <c r="H14" i="65"/>
  <c r="G14" i="65"/>
  <c r="F14" i="65"/>
  <c r="E14" i="65"/>
  <c r="D14" i="65"/>
  <c r="C14" i="65"/>
  <c r="H13" i="65"/>
  <c r="G13" i="65"/>
  <c r="F13" i="65"/>
  <c r="E13" i="65"/>
  <c r="D13" i="65"/>
  <c r="C13" i="65"/>
  <c r="H12" i="65"/>
  <c r="G12" i="65"/>
  <c r="G23" i="65" s="1"/>
  <c r="G34" i="65" s="1"/>
  <c r="G45" i="65" s="1"/>
  <c r="G56" i="65" s="1"/>
  <c r="G67" i="65" s="1"/>
  <c r="G78" i="65" s="1"/>
  <c r="G89" i="65" s="1"/>
  <c r="G100" i="65" s="1"/>
  <c r="F12" i="65"/>
  <c r="F23" i="65" s="1"/>
  <c r="F34" i="65" s="1"/>
  <c r="F45" i="65" s="1"/>
  <c r="F56" i="65" s="1"/>
  <c r="F67" i="65" s="1"/>
  <c r="F78" i="65" s="1"/>
  <c r="F89" i="65" s="1"/>
  <c r="F100" i="65" s="1"/>
  <c r="F122" i="65" s="1"/>
  <c r="F133" i="65" s="1"/>
  <c r="F144" i="65" s="1"/>
  <c r="F155" i="65" s="1"/>
  <c r="F166" i="65" s="1"/>
  <c r="E12" i="65"/>
  <c r="E23" i="65" s="1"/>
  <c r="E34" i="65" s="1"/>
  <c r="E45" i="65" s="1"/>
  <c r="E56" i="65" s="1"/>
  <c r="E67" i="65" s="1"/>
  <c r="E78" i="65" s="1"/>
  <c r="E89" i="65" s="1"/>
  <c r="E100" i="65" s="1"/>
  <c r="E122" i="65" s="1"/>
  <c r="E133" i="65" s="1"/>
  <c r="E144" i="65" s="1"/>
  <c r="E155" i="65" s="1"/>
  <c r="E166" i="65" s="1"/>
  <c r="D12" i="65"/>
  <c r="D23" i="65" s="1"/>
  <c r="D34" i="65" s="1"/>
  <c r="D45" i="65" s="1"/>
  <c r="D56" i="65" s="1"/>
  <c r="D67" i="65" s="1"/>
  <c r="D78" i="65" s="1"/>
  <c r="D89" i="65" s="1"/>
  <c r="D100" i="65" s="1"/>
  <c r="C12" i="65"/>
  <c r="H10" i="65"/>
  <c r="G10" i="65"/>
  <c r="F10" i="65"/>
  <c r="E10" i="65"/>
  <c r="D10" i="65"/>
  <c r="H9" i="65"/>
  <c r="G9" i="65"/>
  <c r="F9" i="65"/>
  <c r="E9" i="65"/>
  <c r="D9" i="65"/>
  <c r="H8" i="65"/>
  <c r="G8" i="65"/>
  <c r="F8" i="65"/>
  <c r="E8" i="65"/>
  <c r="D8" i="65"/>
  <c r="H7" i="65"/>
  <c r="G7" i="65"/>
  <c r="F7" i="65"/>
  <c r="E7" i="65"/>
  <c r="D7" i="65"/>
  <c r="H6" i="65"/>
  <c r="G6" i="65"/>
  <c r="F6" i="65"/>
  <c r="E6" i="65"/>
  <c r="D6" i="65"/>
  <c r="H5" i="65"/>
  <c r="G5" i="65"/>
  <c r="F5" i="65"/>
  <c r="E5" i="65"/>
  <c r="D5" i="65"/>
  <c r="H4" i="65"/>
  <c r="G4" i="65"/>
  <c r="F4" i="65"/>
  <c r="E4" i="65"/>
  <c r="D4" i="65"/>
  <c r="H3" i="65"/>
  <c r="G3" i="65"/>
  <c r="F3" i="65"/>
  <c r="E3" i="65"/>
  <c r="D3" i="65"/>
  <c r="H2" i="65"/>
  <c r="G2" i="65"/>
  <c r="F2" i="65"/>
  <c r="E2" i="65"/>
  <c r="D2" i="65"/>
  <c r="C1" i="65"/>
  <c r="J161" i="63"/>
  <c r="J157" i="63"/>
  <c r="AJ23" i="63"/>
  <c r="C155" i="63"/>
  <c r="J152" i="63"/>
  <c r="AI28" i="63"/>
  <c r="J148" i="63"/>
  <c r="C144" i="63"/>
  <c r="AH30" i="63"/>
  <c r="AH28" i="63"/>
  <c r="AH26" i="63"/>
  <c r="AH24" i="63"/>
  <c r="AH23" i="63"/>
  <c r="C133" i="63"/>
  <c r="AG31" i="63"/>
  <c r="AG30" i="63"/>
  <c r="J130" i="63"/>
  <c r="AG29" i="63"/>
  <c r="AG28" i="63"/>
  <c r="AG27" i="63"/>
  <c r="AG26" i="63"/>
  <c r="J126" i="63"/>
  <c r="AG25" i="63"/>
  <c r="AG24" i="63"/>
  <c r="AG23" i="63"/>
  <c r="C122" i="63"/>
  <c r="AE31" i="63"/>
  <c r="AE30" i="63"/>
  <c r="AE29" i="63"/>
  <c r="AE28" i="63"/>
  <c r="AE27" i="63"/>
  <c r="AE26" i="63"/>
  <c r="AE25" i="63"/>
  <c r="AE24" i="63"/>
  <c r="C100" i="63"/>
  <c r="AD30" i="63"/>
  <c r="AD27" i="63"/>
  <c r="C89" i="63"/>
  <c r="AC31" i="63"/>
  <c r="AC27" i="63"/>
  <c r="C78" i="63"/>
  <c r="AB31" i="63"/>
  <c r="AB28" i="63"/>
  <c r="AB27" i="63"/>
  <c r="C72" i="63"/>
  <c r="C83" i="63" s="1"/>
  <c r="C94" i="63" s="1"/>
  <c r="C105" i="63" s="1"/>
  <c r="C127" i="63" s="1"/>
  <c r="C138" i="63" s="1"/>
  <c r="C149" i="63" s="1"/>
  <c r="C160" i="63" s="1"/>
  <c r="C71" i="63"/>
  <c r="C82" i="63" s="1"/>
  <c r="C93" i="63" s="1"/>
  <c r="C104" i="63" s="1"/>
  <c r="C126" i="63" s="1"/>
  <c r="C137" i="63" s="1"/>
  <c r="C148" i="63" s="1"/>
  <c r="C159" i="63" s="1"/>
  <c r="AB25" i="63"/>
  <c r="C70" i="63"/>
  <c r="C81" i="63" s="1"/>
  <c r="C92" i="63" s="1"/>
  <c r="C103" i="63" s="1"/>
  <c r="C125" i="63" s="1"/>
  <c r="C136" i="63" s="1"/>
  <c r="C147" i="63" s="1"/>
  <c r="C158" i="63" s="1"/>
  <c r="C69" i="63"/>
  <c r="C80" i="63" s="1"/>
  <c r="C91" i="63" s="1"/>
  <c r="C102" i="63" s="1"/>
  <c r="C124" i="63" s="1"/>
  <c r="C135" i="63" s="1"/>
  <c r="C146" i="63" s="1"/>
  <c r="C157" i="63" s="1"/>
  <c r="AB23" i="63"/>
  <c r="C68" i="63"/>
  <c r="C79" i="63" s="1"/>
  <c r="C90" i="63" s="1"/>
  <c r="C101" i="63" s="1"/>
  <c r="C123" i="63" s="1"/>
  <c r="C134" i="63" s="1"/>
  <c r="C145" i="63" s="1"/>
  <c r="C156" i="63" s="1"/>
  <c r="C67" i="63"/>
  <c r="C65" i="63"/>
  <c r="C76" i="63" s="1"/>
  <c r="C87" i="63" s="1"/>
  <c r="C98" i="63" s="1"/>
  <c r="C109" i="63" s="1"/>
  <c r="C131" i="63" s="1"/>
  <c r="C142" i="63" s="1"/>
  <c r="C153" i="63" s="1"/>
  <c r="C164" i="63" s="1"/>
  <c r="C64" i="63"/>
  <c r="C75" i="63" s="1"/>
  <c r="C86" i="63" s="1"/>
  <c r="C97" i="63" s="1"/>
  <c r="C108" i="63" s="1"/>
  <c r="C63" i="63"/>
  <c r="C74" i="63" s="1"/>
  <c r="C85" i="63" s="1"/>
  <c r="C96" i="63" s="1"/>
  <c r="C107" i="63" s="1"/>
  <c r="C129" i="63" s="1"/>
  <c r="C140" i="63" s="1"/>
  <c r="C151" i="63" s="1"/>
  <c r="C162" i="63" s="1"/>
  <c r="C62" i="63"/>
  <c r="C73" i="63" s="1"/>
  <c r="C84" i="63" s="1"/>
  <c r="C95" i="63" s="1"/>
  <c r="C106" i="63" s="1"/>
  <c r="C61" i="63"/>
  <c r="C60" i="63"/>
  <c r="C59" i="63"/>
  <c r="C58" i="63"/>
  <c r="C57" i="63"/>
  <c r="C56" i="63"/>
  <c r="Z31" i="63"/>
  <c r="C54" i="63"/>
  <c r="Z30" i="63"/>
  <c r="C53" i="63"/>
  <c r="Z29" i="63"/>
  <c r="C52" i="63"/>
  <c r="Z28" i="63"/>
  <c r="C51" i="63"/>
  <c r="Z27" i="63"/>
  <c r="C50" i="63"/>
  <c r="Z26" i="63"/>
  <c r="C49" i="63"/>
  <c r="Z25" i="63"/>
  <c r="C48" i="63"/>
  <c r="Z24" i="63"/>
  <c r="C47" i="63"/>
  <c r="Z23" i="63"/>
  <c r="C46" i="63"/>
  <c r="C45" i="63"/>
  <c r="Y31" i="63"/>
  <c r="C43" i="63"/>
  <c r="Y30" i="63"/>
  <c r="C42" i="63"/>
  <c r="J41" i="63"/>
  <c r="Y29" i="63"/>
  <c r="C41" i="63"/>
  <c r="Y28" i="63"/>
  <c r="C40" i="63"/>
  <c r="Y27" i="63"/>
  <c r="C39" i="63"/>
  <c r="Y26" i="63"/>
  <c r="C38" i="63"/>
  <c r="J37" i="63"/>
  <c r="Y25" i="63"/>
  <c r="C37" i="63"/>
  <c r="Y24" i="63"/>
  <c r="C36" i="63"/>
  <c r="Y23" i="63"/>
  <c r="C35" i="63"/>
  <c r="C34" i="63"/>
  <c r="C32" i="63"/>
  <c r="C31" i="63"/>
  <c r="C30" i="63"/>
  <c r="C29" i="63"/>
  <c r="C28" i="63"/>
  <c r="C27" i="63"/>
  <c r="C26" i="63"/>
  <c r="C25" i="63"/>
  <c r="X23" i="63"/>
  <c r="C24" i="63"/>
  <c r="C23" i="63"/>
  <c r="C21" i="63"/>
  <c r="C20" i="63"/>
  <c r="C19" i="63"/>
  <c r="C18" i="63"/>
  <c r="C17" i="63"/>
  <c r="J16" i="63"/>
  <c r="L16" i="63" s="1"/>
  <c r="C16" i="63"/>
  <c r="C15" i="63"/>
  <c r="J14" i="63"/>
  <c r="L14" i="63" s="1"/>
  <c r="C14" i="63"/>
  <c r="C13" i="63"/>
  <c r="F166" i="63"/>
  <c r="E166" i="63"/>
  <c r="C12" i="63"/>
  <c r="C1" i="63"/>
  <c r="L157" i="58"/>
  <c r="L158" i="58"/>
  <c r="L159" i="58"/>
  <c r="L160" i="58"/>
  <c r="L161" i="58"/>
  <c r="L162" i="58"/>
  <c r="L163" i="58"/>
  <c r="L156" i="58"/>
  <c r="L146" i="58"/>
  <c r="L147" i="58"/>
  <c r="L148" i="58"/>
  <c r="L149" i="58"/>
  <c r="L150" i="58"/>
  <c r="L151" i="58"/>
  <c r="L152" i="58"/>
  <c r="L145" i="58"/>
  <c r="L135" i="58"/>
  <c r="L136" i="58"/>
  <c r="L137" i="58"/>
  <c r="L138" i="58"/>
  <c r="L139" i="58"/>
  <c r="L140" i="58"/>
  <c r="L141" i="58"/>
  <c r="L134" i="58"/>
  <c r="L124" i="58"/>
  <c r="L125" i="58"/>
  <c r="L126" i="58"/>
  <c r="L127" i="58"/>
  <c r="L128" i="58"/>
  <c r="L129" i="58"/>
  <c r="L130" i="58"/>
  <c r="L123" i="58"/>
  <c r="L113" i="58"/>
  <c r="L114" i="58"/>
  <c r="L115" i="58"/>
  <c r="L116" i="58"/>
  <c r="L117" i="58"/>
  <c r="L118" i="58"/>
  <c r="L119" i="58"/>
  <c r="L112" i="58"/>
  <c r="L102" i="58"/>
  <c r="L103" i="58"/>
  <c r="L104" i="58"/>
  <c r="L105" i="58"/>
  <c r="L106" i="58"/>
  <c r="L107" i="58"/>
  <c r="L108" i="58"/>
  <c r="L101" i="58"/>
  <c r="L91" i="58"/>
  <c r="L92" i="58"/>
  <c r="L93" i="58"/>
  <c r="L94" i="58"/>
  <c r="L95" i="58"/>
  <c r="L96" i="58"/>
  <c r="L97" i="58"/>
  <c r="L90" i="58"/>
  <c r="L80" i="58"/>
  <c r="L81" i="58"/>
  <c r="L82" i="58"/>
  <c r="L83" i="58"/>
  <c r="L84" i="58"/>
  <c r="L85" i="58"/>
  <c r="L86" i="58"/>
  <c r="L79" i="58"/>
  <c r="L69" i="58"/>
  <c r="L70" i="58"/>
  <c r="L71" i="58"/>
  <c r="L72" i="58"/>
  <c r="L73" i="58"/>
  <c r="L74" i="58"/>
  <c r="L75" i="58"/>
  <c r="L68" i="58"/>
  <c r="L58" i="58"/>
  <c r="L59" i="58"/>
  <c r="L60" i="58"/>
  <c r="L61" i="58"/>
  <c r="L62" i="58"/>
  <c r="L63" i="58"/>
  <c r="L64" i="58"/>
  <c r="L57" i="58"/>
  <c r="L47" i="58"/>
  <c r="L48" i="58"/>
  <c r="L49" i="58"/>
  <c r="L50" i="58"/>
  <c r="L51" i="58"/>
  <c r="L52" i="58"/>
  <c r="L53" i="58"/>
  <c r="L46" i="58"/>
  <c r="L36" i="58"/>
  <c r="L37" i="58"/>
  <c r="L38" i="58"/>
  <c r="L39" i="58"/>
  <c r="L40" i="58"/>
  <c r="L41" i="58"/>
  <c r="L42" i="58"/>
  <c r="L35" i="58"/>
  <c r="L31" i="58"/>
  <c r="L25" i="58"/>
  <c r="L26" i="58"/>
  <c r="L27" i="58"/>
  <c r="L28" i="58"/>
  <c r="L29" i="58"/>
  <c r="L30" i="58"/>
  <c r="L24" i="58"/>
  <c r="L14" i="58"/>
  <c r="L15" i="58"/>
  <c r="L16" i="58"/>
  <c r="L17" i="58"/>
  <c r="L18" i="58"/>
  <c r="L19" i="58"/>
  <c r="L20" i="58"/>
  <c r="J163" i="58"/>
  <c r="J162" i="58"/>
  <c r="J161" i="58"/>
  <c r="J160" i="58"/>
  <c r="J159" i="58"/>
  <c r="J158" i="58"/>
  <c r="J157" i="58"/>
  <c r="J156" i="58"/>
  <c r="J152" i="58"/>
  <c r="J151" i="58"/>
  <c r="J150" i="58"/>
  <c r="J149" i="58"/>
  <c r="J148" i="58"/>
  <c r="J147" i="58"/>
  <c r="J146" i="58"/>
  <c r="J145" i="58"/>
  <c r="J141" i="58"/>
  <c r="J140" i="58"/>
  <c r="J139" i="58"/>
  <c r="J138" i="58"/>
  <c r="J137" i="58"/>
  <c r="J136" i="58"/>
  <c r="J135" i="58"/>
  <c r="J134" i="58"/>
  <c r="J130" i="58"/>
  <c r="J129" i="58"/>
  <c r="J128" i="58"/>
  <c r="J127" i="58"/>
  <c r="J126" i="58"/>
  <c r="J125" i="58"/>
  <c r="J124" i="58"/>
  <c r="J123" i="58"/>
  <c r="J119" i="58"/>
  <c r="J118" i="58"/>
  <c r="J117" i="58"/>
  <c r="J116" i="58"/>
  <c r="J115" i="58"/>
  <c r="J114" i="58"/>
  <c r="J113" i="58"/>
  <c r="J112" i="58"/>
  <c r="J108" i="58"/>
  <c r="J107" i="58"/>
  <c r="J106" i="58"/>
  <c r="J105" i="58"/>
  <c r="J104" i="58"/>
  <c r="J103" i="58"/>
  <c r="J102" i="58"/>
  <c r="J101" i="58"/>
  <c r="J97" i="58"/>
  <c r="J96" i="58"/>
  <c r="J95" i="58"/>
  <c r="J94" i="58"/>
  <c r="J93" i="58"/>
  <c r="J92" i="58"/>
  <c r="J91" i="58"/>
  <c r="J90" i="58"/>
  <c r="J86" i="58"/>
  <c r="J85" i="58"/>
  <c r="J84" i="58"/>
  <c r="J83" i="58"/>
  <c r="J82" i="58"/>
  <c r="J81" i="58"/>
  <c r="J80" i="58"/>
  <c r="J79" i="58"/>
  <c r="J75" i="58"/>
  <c r="J74" i="58"/>
  <c r="J73" i="58"/>
  <c r="J72" i="58"/>
  <c r="J71" i="58"/>
  <c r="J70" i="58"/>
  <c r="J69" i="58"/>
  <c r="J68" i="58"/>
  <c r="J64" i="58"/>
  <c r="J63" i="58"/>
  <c r="J62" i="58"/>
  <c r="J61" i="58"/>
  <c r="J60" i="58"/>
  <c r="J59" i="58"/>
  <c r="J58" i="58"/>
  <c r="J57" i="58"/>
  <c r="J53" i="58"/>
  <c r="J52" i="58"/>
  <c r="J51" i="58"/>
  <c r="J50" i="58"/>
  <c r="J49" i="58"/>
  <c r="J48" i="58"/>
  <c r="J47" i="58"/>
  <c r="J46" i="58"/>
  <c r="J35" i="58"/>
  <c r="J36" i="58"/>
  <c r="J37" i="58"/>
  <c r="J38" i="58"/>
  <c r="J39" i="58"/>
  <c r="J40" i="58"/>
  <c r="J41" i="58"/>
  <c r="J42" i="58"/>
  <c r="J31" i="58"/>
  <c r="J30" i="58"/>
  <c r="J29" i="58"/>
  <c r="J28" i="58"/>
  <c r="J27" i="58"/>
  <c r="J26" i="58"/>
  <c r="J25" i="58"/>
  <c r="J24" i="58"/>
  <c r="E166" i="58"/>
  <c r="F166" i="58"/>
  <c r="G166" i="58"/>
  <c r="H166" i="58"/>
  <c r="D166" i="58"/>
  <c r="J20" i="58"/>
  <c r="J19" i="58"/>
  <c r="J18" i="58"/>
  <c r="J17" i="58"/>
  <c r="J16" i="58"/>
  <c r="J15" i="58"/>
  <c r="J14" i="58"/>
  <c r="E155" i="58"/>
  <c r="F155" i="58"/>
  <c r="G155" i="58"/>
  <c r="H155" i="58"/>
  <c r="D155" i="58"/>
  <c r="E144" i="58"/>
  <c r="F144" i="58"/>
  <c r="G144" i="58"/>
  <c r="H144" i="58"/>
  <c r="D144" i="58"/>
  <c r="E133" i="58"/>
  <c r="F133" i="58"/>
  <c r="G133" i="58"/>
  <c r="H133" i="58"/>
  <c r="D133" i="58"/>
  <c r="E122" i="58"/>
  <c r="F122" i="58"/>
  <c r="G122" i="58"/>
  <c r="H122" i="58"/>
  <c r="D122" i="58"/>
  <c r="E111" i="58"/>
  <c r="F111" i="58"/>
  <c r="G111" i="58"/>
  <c r="H111" i="58"/>
  <c r="D111" i="58"/>
  <c r="E100" i="58"/>
  <c r="F100" i="58"/>
  <c r="G100" i="58"/>
  <c r="H100" i="58"/>
  <c r="D100" i="58"/>
  <c r="E89" i="58"/>
  <c r="F89" i="58"/>
  <c r="G89" i="58"/>
  <c r="H89" i="58"/>
  <c r="D89" i="58"/>
  <c r="E78" i="58"/>
  <c r="F78" i="58"/>
  <c r="G78" i="58"/>
  <c r="H78" i="58"/>
  <c r="D78" i="58"/>
  <c r="E67" i="58"/>
  <c r="F67" i="58"/>
  <c r="G67" i="58"/>
  <c r="H67" i="58"/>
  <c r="D67" i="58"/>
  <c r="E56" i="58"/>
  <c r="F56" i="58"/>
  <c r="G56" i="58"/>
  <c r="H56" i="58"/>
  <c r="D56" i="58"/>
  <c r="E45" i="58"/>
  <c r="F45" i="58"/>
  <c r="G45" i="58"/>
  <c r="H45" i="58"/>
  <c r="D45" i="58"/>
  <c r="E34" i="58"/>
  <c r="F34" i="58"/>
  <c r="G34" i="58"/>
  <c r="H34" i="58"/>
  <c r="E23" i="58"/>
  <c r="F23" i="58"/>
  <c r="G23" i="58"/>
  <c r="H23" i="58"/>
  <c r="D34" i="58"/>
  <c r="D23" i="58"/>
  <c r="E12" i="58"/>
  <c r="F12" i="58"/>
  <c r="G12" i="58"/>
  <c r="H12" i="58"/>
  <c r="D12" i="58"/>
  <c r="C163" i="58"/>
  <c r="D163" i="58"/>
  <c r="E163" i="58"/>
  <c r="F163" i="58"/>
  <c r="G163" i="58"/>
  <c r="H163" i="58"/>
  <c r="C164" i="58"/>
  <c r="D164" i="58"/>
  <c r="E164" i="58"/>
  <c r="F164" i="58"/>
  <c r="G164" i="58"/>
  <c r="H164" i="58"/>
  <c r="C157" i="58"/>
  <c r="D157" i="58"/>
  <c r="E157" i="58"/>
  <c r="F157" i="58"/>
  <c r="G157" i="58"/>
  <c r="H157" i="58"/>
  <c r="C158" i="58"/>
  <c r="D158" i="58"/>
  <c r="E158" i="58"/>
  <c r="F158" i="58"/>
  <c r="G158" i="58"/>
  <c r="H158" i="58"/>
  <c r="C159" i="58"/>
  <c r="D159" i="58"/>
  <c r="E159" i="58"/>
  <c r="F159" i="58"/>
  <c r="G159" i="58"/>
  <c r="H159" i="58"/>
  <c r="C160" i="58"/>
  <c r="D160" i="58"/>
  <c r="E160" i="58"/>
  <c r="F160" i="58"/>
  <c r="G160" i="58"/>
  <c r="H160" i="58"/>
  <c r="C161" i="58"/>
  <c r="D161" i="58"/>
  <c r="E161" i="58"/>
  <c r="F161" i="58"/>
  <c r="G161" i="58"/>
  <c r="H161" i="58"/>
  <c r="C162" i="58"/>
  <c r="D162" i="58"/>
  <c r="E162" i="58"/>
  <c r="F162" i="58"/>
  <c r="G162" i="58"/>
  <c r="H162" i="58"/>
  <c r="C156" i="58"/>
  <c r="H156" i="58"/>
  <c r="G156" i="58"/>
  <c r="F156" i="58"/>
  <c r="E156" i="58"/>
  <c r="D156" i="58"/>
  <c r="C146" i="58"/>
  <c r="D146" i="58"/>
  <c r="E146" i="58"/>
  <c r="F146" i="58"/>
  <c r="G146" i="58"/>
  <c r="H146" i="58"/>
  <c r="C147" i="58"/>
  <c r="D147" i="58"/>
  <c r="E147" i="58"/>
  <c r="F147" i="58"/>
  <c r="G147" i="58"/>
  <c r="H147" i="58"/>
  <c r="C148" i="58"/>
  <c r="D148" i="58"/>
  <c r="E148" i="58"/>
  <c r="F148" i="58"/>
  <c r="G148" i="58"/>
  <c r="H148" i="58"/>
  <c r="C149" i="58"/>
  <c r="D149" i="58"/>
  <c r="E149" i="58"/>
  <c r="F149" i="58"/>
  <c r="G149" i="58"/>
  <c r="H149" i="58"/>
  <c r="C150" i="58"/>
  <c r="D150" i="58"/>
  <c r="E150" i="58"/>
  <c r="F150" i="58"/>
  <c r="G150" i="58"/>
  <c r="H150" i="58"/>
  <c r="C151" i="58"/>
  <c r="D151" i="58"/>
  <c r="E151" i="58"/>
  <c r="F151" i="58"/>
  <c r="G151" i="58"/>
  <c r="H151" i="58"/>
  <c r="C152" i="58"/>
  <c r="D152" i="58"/>
  <c r="E152" i="58"/>
  <c r="F152" i="58"/>
  <c r="G152" i="58"/>
  <c r="H152" i="58"/>
  <c r="C153" i="58"/>
  <c r="D153" i="58"/>
  <c r="E153" i="58"/>
  <c r="F153" i="58"/>
  <c r="G153" i="58"/>
  <c r="H153" i="58"/>
  <c r="C155" i="58"/>
  <c r="H145" i="58"/>
  <c r="G145" i="58"/>
  <c r="F145" i="58"/>
  <c r="E145" i="58"/>
  <c r="C145" i="58"/>
  <c r="D145" i="58"/>
  <c r="C144" i="58"/>
  <c r="C135" i="58"/>
  <c r="D135" i="58"/>
  <c r="E135" i="58"/>
  <c r="F135" i="58"/>
  <c r="G135" i="58"/>
  <c r="H135" i="58"/>
  <c r="C136" i="58"/>
  <c r="D136" i="58"/>
  <c r="E136" i="58"/>
  <c r="F136" i="58"/>
  <c r="G136" i="58"/>
  <c r="H136" i="58"/>
  <c r="C137" i="58"/>
  <c r="D137" i="58"/>
  <c r="E137" i="58"/>
  <c r="F137" i="58"/>
  <c r="G137" i="58"/>
  <c r="H137" i="58"/>
  <c r="C138" i="58"/>
  <c r="D138" i="58"/>
  <c r="E138" i="58"/>
  <c r="F138" i="58"/>
  <c r="G138" i="58"/>
  <c r="H138" i="58"/>
  <c r="C139" i="58"/>
  <c r="D139" i="58"/>
  <c r="E139" i="58"/>
  <c r="F139" i="58"/>
  <c r="G139" i="58"/>
  <c r="H139" i="58"/>
  <c r="C140" i="58"/>
  <c r="D140" i="58"/>
  <c r="E140" i="58"/>
  <c r="F140" i="58"/>
  <c r="G140" i="58"/>
  <c r="H140" i="58"/>
  <c r="C141" i="58"/>
  <c r="D141" i="58"/>
  <c r="E141" i="58"/>
  <c r="F141" i="58"/>
  <c r="G141" i="58"/>
  <c r="H141" i="58"/>
  <c r="C142" i="58"/>
  <c r="D142" i="58"/>
  <c r="E142" i="58"/>
  <c r="F142" i="58"/>
  <c r="G142" i="58"/>
  <c r="H142" i="58"/>
  <c r="H134" i="58"/>
  <c r="G134" i="58"/>
  <c r="F134" i="58"/>
  <c r="E134" i="58"/>
  <c r="C134" i="58"/>
  <c r="D134" i="58"/>
  <c r="C133" i="58"/>
  <c r="C131" i="58"/>
  <c r="D131" i="58"/>
  <c r="E131" i="58"/>
  <c r="F131" i="58"/>
  <c r="G131" i="58"/>
  <c r="H131" i="58"/>
  <c r="C124" i="58"/>
  <c r="D124" i="58"/>
  <c r="E124" i="58"/>
  <c r="F124" i="58"/>
  <c r="G124" i="58"/>
  <c r="H124" i="58"/>
  <c r="C125" i="58"/>
  <c r="D125" i="58"/>
  <c r="E125" i="58"/>
  <c r="F125" i="58"/>
  <c r="G125" i="58"/>
  <c r="H125" i="58"/>
  <c r="C126" i="58"/>
  <c r="D126" i="58"/>
  <c r="E126" i="58"/>
  <c r="F126" i="58"/>
  <c r="G126" i="58"/>
  <c r="H126" i="58"/>
  <c r="C127" i="58"/>
  <c r="D127" i="58"/>
  <c r="E127" i="58"/>
  <c r="F127" i="58"/>
  <c r="G127" i="58"/>
  <c r="H127" i="58"/>
  <c r="C128" i="58"/>
  <c r="D128" i="58"/>
  <c r="E128" i="58"/>
  <c r="F128" i="58"/>
  <c r="G128" i="58"/>
  <c r="H128" i="58"/>
  <c r="C129" i="58"/>
  <c r="D129" i="58"/>
  <c r="E129" i="58"/>
  <c r="F129" i="58"/>
  <c r="G129" i="58"/>
  <c r="H129" i="58"/>
  <c r="C130" i="58"/>
  <c r="D130" i="58"/>
  <c r="E130" i="58"/>
  <c r="F130" i="58"/>
  <c r="G130" i="58"/>
  <c r="H130" i="58"/>
  <c r="C123" i="58"/>
  <c r="H123" i="58"/>
  <c r="G123" i="58"/>
  <c r="F123" i="58"/>
  <c r="E123" i="58"/>
  <c r="D123" i="58"/>
  <c r="C113" i="58"/>
  <c r="D113" i="58"/>
  <c r="E113" i="58"/>
  <c r="F113" i="58"/>
  <c r="G113" i="58"/>
  <c r="H113" i="58"/>
  <c r="C114" i="58"/>
  <c r="D114" i="58"/>
  <c r="E114" i="58"/>
  <c r="F114" i="58"/>
  <c r="G114" i="58"/>
  <c r="H114" i="58"/>
  <c r="C115" i="58"/>
  <c r="D115" i="58"/>
  <c r="E115" i="58"/>
  <c r="F115" i="58"/>
  <c r="G115" i="58"/>
  <c r="H115" i="58"/>
  <c r="C116" i="58"/>
  <c r="D116" i="58"/>
  <c r="E116" i="58"/>
  <c r="F116" i="58"/>
  <c r="G116" i="58"/>
  <c r="H116" i="58"/>
  <c r="C117" i="58"/>
  <c r="D117" i="58"/>
  <c r="E117" i="58"/>
  <c r="F117" i="58"/>
  <c r="G117" i="58"/>
  <c r="H117" i="58"/>
  <c r="C118" i="58"/>
  <c r="D118" i="58"/>
  <c r="E118" i="58"/>
  <c r="F118" i="58"/>
  <c r="G118" i="58"/>
  <c r="H118" i="58"/>
  <c r="C119" i="58"/>
  <c r="D119" i="58"/>
  <c r="E119" i="58"/>
  <c r="F119" i="58"/>
  <c r="G119" i="58"/>
  <c r="H119" i="58"/>
  <c r="C120" i="58"/>
  <c r="D120" i="58"/>
  <c r="E120" i="58"/>
  <c r="F120" i="58"/>
  <c r="G120" i="58"/>
  <c r="H120" i="58"/>
  <c r="C122" i="58"/>
  <c r="H112" i="58"/>
  <c r="G112" i="58"/>
  <c r="F112" i="58"/>
  <c r="E112" i="58"/>
  <c r="C112" i="58"/>
  <c r="D112" i="58"/>
  <c r="C102" i="58"/>
  <c r="D102" i="58"/>
  <c r="E102" i="58"/>
  <c r="F102" i="58"/>
  <c r="G102" i="58"/>
  <c r="H102" i="58"/>
  <c r="C103" i="58"/>
  <c r="D103" i="58"/>
  <c r="E103" i="58"/>
  <c r="F103" i="58"/>
  <c r="G103" i="58"/>
  <c r="H103" i="58"/>
  <c r="C104" i="58"/>
  <c r="D104" i="58"/>
  <c r="E104" i="58"/>
  <c r="F104" i="58"/>
  <c r="G104" i="58"/>
  <c r="H104" i="58"/>
  <c r="C105" i="58"/>
  <c r="D105" i="58"/>
  <c r="E105" i="58"/>
  <c r="F105" i="58"/>
  <c r="G105" i="58"/>
  <c r="H105" i="58"/>
  <c r="C106" i="58"/>
  <c r="D106" i="58"/>
  <c r="E106" i="58"/>
  <c r="F106" i="58"/>
  <c r="G106" i="58"/>
  <c r="H106" i="58"/>
  <c r="C107" i="58"/>
  <c r="D107" i="58"/>
  <c r="E107" i="58"/>
  <c r="F107" i="58"/>
  <c r="G107" i="58"/>
  <c r="H107" i="58"/>
  <c r="C108" i="58"/>
  <c r="D108" i="58"/>
  <c r="E108" i="58"/>
  <c r="F108" i="58"/>
  <c r="G108" i="58"/>
  <c r="H108" i="58"/>
  <c r="C109" i="58"/>
  <c r="D109" i="58"/>
  <c r="E109" i="58"/>
  <c r="F109" i="58"/>
  <c r="G109" i="58"/>
  <c r="H109" i="58"/>
  <c r="C111" i="58"/>
  <c r="H101" i="58"/>
  <c r="G101" i="58"/>
  <c r="F101" i="58"/>
  <c r="E101" i="58"/>
  <c r="C101" i="58"/>
  <c r="D101" i="58"/>
  <c r="C100" i="58"/>
  <c r="D91" i="58"/>
  <c r="E91" i="58"/>
  <c r="F91" i="58"/>
  <c r="G91" i="58"/>
  <c r="H91" i="58"/>
  <c r="D92" i="58"/>
  <c r="E92" i="58"/>
  <c r="F92" i="58"/>
  <c r="G92" i="58"/>
  <c r="H92" i="58"/>
  <c r="D93" i="58"/>
  <c r="E93" i="58"/>
  <c r="F93" i="58"/>
  <c r="G93" i="58"/>
  <c r="H93" i="58"/>
  <c r="D94" i="58"/>
  <c r="E94" i="58"/>
  <c r="F94" i="58"/>
  <c r="G94" i="58"/>
  <c r="H94" i="58"/>
  <c r="D95" i="58"/>
  <c r="E95" i="58"/>
  <c r="F95" i="58"/>
  <c r="G95" i="58"/>
  <c r="H95" i="58"/>
  <c r="D96" i="58"/>
  <c r="E96" i="58"/>
  <c r="F96" i="58"/>
  <c r="G96" i="58"/>
  <c r="H96" i="58"/>
  <c r="D97" i="58"/>
  <c r="E97" i="58"/>
  <c r="F97" i="58"/>
  <c r="G97" i="58"/>
  <c r="H97" i="58"/>
  <c r="D98" i="58"/>
  <c r="E98" i="58"/>
  <c r="F98" i="58"/>
  <c r="G98" i="58"/>
  <c r="H98" i="58"/>
  <c r="H90" i="58"/>
  <c r="G90" i="58"/>
  <c r="F90" i="58"/>
  <c r="E90" i="58"/>
  <c r="C91" i="58"/>
  <c r="C92" i="58"/>
  <c r="C93" i="58"/>
  <c r="C94" i="58"/>
  <c r="C95" i="58"/>
  <c r="C96" i="58"/>
  <c r="C97" i="58"/>
  <c r="C98" i="58"/>
  <c r="C90" i="58"/>
  <c r="D90" i="58"/>
  <c r="C89" i="58"/>
  <c r="D80" i="58"/>
  <c r="E80" i="58"/>
  <c r="F80" i="58"/>
  <c r="G80" i="58"/>
  <c r="H80" i="58"/>
  <c r="D81" i="58"/>
  <c r="E81" i="58"/>
  <c r="F81" i="58"/>
  <c r="G81" i="58"/>
  <c r="H81" i="58"/>
  <c r="D82" i="58"/>
  <c r="E82" i="58"/>
  <c r="F82" i="58"/>
  <c r="G82" i="58"/>
  <c r="H82" i="58"/>
  <c r="D83" i="58"/>
  <c r="E83" i="58"/>
  <c r="F83" i="58"/>
  <c r="G83" i="58"/>
  <c r="H83" i="58"/>
  <c r="D84" i="58"/>
  <c r="E84" i="58"/>
  <c r="F84" i="58"/>
  <c r="G84" i="58"/>
  <c r="H84" i="58"/>
  <c r="D85" i="58"/>
  <c r="E85" i="58"/>
  <c r="F85" i="58"/>
  <c r="G85" i="58"/>
  <c r="H85" i="58"/>
  <c r="D86" i="58"/>
  <c r="E86" i="58"/>
  <c r="F86" i="58"/>
  <c r="G86" i="58"/>
  <c r="H86" i="58"/>
  <c r="D87" i="58"/>
  <c r="E87" i="58"/>
  <c r="F87" i="58"/>
  <c r="G87" i="58"/>
  <c r="H87" i="58"/>
  <c r="H79" i="58"/>
  <c r="G79" i="58"/>
  <c r="F79" i="58"/>
  <c r="E79" i="58"/>
  <c r="C87" i="58"/>
  <c r="C80" i="58"/>
  <c r="C81" i="58"/>
  <c r="C82" i="58"/>
  <c r="C83" i="58"/>
  <c r="C84" i="58"/>
  <c r="C85" i="58"/>
  <c r="C86" i="58"/>
  <c r="C79" i="58"/>
  <c r="D79" i="58"/>
  <c r="C78" i="58"/>
  <c r="D69" i="58"/>
  <c r="E69" i="58"/>
  <c r="F69" i="58"/>
  <c r="G69" i="58"/>
  <c r="H69" i="58"/>
  <c r="D70" i="58"/>
  <c r="E70" i="58"/>
  <c r="F70" i="58"/>
  <c r="G70" i="58"/>
  <c r="H70" i="58"/>
  <c r="D71" i="58"/>
  <c r="E71" i="58"/>
  <c r="F71" i="58"/>
  <c r="G71" i="58"/>
  <c r="H71" i="58"/>
  <c r="D72" i="58"/>
  <c r="E72" i="58"/>
  <c r="F72" i="58"/>
  <c r="G72" i="58"/>
  <c r="H72" i="58"/>
  <c r="D73" i="58"/>
  <c r="E73" i="58"/>
  <c r="F73" i="58"/>
  <c r="G73" i="58"/>
  <c r="H73" i="58"/>
  <c r="D74" i="58"/>
  <c r="E74" i="58"/>
  <c r="F74" i="58"/>
  <c r="G74" i="58"/>
  <c r="H74" i="58"/>
  <c r="D75" i="58"/>
  <c r="E75" i="58"/>
  <c r="F75" i="58"/>
  <c r="G75" i="58"/>
  <c r="H75" i="58"/>
  <c r="D76" i="58"/>
  <c r="E76" i="58"/>
  <c r="F76" i="58"/>
  <c r="G76" i="58"/>
  <c r="H76" i="58"/>
  <c r="H68" i="58"/>
  <c r="G68" i="58"/>
  <c r="F68" i="58"/>
  <c r="E68" i="58"/>
  <c r="D68" i="58"/>
  <c r="C69" i="58"/>
  <c r="C70" i="58"/>
  <c r="C71" i="58"/>
  <c r="C72" i="58"/>
  <c r="C73" i="58"/>
  <c r="C74" i="58"/>
  <c r="C75" i="58"/>
  <c r="C76" i="58"/>
  <c r="C68" i="58"/>
  <c r="C67" i="58"/>
  <c r="D58" i="58"/>
  <c r="E58" i="58"/>
  <c r="F58" i="58"/>
  <c r="G58" i="58"/>
  <c r="H58" i="58"/>
  <c r="D59" i="58"/>
  <c r="E59" i="58"/>
  <c r="F59" i="58"/>
  <c r="G59" i="58"/>
  <c r="H59" i="58"/>
  <c r="D60" i="58"/>
  <c r="E60" i="58"/>
  <c r="F60" i="58"/>
  <c r="G60" i="58"/>
  <c r="H60" i="58"/>
  <c r="D61" i="58"/>
  <c r="E61" i="58"/>
  <c r="F61" i="58"/>
  <c r="G61" i="58"/>
  <c r="H61" i="58"/>
  <c r="D62" i="58"/>
  <c r="E62" i="58"/>
  <c r="F62" i="58"/>
  <c r="G62" i="58"/>
  <c r="H62" i="58"/>
  <c r="D63" i="58"/>
  <c r="E63" i="58"/>
  <c r="F63" i="58"/>
  <c r="G63" i="58"/>
  <c r="H63" i="58"/>
  <c r="D64" i="58"/>
  <c r="E64" i="58"/>
  <c r="F64" i="58"/>
  <c r="G64" i="58"/>
  <c r="H64" i="58"/>
  <c r="D65" i="58"/>
  <c r="E65" i="58"/>
  <c r="F65" i="58"/>
  <c r="G65" i="58"/>
  <c r="H65" i="58"/>
  <c r="H57" i="58"/>
  <c r="G57" i="58"/>
  <c r="F57" i="58"/>
  <c r="E57" i="58"/>
  <c r="D57" i="58"/>
  <c r="C56" i="58"/>
  <c r="C57" i="58"/>
  <c r="C58" i="58"/>
  <c r="C59" i="58"/>
  <c r="C60" i="58"/>
  <c r="C61" i="58"/>
  <c r="C62" i="58"/>
  <c r="C63" i="58"/>
  <c r="C64" i="58"/>
  <c r="C65" i="58"/>
  <c r="D47" i="58"/>
  <c r="E47" i="58"/>
  <c r="F47" i="58"/>
  <c r="G47" i="58"/>
  <c r="H47" i="58"/>
  <c r="D48" i="58"/>
  <c r="E48" i="58"/>
  <c r="F48" i="58"/>
  <c r="G48" i="58"/>
  <c r="H48" i="58"/>
  <c r="D49" i="58"/>
  <c r="E49" i="58"/>
  <c r="F49" i="58"/>
  <c r="G49" i="58"/>
  <c r="H49" i="58"/>
  <c r="D50" i="58"/>
  <c r="E50" i="58"/>
  <c r="F50" i="58"/>
  <c r="G50" i="58"/>
  <c r="H50" i="58"/>
  <c r="D51" i="58"/>
  <c r="E51" i="58"/>
  <c r="F51" i="58"/>
  <c r="G51" i="58"/>
  <c r="H51" i="58"/>
  <c r="D52" i="58"/>
  <c r="E52" i="58"/>
  <c r="F52" i="58"/>
  <c r="G52" i="58"/>
  <c r="H52" i="58"/>
  <c r="D53" i="58"/>
  <c r="E53" i="58"/>
  <c r="F53" i="58"/>
  <c r="G53" i="58"/>
  <c r="H53" i="58"/>
  <c r="D54" i="58"/>
  <c r="E54" i="58"/>
  <c r="F54" i="58"/>
  <c r="G54" i="58"/>
  <c r="H54" i="58"/>
  <c r="H46" i="58"/>
  <c r="G46" i="58"/>
  <c r="F46" i="58"/>
  <c r="E46" i="58"/>
  <c r="D46" i="58"/>
  <c r="D36" i="58"/>
  <c r="E36" i="58"/>
  <c r="F36" i="58"/>
  <c r="G36" i="58"/>
  <c r="H36" i="58"/>
  <c r="D37" i="58"/>
  <c r="E37" i="58"/>
  <c r="F37" i="58"/>
  <c r="G37" i="58"/>
  <c r="H37" i="58"/>
  <c r="D38" i="58"/>
  <c r="E38" i="58"/>
  <c r="F38" i="58"/>
  <c r="G38" i="58"/>
  <c r="H38" i="58"/>
  <c r="D39" i="58"/>
  <c r="E39" i="58"/>
  <c r="F39" i="58"/>
  <c r="G39" i="58"/>
  <c r="H39" i="58"/>
  <c r="D40" i="58"/>
  <c r="E40" i="58"/>
  <c r="F40" i="58"/>
  <c r="G40" i="58"/>
  <c r="H40" i="58"/>
  <c r="D41" i="58"/>
  <c r="E41" i="58"/>
  <c r="F41" i="58"/>
  <c r="G41" i="58"/>
  <c r="H41" i="58"/>
  <c r="D42" i="58"/>
  <c r="E42" i="58"/>
  <c r="F42" i="58"/>
  <c r="G42" i="58"/>
  <c r="H42" i="58"/>
  <c r="D43" i="58"/>
  <c r="E43" i="58"/>
  <c r="F43" i="58"/>
  <c r="G43" i="58"/>
  <c r="H43" i="58"/>
  <c r="H35" i="58"/>
  <c r="G35" i="58"/>
  <c r="F35" i="58"/>
  <c r="E35" i="58"/>
  <c r="D35" i="58"/>
  <c r="C25" i="58"/>
  <c r="C26" i="58"/>
  <c r="C27" i="58"/>
  <c r="C28" i="58"/>
  <c r="C29" i="58"/>
  <c r="C30" i="58"/>
  <c r="C31" i="58"/>
  <c r="C32" i="58"/>
  <c r="C24" i="58"/>
  <c r="C14" i="58"/>
  <c r="C15" i="58"/>
  <c r="C16" i="58"/>
  <c r="C17" i="58"/>
  <c r="C18" i="58"/>
  <c r="C19" i="58"/>
  <c r="C20" i="58"/>
  <c r="C21" i="58"/>
  <c r="C13" i="58"/>
  <c r="C47" i="58"/>
  <c r="C48" i="58"/>
  <c r="C49" i="58"/>
  <c r="C50" i="58"/>
  <c r="C51" i="58"/>
  <c r="C52" i="58"/>
  <c r="C53" i="58"/>
  <c r="C54" i="58"/>
  <c r="C46" i="58"/>
  <c r="C45" i="58"/>
  <c r="C36" i="58"/>
  <c r="C37" i="58"/>
  <c r="C38" i="58"/>
  <c r="C39" i="58"/>
  <c r="C40" i="58"/>
  <c r="C41" i="58"/>
  <c r="C42" i="58"/>
  <c r="C43" i="58"/>
  <c r="C35" i="58"/>
  <c r="C34" i="58"/>
  <c r="D25" i="58"/>
  <c r="E25" i="58"/>
  <c r="F25" i="58"/>
  <c r="G25" i="58"/>
  <c r="H25" i="58"/>
  <c r="D26" i="58"/>
  <c r="E26" i="58"/>
  <c r="F26" i="58"/>
  <c r="G26" i="58"/>
  <c r="H26" i="58"/>
  <c r="D27" i="58"/>
  <c r="E27" i="58"/>
  <c r="F27" i="58"/>
  <c r="G27" i="58"/>
  <c r="H27" i="58"/>
  <c r="D28" i="58"/>
  <c r="E28" i="58"/>
  <c r="F28" i="58"/>
  <c r="G28" i="58"/>
  <c r="H28" i="58"/>
  <c r="D29" i="58"/>
  <c r="E29" i="58"/>
  <c r="F29" i="58"/>
  <c r="G29" i="58"/>
  <c r="H29" i="58"/>
  <c r="D30" i="58"/>
  <c r="E30" i="58"/>
  <c r="F30" i="58"/>
  <c r="G30" i="58"/>
  <c r="H30" i="58"/>
  <c r="D31" i="58"/>
  <c r="E31" i="58"/>
  <c r="F31" i="58"/>
  <c r="G31" i="58"/>
  <c r="H31" i="58"/>
  <c r="D32" i="58"/>
  <c r="E32" i="58"/>
  <c r="F32" i="58"/>
  <c r="G32" i="58"/>
  <c r="H32" i="58"/>
  <c r="H24" i="58"/>
  <c r="G24" i="58"/>
  <c r="F24" i="58"/>
  <c r="E24" i="58"/>
  <c r="D14" i="58"/>
  <c r="E14" i="58"/>
  <c r="F14" i="58"/>
  <c r="G14" i="58"/>
  <c r="H14" i="58"/>
  <c r="D15" i="58"/>
  <c r="E15" i="58"/>
  <c r="F15" i="58"/>
  <c r="G15" i="58"/>
  <c r="H15" i="58"/>
  <c r="D16" i="58"/>
  <c r="E16" i="58"/>
  <c r="F16" i="58"/>
  <c r="G16" i="58"/>
  <c r="H16" i="58"/>
  <c r="D17" i="58"/>
  <c r="E17" i="58"/>
  <c r="F17" i="58"/>
  <c r="G17" i="58"/>
  <c r="H17" i="58"/>
  <c r="D18" i="58"/>
  <c r="E18" i="58"/>
  <c r="F18" i="58"/>
  <c r="G18" i="58"/>
  <c r="H18" i="58"/>
  <c r="D19" i="58"/>
  <c r="E19" i="58"/>
  <c r="F19" i="58"/>
  <c r="G19" i="58"/>
  <c r="H19" i="58"/>
  <c r="D20" i="58"/>
  <c r="E20" i="58"/>
  <c r="F20" i="58"/>
  <c r="G20" i="58"/>
  <c r="H20" i="58"/>
  <c r="D21" i="58"/>
  <c r="E21" i="58"/>
  <c r="F21" i="58"/>
  <c r="G21" i="58"/>
  <c r="H21" i="58"/>
  <c r="H13" i="58"/>
  <c r="G13" i="58"/>
  <c r="F13" i="58"/>
  <c r="E13" i="58"/>
  <c r="D24" i="58"/>
  <c r="C23" i="58"/>
  <c r="D13" i="58"/>
  <c r="J13" i="58" s="1"/>
  <c r="L13" i="58" s="1"/>
  <c r="H10" i="58"/>
  <c r="D2" i="58"/>
  <c r="N3" i="61"/>
  <c r="I11" i="61"/>
  <c r="I12" i="61" s="1"/>
  <c r="F12" i="61"/>
  <c r="E12" i="61"/>
  <c r="D12" i="61"/>
  <c r="C12" i="61"/>
  <c r="B12" i="61"/>
  <c r="H11" i="61"/>
  <c r="H12" i="61" s="1"/>
  <c r="H9" i="61"/>
  <c r="H8" i="61"/>
  <c r="J8" i="61" s="1"/>
  <c r="H7" i="61"/>
  <c r="J7" i="61" s="1"/>
  <c r="H6" i="61"/>
  <c r="J6" i="61" s="1"/>
  <c r="H5" i="61"/>
  <c r="J5" i="61" s="1"/>
  <c r="H4" i="61"/>
  <c r="J4" i="61" s="1"/>
  <c r="H3" i="61"/>
  <c r="H2" i="61"/>
  <c r="J2" i="61" l="1"/>
  <c r="J3" i="61"/>
  <c r="J9" i="61"/>
  <c r="AJ29" i="65"/>
  <c r="AJ25" i="65"/>
  <c r="AC25" i="65"/>
  <c r="AC29" i="65"/>
  <c r="AI23" i="67"/>
  <c r="AI27" i="67"/>
  <c r="AI31" i="67"/>
  <c r="AF26" i="67"/>
  <c r="AF28" i="67"/>
  <c r="AF30" i="67"/>
  <c r="AC26" i="67"/>
  <c r="AC30" i="67"/>
  <c r="AB27" i="67"/>
  <c r="AB31" i="67"/>
  <c r="Z27" i="67"/>
  <c r="Z31" i="67"/>
  <c r="Z29" i="67"/>
  <c r="AJ27" i="63"/>
  <c r="AJ29" i="63"/>
  <c r="AJ25" i="63"/>
  <c r="AJ31" i="63"/>
  <c r="AI25" i="63"/>
  <c r="AI29" i="63"/>
  <c r="AI26" i="63"/>
  <c r="AI31" i="63"/>
  <c r="AH25" i="63"/>
  <c r="AF28" i="63"/>
  <c r="AF29" i="63"/>
  <c r="AF25" i="63"/>
  <c r="AD28" i="63"/>
  <c r="AD23" i="63"/>
  <c r="AD31" i="63"/>
  <c r="AD29" i="63"/>
  <c r="AD26" i="63"/>
  <c r="AC24" i="63"/>
  <c r="AC28" i="63"/>
  <c r="AC25" i="63"/>
  <c r="AC29" i="63"/>
  <c r="AC26" i="63"/>
  <c r="AC30" i="63"/>
  <c r="AB26" i="63"/>
  <c r="AB30" i="63"/>
  <c r="AA24" i="63"/>
  <c r="AA30" i="63"/>
  <c r="AA28" i="63"/>
  <c r="AA26" i="63"/>
  <c r="X29" i="63"/>
  <c r="X25" i="63"/>
  <c r="W23" i="63"/>
  <c r="W25" i="63"/>
  <c r="W31" i="63"/>
  <c r="W29" i="63"/>
  <c r="C26" i="77"/>
  <c r="C30" i="77"/>
  <c r="AA24" i="74"/>
  <c r="AC23" i="66"/>
  <c r="V23" i="66"/>
  <c r="V27" i="66"/>
  <c r="V31" i="66"/>
  <c r="W23" i="66"/>
  <c r="W27" i="66"/>
  <c r="W31" i="66"/>
  <c r="X23" i="66"/>
  <c r="V25" i="66"/>
  <c r="V29" i="66"/>
  <c r="X28" i="66"/>
  <c r="AI26" i="67"/>
  <c r="AI30" i="67"/>
  <c r="B29" i="77"/>
  <c r="B30" i="76"/>
  <c r="C27" i="77"/>
  <c r="C31" i="77"/>
  <c r="AB24" i="74"/>
  <c r="C29" i="77"/>
  <c r="AA23" i="65"/>
  <c r="AA25" i="65"/>
  <c r="AA27" i="65"/>
  <c r="AA29" i="65"/>
  <c r="AA31" i="65"/>
  <c r="AD25" i="65"/>
  <c r="AD29" i="65"/>
  <c r="AH23" i="65"/>
  <c r="AH27" i="65"/>
  <c r="AH31" i="65"/>
  <c r="AI25" i="65"/>
  <c r="AN25" i="65" s="1"/>
  <c r="E27" i="76" s="1"/>
  <c r="AI29" i="65"/>
  <c r="X24" i="65"/>
  <c r="X28" i="65"/>
  <c r="Z23" i="65"/>
  <c r="Z25" i="65"/>
  <c r="Z27" i="65"/>
  <c r="Z29" i="65"/>
  <c r="Z31" i="65"/>
  <c r="AB26" i="65"/>
  <c r="AB30" i="65"/>
  <c r="AC24" i="65"/>
  <c r="AC28" i="65"/>
  <c r="AE24" i="65"/>
  <c r="AE28" i="65"/>
  <c r="AG26" i="65"/>
  <c r="AG30" i="65"/>
  <c r="AI26" i="65"/>
  <c r="AI30" i="65"/>
  <c r="X26" i="65"/>
  <c r="AE29" i="65"/>
  <c r="G26" i="71"/>
  <c r="J18" i="71"/>
  <c r="E26" i="71"/>
  <c r="J19" i="71"/>
  <c r="I26" i="71"/>
  <c r="J17" i="71"/>
  <c r="J14" i="71"/>
  <c r="J13" i="71"/>
  <c r="E24" i="71"/>
  <c r="J9" i="71"/>
  <c r="G24" i="71"/>
  <c r="J8" i="71"/>
  <c r="H3" i="71"/>
  <c r="J3" i="71" s="1"/>
  <c r="AY22" i="71"/>
  <c r="BD27" i="71"/>
  <c r="BD33" i="71"/>
  <c r="M8" i="71"/>
  <c r="T8" i="71" s="1"/>
  <c r="AZ31" i="71"/>
  <c r="BC31" i="71" s="1"/>
  <c r="BD26" i="71"/>
  <c r="Q1" i="71"/>
  <c r="R1" i="71" s="1"/>
  <c r="BO5" i="71"/>
  <c r="AU7" i="71"/>
  <c r="BO8" i="71"/>
  <c r="AU10" i="71"/>
  <c r="AZ27" i="71"/>
  <c r="BC27" i="71" s="1"/>
  <c r="AZ29" i="71"/>
  <c r="BC29" i="71" s="1"/>
  <c r="AZ30" i="71"/>
  <c r="BC30" i="71" s="1"/>
  <c r="BD28" i="71"/>
  <c r="AU6" i="71"/>
  <c r="BO7" i="71"/>
  <c r="BO10" i="71"/>
  <c r="M18" i="71"/>
  <c r="T18" i="71" s="1"/>
  <c r="O16" i="71"/>
  <c r="V16" i="71" s="1"/>
  <c r="Q16" i="71"/>
  <c r="X16" i="71" s="1"/>
  <c r="AZ32" i="71"/>
  <c r="AX33" i="71"/>
  <c r="BB33" i="71" s="1"/>
  <c r="AP29" i="71"/>
  <c r="AP31" i="71"/>
  <c r="AP33" i="71"/>
  <c r="V26" i="66"/>
  <c r="V30" i="66"/>
  <c r="W29" i="66"/>
  <c r="AD28" i="66"/>
  <c r="AH30" i="66"/>
  <c r="X25" i="66"/>
  <c r="X27" i="66"/>
  <c r="X29" i="66"/>
  <c r="X31" i="66"/>
  <c r="X30" i="66"/>
  <c r="AI29" i="66"/>
  <c r="V24" i="66"/>
  <c r="V28" i="66"/>
  <c r="Y23" i="66"/>
  <c r="AB30" i="66"/>
  <c r="AJ24" i="66"/>
  <c r="AI25" i="67"/>
  <c r="AI29" i="67"/>
  <c r="Y24" i="67"/>
  <c r="C26" i="76" s="1"/>
  <c r="Y26" i="67"/>
  <c r="C28" i="76" s="1"/>
  <c r="Y28" i="67"/>
  <c r="C30" i="76" s="1"/>
  <c r="Y30" i="67"/>
  <c r="B31" i="77"/>
  <c r="W1" i="79"/>
  <c r="O2" i="79"/>
  <c r="V2" i="79" s="1"/>
  <c r="E13" i="79"/>
  <c r="I34" i="79"/>
  <c r="G8" i="79"/>
  <c r="H8" i="79" s="1"/>
  <c r="I33" i="79"/>
  <c r="V3" i="79"/>
  <c r="E8" i="79"/>
  <c r="O14" i="79"/>
  <c r="V14" i="79" s="1"/>
  <c r="O12" i="79"/>
  <c r="V12" i="79" s="1"/>
  <c r="V13" i="79"/>
  <c r="AC26" i="74"/>
  <c r="AC30" i="74"/>
  <c r="AC23" i="74"/>
  <c r="AC27" i="74"/>
  <c r="AC31" i="74"/>
  <c r="AB31" i="74"/>
  <c r="AB27" i="74"/>
  <c r="AB30" i="74"/>
  <c r="AB26" i="74"/>
  <c r="Z24" i="74"/>
  <c r="Z26" i="74"/>
  <c r="Z28" i="74"/>
  <c r="Z30" i="74"/>
  <c r="Y31" i="74"/>
  <c r="Y27" i="74"/>
  <c r="Y23" i="74"/>
  <c r="Y25" i="74"/>
  <c r="Y30" i="74"/>
  <c r="Y26" i="74"/>
  <c r="Y29" i="74"/>
  <c r="Y28" i="74"/>
  <c r="Y24" i="74"/>
  <c r="X31" i="74"/>
  <c r="X29" i="74"/>
  <c r="X27" i="74"/>
  <c r="X25" i="74"/>
  <c r="X23" i="74"/>
  <c r="X30" i="74"/>
  <c r="X28" i="74"/>
  <c r="X26" i="74"/>
  <c r="X24" i="74"/>
  <c r="X27" i="73"/>
  <c r="X31" i="73"/>
  <c r="X29" i="73"/>
  <c r="X30" i="73"/>
  <c r="X24" i="73"/>
  <c r="X28" i="73"/>
  <c r="X25" i="73"/>
  <c r="X26" i="73"/>
  <c r="W24" i="73"/>
  <c r="W26" i="73"/>
  <c r="W28" i="73"/>
  <c r="W30" i="73"/>
  <c r="W25" i="73"/>
  <c r="W27" i="73"/>
  <c r="W29" i="73"/>
  <c r="W31" i="73"/>
  <c r="V25" i="73"/>
  <c r="V29" i="73"/>
  <c r="V24" i="73"/>
  <c r="V28" i="73"/>
  <c r="V27" i="73"/>
  <c r="V31" i="73"/>
  <c r="V26" i="73"/>
  <c r="V30" i="73"/>
  <c r="AI27" i="65"/>
  <c r="AI23" i="65"/>
  <c r="AI31" i="65"/>
  <c r="AI24" i="65"/>
  <c r="AI28" i="65"/>
  <c r="AA24" i="65"/>
  <c r="AA26" i="65"/>
  <c r="AA28" i="65"/>
  <c r="AA30" i="65"/>
  <c r="Y31" i="65"/>
  <c r="AJ23" i="66"/>
  <c r="AJ27" i="66"/>
  <c r="AJ31" i="66"/>
  <c r="AJ28" i="66"/>
  <c r="AH24" i="66"/>
  <c r="AH25" i="66"/>
  <c r="AH29" i="66"/>
  <c r="AG26" i="66"/>
  <c r="AG30" i="66"/>
  <c r="AG23" i="66"/>
  <c r="AG27" i="66"/>
  <c r="AG31" i="66"/>
  <c r="AG24" i="66"/>
  <c r="AG28" i="66"/>
  <c r="AJ23" i="67"/>
  <c r="AJ27" i="67"/>
  <c r="AJ31" i="67"/>
  <c r="AJ24" i="67"/>
  <c r="AJ28" i="67"/>
  <c r="AJ25" i="67"/>
  <c r="AJ29" i="67"/>
  <c r="AF23" i="67"/>
  <c r="AF25" i="67"/>
  <c r="AF27" i="67"/>
  <c r="AF29" i="67"/>
  <c r="AF31" i="67"/>
  <c r="AE26" i="67"/>
  <c r="AE30" i="67"/>
  <c r="AD25" i="67"/>
  <c r="AD29" i="67"/>
  <c r="AD23" i="67"/>
  <c r="AD27" i="67"/>
  <c r="AD31" i="67"/>
  <c r="AC24" i="67"/>
  <c r="AC28" i="67"/>
  <c r="AC25" i="67"/>
  <c r="AC29" i="67"/>
  <c r="Y23" i="67"/>
  <c r="C25" i="76" s="1"/>
  <c r="Y25" i="67"/>
  <c r="C27" i="76" s="1"/>
  <c r="Y27" i="67"/>
  <c r="C29" i="76" s="1"/>
  <c r="Y29" i="67"/>
  <c r="Y31" i="67"/>
  <c r="W24" i="67"/>
  <c r="W26" i="67"/>
  <c r="W28" i="67"/>
  <c r="W30" i="67"/>
  <c r="V23" i="67"/>
  <c r="V27" i="67"/>
  <c r="V31" i="67"/>
  <c r="V24" i="67"/>
  <c r="V28" i="67"/>
  <c r="AJ30" i="63"/>
  <c r="AJ26" i="63"/>
  <c r="AJ28" i="63"/>
  <c r="AI23" i="63"/>
  <c r="AI30" i="63"/>
  <c r="AI24" i="63"/>
  <c r="AH27" i="63"/>
  <c r="AH29" i="63"/>
  <c r="AF26" i="63"/>
  <c r="AF30" i="63"/>
  <c r="AF23" i="63"/>
  <c r="AF31" i="63"/>
  <c r="AF27" i="63"/>
  <c r="AA23" i="63"/>
  <c r="AA25" i="63"/>
  <c r="AA27" i="63"/>
  <c r="AA29" i="63"/>
  <c r="X28" i="63"/>
  <c r="X24" i="63"/>
  <c r="X31" i="63"/>
  <c r="X27" i="63"/>
  <c r="X30" i="63"/>
  <c r="W28" i="63"/>
  <c r="W24" i="63"/>
  <c r="W30" i="63"/>
  <c r="W27" i="63"/>
  <c r="W31" i="74"/>
  <c r="W27" i="74"/>
  <c r="W23" i="74"/>
  <c r="W28" i="74"/>
  <c r="W24" i="74"/>
  <c r="W29" i="74"/>
  <c r="W25" i="74"/>
  <c r="W30" i="74"/>
  <c r="W26" i="74"/>
  <c r="AG25" i="65"/>
  <c r="AG29" i="65"/>
  <c r="AF24" i="65"/>
  <c r="AF28" i="65"/>
  <c r="AF26" i="65"/>
  <c r="AE25" i="65"/>
  <c r="AE26" i="65"/>
  <c r="AE30" i="65"/>
  <c r="AE23" i="65"/>
  <c r="AE27" i="65"/>
  <c r="AE31" i="65"/>
  <c r="AB24" i="65"/>
  <c r="AB28" i="65"/>
  <c r="AB25" i="65"/>
  <c r="AB29" i="65"/>
  <c r="Y27" i="65"/>
  <c r="AJ26" i="65"/>
  <c r="V23" i="65"/>
  <c r="V27" i="65"/>
  <c r="V31" i="65"/>
  <c r="W23" i="65"/>
  <c r="W27" i="65"/>
  <c r="W31" i="65"/>
  <c r="X23" i="65"/>
  <c r="X25" i="65"/>
  <c r="X27" i="65"/>
  <c r="X29" i="65"/>
  <c r="X31" i="65"/>
  <c r="Z26" i="65"/>
  <c r="Z30" i="65"/>
  <c r="Z28" i="65"/>
  <c r="AG23" i="65"/>
  <c r="Y24" i="65"/>
  <c r="Y26" i="65"/>
  <c r="Y28" i="65"/>
  <c r="Y30" i="65"/>
  <c r="W25" i="65"/>
  <c r="AD24" i="65"/>
  <c r="AH28" i="65"/>
  <c r="J137" i="73"/>
  <c r="V23" i="73"/>
  <c r="J13" i="73"/>
  <c r="L13" i="73" s="1"/>
  <c r="W23" i="73"/>
  <c r="J125" i="73"/>
  <c r="L125" i="73" s="1"/>
  <c r="J129" i="73"/>
  <c r="J134" i="73"/>
  <c r="J148" i="73"/>
  <c r="L148" i="73" s="1"/>
  <c r="X23" i="73"/>
  <c r="J35" i="73"/>
  <c r="L35" i="73" s="1"/>
  <c r="J136" i="73"/>
  <c r="L136" i="73" s="1"/>
  <c r="J140" i="73"/>
  <c r="L140" i="73" s="1"/>
  <c r="J63" i="73"/>
  <c r="L63" i="73" s="1"/>
  <c r="J145" i="73"/>
  <c r="L145" i="73" s="1"/>
  <c r="V26" i="74"/>
  <c r="V31" i="74"/>
  <c r="V30" i="74"/>
  <c r="V29" i="74"/>
  <c r="V28" i="74"/>
  <c r="V27" i="74"/>
  <c r="V25" i="74"/>
  <c r="V24" i="74"/>
  <c r="V23" i="74"/>
  <c r="AC24" i="74"/>
  <c r="AC28" i="74"/>
  <c r="AC25" i="74"/>
  <c r="AC29" i="74"/>
  <c r="AA23" i="74"/>
  <c r="AA25" i="74"/>
  <c r="AA27" i="74"/>
  <c r="AA29" i="74"/>
  <c r="AA31" i="74"/>
  <c r="AA26" i="74"/>
  <c r="AA28" i="74"/>
  <c r="J128" i="74"/>
  <c r="L128" i="74" s="1"/>
  <c r="AJ30" i="65"/>
  <c r="AJ23" i="65"/>
  <c r="AJ27" i="65"/>
  <c r="AJ31" i="65"/>
  <c r="AJ24" i="65"/>
  <c r="AJ28" i="65"/>
  <c r="AH24" i="65"/>
  <c r="AH25" i="65"/>
  <c r="AH29" i="65"/>
  <c r="AH26" i="65"/>
  <c r="AH30" i="65"/>
  <c r="AG27" i="65"/>
  <c r="AG31" i="65"/>
  <c r="AF23" i="65"/>
  <c r="AF25" i="65"/>
  <c r="AF27" i="65"/>
  <c r="AF29" i="65"/>
  <c r="AF31" i="65"/>
  <c r="AD26" i="65"/>
  <c r="AD30" i="65"/>
  <c r="AD28" i="65"/>
  <c r="AD23" i="65"/>
  <c r="AD27" i="65"/>
  <c r="AD31" i="65"/>
  <c r="AC23" i="65"/>
  <c r="AC27" i="65"/>
  <c r="AC31" i="65"/>
  <c r="Z24" i="65"/>
  <c r="Y23" i="65"/>
  <c r="X30" i="65"/>
  <c r="W24" i="65"/>
  <c r="W26" i="65"/>
  <c r="W28" i="65"/>
  <c r="W30" i="65"/>
  <c r="W29" i="65"/>
  <c r="V24" i="65"/>
  <c r="V28" i="65"/>
  <c r="V25" i="65"/>
  <c r="V29" i="65"/>
  <c r="V26" i="65"/>
  <c r="V30" i="65"/>
  <c r="AJ30" i="66"/>
  <c r="AJ26" i="66"/>
  <c r="AI26" i="66"/>
  <c r="AI30" i="66"/>
  <c r="AI25" i="66"/>
  <c r="AH28" i="66"/>
  <c r="AF24" i="66"/>
  <c r="AF28" i="66"/>
  <c r="AF26" i="66"/>
  <c r="AF23" i="66"/>
  <c r="AF25" i="66"/>
  <c r="AF27" i="66"/>
  <c r="AF29" i="66"/>
  <c r="AF31" i="66"/>
  <c r="AD23" i="66"/>
  <c r="AN23" i="66" s="1"/>
  <c r="D25" i="76" s="1"/>
  <c r="AD27" i="66"/>
  <c r="AD31" i="66"/>
  <c r="AD24" i="66"/>
  <c r="AD25" i="66"/>
  <c r="D27" i="76" s="1"/>
  <c r="AD29" i="66"/>
  <c r="AC27" i="66"/>
  <c r="AN27" i="66" s="1"/>
  <c r="D29" i="76" s="1"/>
  <c r="AC24" i="66"/>
  <c r="AC28" i="66"/>
  <c r="AC31" i="66"/>
  <c r="AC25" i="66"/>
  <c r="AC29" i="66"/>
  <c r="AC26" i="66"/>
  <c r="AC30" i="66"/>
  <c r="AA24" i="66"/>
  <c r="AA26" i="66"/>
  <c r="AA28" i="66"/>
  <c r="AN28" i="66" s="1"/>
  <c r="D30" i="76" s="1"/>
  <c r="AA30" i="66"/>
  <c r="Z28" i="66"/>
  <c r="Z23" i="66"/>
  <c r="Z25" i="66"/>
  <c r="Z27" i="66"/>
  <c r="Z29" i="66"/>
  <c r="Z31" i="66"/>
  <c r="Z26" i="66"/>
  <c r="Z30" i="66"/>
  <c r="Y27" i="66"/>
  <c r="X26" i="66"/>
  <c r="X24" i="66"/>
  <c r="W25" i="66"/>
  <c r="W24" i="66"/>
  <c r="W26" i="66"/>
  <c r="W28" i="66"/>
  <c r="W30" i="66"/>
  <c r="Z24" i="67"/>
  <c r="Z26" i="67"/>
  <c r="Z28" i="67"/>
  <c r="Z30" i="67"/>
  <c r="J30" i="73"/>
  <c r="L30" i="73" s="1"/>
  <c r="J42" i="73"/>
  <c r="L42" i="73" s="1"/>
  <c r="J29" i="73"/>
  <c r="L29" i="73" s="1"/>
  <c r="J61" i="73"/>
  <c r="L61" i="73" s="1"/>
  <c r="J14" i="73"/>
  <c r="J48" i="73"/>
  <c r="L48" i="73" s="1"/>
  <c r="J50" i="73"/>
  <c r="L50" i="73" s="1"/>
  <c r="J60" i="73"/>
  <c r="L60" i="73" s="1"/>
  <c r="J8" i="65"/>
  <c r="L8" i="65" s="1"/>
  <c r="J14" i="65"/>
  <c r="L14" i="65" s="1"/>
  <c r="J48" i="65"/>
  <c r="L48" i="65" s="1"/>
  <c r="J9" i="63"/>
  <c r="L9" i="63" s="1"/>
  <c r="V24" i="63"/>
  <c r="J7" i="63"/>
  <c r="L7" i="63" s="1"/>
  <c r="J57" i="63"/>
  <c r="L57" i="63" s="1"/>
  <c r="J61" i="63"/>
  <c r="J73" i="63"/>
  <c r="L73" i="63" s="1"/>
  <c r="J82" i="63"/>
  <c r="L82" i="63" s="1"/>
  <c r="J86" i="63"/>
  <c r="L86" i="63" s="1"/>
  <c r="J95" i="63"/>
  <c r="J104" i="63"/>
  <c r="L104" i="63" s="1"/>
  <c r="J108" i="63"/>
  <c r="L108" i="63" s="1"/>
  <c r="J113" i="63"/>
  <c r="J117" i="63"/>
  <c r="J2" i="63"/>
  <c r="L2" i="63" s="1"/>
  <c r="J6" i="63"/>
  <c r="L6" i="63" s="1"/>
  <c r="J112" i="67"/>
  <c r="L112" i="67" s="1"/>
  <c r="J117" i="67"/>
  <c r="L117" i="67" s="1"/>
  <c r="J40" i="67"/>
  <c r="L40" i="67" s="1"/>
  <c r="J72" i="67"/>
  <c r="L72" i="67" s="1"/>
  <c r="J73" i="67"/>
  <c r="L73" i="67" s="1"/>
  <c r="J81" i="67"/>
  <c r="L81" i="67" s="1"/>
  <c r="J82" i="67"/>
  <c r="L82" i="67" s="1"/>
  <c r="J85" i="67"/>
  <c r="L85" i="67" s="1"/>
  <c r="J90" i="67"/>
  <c r="L90" i="67" s="1"/>
  <c r="J91" i="67"/>
  <c r="L91" i="67" s="1"/>
  <c r="J94" i="67"/>
  <c r="L94" i="67" s="1"/>
  <c r="J103" i="67"/>
  <c r="L103" i="67" s="1"/>
  <c r="J104" i="67"/>
  <c r="L104" i="67" s="1"/>
  <c r="J107" i="67"/>
  <c r="J108" i="67"/>
  <c r="J46" i="67"/>
  <c r="J48" i="67"/>
  <c r="L48" i="67" s="1"/>
  <c r="J50" i="67"/>
  <c r="L50" i="67" s="1"/>
  <c r="J52" i="67"/>
  <c r="L52" i="67" s="1"/>
  <c r="J68" i="67"/>
  <c r="L68" i="67" s="1"/>
  <c r="J17" i="67"/>
  <c r="L17" i="67" s="1"/>
  <c r="J19" i="67"/>
  <c r="L19" i="67" s="1"/>
  <c r="J35" i="67"/>
  <c r="L35" i="67" s="1"/>
  <c r="J37" i="67"/>
  <c r="L37" i="67" s="1"/>
  <c r="J39" i="67"/>
  <c r="L39" i="67" s="1"/>
  <c r="J16" i="67"/>
  <c r="L16" i="67" s="1"/>
  <c r="J125" i="67"/>
  <c r="L125" i="67" s="1"/>
  <c r="J126" i="67"/>
  <c r="L126" i="67" s="1"/>
  <c r="J129" i="67"/>
  <c r="L129" i="67" s="1"/>
  <c r="J130" i="67"/>
  <c r="L130" i="67" s="1"/>
  <c r="J134" i="67"/>
  <c r="L134" i="67" s="1"/>
  <c r="J135" i="67"/>
  <c r="L135" i="67" s="1"/>
  <c r="J138" i="67"/>
  <c r="L138" i="67" s="1"/>
  <c r="J139" i="67"/>
  <c r="L139" i="67" s="1"/>
  <c r="J147" i="67"/>
  <c r="L147" i="67" s="1"/>
  <c r="J148" i="67"/>
  <c r="L148" i="67" s="1"/>
  <c r="J151" i="67"/>
  <c r="L151" i="67" s="1"/>
  <c r="J113" i="67"/>
  <c r="L113" i="67" s="1"/>
  <c r="J116" i="67"/>
  <c r="L116" i="67" s="1"/>
  <c r="AF24" i="67"/>
  <c r="E67" i="78"/>
  <c r="AA25" i="78"/>
  <c r="AA26" i="78"/>
  <c r="AA23" i="78"/>
  <c r="AA27" i="78"/>
  <c r="AA28" i="78"/>
  <c r="AA29" i="78"/>
  <c r="AA24" i="78"/>
  <c r="AA30" i="78"/>
  <c r="L47" i="78"/>
  <c r="AA31" i="78"/>
  <c r="L53" i="78"/>
  <c r="J42" i="74"/>
  <c r="L42" i="74" s="1"/>
  <c r="J50" i="74"/>
  <c r="L50" i="74" s="1"/>
  <c r="J52" i="74"/>
  <c r="L52" i="74" s="1"/>
  <c r="J58" i="74"/>
  <c r="J71" i="74"/>
  <c r="J75" i="74"/>
  <c r="J80" i="74"/>
  <c r="L80" i="74" s="1"/>
  <c r="J113" i="74"/>
  <c r="L113" i="74" s="1"/>
  <c r="J39" i="74"/>
  <c r="L39" i="74" s="1"/>
  <c r="V31" i="63"/>
  <c r="V29" i="63"/>
  <c r="V27" i="63"/>
  <c r="V25" i="63"/>
  <c r="V30" i="63"/>
  <c r="V26" i="63"/>
  <c r="V23" i="63"/>
  <c r="V28" i="63"/>
  <c r="J13" i="65"/>
  <c r="L13" i="65" s="1"/>
  <c r="J35" i="65"/>
  <c r="L35" i="65" s="1"/>
  <c r="J37" i="65"/>
  <c r="L37" i="65" s="1"/>
  <c r="J39" i="65"/>
  <c r="L39" i="65" s="1"/>
  <c r="J41" i="65"/>
  <c r="L41" i="65" s="1"/>
  <c r="J47" i="65"/>
  <c r="L47" i="65" s="1"/>
  <c r="J2" i="65"/>
  <c r="L2" i="65" s="1"/>
  <c r="J17" i="65"/>
  <c r="L17" i="65" s="1"/>
  <c r="J16" i="65"/>
  <c r="L16" i="65" s="1"/>
  <c r="J57" i="65"/>
  <c r="L57" i="65" s="1"/>
  <c r="J59" i="65"/>
  <c r="L59" i="65" s="1"/>
  <c r="J61" i="65"/>
  <c r="L61" i="65" s="1"/>
  <c r="J63" i="65"/>
  <c r="L63" i="65" s="1"/>
  <c r="J70" i="65"/>
  <c r="L70" i="65" s="1"/>
  <c r="J79" i="65"/>
  <c r="L79" i="65" s="1"/>
  <c r="J83" i="65"/>
  <c r="L83" i="65" s="1"/>
  <c r="J92" i="65"/>
  <c r="L92" i="65" s="1"/>
  <c r="J6" i="66"/>
  <c r="L6" i="66" s="1"/>
  <c r="J13" i="66"/>
  <c r="L13" i="66" s="1"/>
  <c r="J15" i="66"/>
  <c r="L15" i="66" s="1"/>
  <c r="J17" i="66"/>
  <c r="L17" i="66" s="1"/>
  <c r="J19" i="66"/>
  <c r="J24" i="66"/>
  <c r="J26" i="66"/>
  <c r="J28" i="66"/>
  <c r="L28" i="66" s="1"/>
  <c r="J30" i="66"/>
  <c r="J47" i="66"/>
  <c r="L47" i="66" s="1"/>
  <c r="J51" i="66"/>
  <c r="L51" i="66" s="1"/>
  <c r="J81" i="66"/>
  <c r="L81" i="66" s="1"/>
  <c r="J85" i="66"/>
  <c r="L85" i="66" s="1"/>
  <c r="J2" i="74"/>
  <c r="L2" i="74" s="1"/>
  <c r="J24" i="74"/>
  <c r="J38" i="74"/>
  <c r="L38" i="74" s="1"/>
  <c r="J40" i="74"/>
  <c r="L40" i="74" s="1"/>
  <c r="J49" i="74"/>
  <c r="L49" i="74" s="1"/>
  <c r="J62" i="74"/>
  <c r="J125" i="74"/>
  <c r="L125" i="74" s="1"/>
  <c r="J117" i="74"/>
  <c r="L117" i="74" s="1"/>
  <c r="J3" i="74"/>
  <c r="L3" i="74" s="1"/>
  <c r="J6" i="74"/>
  <c r="L6" i="74" s="1"/>
  <c r="J7" i="74"/>
  <c r="L7" i="74" s="1"/>
  <c r="J13" i="74"/>
  <c r="L13" i="74" s="1"/>
  <c r="J15" i="74"/>
  <c r="L15" i="74" s="1"/>
  <c r="J17" i="74"/>
  <c r="J29" i="74"/>
  <c r="L29" i="74" s="1"/>
  <c r="J47" i="74"/>
  <c r="J57" i="74"/>
  <c r="L57" i="74" s="1"/>
  <c r="J61" i="74"/>
  <c r="J63" i="74"/>
  <c r="L63" i="74" s="1"/>
  <c r="J104" i="74"/>
  <c r="L104" i="74" s="1"/>
  <c r="J108" i="74"/>
  <c r="J19" i="74"/>
  <c r="J31" i="74"/>
  <c r="L31" i="74" s="1"/>
  <c r="J35" i="74"/>
  <c r="L35" i="74" s="1"/>
  <c r="J48" i="74"/>
  <c r="L48" i="74" s="1"/>
  <c r="J83" i="74"/>
  <c r="J92" i="74"/>
  <c r="L92" i="74" s="1"/>
  <c r="J96" i="74"/>
  <c r="L96" i="74" s="1"/>
  <c r="J101" i="74"/>
  <c r="L101" i="74" s="1"/>
  <c r="J124" i="74"/>
  <c r="G122" i="67"/>
  <c r="G133" i="67" s="1"/>
  <c r="G144" i="67" s="1"/>
  <c r="G155" i="67" s="1"/>
  <c r="G166" i="67" s="1"/>
  <c r="C124" i="67"/>
  <c r="C135" i="67" s="1"/>
  <c r="C146" i="67" s="1"/>
  <c r="C157" i="67" s="1"/>
  <c r="C128" i="67"/>
  <c r="C139" i="67" s="1"/>
  <c r="C150" i="67" s="1"/>
  <c r="C161" i="67" s="1"/>
  <c r="C130" i="67"/>
  <c r="C141" i="67" s="1"/>
  <c r="C152" i="67" s="1"/>
  <c r="C163" i="67" s="1"/>
  <c r="C126" i="67"/>
  <c r="C137" i="67" s="1"/>
  <c r="C148" i="67" s="1"/>
  <c r="C159" i="67" s="1"/>
  <c r="G122" i="65"/>
  <c r="G133" i="65" s="1"/>
  <c r="G144" i="65" s="1"/>
  <c r="G155" i="65" s="1"/>
  <c r="G166" i="65" s="1"/>
  <c r="D122" i="65"/>
  <c r="D133" i="65" s="1"/>
  <c r="D144" i="65" s="1"/>
  <c r="D155" i="65" s="1"/>
  <c r="D166" i="65" s="1"/>
  <c r="H122" i="65"/>
  <c r="H133" i="65" s="1"/>
  <c r="H144" i="65" s="1"/>
  <c r="H155" i="65" s="1"/>
  <c r="H166" i="65" s="1"/>
  <c r="C124" i="65"/>
  <c r="C135" i="65" s="1"/>
  <c r="C146" i="65" s="1"/>
  <c r="C157" i="65" s="1"/>
  <c r="C126" i="65"/>
  <c r="C137" i="65" s="1"/>
  <c r="C148" i="65" s="1"/>
  <c r="C159" i="65" s="1"/>
  <c r="C128" i="65"/>
  <c r="C139" i="65" s="1"/>
  <c r="C150" i="65" s="1"/>
  <c r="C161" i="65" s="1"/>
  <c r="C130" i="65"/>
  <c r="C141" i="65" s="1"/>
  <c r="C152" i="65" s="1"/>
  <c r="C163" i="65" s="1"/>
  <c r="G122" i="66"/>
  <c r="G133" i="66" s="1"/>
  <c r="G144" i="66" s="1"/>
  <c r="G155" i="66" s="1"/>
  <c r="G166" i="66" s="1"/>
  <c r="C124" i="66"/>
  <c r="C135" i="66" s="1"/>
  <c r="C146" i="66" s="1"/>
  <c r="C157" i="66" s="1"/>
  <c r="C126" i="66"/>
  <c r="C137" i="66" s="1"/>
  <c r="C148" i="66" s="1"/>
  <c r="C159" i="66" s="1"/>
  <c r="C128" i="66"/>
  <c r="C139" i="66" s="1"/>
  <c r="C150" i="66" s="1"/>
  <c r="C161" i="66" s="1"/>
  <c r="C130" i="66"/>
  <c r="C141" i="66" s="1"/>
  <c r="C152" i="66" s="1"/>
  <c r="C163" i="66" s="1"/>
  <c r="G166" i="63"/>
  <c r="C130" i="63"/>
  <c r="C141" i="63" s="1"/>
  <c r="C152" i="63" s="1"/>
  <c r="C163" i="63" s="1"/>
  <c r="H166" i="63"/>
  <c r="C128" i="63"/>
  <c r="C139" i="63" s="1"/>
  <c r="C150" i="63" s="1"/>
  <c r="C161" i="63" s="1"/>
  <c r="J2" i="73"/>
  <c r="L2" i="73" s="1"/>
  <c r="J6" i="73"/>
  <c r="L6" i="73" s="1"/>
  <c r="J31" i="73"/>
  <c r="L31" i="73" s="1"/>
  <c r="J106" i="73"/>
  <c r="L106" i="73" s="1"/>
  <c r="J17" i="73"/>
  <c r="L17" i="73" s="1"/>
  <c r="J18" i="73"/>
  <c r="L18" i="73" s="1"/>
  <c r="J19" i="73"/>
  <c r="L19" i="73" s="1"/>
  <c r="J20" i="73"/>
  <c r="L20" i="73" s="1"/>
  <c r="J28" i="73"/>
  <c r="L28" i="73" s="1"/>
  <c r="J53" i="73"/>
  <c r="L53" i="73" s="1"/>
  <c r="J59" i="73"/>
  <c r="L59" i="73" s="1"/>
  <c r="J71" i="73"/>
  <c r="L71" i="73" s="1"/>
  <c r="J103" i="73"/>
  <c r="J107" i="73"/>
  <c r="L107" i="73" s="1"/>
  <c r="J112" i="73"/>
  <c r="J16" i="73"/>
  <c r="L16" i="73" s="1"/>
  <c r="J41" i="73"/>
  <c r="L41" i="73" s="1"/>
  <c r="J46" i="73"/>
  <c r="J64" i="73"/>
  <c r="L64" i="73" s="1"/>
  <c r="J68" i="73"/>
  <c r="L68" i="73" s="1"/>
  <c r="J113" i="73"/>
  <c r="J117" i="73"/>
  <c r="J7" i="73"/>
  <c r="L7" i="73" s="1"/>
  <c r="J24" i="73"/>
  <c r="L24" i="73" s="1"/>
  <c r="J26" i="73"/>
  <c r="L26" i="73" s="1"/>
  <c r="J37" i="73"/>
  <c r="L37" i="73" s="1"/>
  <c r="J39" i="73"/>
  <c r="L39" i="73" s="1"/>
  <c r="J47" i="73"/>
  <c r="L47" i="73" s="1"/>
  <c r="J52" i="73"/>
  <c r="L52" i="73" s="1"/>
  <c r="J57" i="73"/>
  <c r="L57" i="73" s="1"/>
  <c r="J72" i="73"/>
  <c r="L72" i="73" s="1"/>
  <c r="J73" i="73"/>
  <c r="L73" i="73" s="1"/>
  <c r="J81" i="73"/>
  <c r="L81" i="73" s="1"/>
  <c r="J82" i="73"/>
  <c r="L82" i="73" s="1"/>
  <c r="J85" i="73"/>
  <c r="L85" i="73" s="1"/>
  <c r="J86" i="73"/>
  <c r="L86" i="73" s="1"/>
  <c r="J90" i="73"/>
  <c r="L90" i="73" s="1"/>
  <c r="J91" i="73"/>
  <c r="L91" i="73" s="1"/>
  <c r="J94" i="73"/>
  <c r="L94" i="73" s="1"/>
  <c r="J95" i="73"/>
  <c r="J114" i="73"/>
  <c r="J118" i="73"/>
  <c r="L118" i="73" s="1"/>
  <c r="J126" i="73"/>
  <c r="J130" i="73"/>
  <c r="J135" i="73"/>
  <c r="J138" i="73"/>
  <c r="L138" i="73" s="1"/>
  <c r="J141" i="73"/>
  <c r="L141" i="73" s="1"/>
  <c r="J146" i="73"/>
  <c r="J149" i="73"/>
  <c r="J157" i="73"/>
  <c r="L157" i="73" s="1"/>
  <c r="J161" i="73"/>
  <c r="L161" i="73" s="1"/>
  <c r="J4" i="73"/>
  <c r="L4" i="73" s="1"/>
  <c r="J5" i="73"/>
  <c r="L5" i="73" s="1"/>
  <c r="J49" i="73"/>
  <c r="L49" i="73" s="1"/>
  <c r="J62" i="73"/>
  <c r="L62" i="73" s="1"/>
  <c r="J69" i="73"/>
  <c r="L69" i="73" s="1"/>
  <c r="J74" i="73"/>
  <c r="L74" i="73" s="1"/>
  <c r="J79" i="73"/>
  <c r="L79" i="73" s="1"/>
  <c r="J83" i="73"/>
  <c r="L83" i="73" s="1"/>
  <c r="J92" i="73"/>
  <c r="L92" i="73" s="1"/>
  <c r="J96" i="73"/>
  <c r="L96" i="73" s="1"/>
  <c r="J101" i="73"/>
  <c r="L101" i="73" s="1"/>
  <c r="J104" i="73"/>
  <c r="L104" i="73" s="1"/>
  <c r="J115" i="73"/>
  <c r="L115" i="73" s="1"/>
  <c r="J119" i="73"/>
  <c r="L119" i="73" s="1"/>
  <c r="J123" i="73"/>
  <c r="L123" i="73" s="1"/>
  <c r="J127" i="73"/>
  <c r="L127" i="73" s="1"/>
  <c r="J139" i="73"/>
  <c r="L139" i="73" s="1"/>
  <c r="J147" i="73"/>
  <c r="L147" i="73" s="1"/>
  <c r="J150" i="73"/>
  <c r="L150" i="73" s="1"/>
  <c r="J3" i="73"/>
  <c r="L3" i="73" s="1"/>
  <c r="J8" i="73"/>
  <c r="L8" i="73" s="1"/>
  <c r="J9" i="73"/>
  <c r="L9" i="73" s="1"/>
  <c r="J15" i="73"/>
  <c r="L15" i="73" s="1"/>
  <c r="J25" i="73"/>
  <c r="L25" i="73" s="1"/>
  <c r="J27" i="73"/>
  <c r="L27" i="73" s="1"/>
  <c r="J36" i="73"/>
  <c r="L36" i="73" s="1"/>
  <c r="J38" i="73"/>
  <c r="L38" i="73" s="1"/>
  <c r="J40" i="73"/>
  <c r="L40" i="73" s="1"/>
  <c r="J51" i="73"/>
  <c r="L51" i="73" s="1"/>
  <c r="J58" i="73"/>
  <c r="L58" i="73" s="1"/>
  <c r="J70" i="73"/>
  <c r="L70" i="73" s="1"/>
  <c r="J75" i="73"/>
  <c r="L75" i="73" s="1"/>
  <c r="J80" i="73"/>
  <c r="L80" i="73" s="1"/>
  <c r="J84" i="73"/>
  <c r="L84" i="73" s="1"/>
  <c r="J93" i="73"/>
  <c r="L93" i="73" s="1"/>
  <c r="J97" i="73"/>
  <c r="L97" i="73" s="1"/>
  <c r="J102" i="73"/>
  <c r="L102" i="73" s="1"/>
  <c r="J105" i="73"/>
  <c r="L105" i="73" s="1"/>
  <c r="J108" i="73"/>
  <c r="L108" i="73" s="1"/>
  <c r="J124" i="73"/>
  <c r="L124" i="73" s="1"/>
  <c r="J128" i="73"/>
  <c r="L128" i="73" s="1"/>
  <c r="J151" i="73"/>
  <c r="L151" i="73" s="1"/>
  <c r="J159" i="73"/>
  <c r="L159" i="73" s="1"/>
  <c r="J163" i="73"/>
  <c r="L163" i="73" s="1"/>
  <c r="J26" i="74"/>
  <c r="L26" i="74" s="1"/>
  <c r="J28" i="74"/>
  <c r="L28" i="74" s="1"/>
  <c r="J36" i="74"/>
  <c r="L36" i="74" s="1"/>
  <c r="J59" i="74"/>
  <c r="L59" i="74" s="1"/>
  <c r="J64" i="74"/>
  <c r="L64" i="74" s="1"/>
  <c r="J68" i="74"/>
  <c r="L68" i="74" s="1"/>
  <c r="J72" i="74"/>
  <c r="J84" i="74"/>
  <c r="J93" i="74"/>
  <c r="L93" i="74" s="1"/>
  <c r="J97" i="74"/>
  <c r="L97" i="74" s="1"/>
  <c r="J102" i="74"/>
  <c r="L102" i="74" s="1"/>
  <c r="J105" i="74"/>
  <c r="J114" i="74"/>
  <c r="L114" i="74" s="1"/>
  <c r="J118" i="74"/>
  <c r="L118" i="74" s="1"/>
  <c r="J123" i="74"/>
  <c r="J126" i="74"/>
  <c r="J129" i="74"/>
  <c r="L129" i="74" s="1"/>
  <c r="J134" i="74"/>
  <c r="L134" i="74" s="1"/>
  <c r="J138" i="74"/>
  <c r="J147" i="74"/>
  <c r="J151" i="74"/>
  <c r="J4" i="74"/>
  <c r="L4" i="74" s="1"/>
  <c r="J5" i="74"/>
  <c r="L5" i="74" s="1"/>
  <c r="J8" i="74"/>
  <c r="L8" i="74" s="1"/>
  <c r="J9" i="74"/>
  <c r="L9" i="74" s="1"/>
  <c r="J14" i="74"/>
  <c r="L14" i="74" s="1"/>
  <c r="J16" i="74"/>
  <c r="L16" i="74" s="1"/>
  <c r="J20" i="74"/>
  <c r="L20" i="74" s="1"/>
  <c r="J30" i="74"/>
  <c r="L30" i="74" s="1"/>
  <c r="J41" i="74"/>
  <c r="L41" i="74" s="1"/>
  <c r="J46" i="74"/>
  <c r="L46" i="74" s="1"/>
  <c r="J51" i="74"/>
  <c r="L51" i="74" s="1"/>
  <c r="J53" i="74"/>
  <c r="L53" i="74" s="1"/>
  <c r="J69" i="74"/>
  <c r="L69" i="74" s="1"/>
  <c r="J73" i="74"/>
  <c r="L73" i="74" s="1"/>
  <c r="J81" i="74"/>
  <c r="L81" i="74" s="1"/>
  <c r="J85" i="74"/>
  <c r="L85" i="74" s="1"/>
  <c r="J90" i="74"/>
  <c r="L90" i="74" s="1"/>
  <c r="J94" i="74"/>
  <c r="J103" i="74"/>
  <c r="L103" i="74" s="1"/>
  <c r="J106" i="74"/>
  <c r="L106" i="74" s="1"/>
  <c r="J115" i="74"/>
  <c r="L115" i="74" s="1"/>
  <c r="J119" i="74"/>
  <c r="L119" i="74" s="1"/>
  <c r="J127" i="74"/>
  <c r="L127" i="74" s="1"/>
  <c r="J130" i="74"/>
  <c r="L130" i="74" s="1"/>
  <c r="J135" i="74"/>
  <c r="J139" i="74"/>
  <c r="J148" i="74"/>
  <c r="J152" i="74"/>
  <c r="J157" i="74"/>
  <c r="J161" i="74"/>
  <c r="J18" i="74"/>
  <c r="L18" i="74" s="1"/>
  <c r="J25" i="74"/>
  <c r="L25" i="74" s="1"/>
  <c r="J27" i="74"/>
  <c r="L27" i="74" s="1"/>
  <c r="J37" i="74"/>
  <c r="L37" i="74" s="1"/>
  <c r="J60" i="74"/>
  <c r="L60" i="74" s="1"/>
  <c r="J70" i="74"/>
  <c r="L70" i="74" s="1"/>
  <c r="J74" i="74"/>
  <c r="L74" i="74" s="1"/>
  <c r="J79" i="74"/>
  <c r="J82" i="74"/>
  <c r="L82" i="74" s="1"/>
  <c r="J86" i="74"/>
  <c r="L86" i="74" s="1"/>
  <c r="J91" i="74"/>
  <c r="L91" i="74" s="1"/>
  <c r="J95" i="74"/>
  <c r="L95" i="74" s="1"/>
  <c r="J107" i="74"/>
  <c r="L107" i="74" s="1"/>
  <c r="J112" i="74"/>
  <c r="L112" i="74" s="1"/>
  <c r="J116" i="74"/>
  <c r="L116" i="74" s="1"/>
  <c r="J136" i="74"/>
  <c r="J140" i="74"/>
  <c r="J145" i="74"/>
  <c r="J149" i="74"/>
  <c r="L61" i="74"/>
  <c r="L72" i="74"/>
  <c r="L84" i="74"/>
  <c r="L105" i="74"/>
  <c r="L123" i="74"/>
  <c r="L126" i="74"/>
  <c r="L138" i="74"/>
  <c r="L147" i="74"/>
  <c r="L151" i="74"/>
  <c r="L58" i="74"/>
  <c r="L94" i="74"/>
  <c r="L124" i="74"/>
  <c r="L135" i="74"/>
  <c r="L139" i="74"/>
  <c r="L148" i="74"/>
  <c r="L152" i="74"/>
  <c r="L157" i="74"/>
  <c r="L161" i="74"/>
  <c r="L79" i="74"/>
  <c r="L136" i="74"/>
  <c r="L140" i="74"/>
  <c r="L145" i="74"/>
  <c r="L149" i="74"/>
  <c r="L17" i="74"/>
  <c r="L19" i="74"/>
  <c r="L24" i="74"/>
  <c r="L47" i="74"/>
  <c r="L62" i="74"/>
  <c r="L71" i="74"/>
  <c r="L75" i="74"/>
  <c r="L83" i="74"/>
  <c r="L108" i="74"/>
  <c r="L137" i="74"/>
  <c r="L141" i="74"/>
  <c r="L146" i="74"/>
  <c r="L150" i="74"/>
  <c r="L159" i="74"/>
  <c r="L163" i="74"/>
  <c r="J156" i="74"/>
  <c r="L156" i="74" s="1"/>
  <c r="J158" i="74"/>
  <c r="L158" i="74" s="1"/>
  <c r="J160" i="74"/>
  <c r="L160" i="74" s="1"/>
  <c r="J162" i="74"/>
  <c r="L162" i="74" s="1"/>
  <c r="L113" i="73"/>
  <c r="L116" i="73"/>
  <c r="L117" i="73"/>
  <c r="L129" i="73"/>
  <c r="L134" i="73"/>
  <c r="L137" i="73"/>
  <c r="L152" i="73"/>
  <c r="L95" i="73"/>
  <c r="L103" i="73"/>
  <c r="L114" i="73"/>
  <c r="L126" i="73"/>
  <c r="L130" i="73"/>
  <c r="L135" i="73"/>
  <c r="L146" i="73"/>
  <c r="L149" i="73"/>
  <c r="L14" i="73"/>
  <c r="L46" i="73"/>
  <c r="L112" i="73"/>
  <c r="J156" i="73"/>
  <c r="L156" i="73" s="1"/>
  <c r="J158" i="73"/>
  <c r="L158" i="73" s="1"/>
  <c r="J160" i="73"/>
  <c r="L160" i="73" s="1"/>
  <c r="J162" i="73"/>
  <c r="L162" i="73" s="1"/>
  <c r="P17" i="65"/>
  <c r="N18" i="66"/>
  <c r="BD30" i="71"/>
  <c r="M4" i="71"/>
  <c r="M2" i="71"/>
  <c r="BD32" i="71"/>
  <c r="AX22" i="71"/>
  <c r="AX26" i="71"/>
  <c r="AX27" i="71"/>
  <c r="BB27" i="71" s="1"/>
  <c r="AX28" i="71"/>
  <c r="BB28" i="71" s="1"/>
  <c r="AX29" i="71"/>
  <c r="BB29" i="71" s="1"/>
  <c r="AX30" i="71"/>
  <c r="BB30" i="71" s="1"/>
  <c r="AX31" i="71"/>
  <c r="BB31" i="71" s="1"/>
  <c r="AX32" i="71"/>
  <c r="BB32" i="71" s="1"/>
  <c r="AZ22" i="71"/>
  <c r="J4" i="67"/>
  <c r="L4" i="67" s="1"/>
  <c r="J5" i="67"/>
  <c r="L5" i="67" s="1"/>
  <c r="J8" i="67"/>
  <c r="L8" i="67" s="1"/>
  <c r="J9" i="67"/>
  <c r="L9" i="67" s="1"/>
  <c r="J14" i="67"/>
  <c r="L14" i="67" s="1"/>
  <c r="J24" i="67"/>
  <c r="L24" i="67" s="1"/>
  <c r="J26" i="67"/>
  <c r="L26" i="67" s="1"/>
  <c r="J28" i="67"/>
  <c r="L28" i="67" s="1"/>
  <c r="J30" i="67"/>
  <c r="L30" i="67" s="1"/>
  <c r="J41" i="67"/>
  <c r="L41" i="67" s="1"/>
  <c r="J58" i="67"/>
  <c r="L58" i="67" s="1"/>
  <c r="J60" i="67"/>
  <c r="L60" i="67" s="1"/>
  <c r="J62" i="67"/>
  <c r="L62" i="67" s="1"/>
  <c r="J64" i="67"/>
  <c r="L64" i="67" s="1"/>
  <c r="J70" i="67"/>
  <c r="L70" i="67" s="1"/>
  <c r="J152" i="67"/>
  <c r="L152" i="67" s="1"/>
  <c r="J18" i="67"/>
  <c r="L18" i="67" s="1"/>
  <c r="J20" i="67"/>
  <c r="L20" i="67" s="1"/>
  <c r="J36" i="67"/>
  <c r="L36" i="67" s="1"/>
  <c r="J38" i="67"/>
  <c r="L38" i="67" s="1"/>
  <c r="J47" i="67"/>
  <c r="L47" i="67" s="1"/>
  <c r="J49" i="67"/>
  <c r="L49" i="67" s="1"/>
  <c r="J51" i="67"/>
  <c r="L51" i="67" s="1"/>
  <c r="J53" i="67"/>
  <c r="L53" i="67" s="1"/>
  <c r="J74" i="67"/>
  <c r="L74" i="67" s="1"/>
  <c r="J75" i="67"/>
  <c r="L75" i="67" s="1"/>
  <c r="J79" i="67"/>
  <c r="L79" i="67" s="1"/>
  <c r="J80" i="67"/>
  <c r="L80" i="67" s="1"/>
  <c r="J83" i="67"/>
  <c r="L83" i="67" s="1"/>
  <c r="J84" i="67"/>
  <c r="L84" i="67" s="1"/>
  <c r="J92" i="67"/>
  <c r="J93" i="67"/>
  <c r="L93" i="67" s="1"/>
  <c r="J96" i="67"/>
  <c r="L96" i="67" s="1"/>
  <c r="J97" i="67"/>
  <c r="J101" i="67"/>
  <c r="L101" i="67" s="1"/>
  <c r="J102" i="67"/>
  <c r="L102" i="67" s="1"/>
  <c r="J105" i="67"/>
  <c r="L105" i="67" s="1"/>
  <c r="J106" i="67"/>
  <c r="J114" i="67"/>
  <c r="J115" i="67"/>
  <c r="L115" i="67" s="1"/>
  <c r="J118" i="67"/>
  <c r="L118" i="67" s="1"/>
  <c r="J119" i="67"/>
  <c r="L119" i="67" s="1"/>
  <c r="J123" i="67"/>
  <c r="J124" i="67"/>
  <c r="L124" i="67" s="1"/>
  <c r="J127" i="67"/>
  <c r="L127" i="67" s="1"/>
  <c r="J128" i="67"/>
  <c r="L128" i="67" s="1"/>
  <c r="J136" i="67"/>
  <c r="L136" i="67" s="1"/>
  <c r="J137" i="67"/>
  <c r="L137" i="67" s="1"/>
  <c r="J140" i="67"/>
  <c r="L140" i="67" s="1"/>
  <c r="J141" i="67"/>
  <c r="L141" i="67" s="1"/>
  <c r="J145" i="67"/>
  <c r="L145" i="67" s="1"/>
  <c r="J146" i="67"/>
  <c r="L146" i="67" s="1"/>
  <c r="J149" i="67"/>
  <c r="L149" i="67" s="1"/>
  <c r="J150" i="67"/>
  <c r="L150" i="67" s="1"/>
  <c r="J2" i="67"/>
  <c r="L2" i="67" s="1"/>
  <c r="J3" i="67"/>
  <c r="L3" i="67" s="1"/>
  <c r="J6" i="67"/>
  <c r="L6" i="67" s="1"/>
  <c r="J7" i="67"/>
  <c r="L7" i="67" s="1"/>
  <c r="J13" i="67"/>
  <c r="L13" i="67" s="1"/>
  <c r="J15" i="67"/>
  <c r="L15" i="67" s="1"/>
  <c r="J25" i="67"/>
  <c r="L25" i="67" s="1"/>
  <c r="J27" i="67"/>
  <c r="L27" i="67" s="1"/>
  <c r="J29" i="67"/>
  <c r="L29" i="67" s="1"/>
  <c r="J31" i="67"/>
  <c r="L31" i="67" s="1"/>
  <c r="J42" i="67"/>
  <c r="L42" i="67" s="1"/>
  <c r="J57" i="67"/>
  <c r="L57" i="67" s="1"/>
  <c r="J59" i="67"/>
  <c r="L59" i="67" s="1"/>
  <c r="J61" i="67"/>
  <c r="L61" i="67" s="1"/>
  <c r="J63" i="67"/>
  <c r="L63" i="67" s="1"/>
  <c r="J69" i="67"/>
  <c r="L69" i="67" s="1"/>
  <c r="J71" i="67"/>
  <c r="L71" i="67" s="1"/>
  <c r="J6" i="65"/>
  <c r="L6" i="65" s="1"/>
  <c r="J7" i="65"/>
  <c r="L7" i="65" s="1"/>
  <c r="J19" i="65"/>
  <c r="L19" i="65" s="1"/>
  <c r="J24" i="65"/>
  <c r="L24" i="65" s="1"/>
  <c r="J26" i="65"/>
  <c r="L26" i="65" s="1"/>
  <c r="J28" i="65"/>
  <c r="L28" i="65" s="1"/>
  <c r="J30" i="65"/>
  <c r="L30" i="65" s="1"/>
  <c r="J50" i="65"/>
  <c r="L50" i="65" s="1"/>
  <c r="J52" i="65"/>
  <c r="L52" i="65" s="1"/>
  <c r="J71" i="65"/>
  <c r="L71" i="65" s="1"/>
  <c r="J75" i="65"/>
  <c r="L75" i="65" s="1"/>
  <c r="J80" i="65"/>
  <c r="J84" i="65"/>
  <c r="L84" i="65" s="1"/>
  <c r="J93" i="65"/>
  <c r="L93" i="65" s="1"/>
  <c r="J97" i="65"/>
  <c r="L97" i="65" s="1"/>
  <c r="J102" i="65"/>
  <c r="L102" i="65" s="1"/>
  <c r="J106" i="65"/>
  <c r="L106" i="65" s="1"/>
  <c r="J115" i="65"/>
  <c r="L115" i="65" s="1"/>
  <c r="J119" i="65"/>
  <c r="L119" i="65" s="1"/>
  <c r="J124" i="65"/>
  <c r="L124" i="65" s="1"/>
  <c r="J128" i="65"/>
  <c r="L128" i="65" s="1"/>
  <c r="J137" i="65"/>
  <c r="L137" i="65" s="1"/>
  <c r="J141" i="65"/>
  <c r="J146" i="65"/>
  <c r="L146" i="65" s="1"/>
  <c r="J150" i="65"/>
  <c r="L150" i="65" s="1"/>
  <c r="J159" i="65"/>
  <c r="L159" i="65" s="1"/>
  <c r="J163" i="65"/>
  <c r="J4" i="65"/>
  <c r="L4" i="65" s="1"/>
  <c r="J36" i="65"/>
  <c r="L36" i="65" s="1"/>
  <c r="J38" i="65"/>
  <c r="L38" i="65" s="1"/>
  <c r="J40" i="65"/>
  <c r="L40" i="65" s="1"/>
  <c r="J42" i="65"/>
  <c r="L42" i="65" s="1"/>
  <c r="J58" i="65"/>
  <c r="L58" i="65" s="1"/>
  <c r="J60" i="65"/>
  <c r="J62" i="65"/>
  <c r="L62" i="65" s="1"/>
  <c r="J64" i="65"/>
  <c r="L64" i="65" s="1"/>
  <c r="J68" i="65"/>
  <c r="L68" i="65" s="1"/>
  <c r="J72" i="65"/>
  <c r="J81" i="65"/>
  <c r="L81" i="65" s="1"/>
  <c r="J85" i="65"/>
  <c r="L85" i="65" s="1"/>
  <c r="J90" i="65"/>
  <c r="L90" i="65" s="1"/>
  <c r="J5" i="65"/>
  <c r="L5" i="65" s="1"/>
  <c r="J9" i="65"/>
  <c r="L9" i="65" s="1"/>
  <c r="J15" i="65"/>
  <c r="L15" i="65" s="1"/>
  <c r="J18" i="65"/>
  <c r="L18" i="65" s="1"/>
  <c r="J20" i="65"/>
  <c r="L20" i="65" s="1"/>
  <c r="J25" i="65"/>
  <c r="L25" i="65" s="1"/>
  <c r="J27" i="65"/>
  <c r="L27" i="65" s="1"/>
  <c r="J29" i="65"/>
  <c r="L29" i="65" s="1"/>
  <c r="J31" i="65"/>
  <c r="L31" i="65" s="1"/>
  <c r="J46" i="65"/>
  <c r="J49" i="65"/>
  <c r="L49" i="65" s="1"/>
  <c r="J51" i="65"/>
  <c r="L51" i="65" s="1"/>
  <c r="J53" i="65"/>
  <c r="J69" i="65"/>
  <c r="L69" i="65" s="1"/>
  <c r="J73" i="65"/>
  <c r="L73" i="65" s="1"/>
  <c r="J82" i="65"/>
  <c r="L82" i="65" s="1"/>
  <c r="J91" i="65"/>
  <c r="J95" i="65"/>
  <c r="L95" i="65" s="1"/>
  <c r="J104" i="65"/>
  <c r="L104" i="65" s="1"/>
  <c r="J108" i="65"/>
  <c r="L108" i="65" s="1"/>
  <c r="J113" i="65"/>
  <c r="L113" i="65" s="1"/>
  <c r="J117" i="65"/>
  <c r="L117" i="65" s="1"/>
  <c r="J126" i="65"/>
  <c r="L126" i="65" s="1"/>
  <c r="J130" i="65"/>
  <c r="L130" i="65" s="1"/>
  <c r="J135" i="65"/>
  <c r="J139" i="65"/>
  <c r="L139" i="65" s="1"/>
  <c r="J148" i="65"/>
  <c r="L148" i="65" s="1"/>
  <c r="J152" i="65"/>
  <c r="J157" i="65"/>
  <c r="L157" i="65" s="1"/>
  <c r="J161" i="65"/>
  <c r="L161" i="65" s="1"/>
  <c r="J3" i="66"/>
  <c r="L3" i="66" s="1"/>
  <c r="J4" i="66"/>
  <c r="L4" i="66" s="1"/>
  <c r="J8" i="66"/>
  <c r="L8" i="66" s="1"/>
  <c r="J36" i="66"/>
  <c r="L36" i="66" s="1"/>
  <c r="J38" i="66"/>
  <c r="L38" i="66" s="1"/>
  <c r="J40" i="66"/>
  <c r="L40" i="66" s="1"/>
  <c r="J42" i="66"/>
  <c r="J82" i="66"/>
  <c r="L82" i="66" s="1"/>
  <c r="J86" i="66"/>
  <c r="L86" i="66" s="1"/>
  <c r="J91" i="66"/>
  <c r="L91" i="66" s="1"/>
  <c r="J95" i="66"/>
  <c r="J5" i="66"/>
  <c r="L5" i="66" s="1"/>
  <c r="J9" i="66"/>
  <c r="L9" i="66" s="1"/>
  <c r="J14" i="66"/>
  <c r="L14" i="66" s="1"/>
  <c r="J16" i="66"/>
  <c r="L16" i="66" s="1"/>
  <c r="J18" i="66"/>
  <c r="L18" i="66" s="1"/>
  <c r="J20" i="66"/>
  <c r="L20" i="66" s="1"/>
  <c r="J25" i="66"/>
  <c r="L25" i="66" s="1"/>
  <c r="J27" i="66"/>
  <c r="L27" i="66" s="1"/>
  <c r="J29" i="66"/>
  <c r="L29" i="66" s="1"/>
  <c r="J31" i="66"/>
  <c r="L31" i="66" s="1"/>
  <c r="J46" i="66"/>
  <c r="L46" i="66" s="1"/>
  <c r="J48" i="66"/>
  <c r="L48" i="66" s="1"/>
  <c r="J50" i="66"/>
  <c r="L50" i="66" s="1"/>
  <c r="J52" i="66"/>
  <c r="L52" i="66" s="1"/>
  <c r="J71" i="66"/>
  <c r="L71" i="66" s="1"/>
  <c r="J92" i="66"/>
  <c r="J96" i="66"/>
  <c r="L96" i="66" s="1"/>
  <c r="J101" i="66"/>
  <c r="J105" i="66"/>
  <c r="J2" i="66"/>
  <c r="L2" i="66" s="1"/>
  <c r="J35" i="66"/>
  <c r="L35" i="66" s="1"/>
  <c r="J39" i="66"/>
  <c r="L39" i="66" s="1"/>
  <c r="J58" i="66"/>
  <c r="L58" i="66" s="1"/>
  <c r="J60" i="66"/>
  <c r="L60" i="66" s="1"/>
  <c r="J62" i="66"/>
  <c r="L62" i="66" s="1"/>
  <c r="J75" i="66"/>
  <c r="J102" i="66"/>
  <c r="J106" i="66"/>
  <c r="J115" i="66"/>
  <c r="J119" i="66"/>
  <c r="J124" i="66"/>
  <c r="J128" i="66"/>
  <c r="J137" i="66"/>
  <c r="J141" i="66"/>
  <c r="J146" i="66"/>
  <c r="J150" i="66"/>
  <c r="J159" i="66"/>
  <c r="J163" i="66"/>
  <c r="L163" i="66" s="1"/>
  <c r="J75" i="63"/>
  <c r="L75" i="63" s="1"/>
  <c r="J80" i="63"/>
  <c r="L80" i="63" s="1"/>
  <c r="J84" i="63"/>
  <c r="L84" i="63" s="1"/>
  <c r="J93" i="63"/>
  <c r="J97" i="63"/>
  <c r="L97" i="63" s="1"/>
  <c r="J102" i="63"/>
  <c r="L102" i="63" s="1"/>
  <c r="J106" i="63"/>
  <c r="L106" i="63" s="1"/>
  <c r="J124" i="63"/>
  <c r="L124" i="63" s="1"/>
  <c r="J128" i="63"/>
  <c r="L128" i="63" s="1"/>
  <c r="J137" i="63"/>
  <c r="J141" i="63"/>
  <c r="L141" i="63" s="1"/>
  <c r="J146" i="63"/>
  <c r="L146" i="63" s="1"/>
  <c r="J150" i="63"/>
  <c r="J159" i="63"/>
  <c r="J49" i="63"/>
  <c r="L49" i="63" s="1"/>
  <c r="J53" i="63"/>
  <c r="L53" i="63" s="1"/>
  <c r="J68" i="63"/>
  <c r="L68" i="63" s="1"/>
  <c r="J70" i="63"/>
  <c r="L70" i="63" s="1"/>
  <c r="J72" i="63"/>
  <c r="L72" i="63" s="1"/>
  <c r="J81" i="63"/>
  <c r="J85" i="63"/>
  <c r="L85" i="63" s="1"/>
  <c r="J90" i="63"/>
  <c r="L90" i="63" s="1"/>
  <c r="J94" i="63"/>
  <c r="J103" i="63"/>
  <c r="L103" i="63" s="1"/>
  <c r="J112" i="63"/>
  <c r="J116" i="63"/>
  <c r="J125" i="63"/>
  <c r="J129" i="63"/>
  <c r="L129" i="63" s="1"/>
  <c r="J134" i="63"/>
  <c r="L134" i="63" s="1"/>
  <c r="J138" i="63"/>
  <c r="J147" i="63"/>
  <c r="J156" i="63"/>
  <c r="L156" i="63" s="1"/>
  <c r="J160" i="63"/>
  <c r="J13" i="63"/>
  <c r="L13" i="63" s="1"/>
  <c r="J4" i="63"/>
  <c r="L4" i="63" s="1"/>
  <c r="J15" i="63"/>
  <c r="L15" i="63" s="1"/>
  <c r="J17" i="63"/>
  <c r="L17" i="63" s="1"/>
  <c r="J5" i="63"/>
  <c r="L5" i="63" s="1"/>
  <c r="J8" i="63"/>
  <c r="L8" i="63" s="1"/>
  <c r="J25" i="63"/>
  <c r="L25" i="63" s="1"/>
  <c r="J29" i="63"/>
  <c r="L29" i="63" s="1"/>
  <c r="J74" i="63"/>
  <c r="L74" i="63" s="1"/>
  <c r="J79" i="63"/>
  <c r="L79" i="63" s="1"/>
  <c r="J92" i="63"/>
  <c r="L92" i="63" s="1"/>
  <c r="J96" i="63"/>
  <c r="L96" i="63" s="1"/>
  <c r="J101" i="63"/>
  <c r="L101" i="63" s="1"/>
  <c r="J105" i="63"/>
  <c r="L105" i="63" s="1"/>
  <c r="J114" i="63"/>
  <c r="L114" i="63" s="1"/>
  <c r="J118" i="63"/>
  <c r="J123" i="63"/>
  <c r="L123" i="63" s="1"/>
  <c r="J136" i="63"/>
  <c r="L136" i="63" s="1"/>
  <c r="J140" i="63"/>
  <c r="J145" i="63"/>
  <c r="L145" i="63" s="1"/>
  <c r="J149" i="63"/>
  <c r="L149" i="63" s="1"/>
  <c r="J158" i="63"/>
  <c r="L158" i="63" s="1"/>
  <c r="J162" i="63"/>
  <c r="L162" i="63" s="1"/>
  <c r="L46" i="67"/>
  <c r="L108" i="67"/>
  <c r="L107" i="67"/>
  <c r="J86" i="67"/>
  <c r="L86" i="67" s="1"/>
  <c r="L97" i="67"/>
  <c r="L106" i="67"/>
  <c r="L114" i="67"/>
  <c r="L123" i="67"/>
  <c r="L92" i="67"/>
  <c r="J95" i="67"/>
  <c r="L95" i="67" s="1"/>
  <c r="J157" i="67"/>
  <c r="L157" i="67" s="1"/>
  <c r="J159" i="67"/>
  <c r="L159" i="67" s="1"/>
  <c r="J161" i="67"/>
  <c r="L161" i="67" s="1"/>
  <c r="J163" i="67"/>
  <c r="L163" i="67" s="1"/>
  <c r="J156" i="67"/>
  <c r="L156" i="67" s="1"/>
  <c r="J158" i="67"/>
  <c r="L158" i="67" s="1"/>
  <c r="J160" i="67"/>
  <c r="L160" i="67" s="1"/>
  <c r="J162" i="67"/>
  <c r="L162" i="67" s="1"/>
  <c r="D100" i="66"/>
  <c r="H100" i="66"/>
  <c r="H122" i="66" s="1"/>
  <c r="H133" i="66" s="1"/>
  <c r="H144" i="66" s="1"/>
  <c r="H155" i="66" s="1"/>
  <c r="H166" i="66" s="1"/>
  <c r="L42" i="66"/>
  <c r="L19" i="66"/>
  <c r="L24" i="66"/>
  <c r="L26" i="66"/>
  <c r="L30" i="66"/>
  <c r="J7" i="66"/>
  <c r="L7" i="66" s="1"/>
  <c r="L75" i="66"/>
  <c r="J37" i="66"/>
  <c r="L37" i="66" s="1"/>
  <c r="J41" i="66"/>
  <c r="L41" i="66" s="1"/>
  <c r="J49" i="66"/>
  <c r="L49" i="66" s="1"/>
  <c r="J53" i="66"/>
  <c r="L53" i="66" s="1"/>
  <c r="J57" i="66"/>
  <c r="L57" i="66" s="1"/>
  <c r="J61" i="66"/>
  <c r="L61" i="66" s="1"/>
  <c r="J59" i="66"/>
  <c r="L59" i="66" s="1"/>
  <c r="J63" i="66"/>
  <c r="L63" i="66" s="1"/>
  <c r="J69" i="66"/>
  <c r="L69" i="66" s="1"/>
  <c r="J73" i="66"/>
  <c r="L73" i="66" s="1"/>
  <c r="J79" i="66"/>
  <c r="L79" i="66" s="1"/>
  <c r="J83" i="66"/>
  <c r="L83" i="66" s="1"/>
  <c r="J93" i="66"/>
  <c r="J97" i="66"/>
  <c r="L97" i="66" s="1"/>
  <c r="J103" i="66"/>
  <c r="J107" i="66"/>
  <c r="J113" i="66"/>
  <c r="J117" i="66"/>
  <c r="J126" i="66"/>
  <c r="J130" i="66"/>
  <c r="J135" i="66"/>
  <c r="J139" i="66"/>
  <c r="J148" i="66"/>
  <c r="J152" i="66"/>
  <c r="L152" i="66" s="1"/>
  <c r="J157" i="66"/>
  <c r="J161" i="66"/>
  <c r="J68" i="66"/>
  <c r="L68" i="66" s="1"/>
  <c r="J72" i="66"/>
  <c r="L72" i="66" s="1"/>
  <c r="J112" i="66"/>
  <c r="J116" i="66"/>
  <c r="J125" i="66"/>
  <c r="J129" i="66"/>
  <c r="J134" i="66"/>
  <c r="J138" i="66"/>
  <c r="J147" i="66"/>
  <c r="J151" i="66"/>
  <c r="J156" i="66"/>
  <c r="J160" i="66"/>
  <c r="J64" i="66"/>
  <c r="L64" i="66" s="1"/>
  <c r="J70" i="66"/>
  <c r="L70" i="66" s="1"/>
  <c r="J74" i="66"/>
  <c r="L74" i="66" s="1"/>
  <c r="J80" i="66"/>
  <c r="L80" i="66" s="1"/>
  <c r="J84" i="66"/>
  <c r="L84" i="66" s="1"/>
  <c r="J90" i="66"/>
  <c r="L90" i="66" s="1"/>
  <c r="J94" i="66"/>
  <c r="J104" i="66"/>
  <c r="J108" i="66"/>
  <c r="L108" i="66" s="1"/>
  <c r="J114" i="66"/>
  <c r="J118" i="66"/>
  <c r="J123" i="66"/>
  <c r="J127" i="66"/>
  <c r="J136" i="66"/>
  <c r="J140" i="66"/>
  <c r="J145" i="66"/>
  <c r="J149" i="66"/>
  <c r="J158" i="66"/>
  <c r="J162" i="66"/>
  <c r="L60" i="65"/>
  <c r="L46" i="65"/>
  <c r="L53" i="65"/>
  <c r="L72" i="65"/>
  <c r="L152" i="65"/>
  <c r="J3" i="65"/>
  <c r="L3" i="65" s="1"/>
  <c r="L80" i="65"/>
  <c r="L91" i="65"/>
  <c r="L141" i="65"/>
  <c r="J74" i="65"/>
  <c r="L74" i="65" s="1"/>
  <c r="J86" i="65"/>
  <c r="L86" i="65" s="1"/>
  <c r="L135" i="65"/>
  <c r="L163" i="65"/>
  <c r="J94" i="65"/>
  <c r="L94" i="65" s="1"/>
  <c r="J96" i="65"/>
  <c r="L96" i="65" s="1"/>
  <c r="J101" i="65"/>
  <c r="L101" i="65" s="1"/>
  <c r="J103" i="65"/>
  <c r="L103" i="65" s="1"/>
  <c r="J105" i="65"/>
  <c r="L105" i="65" s="1"/>
  <c r="J107" i="65"/>
  <c r="L107" i="65" s="1"/>
  <c r="J112" i="65"/>
  <c r="L112" i="65" s="1"/>
  <c r="J114" i="65"/>
  <c r="L114" i="65" s="1"/>
  <c r="J116" i="65"/>
  <c r="L116" i="65" s="1"/>
  <c r="J118" i="65"/>
  <c r="L118" i="65" s="1"/>
  <c r="J123" i="65"/>
  <c r="L123" i="65" s="1"/>
  <c r="J125" i="65"/>
  <c r="L125" i="65" s="1"/>
  <c r="J127" i="65"/>
  <c r="L127" i="65" s="1"/>
  <c r="J129" i="65"/>
  <c r="L129" i="65" s="1"/>
  <c r="J134" i="65"/>
  <c r="L134" i="65" s="1"/>
  <c r="J136" i="65"/>
  <c r="L136" i="65" s="1"/>
  <c r="J138" i="65"/>
  <c r="L138" i="65" s="1"/>
  <c r="J140" i="65"/>
  <c r="L140" i="65" s="1"/>
  <c r="J145" i="65"/>
  <c r="L145" i="65" s="1"/>
  <c r="J147" i="65"/>
  <c r="L147" i="65" s="1"/>
  <c r="J149" i="65"/>
  <c r="L149" i="65" s="1"/>
  <c r="J151" i="65"/>
  <c r="L151" i="65" s="1"/>
  <c r="J156" i="65"/>
  <c r="L156" i="65" s="1"/>
  <c r="J158" i="65"/>
  <c r="L158" i="65" s="1"/>
  <c r="J160" i="65"/>
  <c r="L160" i="65" s="1"/>
  <c r="J162" i="65"/>
  <c r="L162" i="65" s="1"/>
  <c r="L61" i="63"/>
  <c r="L95" i="63"/>
  <c r="L130" i="63"/>
  <c r="D166" i="63"/>
  <c r="L37" i="63"/>
  <c r="L41" i="63"/>
  <c r="L159" i="63"/>
  <c r="L81" i="63"/>
  <c r="L152" i="63"/>
  <c r="J3" i="63"/>
  <c r="L3" i="63" s="1"/>
  <c r="J20" i="63"/>
  <c r="L20" i="63" s="1"/>
  <c r="J24" i="63"/>
  <c r="L24" i="63" s="1"/>
  <c r="J28" i="63"/>
  <c r="L28" i="63" s="1"/>
  <c r="J36" i="63"/>
  <c r="L36" i="63" s="1"/>
  <c r="J40" i="63"/>
  <c r="L40" i="63" s="1"/>
  <c r="J48" i="63"/>
  <c r="L48" i="63" s="1"/>
  <c r="J52" i="63"/>
  <c r="L52" i="63" s="1"/>
  <c r="J60" i="63"/>
  <c r="L60" i="63" s="1"/>
  <c r="J64" i="63"/>
  <c r="L64" i="63" s="1"/>
  <c r="L93" i="63"/>
  <c r="J115" i="63"/>
  <c r="L115" i="63" s="1"/>
  <c r="J135" i="63"/>
  <c r="L135" i="63" s="1"/>
  <c r="L157" i="63"/>
  <c r="J19" i="63"/>
  <c r="L19" i="63" s="1"/>
  <c r="J27" i="63"/>
  <c r="L27" i="63" s="1"/>
  <c r="J31" i="63"/>
  <c r="L31" i="63" s="1"/>
  <c r="J35" i="63"/>
  <c r="L35" i="63" s="1"/>
  <c r="J39" i="63"/>
  <c r="L39" i="63" s="1"/>
  <c r="J47" i="63"/>
  <c r="L47" i="63" s="1"/>
  <c r="J51" i="63"/>
  <c r="L51" i="63" s="1"/>
  <c r="J59" i="63"/>
  <c r="L59" i="63" s="1"/>
  <c r="J63" i="63"/>
  <c r="L63" i="63" s="1"/>
  <c r="J69" i="63"/>
  <c r="L69" i="63" s="1"/>
  <c r="J71" i="63"/>
  <c r="L71" i="63" s="1"/>
  <c r="J91" i="63"/>
  <c r="L91" i="63" s="1"/>
  <c r="J127" i="63"/>
  <c r="L148" i="63"/>
  <c r="J151" i="63"/>
  <c r="L151" i="63" s="1"/>
  <c r="J163" i="63"/>
  <c r="J18" i="63"/>
  <c r="L18" i="63" s="1"/>
  <c r="J26" i="63"/>
  <c r="L26" i="63" s="1"/>
  <c r="J30" i="63"/>
  <c r="L30" i="63" s="1"/>
  <c r="J38" i="63"/>
  <c r="L38" i="63" s="1"/>
  <c r="J42" i="63"/>
  <c r="L42" i="63" s="1"/>
  <c r="J46" i="63"/>
  <c r="L46" i="63" s="1"/>
  <c r="J50" i="63"/>
  <c r="L50" i="63" s="1"/>
  <c r="J58" i="63"/>
  <c r="L58" i="63" s="1"/>
  <c r="J62" i="63"/>
  <c r="L62" i="63" s="1"/>
  <c r="J83" i="63"/>
  <c r="L83" i="63" s="1"/>
  <c r="J107" i="63"/>
  <c r="L107" i="63" s="1"/>
  <c r="J119" i="63"/>
  <c r="L119" i="63" s="1"/>
  <c r="J139" i="63"/>
  <c r="L161" i="63"/>
  <c r="AN24" i="65" l="1"/>
  <c r="E26" i="76" s="1"/>
  <c r="AL28" i="67"/>
  <c r="C7" i="76" s="1"/>
  <c r="C18" i="76" s="1"/>
  <c r="C2" i="76"/>
  <c r="B28" i="76"/>
  <c r="AL30" i="63"/>
  <c r="B9" i="77" s="1"/>
  <c r="AL31" i="63"/>
  <c r="B10" i="76" s="1"/>
  <c r="AL25" i="63"/>
  <c r="B4" i="77" s="1"/>
  <c r="AG28" i="74"/>
  <c r="D31" i="77" s="1"/>
  <c r="H31" i="77" s="1"/>
  <c r="AG25" i="74"/>
  <c r="D28" i="77" s="1"/>
  <c r="H28" i="77" s="1"/>
  <c r="D26" i="77"/>
  <c r="H26" i="77" s="1"/>
  <c r="AL29" i="66"/>
  <c r="D8" i="76" s="1"/>
  <c r="AL26" i="67"/>
  <c r="C5" i="76" s="1"/>
  <c r="C16" i="76" s="1"/>
  <c r="B2" i="76"/>
  <c r="AL27" i="63"/>
  <c r="B6" i="76" s="1"/>
  <c r="AL28" i="63"/>
  <c r="B7" i="76" s="1"/>
  <c r="AL24" i="63"/>
  <c r="B3" i="76" s="1"/>
  <c r="AE27" i="73"/>
  <c r="AE29" i="73"/>
  <c r="AE25" i="73"/>
  <c r="AE28" i="73"/>
  <c r="AG24" i="74"/>
  <c r="D27" i="77" s="1"/>
  <c r="H27" i="77" s="1"/>
  <c r="AG26" i="74"/>
  <c r="D29" i="77" s="1"/>
  <c r="G29" i="77" s="1"/>
  <c r="AG27" i="74"/>
  <c r="D30" i="77" s="1"/>
  <c r="H30" i="77" s="1"/>
  <c r="AN27" i="65"/>
  <c r="E29" i="76" s="1"/>
  <c r="AN23" i="65"/>
  <c r="E25" i="76" s="1"/>
  <c r="AN28" i="65"/>
  <c r="E30" i="76" s="1"/>
  <c r="I30" i="76" s="1"/>
  <c r="AN26" i="65"/>
  <c r="E28" i="76" s="1"/>
  <c r="P16" i="71"/>
  <c r="N16" i="71"/>
  <c r="U16" i="71" s="1"/>
  <c r="M17" i="71"/>
  <c r="T17" i="71" s="1"/>
  <c r="BD31" i="71"/>
  <c r="M7" i="71"/>
  <c r="T7" i="71" s="1"/>
  <c r="Q6" i="71"/>
  <c r="X6" i="71" s="1"/>
  <c r="O6" i="71"/>
  <c r="BD29" i="71"/>
  <c r="O1" i="71"/>
  <c r="D19" i="76"/>
  <c r="Q5" i="76"/>
  <c r="AL24" i="66"/>
  <c r="D3" i="76" s="1"/>
  <c r="D14" i="76" s="1"/>
  <c r="AN24" i="66"/>
  <c r="D26" i="76" s="1"/>
  <c r="AL25" i="66"/>
  <c r="D4" i="76" s="1"/>
  <c r="AN26" i="66"/>
  <c r="D28" i="76" s="1"/>
  <c r="H28" i="76" s="1"/>
  <c r="AL29" i="67"/>
  <c r="C8" i="76" s="1"/>
  <c r="AL25" i="67"/>
  <c r="C4" i="76" s="1"/>
  <c r="B27" i="77"/>
  <c r="B26" i="76"/>
  <c r="B30" i="77"/>
  <c r="B29" i="76"/>
  <c r="B26" i="77"/>
  <c r="B25" i="76"/>
  <c r="F31" i="77"/>
  <c r="G28" i="76"/>
  <c r="AL26" i="63"/>
  <c r="B5" i="76" s="1"/>
  <c r="G30" i="76"/>
  <c r="H30" i="76"/>
  <c r="F29" i="77"/>
  <c r="B28" i="77"/>
  <c r="B27" i="76"/>
  <c r="K8" i="79"/>
  <c r="Q6" i="79"/>
  <c r="AE27" i="74"/>
  <c r="AE23" i="74"/>
  <c r="AE29" i="74"/>
  <c r="AE31" i="74"/>
  <c r="AE25" i="74"/>
  <c r="AE26" i="74"/>
  <c r="AE24" i="74"/>
  <c r="AE26" i="73"/>
  <c r="AE24" i="73"/>
  <c r="AE31" i="73"/>
  <c r="AE30" i="73"/>
  <c r="AL24" i="65"/>
  <c r="E3" i="76" s="1"/>
  <c r="E14" i="76" s="1"/>
  <c r="AL23" i="66"/>
  <c r="D2" i="76" s="1"/>
  <c r="AL27" i="66"/>
  <c r="D6" i="76" s="1"/>
  <c r="AL28" i="66"/>
  <c r="D7" i="76" s="1"/>
  <c r="D18" i="76" s="1"/>
  <c r="AL31" i="66"/>
  <c r="D10" i="76" s="1"/>
  <c r="AL27" i="67"/>
  <c r="C6" i="76" s="1"/>
  <c r="AL31" i="67"/>
  <c r="C10" i="76" s="1"/>
  <c r="AL30" i="67"/>
  <c r="C9" i="76" s="1"/>
  <c r="AL24" i="67"/>
  <c r="C3" i="76" s="1"/>
  <c r="C14" i="76" s="1"/>
  <c r="AL29" i="63"/>
  <c r="B8" i="76" s="1"/>
  <c r="B9" i="76"/>
  <c r="AE28" i="74"/>
  <c r="AE30" i="74"/>
  <c r="AL27" i="65"/>
  <c r="E6" i="76" s="1"/>
  <c r="AL28" i="65"/>
  <c r="E7" i="76" s="1"/>
  <c r="E18" i="76" s="1"/>
  <c r="AL25" i="65"/>
  <c r="E4" i="76" s="1"/>
  <c r="AL23" i="65"/>
  <c r="E2" i="76" s="1"/>
  <c r="AL26" i="65"/>
  <c r="E5" i="76" s="1"/>
  <c r="E16" i="76" s="1"/>
  <c r="AL29" i="65"/>
  <c r="E8" i="76" s="1"/>
  <c r="AL31" i="65"/>
  <c r="E10" i="76" s="1"/>
  <c r="AL30" i="65"/>
  <c r="E9" i="76" s="1"/>
  <c r="D16" i="76"/>
  <c r="H16" i="76" s="1"/>
  <c r="AL30" i="66"/>
  <c r="D9" i="76" s="1"/>
  <c r="E78" i="78"/>
  <c r="AB30" i="78"/>
  <c r="AB24" i="78"/>
  <c r="AB23" i="78"/>
  <c r="AB27" i="78"/>
  <c r="AB25" i="78"/>
  <c r="AB31" i="78"/>
  <c r="AB28" i="78"/>
  <c r="AB26" i="78"/>
  <c r="AB29" i="78"/>
  <c r="L95" i="66"/>
  <c r="L116" i="63"/>
  <c r="L139" i="63"/>
  <c r="L163" i="63"/>
  <c r="L127" i="63"/>
  <c r="L140" i="63"/>
  <c r="L112" i="63"/>
  <c r="L137" i="63"/>
  <c r="L126" i="63"/>
  <c r="L118" i="63"/>
  <c r="L160" i="63"/>
  <c r="L150" i="63"/>
  <c r="L125" i="63"/>
  <c r="L113" i="63"/>
  <c r="L147" i="63"/>
  <c r="L117" i="63"/>
  <c r="BB26" i="71"/>
  <c r="BC26" i="71"/>
  <c r="BC32" i="71"/>
  <c r="L94" i="66"/>
  <c r="L112" i="66"/>
  <c r="L113" i="66"/>
  <c r="L93" i="66"/>
  <c r="L103" i="66"/>
  <c r="L102" i="66"/>
  <c r="E122" i="66"/>
  <c r="L114" i="66"/>
  <c r="L107" i="66"/>
  <c r="L101" i="66"/>
  <c r="L92" i="66"/>
  <c r="L104" i="66"/>
  <c r="L116" i="66"/>
  <c r="L117" i="66"/>
  <c r="L138" i="63"/>
  <c r="L94" i="63"/>
  <c r="G31" i="77" l="1"/>
  <c r="H29" i="77"/>
  <c r="I28" i="76"/>
  <c r="B6" i="77"/>
  <c r="B10" i="77"/>
  <c r="B4" i="76"/>
  <c r="B15" i="76" s="1"/>
  <c r="B2" i="77"/>
  <c r="B5" i="77"/>
  <c r="M3" i="77" s="1"/>
  <c r="B3" i="77"/>
  <c r="B7" i="77"/>
  <c r="E19" i="76"/>
  <c r="R5" i="76"/>
  <c r="I6" i="76"/>
  <c r="E17" i="76"/>
  <c r="R4" i="76"/>
  <c r="E13" i="76"/>
  <c r="R3" i="76"/>
  <c r="E15" i="76"/>
  <c r="W16" i="71"/>
  <c r="P1" i="71"/>
  <c r="N1" i="71"/>
  <c r="V6" i="71"/>
  <c r="P6" i="71"/>
  <c r="N6" i="71"/>
  <c r="U6" i="71" s="1"/>
  <c r="D17" i="76"/>
  <c r="Q4" i="76"/>
  <c r="Q2" i="76"/>
  <c r="D13" i="76"/>
  <c r="Q3" i="76"/>
  <c r="D15" i="76"/>
  <c r="G9" i="76"/>
  <c r="C19" i="76"/>
  <c r="P5" i="76"/>
  <c r="C17" i="76"/>
  <c r="C15" i="76"/>
  <c r="P3" i="76"/>
  <c r="G10" i="76"/>
  <c r="B16" i="76"/>
  <c r="G5" i="76"/>
  <c r="O5" i="76"/>
  <c r="G8" i="76"/>
  <c r="I29" i="76"/>
  <c r="G29" i="76"/>
  <c r="H29" i="76"/>
  <c r="B13" i="76"/>
  <c r="G2" i="76"/>
  <c r="I27" i="76"/>
  <c r="G27" i="76"/>
  <c r="H27" i="76"/>
  <c r="G30" i="77"/>
  <c r="F30" i="77"/>
  <c r="H7" i="76"/>
  <c r="F28" i="77"/>
  <c r="G28" i="77"/>
  <c r="I25" i="76"/>
  <c r="H25" i="76"/>
  <c r="G26" i="76"/>
  <c r="I26" i="76"/>
  <c r="H26" i="76"/>
  <c r="O4" i="76"/>
  <c r="B17" i="76"/>
  <c r="G6" i="76"/>
  <c r="H3" i="76"/>
  <c r="B14" i="76"/>
  <c r="G3" i="76"/>
  <c r="B18" i="76"/>
  <c r="G7" i="76"/>
  <c r="G26" i="77"/>
  <c r="F26" i="77"/>
  <c r="F27" i="77"/>
  <c r="G27" i="77"/>
  <c r="X6" i="79"/>
  <c r="P6" i="79"/>
  <c r="W6" i="79" s="1"/>
  <c r="H10" i="76"/>
  <c r="I3" i="76"/>
  <c r="H8" i="76"/>
  <c r="B8" i="77"/>
  <c r="M5" i="77" s="1"/>
  <c r="H6" i="76"/>
  <c r="I10" i="76"/>
  <c r="H2" i="76"/>
  <c r="H9" i="76"/>
  <c r="I5" i="76"/>
  <c r="I9" i="76"/>
  <c r="I7" i="76"/>
  <c r="I2" i="76"/>
  <c r="I8" i="76"/>
  <c r="H5" i="76"/>
  <c r="E89" i="78"/>
  <c r="AC25" i="78"/>
  <c r="AC29" i="78"/>
  <c r="AC31" i="78"/>
  <c r="AC26" i="78"/>
  <c r="AC30" i="78"/>
  <c r="AC24" i="78"/>
  <c r="AC28" i="78"/>
  <c r="AC23" i="78"/>
  <c r="AC27" i="78"/>
  <c r="D122" i="66"/>
  <c r="L118" i="66" s="1"/>
  <c r="L106" i="66"/>
  <c r="L105" i="66"/>
  <c r="E133" i="66"/>
  <c r="L115" i="66"/>
  <c r="G4" i="76" l="1"/>
  <c r="M4" i="77"/>
  <c r="I4" i="76"/>
  <c r="O3" i="76"/>
  <c r="H4" i="76"/>
  <c r="M2" i="77"/>
  <c r="W6" i="71"/>
  <c r="E100" i="78"/>
  <c r="AD28" i="78"/>
  <c r="AD24" i="78"/>
  <c r="AD29" i="78"/>
  <c r="AD25" i="78"/>
  <c r="AD30" i="78"/>
  <c r="L79" i="78"/>
  <c r="AD23" i="78"/>
  <c r="AD31" i="78"/>
  <c r="AD27" i="78"/>
  <c r="AD26" i="78"/>
  <c r="E144" i="66"/>
  <c r="L124" i="66"/>
  <c r="L123" i="66"/>
  <c r="D133" i="66"/>
  <c r="L130" i="66" s="1"/>
  <c r="L119" i="66"/>
  <c r="Y34" i="79" l="1"/>
  <c r="E111" i="78"/>
  <c r="AE30" i="78"/>
  <c r="AE28" i="78"/>
  <c r="AE24" i="78"/>
  <c r="AE29" i="78"/>
  <c r="AE25" i="78"/>
  <c r="AE26" i="78"/>
  <c r="L90" i="78"/>
  <c r="L91" i="78"/>
  <c r="AE27" i="78"/>
  <c r="AE31" i="78"/>
  <c r="AE23" i="78"/>
  <c r="L129" i="66"/>
  <c r="D144" i="66"/>
  <c r="L141" i="66" s="1"/>
  <c r="L128" i="66"/>
  <c r="L127" i="66"/>
  <c r="L125" i="66"/>
  <c r="L126" i="66"/>
  <c r="E155" i="66"/>
  <c r="L145" i="66" s="1"/>
  <c r="L135" i="66"/>
  <c r="L140" i="66"/>
  <c r="L134" i="66"/>
  <c r="H8" i="58"/>
  <c r="F3" i="58"/>
  <c r="G3" i="58"/>
  <c r="H3" i="58"/>
  <c r="F4" i="58"/>
  <c r="G4" i="58"/>
  <c r="H4" i="58"/>
  <c r="F5" i="58"/>
  <c r="G5" i="58"/>
  <c r="H5" i="58"/>
  <c r="F6" i="58"/>
  <c r="G6" i="58"/>
  <c r="H6" i="58"/>
  <c r="F7" i="58"/>
  <c r="G7" i="58"/>
  <c r="H7" i="58"/>
  <c r="F8" i="58"/>
  <c r="G8" i="58"/>
  <c r="F9" i="58"/>
  <c r="G9" i="58"/>
  <c r="H9" i="58"/>
  <c r="F10" i="58"/>
  <c r="G10" i="58"/>
  <c r="H2" i="58"/>
  <c r="G2" i="58"/>
  <c r="J2" i="58" s="1"/>
  <c r="L2" i="58" s="1"/>
  <c r="F2" i="58"/>
  <c r="E3" i="58"/>
  <c r="E4" i="58"/>
  <c r="E5" i="58"/>
  <c r="E6" i="58"/>
  <c r="E7" i="58"/>
  <c r="E8" i="58"/>
  <c r="E9" i="58"/>
  <c r="E10" i="58"/>
  <c r="D7" i="58"/>
  <c r="J7" i="58" s="1"/>
  <c r="L7" i="58" s="1"/>
  <c r="D8" i="58"/>
  <c r="J8" i="58" s="1"/>
  <c r="L8" i="58" s="1"/>
  <c r="D9" i="58"/>
  <c r="D10" i="58"/>
  <c r="D6" i="58"/>
  <c r="D3" i="58"/>
  <c r="J3" i="58" s="1"/>
  <c r="L3" i="58" s="1"/>
  <c r="D4" i="58"/>
  <c r="D5" i="58"/>
  <c r="J6" i="58" l="1"/>
  <c r="L6" i="58" s="1"/>
  <c r="J5" i="58"/>
  <c r="L5" i="58" s="1"/>
  <c r="J4" i="58"/>
  <c r="L4" i="58" s="1"/>
  <c r="J9" i="58"/>
  <c r="L9" i="58" s="1"/>
  <c r="G9" i="79"/>
  <c r="G7" i="79"/>
  <c r="H7" i="79" s="1"/>
  <c r="E122" i="78"/>
  <c r="AF25" i="78"/>
  <c r="AF26" i="78"/>
  <c r="AF27" i="78"/>
  <c r="AF23" i="78"/>
  <c r="AF28" i="78"/>
  <c r="AF30" i="78"/>
  <c r="AF29" i="78"/>
  <c r="AF24" i="78"/>
  <c r="L102" i="78"/>
  <c r="AF31" i="78"/>
  <c r="E166" i="66"/>
  <c r="L146" i="66"/>
  <c r="D155" i="66"/>
  <c r="L151" i="66" s="1"/>
  <c r="L137" i="66"/>
  <c r="L138" i="66"/>
  <c r="L139" i="66"/>
  <c r="L136" i="66"/>
  <c r="H2" i="4"/>
  <c r="C10" i="4"/>
  <c r="D10" i="4"/>
  <c r="E10" i="4"/>
  <c r="F10" i="4"/>
  <c r="B10" i="4"/>
  <c r="K7" i="79" l="1"/>
  <c r="H9" i="79"/>
  <c r="O8" i="79"/>
  <c r="G14" i="79"/>
  <c r="G13" i="79"/>
  <c r="G18" i="79"/>
  <c r="E133" i="78"/>
  <c r="AG30" i="78"/>
  <c r="AG26" i="78"/>
  <c r="AG29" i="78"/>
  <c r="AG25" i="78"/>
  <c r="AG28" i="78"/>
  <c r="AG24" i="78"/>
  <c r="AG31" i="78"/>
  <c r="AG27" i="78"/>
  <c r="AG23" i="78"/>
  <c r="D166" i="66"/>
  <c r="L150" i="66"/>
  <c r="L147" i="66"/>
  <c r="L149" i="66"/>
  <c r="L148" i="66"/>
  <c r="L157" i="66"/>
  <c r="L156" i="66"/>
  <c r="L162" i="66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J2" i="4"/>
  <c r="H18" i="79" l="1"/>
  <c r="Q16" i="79" s="1"/>
  <c r="X16" i="79" s="1"/>
  <c r="K9" i="79"/>
  <c r="H13" i="79"/>
  <c r="G25" i="79" s="1"/>
  <c r="H14" i="79"/>
  <c r="S6" i="79"/>
  <c r="V8" i="79"/>
  <c r="O9" i="79"/>
  <c r="V9" i="79" s="1"/>
  <c r="O7" i="79"/>
  <c r="V7" i="79" s="1"/>
  <c r="E144" i="78"/>
  <c r="AH24" i="78"/>
  <c r="AH26" i="78"/>
  <c r="AH27" i="78"/>
  <c r="AH23" i="78"/>
  <c r="AH28" i="78"/>
  <c r="AH31" i="78"/>
  <c r="L123" i="78"/>
  <c r="AH29" i="78"/>
  <c r="AH30" i="78"/>
  <c r="AH25" i="78"/>
  <c r="L124" i="78"/>
  <c r="L159" i="66"/>
  <c r="L158" i="66"/>
  <c r="L160" i="66"/>
  <c r="L161" i="66"/>
  <c r="P16" i="79" l="1"/>
  <c r="W16" i="79" s="1"/>
  <c r="K18" i="79"/>
  <c r="K14" i="79"/>
  <c r="E25" i="79"/>
  <c r="K13" i="79"/>
  <c r="Q11" i="79"/>
  <c r="S11" i="79"/>
  <c r="R6" i="79"/>
  <c r="Y6" i="79" s="1"/>
  <c r="Z6" i="79"/>
  <c r="T6" i="79"/>
  <c r="AA6" i="79" s="1"/>
  <c r="E155" i="78"/>
  <c r="AI31" i="78"/>
  <c r="AI27" i="78"/>
  <c r="AI26" i="78"/>
  <c r="AI25" i="78"/>
  <c r="L135" i="78"/>
  <c r="AI24" i="78"/>
  <c r="AI28" i="78"/>
  <c r="AI23" i="78"/>
  <c r="AI30" i="78"/>
  <c r="AI29" i="78"/>
  <c r="X11" i="79" l="1"/>
  <c r="P11" i="79"/>
  <c r="W11" i="79" s="1"/>
  <c r="R11" i="79"/>
  <c r="Y11" i="79" s="1"/>
  <c r="Z11" i="79"/>
  <c r="T11" i="79"/>
  <c r="AA11" i="79" s="1"/>
  <c r="E166" i="78"/>
  <c r="L156" i="78" s="1"/>
  <c r="AJ28" i="78"/>
  <c r="AL28" i="78" s="1"/>
  <c r="AJ24" i="78"/>
  <c r="AL24" i="78" s="1"/>
  <c r="AJ29" i="78"/>
  <c r="AL29" i="78" s="1"/>
  <c r="AJ25" i="78"/>
  <c r="AL25" i="78" s="1"/>
  <c r="AJ26" i="78"/>
  <c r="AL26" i="78" s="1"/>
  <c r="AJ30" i="78"/>
  <c r="AL30" i="78" s="1"/>
  <c r="AJ23" i="78"/>
  <c r="AL23" i="78" s="1"/>
  <c r="AJ31" i="78"/>
  <c r="AL31" i="78" s="1"/>
  <c r="AJ27" i="78"/>
  <c r="AL27" i="78" s="1"/>
  <c r="L146" i="78"/>
  <c r="D2" i="77" l="1"/>
  <c r="D8" i="77"/>
  <c r="D5" i="77"/>
  <c r="D10" i="77"/>
  <c r="D3" i="77"/>
  <c r="D7" i="77"/>
  <c r="D9" i="77"/>
  <c r="D6" i="77"/>
  <c r="D4" i="77"/>
  <c r="G3" i="77" l="1"/>
  <c r="G7" i="77"/>
  <c r="O5" i="77"/>
  <c r="G8" i="77"/>
  <c r="O3" i="77"/>
  <c r="G4" i="77"/>
  <c r="O2" i="77"/>
  <c r="G2" i="77"/>
  <c r="O4" i="77"/>
  <c r="G6" i="77"/>
  <c r="G10" i="77"/>
  <c r="G9" i="77"/>
  <c r="G5" i="77"/>
  <c r="C2" i="77" l="1"/>
  <c r="F2" i="77" s="1"/>
  <c r="H2" i="77" l="1"/>
  <c r="C8" i="77"/>
  <c r="H8" i="77" s="1"/>
  <c r="C5" i="77"/>
  <c r="F5" i="77" s="1"/>
  <c r="C4" i="77"/>
  <c r="N3" i="77" s="1"/>
  <c r="C7" i="77"/>
  <c r="F7" i="77" s="1"/>
  <c r="C10" i="77"/>
  <c r="H10" i="77" s="1"/>
  <c r="C3" i="77"/>
  <c r="H3" i="77" s="1"/>
  <c r="C6" i="77"/>
  <c r="F6" i="77" s="1"/>
  <c r="C9" i="77"/>
  <c r="H9" i="77" s="1"/>
  <c r="N5" i="77" l="1"/>
  <c r="F8" i="77"/>
  <c r="F10" i="77"/>
  <c r="H7" i="77"/>
  <c r="H5" i="77"/>
  <c r="F4" i="77"/>
  <c r="F9" i="77"/>
  <c r="H4" i="77"/>
  <c r="N2" i="77"/>
  <c r="H6" i="77"/>
  <c r="F3" i="77"/>
  <c r="N4" i="77"/>
  <c r="I17" i="79" l="1"/>
  <c r="C17" i="79"/>
  <c r="K35" i="79" s="1"/>
  <c r="G19" i="79" l="1"/>
  <c r="H19" i="79" s="1"/>
  <c r="E17" i="79"/>
  <c r="G17" i="79"/>
  <c r="H17" i="79" s="1"/>
  <c r="C20" i="79"/>
  <c r="O18" i="79" l="1"/>
  <c r="V18" i="79" s="1"/>
  <c r="K17" i="79"/>
  <c r="S16" i="79"/>
  <c r="T16" i="79" s="1"/>
  <c r="AA16" i="79" s="1"/>
  <c r="K19" i="79"/>
  <c r="O17" i="79"/>
  <c r="V17" i="79" s="1"/>
  <c r="R16" i="79" l="1"/>
  <c r="Y16" i="79" s="1"/>
  <c r="O19" i="79"/>
  <c r="V19" i="79" s="1"/>
  <c r="Z16" i="79"/>
</calcChain>
</file>

<file path=xl/sharedStrings.xml><?xml version="1.0" encoding="utf-8"?>
<sst xmlns="http://schemas.openxmlformats.org/spreadsheetml/2006/main" count="1278" uniqueCount="285">
  <si>
    <t>(2, 0)</t>
  </si>
  <si>
    <t>(2, 1)</t>
  </si>
  <si>
    <t>(1, 0)</t>
  </si>
  <si>
    <t>(1, 1)</t>
  </si>
  <si>
    <t>(1, 2)</t>
  </si>
  <si>
    <t>(1, 3)</t>
  </si>
  <si>
    <t>Inspector</t>
  </si>
  <si>
    <t>OptOpt_BB</t>
  </si>
  <si>
    <t>NoneOpt_NBB</t>
  </si>
  <si>
    <t>OptNone_BNB</t>
  </si>
  <si>
    <t>NoneNone_NBNB</t>
  </si>
  <si>
    <t>OptOpt_EB</t>
  </si>
  <si>
    <t>Setting 1</t>
  </si>
  <si>
    <t>S*</t>
  </si>
  <si>
    <t>Chain</t>
  </si>
  <si>
    <t>Setting 2</t>
  </si>
  <si>
    <t>Setting 3</t>
  </si>
  <si>
    <t>Cu(S_n,k)</t>
  </si>
  <si>
    <t>Sum(R,Cu)</t>
  </si>
  <si>
    <t>Max</t>
  </si>
  <si>
    <t>Who</t>
  </si>
  <si>
    <t>S3</t>
  </si>
  <si>
    <t>b=(0.38,0.285)</t>
  </si>
  <si>
    <t>State</t>
  </si>
  <si>
    <t>LoC</t>
  </si>
  <si>
    <t>Min</t>
  </si>
  <si>
    <t>Def</t>
  </si>
  <si>
    <t>Default</t>
  </si>
  <si>
    <t>Process finished with exit code 0</t>
  </si>
  <si>
    <t>AVG</t>
  </si>
  <si>
    <t>S1</t>
  </si>
  <si>
    <t>D-&gt;S1</t>
  </si>
  <si>
    <t>D-&gt;S3</t>
  </si>
  <si>
    <t>S1-&gt;S3</t>
  </si>
  <si>
    <t>M_m</t>
  </si>
  <si>
    <t>m</t>
  </si>
  <si>
    <t>S_2</t>
  </si>
  <si>
    <t>S_1</t>
  </si>
  <si>
    <t>S_3</t>
  </si>
  <si>
    <t>N_3</t>
  </si>
  <si>
    <t>N_2</t>
  </si>
  <si>
    <t>N_1</t>
  </si>
  <si>
    <t>no insp</t>
  </si>
  <si>
    <t>alpha_b</t>
  </si>
  <si>
    <t>(3, 0)</t>
  </si>
  <si>
    <t>(3, 1)</t>
  </si>
  <si>
    <t>Next_Min</t>
  </si>
  <si>
    <t>C:\Users\ivan\PycharmProjects\corruption\venv\Scripts\python.exe C:/Users/ivan/PycharmProjects/corruption/simulation.py</t>
  </si>
  <si>
    <t>Cu(S_n,i)</t>
  </si>
  <si>
    <t>O_{1,2},i</t>
  </si>
  <si>
    <t>(1.2965,0.409521739)</t>
  </si>
  <si>
    <t>(1.2965,0.494043478)</t>
  </si>
  <si>
    <t>(1.2965,0.741065217)</t>
  </si>
  <si>
    <t>(2.593,0.1625)</t>
  </si>
  <si>
    <t>(2.593,0.325)</t>
  </si>
  <si>
    <t>(2.593,0.409521739)</t>
  </si>
  <si>
    <t>(2.593,0.494043478)</t>
  </si>
  <si>
    <t>(2.593,0.741065217)</t>
  </si>
  <si>
    <t>(3.8895,0.1625)</t>
  </si>
  <si>
    <t>(3.8895,0.325)</t>
  </si>
  <si>
    <t>(3.8895,0.409521739)</t>
  </si>
  <si>
    <t>(3.8895,0.494043478)</t>
  </si>
  <si>
    <t>(3.8895,0.741065217)</t>
  </si>
  <si>
    <t>b</t>
  </si>
  <si>
    <t>(3.6,0.939130435)</t>
  </si>
  <si>
    <t>(3.6,1.87826087)</t>
  </si>
  <si>
    <t>(3.6,2.77813587)</t>
  </si>
  <si>
    <t>(3.6,3.67801087)</t>
  </si>
  <si>
    <t>(3.6,5.517016304)</t>
  </si>
  <si>
    <t>(7.2,0.939130435)</t>
  </si>
  <si>
    <t>(7.2,1.87826087)</t>
  </si>
  <si>
    <t>(7.2,2.77813587)</t>
  </si>
  <si>
    <t>(7.2,3.67801087)</t>
  </si>
  <si>
    <t>(7.2,5.517016304)</t>
  </si>
  <si>
    <t>(10.8,0.939130435)</t>
  </si>
  <si>
    <t>(10.8,1.87826087)</t>
  </si>
  <si>
    <t>(10.8,2.77813587)</t>
  </si>
  <si>
    <t>(10.8,3.67801087)</t>
  </si>
  <si>
    <t>(10.8,5.517016304)</t>
  </si>
  <si>
    <t>Official</t>
  </si>
  <si>
    <t>W</t>
  </si>
  <si>
    <t>S</t>
  </si>
  <si>
    <t>κ</t>
  </si>
  <si>
    <t>θ</t>
  </si>
  <si>
    <t>α</t>
  </si>
  <si>
    <t>B</t>
  </si>
  <si>
    <t>F(W,S)</t>
  </si>
  <si>
    <t>F(B)</t>
  </si>
  <si>
    <t>3,i</t>
  </si>
  <si>
    <t>2,i</t>
  </si>
  <si>
    <t>1,i</t>
  </si>
  <si>
    <r>
      <t>W</t>
    </r>
    <r>
      <rPr>
        <b/>
        <vertAlign val="subscript"/>
        <sz val="12"/>
        <color rgb="FF000000"/>
        <rFont val="Times New Roman"/>
        <family val="1"/>
        <charset val="204"/>
      </rPr>
      <t>I</t>
    </r>
  </si>
  <si>
    <r>
      <t>R</t>
    </r>
    <r>
      <rPr>
        <b/>
        <vertAlign val="subscript"/>
        <sz val="12"/>
        <color rgb="FF000000"/>
        <rFont val="Times New Roman"/>
        <family val="1"/>
        <charset val="204"/>
      </rPr>
      <t>I</t>
    </r>
    <r>
      <rPr>
        <b/>
        <sz val="12"/>
        <color rgb="FF000000"/>
        <rFont val="Times New Roman"/>
        <family val="1"/>
        <charset val="204"/>
      </rPr>
      <t>(S</t>
    </r>
    <r>
      <rPr>
        <b/>
        <vertAlign val="subscript"/>
        <sz val="12"/>
        <color rgb="FF000000"/>
        <rFont val="Times New Roman"/>
        <family val="1"/>
        <charset val="204"/>
      </rPr>
      <t>{1,2},i</t>
    </r>
    <r>
      <rPr>
        <b/>
        <sz val="12"/>
        <color rgb="FF000000"/>
        <rFont val="Times New Roman"/>
        <family val="1"/>
        <charset val="204"/>
      </rPr>
      <t>)</t>
    </r>
  </si>
  <si>
    <r>
      <t>R</t>
    </r>
    <r>
      <rPr>
        <b/>
        <vertAlign val="subscript"/>
        <sz val="12"/>
        <color rgb="FF000000"/>
        <rFont val="Times New Roman"/>
        <family val="1"/>
        <charset val="204"/>
      </rPr>
      <t>I</t>
    </r>
    <r>
      <rPr>
        <b/>
        <sz val="12"/>
        <color rgb="FF000000"/>
        <rFont val="Times New Roman"/>
        <family val="1"/>
        <charset val="204"/>
      </rPr>
      <t>(S</t>
    </r>
    <r>
      <rPr>
        <b/>
        <vertAlign val="subscript"/>
        <sz val="12"/>
        <color rgb="FF000000"/>
        <rFont val="Times New Roman"/>
        <family val="1"/>
        <charset val="204"/>
      </rPr>
      <t>3,i</t>
    </r>
    <r>
      <rPr>
        <b/>
        <sz val="12"/>
        <color rgb="FF000000"/>
        <rFont val="Times New Roman"/>
        <family val="1"/>
        <charset val="204"/>
      </rPr>
      <t>)</t>
    </r>
  </si>
  <si>
    <r>
      <t>Ci</t>
    </r>
    <r>
      <rPr>
        <b/>
        <vertAlign val="subscript"/>
        <sz val="12"/>
        <color rgb="FF000000"/>
        <rFont val="Times New Roman"/>
        <family val="1"/>
        <charset val="204"/>
      </rPr>
      <t>{1,2}</t>
    </r>
  </si>
  <si>
    <r>
      <t>Ci</t>
    </r>
    <r>
      <rPr>
        <b/>
        <vertAlign val="subscript"/>
        <sz val="12"/>
        <color rgb="FF000000"/>
        <rFont val="Times New Roman"/>
        <family val="1"/>
        <charset val="204"/>
      </rPr>
      <t>3</t>
    </r>
  </si>
  <si>
    <r>
      <t>Cu(S</t>
    </r>
    <r>
      <rPr>
        <b/>
        <vertAlign val="subscript"/>
        <sz val="12"/>
        <color rgb="FF000000"/>
        <rFont val="Times New Roman"/>
        <family val="1"/>
        <charset val="204"/>
      </rPr>
      <t>{1,2},i</t>
    </r>
    <r>
      <rPr>
        <b/>
        <sz val="12"/>
        <color rgb="FF000000"/>
        <rFont val="Times New Roman"/>
        <family val="1"/>
        <charset val="204"/>
      </rPr>
      <t>)</t>
    </r>
  </si>
  <si>
    <r>
      <t>Cu(S</t>
    </r>
    <r>
      <rPr>
        <b/>
        <vertAlign val="subscript"/>
        <sz val="12"/>
        <color rgb="FF000000"/>
        <rFont val="Times New Roman"/>
        <family val="1"/>
        <charset val="204"/>
      </rPr>
      <t>3,i</t>
    </r>
    <r>
      <rPr>
        <b/>
        <sz val="12"/>
        <color rgb="FF000000"/>
        <rFont val="Times New Roman"/>
        <family val="1"/>
        <charset val="204"/>
      </rPr>
      <t>)</t>
    </r>
  </si>
  <si>
    <t>b12\b3</t>
  </si>
  <si>
    <t>goal_s_0</t>
  </si>
  <si>
    <t>goal_b_0</t>
  </si>
  <si>
    <t>def</t>
  </si>
  <si>
    <t>s1</t>
  </si>
  <si>
    <t>s2</t>
  </si>
  <si>
    <t>s3</t>
  </si>
  <si>
    <t>s4</t>
  </si>
  <si>
    <t>def-&gt;s1</t>
  </si>
  <si>
    <t>def-&gt;s3</t>
  </si>
  <si>
    <t>def-&gt;s2</t>
  </si>
  <si>
    <t>O_3,i</t>
  </si>
  <si>
    <t>b=B/S+0.001</t>
  </si>
  <si>
    <t>S_s=0</t>
  </si>
  <si>
    <t>S_b=0</t>
  </si>
  <si>
    <t>I</t>
  </si>
  <si>
    <t>AVG corruption</t>
  </si>
  <si>
    <t>a_3</t>
  </si>
  <si>
    <t>a_2</t>
  </si>
  <si>
    <t>a_1</t>
  </si>
  <si>
    <t>new:</t>
  </si>
  <si>
    <t>a^eff_3</t>
  </si>
  <si>
    <t>a^eff_2</t>
  </si>
  <si>
    <t>a^eff_1</t>
  </si>
  <si>
    <t>a_3,i</t>
  </si>
  <si>
    <t>a_2,i</t>
  </si>
  <si>
    <t>a_1,i</t>
  </si>
  <si>
    <t>a^eff_3,i</t>
  </si>
  <si>
    <t>a^eff_2,i</t>
  </si>
  <si>
    <t>a^eff_1,i</t>
  </si>
  <si>
    <t>alpha^+_3,i</t>
  </si>
  <si>
    <t>alpha_s0</t>
  </si>
  <si>
    <t>s</t>
  </si>
  <si>
    <t>ch</t>
  </si>
  <si>
    <t>b_optT</t>
  </si>
  <si>
    <t>R(S_n,i)</t>
  </si>
  <si>
    <t>R(S_n,j)</t>
  </si>
  <si>
    <t>Cu(S_n,j)</t>
  </si>
  <si>
    <t xml:space="preserve"> </t>
  </si>
  <si>
    <t>Setting</t>
  </si>
  <si>
    <t>R(S_{1,2},i)</t>
  </si>
  <si>
    <t>R(S_3,i)</t>
  </si>
  <si>
    <t>Cu(S_{1,2},i)</t>
  </si>
  <si>
    <t>Cu(S_3,i)</t>
  </si>
  <si>
    <t>b_bsuff-ch</t>
  </si>
  <si>
    <t>b_suff-s</t>
  </si>
  <si>
    <t>b_suff-b</t>
  </si>
  <si>
    <t>T</t>
  </si>
  <si>
    <t>-</t>
  </si>
  <si>
    <t>$R(S_{\{1,2\},i})$</t>
  </si>
  <si>
    <t>$Cu(S_{\{1,2\},i})$</t>
  </si>
  <si>
    <t>$R(S_{3,i})$</t>
  </si>
  <si>
    <t>$Cu(S_{3,i})$</t>
  </si>
  <si>
    <t>$b_{suff-s}$</t>
  </si>
  <si>
    <t>$b_{suff-b}$</t>
  </si>
  <si>
    <t>$b_{suff-ch}$</t>
  </si>
  <si>
    <t>$b_{optT}$ \nextline</t>
  </si>
  <si>
    <t>$-$</t>
  </si>
  <si>
    <t>$-$ \nextline</t>
  </si>
  <si>
    <t>1.714 \nextline</t>
  </si>
  <si>
    <t>6.000 \nextline</t>
  </si>
  <si>
    <t>24.000 \nextline</t>
  </si>
  <si>
    <t>}</t>
  </si>
  <si>
    <t>coef</t>
  </si>
  <si>
    <t>Wages</t>
  </si>
  <si>
    <t>BST</t>
  </si>
  <si>
    <t>B=Sum+zeta</t>
  </si>
  <si>
    <t>zeta</t>
  </si>
  <si>
    <t>B_optch</t>
  </si>
  <si>
    <t>B_optb</t>
  </si>
  <si>
    <t>B_opts0</t>
  </si>
  <si>
    <t>d</t>
  </si>
  <si>
    <t>=</t>
  </si>
  <si>
    <t>[</t>
  </si>
  <si>
    <t>,</t>
  </si>
  <si>
    <t>]</t>
  </si>
  <si>
    <t>B_optT</t>
  </si>
  <si>
    <t xml:space="preserve">return threshold_func(stealing, ((400000, </t>
  </si>
  <si>
    <t xml:space="preserve">), (100000, </t>
  </si>
  <si>
    <t>)))</t>
  </si>
  <si>
    <t>R</t>
  </si>
  <si>
    <t>CU</t>
  </si>
  <si>
    <t>B12/B3</t>
  </si>
  <si>
    <t>z3</t>
  </si>
  <si>
    <t>z1</t>
  </si>
  <si>
    <t>(</t>
  </si>
  <si>
    <t>)</t>
  </si>
  <si>
    <t>B12_d =</t>
  </si>
  <si>
    <t>B3_d =</t>
  </si>
  <si>
    <t>B12_z1 =</t>
  </si>
  <si>
    <t>B3_z1 =</t>
  </si>
  <si>
    <t>B12_z3 =</t>
  </si>
  <si>
    <t>B3_z3 =</t>
  </si>
  <si>
    <t>B12_d=</t>
  </si>
  <si>
    <t>B3_d=</t>
  </si>
  <si>
    <t>B12_s1=</t>
  </si>
  <si>
    <t>B3_s1=</t>
  </si>
  <si>
    <t>B12_s2=</t>
  </si>
  <si>
    <t>B3_s2=</t>
  </si>
  <si>
    <t>B12_s3=</t>
  </si>
  <si>
    <t>B3_s3=</t>
  </si>
  <si>
    <t>(22500.5, 43125.5)</t>
  </si>
  <si>
    <t>(22500.5, 86251)</t>
  </si>
  <si>
    <t>(22500.5, 108751)</t>
  </si>
  <si>
    <t>(22500.5, 131251)</t>
  </si>
  <si>
    <t>(22500.5, 196876.5)</t>
  </si>
  <si>
    <t>(45001, 43125.5)</t>
  </si>
  <si>
    <t>(45001, 86251)</t>
  </si>
  <si>
    <t>(45001, 108751)</t>
  </si>
  <si>
    <t>(45001, 131251)</t>
  </si>
  <si>
    <t>(45001, 196876.5)</t>
  </si>
  <si>
    <t>(67501.5, 43125.5)</t>
  </si>
  <si>
    <t>(67501.5, 86251)</t>
  </si>
  <si>
    <t>(67501.5, 108751)</t>
  </si>
  <si>
    <t>(67501.5, 131251)</t>
  </si>
  <si>
    <t>(67501.5, 196876.5)</t>
  </si>
  <si>
    <t>(40000.5, 652308.192307692)</t>
  </si>
  <si>
    <t>(40000.5, 1304616.38461538)</t>
  </si>
  <si>
    <t>(40000.5, 1344616.38461538)</t>
  </si>
  <si>
    <t>(40000.5, 1384616.38461538)</t>
  </si>
  <si>
    <t>(40000.5, 2076924.57692308)</t>
  </si>
  <si>
    <t>(80001, 652308.192307692)</t>
  </si>
  <si>
    <t>(80001, 1304616.38461538)</t>
  </si>
  <si>
    <t>(80001, 1344616.38461538)</t>
  </si>
  <si>
    <t>(80001, 1384616.38461538)</t>
  </si>
  <si>
    <t>(80001, 2076924.57692308)</t>
  </si>
  <si>
    <t>(120001.5, 652308.192307692)</t>
  </si>
  <si>
    <t>(120001.5, 1304616.38461538)</t>
  </si>
  <si>
    <t>(120001.5, 1344616.38461538)</t>
  </si>
  <si>
    <t>(120001.5, 1384616.38461538)</t>
  </si>
  <si>
    <t>(120001.5, 2076924.57692308)</t>
  </si>
  <si>
    <t>(40000.5, 1500000.5)</t>
  </si>
  <si>
    <t>(40000.5, 3000001)</t>
  </si>
  <si>
    <t>(40000.5, 3040001)</t>
  </si>
  <si>
    <t>(40000.5, 3080001)</t>
  </si>
  <si>
    <t>(40000.5, 4620001.5)</t>
  </si>
  <si>
    <t>(80001, 1500000.5)</t>
  </si>
  <si>
    <t>(80001, 3000001)</t>
  </si>
  <si>
    <t>(80001, 3040001)</t>
  </si>
  <si>
    <t>(80001, 3080001)</t>
  </si>
  <si>
    <t>(80001, 4620001.5)</t>
  </si>
  <si>
    <t>(120001.5, 1500000.5)</t>
  </si>
  <si>
    <t>(120001.5, 3000001)</t>
  </si>
  <si>
    <t>(120001.5, 3040001)</t>
  </si>
  <si>
    <t>(120001.5, 3080001)</t>
  </si>
  <si>
    <t>(120001.5, 4620001.5)</t>
  </si>
  <si>
    <t>(1500000.488, 2875000.5)</t>
  </si>
  <si>
    <t>(1500000.488, 5750001)</t>
  </si>
  <si>
    <t>(1500000.488, 7250000.988)</t>
  </si>
  <si>
    <t>(1500000.488, 8750000.976)</t>
  </si>
  <si>
    <t>(1500000.488, 13125001.464)</t>
  </si>
  <si>
    <t>(3000000.976, 2875000.5)</t>
  </si>
  <si>
    <t>(3000000.976, 5750001)</t>
  </si>
  <si>
    <t>(3000000.976, 7250000.988)</t>
  </si>
  <si>
    <t>(3000000.976, 8750000.976)</t>
  </si>
  <si>
    <t>(3000000.976, 13125001.464)</t>
  </si>
  <si>
    <t>(4500001.464, 2875000.5)</t>
  </si>
  <si>
    <t>(4500001.464, 5750001)</t>
  </si>
  <si>
    <t>(4500001.464, 7250000.988)</t>
  </si>
  <si>
    <t>(4500001.464, 8750000.976)</t>
  </si>
  <si>
    <t>(4500001.464, 13125001.464)</t>
  </si>
  <si>
    <t>(62500, 187500.5)</t>
  </si>
  <si>
    <t>(62500, 375001)</t>
  </si>
  <si>
    <t>(62500, 437500.5)</t>
  </si>
  <si>
    <t>(62500, 500000)</t>
  </si>
  <si>
    <t>(125000, 187500.5)</t>
  </si>
  <si>
    <t>(125000, 375001)</t>
  </si>
  <si>
    <t>(125000, 437500.5)</t>
  </si>
  <si>
    <t>(125000, 500000)</t>
  </si>
  <si>
    <t>(78750.75, 197500)</t>
  </si>
  <si>
    <t>(78750.75, 395000)</t>
  </si>
  <si>
    <t>(78750.75, 447500)</t>
  </si>
  <si>
    <t>(78750.75, 500000)</t>
  </si>
  <si>
    <t>(105001, 197500)</t>
  </si>
  <si>
    <t>(105001, 395000)</t>
  </si>
  <si>
    <t>(105001, 447500)</t>
  </si>
  <si>
    <t>(105001, 500000)</t>
  </si>
  <si>
    <t>B12\B3</t>
  </si>
  <si>
    <t>def-&gt;z1</t>
  </si>
  <si>
    <t>def-&gt;z3</t>
  </si>
  <si>
    <t>z1-&gt;z3</t>
  </si>
  <si>
    <t>(62500, 150000)</t>
  </si>
  <si>
    <t xml:space="preserve">$B_{suff-ch}$ </t>
  </si>
  <si>
    <t>$B_{suff-s}$</t>
  </si>
  <si>
    <t>$B_{optT}$</t>
  </si>
  <si>
    <t>$B_{suff-b}$</t>
  </si>
  <si>
    <t>Zetting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</si>
</sst>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strike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trike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trike/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/>
    <xf numFmtId="0" fontId="9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0" fontId="11" fillId="0" borderId="0" xfId="0" applyNumberFormat="1" applyFont="1" applyAlignment="1">
      <alignment horizontal="center"/>
    </xf>
    <xf numFmtId="10" fontId="9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/>
    <xf numFmtId="0" fontId="19" fillId="0" borderId="0" xfId="0" applyFont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0" xfId="0" applyBorder="1"/>
    <xf numFmtId="0" fontId="24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4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166" fontId="25" fillId="0" borderId="1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change_a!$N$2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change_a!$O$2:$R$2</c:f>
              <c:numCache>
                <c:formatCode>0</c:formatCode>
                <c:ptCount val="4"/>
                <c:pt idx="0">
                  <c:v>145514.02362990001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C-4038-AEF6-E60E54E86986}"/>
            </c:ext>
          </c:extLst>
        </c:ser>
        <c:ser>
          <c:idx val="1"/>
          <c:order val="1"/>
          <c:tx>
            <c:strRef>
              <c:f>change_a!$N$3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change_a!$O$3:$R$3</c:f>
              <c:numCache>
                <c:formatCode>0</c:formatCode>
                <c:ptCount val="4"/>
                <c:pt idx="0">
                  <c:v>109291.28929709998</c:v>
                </c:pt>
                <c:pt idx="1">
                  <c:v>80554.615933133333</c:v>
                </c:pt>
                <c:pt idx="2">
                  <c:v>80554.44259763333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C-4038-AEF6-E60E54E86986}"/>
            </c:ext>
          </c:extLst>
        </c:ser>
        <c:ser>
          <c:idx val="2"/>
          <c:order val="2"/>
          <c:tx>
            <c:strRef>
              <c:f>change_a!$N$4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change_a!$O$4:$R$4</c:f>
              <c:numCache>
                <c:formatCode>0</c:formatCode>
                <c:ptCount val="4"/>
                <c:pt idx="0">
                  <c:v>96175.799115499976</c:v>
                </c:pt>
                <c:pt idx="1">
                  <c:v>78236.960296133344</c:v>
                </c:pt>
                <c:pt idx="2">
                  <c:v>78241.896357833335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C-4038-AEF6-E60E54E86986}"/>
            </c:ext>
          </c:extLst>
        </c:ser>
        <c:ser>
          <c:idx val="3"/>
          <c:order val="3"/>
          <c:tx>
            <c:strRef>
              <c:f>change_a!$N$5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change_a!$O$1:$R$1</c:f>
              <c:strCache>
                <c:ptCount val="4"/>
                <c:pt idx="0">
                  <c:v>def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change_a!$O$5:$R$5</c:f>
              <c:numCache>
                <c:formatCode>0</c:formatCode>
                <c:ptCount val="4"/>
                <c:pt idx="0">
                  <c:v>36663.687094933324</c:v>
                </c:pt>
                <c:pt idx="1">
                  <c:v>11026.424874799981</c:v>
                </c:pt>
                <c:pt idx="2">
                  <c:v>11018.89542239999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C-4038-AEF6-E60E54E8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148095"/>
        <c:axId val="1192148927"/>
      </c:barChart>
      <c:catAx>
        <c:axId val="11921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148927"/>
        <c:crosses val="autoZero"/>
        <c:auto val="1"/>
        <c:lblAlgn val="ctr"/>
        <c:lblOffset val="100"/>
        <c:noMultiLvlLbl val="0"/>
      </c:catAx>
      <c:valAx>
        <c:axId val="1192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1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change!$L$2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change!$M$1:$O$1</c:f>
              <c:strCache>
                <c:ptCount val="3"/>
                <c:pt idx="0">
                  <c:v>def</c:v>
                </c:pt>
                <c:pt idx="1">
                  <c:v>z1</c:v>
                </c:pt>
                <c:pt idx="2">
                  <c:v>z3</c:v>
                </c:pt>
              </c:strCache>
            </c:strRef>
          </c:cat>
          <c:val>
            <c:numRef>
              <c:f>change!$M$2:$O$2</c:f>
              <c:numCache>
                <c:formatCode>General</c:formatCode>
                <c:ptCount val="3"/>
                <c:pt idx="0">
                  <c:v>145514.02362990001</c:v>
                </c:pt>
                <c:pt idx="1">
                  <c:v>74644.6875</c:v>
                </c:pt>
                <c:pt idx="2">
                  <c:v>74585.6875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1-418B-AB18-FB9305C214D0}"/>
            </c:ext>
          </c:extLst>
        </c:ser>
        <c:ser>
          <c:idx val="1"/>
          <c:order val="1"/>
          <c:tx>
            <c:strRef>
              <c:f>change!$L$3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change!$M$1:$O$1</c:f>
              <c:strCache>
                <c:ptCount val="3"/>
                <c:pt idx="0">
                  <c:v>def</c:v>
                </c:pt>
                <c:pt idx="1">
                  <c:v>z1</c:v>
                </c:pt>
                <c:pt idx="2">
                  <c:v>z3</c:v>
                </c:pt>
              </c:strCache>
            </c:strRef>
          </c:cat>
          <c:val>
            <c:numRef>
              <c:f>change!$M$3:$O$3</c:f>
              <c:numCache>
                <c:formatCode>General</c:formatCode>
                <c:ptCount val="3"/>
                <c:pt idx="0">
                  <c:v>109291.28929709998</c:v>
                </c:pt>
                <c:pt idx="1">
                  <c:v>76491.315691249998</c:v>
                </c:pt>
                <c:pt idx="2">
                  <c:v>76165.828125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1-418B-AB18-FB9305C214D0}"/>
            </c:ext>
          </c:extLst>
        </c:ser>
        <c:ser>
          <c:idx val="2"/>
          <c:order val="2"/>
          <c:tx>
            <c:strRef>
              <c:f>change!$L$4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change!$M$4:$O$4</c:f>
              <c:numCache>
                <c:formatCode>General</c:formatCode>
                <c:ptCount val="3"/>
                <c:pt idx="0">
                  <c:v>96175.799115499976</c:v>
                </c:pt>
                <c:pt idx="1">
                  <c:v>75116.957602250011</c:v>
                </c:pt>
                <c:pt idx="2">
                  <c:v>74536.75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1-418B-AB18-FB9305C214D0}"/>
            </c:ext>
          </c:extLst>
        </c:ser>
        <c:ser>
          <c:idx val="3"/>
          <c:order val="3"/>
          <c:tx>
            <c:strRef>
              <c:f>change!$L$5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change!$M$5:$O$5</c:f>
              <c:numCache>
                <c:formatCode>General</c:formatCode>
                <c:ptCount val="3"/>
                <c:pt idx="0">
                  <c:v>36663.687094933324</c:v>
                </c:pt>
                <c:pt idx="1">
                  <c:v>70989.220459250006</c:v>
                </c:pt>
                <c:pt idx="2">
                  <c:v>71822.144016749982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21-418B-AB18-FB9305C2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885263"/>
        <c:axId val="1257888175"/>
      </c:barChart>
      <c:catAx>
        <c:axId val="12578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888175"/>
        <c:crosses val="autoZero"/>
        <c:auto val="1"/>
        <c:lblAlgn val="ctr"/>
        <c:lblOffset val="100"/>
        <c:noMultiLvlLbl val="0"/>
      </c:catAx>
      <c:valAx>
        <c:axId val="12578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8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800099</xdr:colOff>
      <xdr:row>11</xdr:row>
      <xdr:rowOff>152399</xdr:rowOff>
    </xdr:from>
    <xdr:to>
      <xdr:col>19</xdr:col>
      <xdr:colOff>400050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10</xdr:row>
      <xdr:rowOff>123824</xdr:rowOff>
    </xdr:from>
    <xdr:to>
      <xdr:col>18</xdr:col>
      <xdr:colOff>238125</xdr:colOff>
      <xdr:row>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3" sqref="B13"/>
    </sheetView>
  </sheetViews>
  <sheetFormatPr defaultRowHeight="15" x14ac:dyDescent="0.25"/>
  <cols>
    <col min="1" max="1" width="15.42578125" style="4" bestFit="1" customWidth="1"/>
    <col min="2" max="2" width="11" style="4" bestFit="1" customWidth="1"/>
    <col min="3" max="3" width="10.85546875" style="4" bestFit="1" customWidth="1"/>
    <col min="4" max="5" width="14" style="4" bestFit="1" customWidth="1"/>
    <col min="6" max="6" width="17" style="4" bestFit="1" customWidth="1"/>
    <col min="7" max="9" width="9.140625" style="4"/>
    <col min="10" max="10" width="14" style="4" bestFit="1" customWidth="1"/>
    <col min="11" max="16384" width="9.140625" style="4"/>
  </cols>
  <sheetData>
    <row r="1" spans="1:12" x14ac:dyDescent="0.25">
      <c r="A1" s="1" t="s">
        <v>22</v>
      </c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  <c r="H1" s="5" t="s">
        <v>19</v>
      </c>
      <c r="I1" s="5"/>
      <c r="J1" s="5" t="s">
        <v>20</v>
      </c>
    </row>
    <row r="2" spans="1:12" x14ac:dyDescent="0.25">
      <c r="A2" s="1" t="s">
        <v>44</v>
      </c>
      <c r="B2" s="2">
        <v>526385.15</v>
      </c>
      <c r="C2" s="2">
        <v>566148.35</v>
      </c>
      <c r="D2" s="2">
        <v>566089.92500000005</v>
      </c>
      <c r="E2" s="2">
        <v>90000</v>
      </c>
      <c r="F2" s="2">
        <v>90000</v>
      </c>
      <c r="H2" s="4">
        <f>MAX(B2:F2)</f>
        <v>566148.35</v>
      </c>
      <c r="J2" s="4" t="str">
        <f>HLOOKUP(H2,B2:$F$10,L2,FALSE)</f>
        <v>OptOpt_BB</v>
      </c>
      <c r="L2" s="4">
        <v>9</v>
      </c>
    </row>
    <row r="3" spans="1:12" x14ac:dyDescent="0.25">
      <c r="A3" s="1" t="s">
        <v>45</v>
      </c>
      <c r="B3" s="2">
        <v>538969.32499999995</v>
      </c>
      <c r="C3" s="2">
        <v>566263.77500000002</v>
      </c>
      <c r="D3" s="2">
        <v>566270.9</v>
      </c>
      <c r="E3" s="2">
        <v>90000</v>
      </c>
      <c r="F3" s="2">
        <v>90000</v>
      </c>
      <c r="H3" s="4">
        <f t="shared" ref="H3:H8" si="0">MAX(B3:F3)</f>
        <v>566270.9</v>
      </c>
      <c r="J3" s="4" t="str">
        <f>HLOOKUP(H3,B3:$F$10,L3,FALSE)</f>
        <v>NoneOpt_NBB</v>
      </c>
      <c r="L3" s="4">
        <v>8</v>
      </c>
    </row>
    <row r="4" spans="1:12" x14ac:dyDescent="0.25">
      <c r="A4" s="1" t="s">
        <v>0</v>
      </c>
      <c r="B4" s="2">
        <v>165000</v>
      </c>
      <c r="C4" s="2">
        <v>158386.57500000001</v>
      </c>
      <c r="D4" s="2">
        <v>40000</v>
      </c>
      <c r="E4" s="2">
        <v>163026.85</v>
      </c>
      <c r="F4" s="2">
        <v>40000</v>
      </c>
      <c r="H4" s="4">
        <f t="shared" si="0"/>
        <v>165000</v>
      </c>
      <c r="J4" s="4" t="str">
        <f>HLOOKUP(H4,B4:$F$10,L4,FALSE)</f>
        <v>OptOpt_EB</v>
      </c>
      <c r="L4" s="4">
        <v>7</v>
      </c>
    </row>
    <row r="5" spans="1:12" x14ac:dyDescent="0.25">
      <c r="A5" s="1" t="s">
        <v>1</v>
      </c>
      <c r="B5" s="2">
        <v>165000</v>
      </c>
      <c r="C5" s="2">
        <v>158388</v>
      </c>
      <c r="D5" s="2">
        <v>40000</v>
      </c>
      <c r="E5" s="2">
        <v>163036.82500000001</v>
      </c>
      <c r="F5" s="2">
        <v>40000</v>
      </c>
      <c r="H5" s="4">
        <f t="shared" si="0"/>
        <v>165000</v>
      </c>
      <c r="J5" s="4" t="str">
        <f>HLOOKUP(H5,B5:$F$10,L5,FALSE)</f>
        <v>OptOpt_EB</v>
      </c>
      <c r="L5" s="4">
        <v>6</v>
      </c>
    </row>
    <row r="6" spans="1:12" x14ac:dyDescent="0.25">
      <c r="A6" s="1" t="s">
        <v>2</v>
      </c>
      <c r="B6" s="2">
        <v>165000</v>
      </c>
      <c r="C6" s="2">
        <v>160411.97500000001</v>
      </c>
      <c r="D6" s="2">
        <v>40000</v>
      </c>
      <c r="E6" s="2">
        <v>161376.22500000001</v>
      </c>
      <c r="F6" s="2">
        <v>40000</v>
      </c>
      <c r="H6" s="4">
        <f t="shared" si="0"/>
        <v>165000</v>
      </c>
      <c r="J6" s="4" t="str">
        <f>HLOOKUP(H6,B6:$F$10,L6,FALSE)</f>
        <v>OptOpt_EB</v>
      </c>
      <c r="L6" s="4">
        <v>5</v>
      </c>
    </row>
    <row r="7" spans="1:12" x14ac:dyDescent="0.25">
      <c r="A7" s="1" t="s">
        <v>3</v>
      </c>
      <c r="B7" s="2">
        <v>165000</v>
      </c>
      <c r="C7" s="2">
        <v>160384.9</v>
      </c>
      <c r="D7" s="2">
        <v>40000</v>
      </c>
      <c r="E7" s="2">
        <v>161399.5</v>
      </c>
      <c r="F7" s="2">
        <v>40000</v>
      </c>
      <c r="H7" s="4">
        <f t="shared" si="0"/>
        <v>165000</v>
      </c>
      <c r="J7" s="4" t="str">
        <f>HLOOKUP(H7,B7:$F$10,L7,FALSE)</f>
        <v>OptOpt_EB</v>
      </c>
      <c r="L7" s="4">
        <v>4</v>
      </c>
    </row>
    <row r="8" spans="1:12" x14ac:dyDescent="0.25">
      <c r="A8" s="1" t="s">
        <v>6</v>
      </c>
      <c r="B8" s="2">
        <v>150429.13750000001</v>
      </c>
      <c r="C8" s="2">
        <v>121662.91250000001</v>
      </c>
      <c r="D8" s="2">
        <v>102660.21249999999</v>
      </c>
      <c r="E8" s="2">
        <v>77636.2</v>
      </c>
      <c r="F8" s="2">
        <v>70000</v>
      </c>
      <c r="H8" s="4">
        <f t="shared" si="0"/>
        <v>150429.13750000001</v>
      </c>
      <c r="J8" s="4" t="str">
        <f>HLOOKUP(H8,B8:$F$10,L8,FALSE)</f>
        <v>OptOpt_EB</v>
      </c>
      <c r="L8" s="4">
        <v>3</v>
      </c>
    </row>
    <row r="10" spans="1:12" x14ac:dyDescent="0.25">
      <c r="B10" s="4" t="str">
        <f>B1</f>
        <v>OptOpt_EB</v>
      </c>
      <c r="C10" s="4" t="str">
        <f t="shared" ref="C10:F10" si="1">C1</f>
        <v>OptOpt_BB</v>
      </c>
      <c r="D10" s="4" t="str">
        <f t="shared" si="1"/>
        <v>NoneOpt_NBB</v>
      </c>
      <c r="E10" s="4" t="str">
        <f t="shared" si="1"/>
        <v>OptNone_BNB</v>
      </c>
      <c r="F10" s="4" t="str">
        <f t="shared" si="1"/>
        <v>NoneNone_NBNB</v>
      </c>
    </row>
    <row r="12" spans="1:12" x14ac:dyDescent="0.25">
      <c r="B12" s="4">
        <f>SUM(B2:B7)</f>
        <v>1725354.4750000001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V13" zoomScale="115" zoomScaleNormal="115" workbookViewId="0">
      <selection activeCell="B156" sqref="B156"/>
    </sheetView>
  </sheetViews>
  <sheetFormatPr defaultRowHeight="12" x14ac:dyDescent="0.25"/>
  <cols>
    <col min="1" max="1" width="30.5703125" style="34" bestFit="1" customWidth="1"/>
    <col min="2" max="2" width="14.28515625" style="39" bestFit="1" customWidth="1"/>
    <col min="3" max="3" width="22.57031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10.42578125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(1500000.488, 2875000.5)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244</v>
      </c>
      <c r="B2" s="39" t="s">
        <v>10</v>
      </c>
      <c r="C2" s="36" t="s">
        <v>44</v>
      </c>
      <c r="D2" s="59">
        <f t="shared" ref="D2:D10" si="0">A3</f>
        <v>-103479883.028753</v>
      </c>
      <c r="E2" s="59">
        <f t="shared" ref="E2:E10" si="1">A12</f>
        <v>-38582010.429692999</v>
      </c>
      <c r="F2" s="59">
        <f t="shared" ref="F2:F10" si="2">A21</f>
        <v>-38668378.204596996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-103479883.028753</v>
      </c>
      <c r="C3" s="36" t="s">
        <v>45</v>
      </c>
      <c r="D3" s="59">
        <f t="shared" si="0"/>
        <v>-84370074.051081002</v>
      </c>
      <c r="E3" s="59">
        <f t="shared" si="1"/>
        <v>-38436030.114501998</v>
      </c>
      <c r="F3" s="59">
        <f t="shared" si="2"/>
        <v>-38443540.355797999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-84370074.051081002</v>
      </c>
      <c r="C4" s="36" t="s">
        <v>0</v>
      </c>
      <c r="D4" s="59">
        <f t="shared" si="0"/>
        <v>151895.41399999999</v>
      </c>
      <c r="E4" s="59">
        <f t="shared" si="1"/>
        <v>-16864612.573736899</v>
      </c>
      <c r="F4" s="59">
        <f t="shared" si="2"/>
        <v>40000</v>
      </c>
      <c r="G4" s="59">
        <f t="shared" si="3"/>
        <v>-4897553.6761433603</v>
      </c>
      <c r="H4" s="59">
        <f t="shared" si="4"/>
        <v>40000</v>
      </c>
      <c r="J4" s="25">
        <f t="shared" si="5"/>
        <v>151895.41399999999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151895.41399999999</v>
      </c>
      <c r="C5" s="36" t="s">
        <v>1</v>
      </c>
      <c r="D5" s="59">
        <f t="shared" si="0"/>
        <v>151897.8762</v>
      </c>
      <c r="E5" s="59">
        <f t="shared" si="1"/>
        <v>-16836726.454724401</v>
      </c>
      <c r="F5" s="59">
        <f t="shared" si="2"/>
        <v>40000</v>
      </c>
      <c r="G5" s="59">
        <f t="shared" si="3"/>
        <v>-4896819.83090619</v>
      </c>
      <c r="H5" s="59">
        <f t="shared" si="4"/>
        <v>40000</v>
      </c>
      <c r="J5" s="25">
        <f t="shared" si="5"/>
        <v>151897.8762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151897.8762</v>
      </c>
      <c r="C6" s="36" t="s">
        <v>2</v>
      </c>
      <c r="D6" s="59">
        <f t="shared" si="0"/>
        <v>155764.28779999999</v>
      </c>
      <c r="E6" s="59">
        <f t="shared" si="1"/>
        <v>-11719134.385780299</v>
      </c>
      <c r="F6" s="59">
        <f t="shared" si="2"/>
        <v>40000</v>
      </c>
      <c r="G6" s="59">
        <f t="shared" si="3"/>
        <v>-9163151.4247174095</v>
      </c>
      <c r="H6" s="59">
        <f t="shared" si="4"/>
        <v>40000</v>
      </c>
      <c r="J6" s="25">
        <f t="shared" si="5"/>
        <v>155764.28779999999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155764.28779999999</v>
      </c>
      <c r="C7" s="36" t="s">
        <v>3</v>
      </c>
      <c r="D7" s="59">
        <f t="shared" si="0"/>
        <v>155788.90979999999</v>
      </c>
      <c r="E7" s="59">
        <f t="shared" si="1"/>
        <v>-11624957.5803435</v>
      </c>
      <c r="F7" s="59">
        <f t="shared" si="2"/>
        <v>40000</v>
      </c>
      <c r="G7" s="59">
        <f t="shared" si="3"/>
        <v>-9126948.3930170201</v>
      </c>
      <c r="H7" s="59">
        <f t="shared" si="4"/>
        <v>40000</v>
      </c>
      <c r="J7" s="25">
        <f t="shared" si="5"/>
        <v>155788.90979999999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155788.90979999999</v>
      </c>
      <c r="C8" s="36" t="s">
        <v>6</v>
      </c>
      <c r="D8" s="59">
        <f t="shared" si="0"/>
        <v>3607855.61</v>
      </c>
      <c r="E8" s="59">
        <f t="shared" si="1"/>
        <v>2084264.665</v>
      </c>
      <c r="F8" s="59">
        <f t="shared" si="2"/>
        <v>1142961.4450000001</v>
      </c>
      <c r="G8" s="59">
        <f t="shared" si="3"/>
        <v>537685.81999999995</v>
      </c>
      <c r="H8" s="59">
        <f t="shared" si="4"/>
        <v>70000</v>
      </c>
      <c r="J8" s="25">
        <f t="shared" si="5"/>
        <v>3607855.61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3607855.61</v>
      </c>
      <c r="C9" s="37" t="s">
        <v>23</v>
      </c>
      <c r="D9" s="59">
        <f t="shared" si="0"/>
        <v>186603917.59203401</v>
      </c>
      <c r="E9" s="59">
        <f t="shared" si="1"/>
        <v>134966992.03936499</v>
      </c>
      <c r="F9" s="59">
        <f t="shared" si="2"/>
        <v>78797751.060395002</v>
      </c>
      <c r="G9" s="59">
        <f t="shared" si="3"/>
        <v>30364437.324743699</v>
      </c>
      <c r="H9" s="59">
        <f t="shared" si="4"/>
        <v>2590000</v>
      </c>
      <c r="J9" s="25">
        <f t="shared" si="5"/>
        <v>186603917.59203401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186603917.59203401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19" ht="12.75" x14ac:dyDescent="0.25">
      <c r="A12" s="34">
        <v>-38582010.429692999</v>
      </c>
      <c r="B12" s="39">
        <v>2</v>
      </c>
      <c r="C12" s="36" t="str">
        <f>A48</f>
        <v>(1500000.488, 5750001)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36" t="str">
        <f>settings_!O16</f>
        <v>B12/B3</v>
      </c>
      <c r="O12" s="36">
        <f>settings_!P16</f>
        <v>2875000.5</v>
      </c>
      <c r="P12" s="36">
        <f>settings_!Q16</f>
        <v>5750001</v>
      </c>
      <c r="Q12" s="36">
        <f>settings_!R16</f>
        <v>7250000.9879999999</v>
      </c>
      <c r="R12" s="36">
        <f>settings_!S16</f>
        <v>8750000.9759999998</v>
      </c>
      <c r="S12" s="36">
        <f>settings_!T16</f>
        <v>13125001.464</v>
      </c>
    </row>
    <row r="13" spans="1:19" ht="12.75" x14ac:dyDescent="0.25">
      <c r="A13" s="34">
        <v>-38436030.114501998</v>
      </c>
      <c r="B13" s="39" t="s">
        <v>10</v>
      </c>
      <c r="C13" s="36" t="str">
        <f t="shared" ref="C13:C21" si="7">C2</f>
        <v>(3, 0)</v>
      </c>
      <c r="D13" s="59">
        <f t="shared" ref="D13:D21" si="8">A49</f>
        <v>-130382751.809852</v>
      </c>
      <c r="E13" s="59">
        <f t="shared" ref="E13:E21" si="9">A58</f>
        <v>-368168.666638</v>
      </c>
      <c r="F13" s="59">
        <f t="shared" ref="F13:F21" si="10">A67</f>
        <v>-366029.66626600001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90000</v>
      </c>
      <c r="K13" s="25"/>
      <c r="L13" s="25" t="str">
        <f>HLOOKUP(J13,D13:$H$23,N2,FALSE)</f>
        <v>OptNone_BNB</v>
      </c>
      <c r="N13" s="36">
        <f>settings_!O17</f>
        <v>1500000.4880000001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2.75" x14ac:dyDescent="0.25">
      <c r="A14" s="34">
        <v>-16864612.573736899</v>
      </c>
      <c r="C14" s="36" t="str">
        <f t="shared" si="7"/>
        <v>(3, 1)</v>
      </c>
      <c r="D14" s="59">
        <f t="shared" si="8"/>
        <v>-91287235.697098002</v>
      </c>
      <c r="E14" s="59">
        <f t="shared" si="9"/>
        <v>-370756.16708799999</v>
      </c>
      <c r="F14" s="59">
        <f t="shared" si="10"/>
        <v>-369261.16682799999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90000</v>
      </c>
      <c r="K14" s="25"/>
      <c r="L14" s="25" t="str">
        <f>HLOOKUP(J14,D14:$H$23,N3,FALSE)</f>
        <v>OptNone_BNB</v>
      </c>
      <c r="N14" s="36">
        <f>settings_!O18</f>
        <v>3000000.9760000003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2.75" x14ac:dyDescent="0.25">
      <c r="A15" s="34">
        <v>-16836726.454724401</v>
      </c>
      <c r="C15" s="36" t="str">
        <f t="shared" si="7"/>
        <v>(2, 0)</v>
      </c>
      <c r="D15" s="59">
        <f t="shared" si="8"/>
        <v>151832.91200000001</v>
      </c>
      <c r="E15" s="59">
        <f t="shared" si="9"/>
        <v>-16828164.926957399</v>
      </c>
      <c r="F15" s="59">
        <f t="shared" si="10"/>
        <v>40000</v>
      </c>
      <c r="G15" s="59">
        <f t="shared" si="11"/>
        <v>-4898042.9063014695</v>
      </c>
      <c r="H15" s="59">
        <f t="shared" si="12"/>
        <v>40000</v>
      </c>
      <c r="J15" s="25">
        <f t="shared" si="13"/>
        <v>151832.91200000001</v>
      </c>
      <c r="K15" s="25"/>
      <c r="L15" s="25" t="str">
        <f>HLOOKUP(J15,D15:$H$23,N4,FALSE)</f>
        <v>OptOpt_EB</v>
      </c>
      <c r="N15" s="36">
        <f>settings_!O19</f>
        <v>4500001.4640000006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-11719134.385780299</v>
      </c>
      <c r="C16" s="36" t="str">
        <f t="shared" si="7"/>
        <v>(2, 1)</v>
      </c>
      <c r="D16" s="59">
        <f t="shared" si="8"/>
        <v>151834.2378</v>
      </c>
      <c r="E16" s="59">
        <f t="shared" si="9"/>
        <v>-16872929.4864248</v>
      </c>
      <c r="F16" s="59">
        <f t="shared" si="10"/>
        <v>40000</v>
      </c>
      <c r="G16" s="59">
        <f t="shared" si="11"/>
        <v>-4954059.7594052097</v>
      </c>
      <c r="H16" s="59">
        <f t="shared" si="12"/>
        <v>40000</v>
      </c>
      <c r="J16" s="25">
        <f t="shared" si="13"/>
        <v>151834.2378</v>
      </c>
      <c r="K16" s="25"/>
      <c r="L16" s="25" t="str">
        <f>HLOOKUP(J16,D16:$H$23,N5,FALSE)</f>
        <v>OptOpt_EB</v>
      </c>
    </row>
    <row r="17" spans="1:40" ht="12.75" x14ac:dyDescent="0.25">
      <c r="A17" s="34">
        <v>-11624957.5803435</v>
      </c>
      <c r="C17" s="36" t="str">
        <f t="shared" si="7"/>
        <v>(1, 0)</v>
      </c>
      <c r="D17" s="59">
        <f t="shared" si="8"/>
        <v>155754.62839999999</v>
      </c>
      <c r="E17" s="59">
        <f t="shared" si="9"/>
        <v>-11760963.564299</v>
      </c>
      <c r="F17" s="59">
        <f t="shared" si="10"/>
        <v>40000</v>
      </c>
      <c r="G17" s="59">
        <f t="shared" si="11"/>
        <v>-9254392.8492055405</v>
      </c>
      <c r="H17" s="59">
        <f t="shared" si="12"/>
        <v>40000</v>
      </c>
      <c r="J17" s="25">
        <f t="shared" si="13"/>
        <v>155754.62839999999</v>
      </c>
      <c r="K17" s="25"/>
      <c r="L17" s="25" t="str">
        <f>HLOOKUP(J17,D17:$H$23,N6,FALSE)</f>
        <v>OptOpt_EB</v>
      </c>
      <c r="N17" s="36" t="str">
        <f>N12</f>
        <v>B12/B3</v>
      </c>
      <c r="O17" s="36">
        <f t="shared" ref="O17:S17" si="14">O12</f>
        <v>2875000.5</v>
      </c>
      <c r="P17" s="36">
        <f t="shared" si="14"/>
        <v>5750001</v>
      </c>
      <c r="Q17" s="36">
        <f t="shared" si="14"/>
        <v>7250000.9879999999</v>
      </c>
      <c r="R17" s="36">
        <f t="shared" si="14"/>
        <v>8750000.9759999998</v>
      </c>
      <c r="S17" s="36">
        <f t="shared" si="14"/>
        <v>13125001.464</v>
      </c>
    </row>
    <row r="18" spans="1:40" ht="12.75" x14ac:dyDescent="0.25">
      <c r="A18" s="34">
        <v>2084264.665</v>
      </c>
      <c r="C18" s="36" t="str">
        <f t="shared" si="7"/>
        <v>(1, 1)</v>
      </c>
      <c r="D18" s="59">
        <f t="shared" si="8"/>
        <v>155830.5778</v>
      </c>
      <c r="E18" s="59">
        <f t="shared" si="9"/>
        <v>-11701277.485009201</v>
      </c>
      <c r="F18" s="59">
        <f t="shared" si="10"/>
        <v>40000</v>
      </c>
      <c r="G18" s="59">
        <f t="shared" si="11"/>
        <v>-9239715.9444621392</v>
      </c>
      <c r="H18" s="59">
        <f t="shared" si="12"/>
        <v>40000</v>
      </c>
      <c r="J18" s="25">
        <f t="shared" si="13"/>
        <v>155830.5778</v>
      </c>
      <c r="K18" s="25"/>
      <c r="L18" s="25" t="str">
        <f>HLOOKUP(J18,D18:$H$23,N7,FALSE)</f>
        <v>OptOpt_EB</v>
      </c>
      <c r="N18" s="36">
        <f t="shared" ref="N18:N20" si="15">N13</f>
        <v>1500000.4880000001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40" ht="12.75" x14ac:dyDescent="0.25">
      <c r="A19" s="34">
        <v>134966992.03936499</v>
      </c>
      <c r="C19" s="36" t="str">
        <f t="shared" si="7"/>
        <v>Inspector</v>
      </c>
      <c r="D19" s="59">
        <f t="shared" si="8"/>
        <v>3609582.25783</v>
      </c>
      <c r="E19" s="59">
        <f t="shared" si="9"/>
        <v>2087913.2987259999</v>
      </c>
      <c r="F19" s="59">
        <f t="shared" si="10"/>
        <v>1141354.298094</v>
      </c>
      <c r="G19" s="59">
        <f t="shared" si="11"/>
        <v>541944.42000000004</v>
      </c>
      <c r="H19" s="59">
        <f t="shared" si="12"/>
        <v>70000</v>
      </c>
      <c r="J19" s="25">
        <f t="shared" si="13"/>
        <v>3609582.25783</v>
      </c>
      <c r="K19" s="25"/>
      <c r="L19" s="25" t="str">
        <f>HLOOKUP(J19,D19:$H$23,N8,FALSE)</f>
        <v>OptOpt_EB</v>
      </c>
      <c r="N19" s="36">
        <f t="shared" si="15"/>
        <v>3000000.9760000003</v>
      </c>
      <c r="O19" s="40" t="str">
        <f>B57</f>
        <v>NoneNone_NBNB</v>
      </c>
      <c r="P19" s="40" t="str">
        <f>B68</f>
        <v>NoneNone_NBNB</v>
      </c>
      <c r="Q19" s="40" t="str">
        <f>B79</f>
        <v>NoneNone_NBNB</v>
      </c>
      <c r="R19" s="40" t="str">
        <f>B90</f>
        <v>NoneNone_NBNB</v>
      </c>
      <c r="S19" s="40" t="str">
        <f>B101</f>
        <v>NoneNone_NBNB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219590232.31812</v>
      </c>
      <c r="E20" s="59">
        <f t="shared" si="9"/>
        <v>57967795.462454401</v>
      </c>
      <c r="F20" s="59">
        <f t="shared" si="10"/>
        <v>1590000</v>
      </c>
      <c r="G20" s="59">
        <f t="shared" si="11"/>
        <v>30621895.459332298</v>
      </c>
      <c r="H20" s="59">
        <f t="shared" si="12"/>
        <v>2590000</v>
      </c>
      <c r="J20" s="25">
        <f t="shared" si="13"/>
        <v>219590232.31812</v>
      </c>
      <c r="K20" s="25"/>
      <c r="L20" s="25" t="str">
        <f>HLOOKUP(J20,D20:$H$23,N9,FALSE)</f>
        <v>OptOpt_EB</v>
      </c>
      <c r="N20" s="36">
        <f t="shared" si="15"/>
        <v>4500001.4640000006</v>
      </c>
      <c r="O20" s="40" t="str">
        <f>B112</f>
        <v>NoneNone_NBNB</v>
      </c>
      <c r="P20" s="40" t="str">
        <f>B123</f>
        <v>NoneNone_NBNB</v>
      </c>
      <c r="Q20" s="40" t="str">
        <f>B134</f>
        <v>NoneNone_NBNB</v>
      </c>
      <c r="R20" s="40" t="str">
        <f>B145</f>
        <v>NoneNone_NBNB</v>
      </c>
      <c r="S20" s="40" t="str">
        <f>B156</f>
        <v>NoneNone_NBNB</v>
      </c>
    </row>
    <row r="21" spans="1:40" x14ac:dyDescent="0.25">
      <c r="A21" s="34">
        <v>-38668378.204596996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-38443540.355797999</v>
      </c>
      <c r="D22" s="60"/>
      <c r="E22" s="60"/>
      <c r="F22" s="60"/>
      <c r="G22" s="60"/>
      <c r="H22" s="60"/>
      <c r="U22" s="36" t="s">
        <v>104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36">
        <v>8</v>
      </c>
      <c r="AD22" s="36">
        <v>9</v>
      </c>
      <c r="AE22" s="36">
        <v>10</v>
      </c>
      <c r="AF22" s="36">
        <v>11</v>
      </c>
      <c r="AG22" s="36">
        <v>12</v>
      </c>
      <c r="AH22" s="36">
        <v>13</v>
      </c>
      <c r="AI22" s="36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(1500000.488, 7250000.988)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  <c r="AN23" s="34">
        <f>AVERAGE(Y23,AD23,AI23)</f>
        <v>90000</v>
      </c>
    </row>
    <row r="24" spans="1:40" ht="12.75" x14ac:dyDescent="0.25">
      <c r="A24" s="34">
        <v>40000</v>
      </c>
      <c r="B24" s="39" t="s">
        <v>10</v>
      </c>
      <c r="C24" s="36" t="str">
        <f t="shared" ref="C24:C32" si="17">C2</f>
        <v>(3, 0)</v>
      </c>
      <c r="D24" s="59">
        <f t="shared" ref="D24:D32" si="18">A95</f>
        <v>-163968552.936712</v>
      </c>
      <c r="E24" s="59">
        <f t="shared" ref="E24:E32" si="19">A104</f>
        <v>-620213.66492314194</v>
      </c>
      <c r="F24" s="59">
        <f t="shared" ref="F24:F32" si="20">A113</f>
        <v>-622809.16527682904</v>
      </c>
      <c r="G24" s="59">
        <f t="shared" ref="G24:G32" si="21">A122</f>
        <v>90000</v>
      </c>
      <c r="H24" s="59">
        <f t="shared" ref="H24:H32" si="22">A131</f>
        <v>90000</v>
      </c>
      <c r="J24" s="25">
        <f>MAX(D24:H24)</f>
        <v>90000</v>
      </c>
      <c r="K24" s="25"/>
      <c r="L24" s="25" t="str">
        <f>HLOOKUP(J24,D24:$H$34,N2,FALSE)</f>
        <v>OptNone_BNB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90000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90000</v>
      </c>
      <c r="AE24" s="35">
        <f t="shared" ref="AE24:AE31" si="32">HLOOKUP($S$19,$D$100:$H$109,$S24,FALSE)</f>
        <v>90000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90000</v>
      </c>
      <c r="AJ24" s="35">
        <f t="shared" ref="AJ24:AJ31" si="37">HLOOKUP($S$20,$D$155:$H$164,$S24,FALSE)</f>
        <v>90000</v>
      </c>
      <c r="AL24" s="34">
        <f t="shared" ref="AL24:AL31" si="38">AVERAGE(V24:AK24)</f>
        <v>90000</v>
      </c>
      <c r="AN24" s="34">
        <f t="shared" ref="AN24:AN28" si="39">AVERAGE(Y24,AD24,AI24)</f>
        <v>90000</v>
      </c>
    </row>
    <row r="25" spans="1:40" ht="12.75" x14ac:dyDescent="0.25">
      <c r="A25" s="34">
        <v>40000</v>
      </c>
      <c r="C25" s="36" t="str">
        <f t="shared" si="17"/>
        <v>(3, 1)</v>
      </c>
      <c r="D25" s="59">
        <f t="shared" si="18"/>
        <v>-115305024.24538501</v>
      </c>
      <c r="E25" s="59">
        <f t="shared" si="19"/>
        <v>-623200.66533017205</v>
      </c>
      <c r="F25" s="59">
        <f t="shared" si="20"/>
        <v>-615051.66421971703</v>
      </c>
      <c r="G25" s="59">
        <f t="shared" si="21"/>
        <v>90000</v>
      </c>
      <c r="H25" s="59">
        <f t="shared" si="22"/>
        <v>90000</v>
      </c>
      <c r="J25" s="25">
        <f t="shared" ref="J25:J31" si="40">MAX(D25:H25)</f>
        <v>90000</v>
      </c>
      <c r="K25" s="25"/>
      <c r="L25" s="25" t="str">
        <f>HLOOKUP(J25,D25:$H$34,N3,FALSE)</f>
        <v>OptNone_BNB</v>
      </c>
      <c r="N25" s="25"/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40000</v>
      </c>
      <c r="Z25" s="35">
        <f t="shared" si="27"/>
        <v>40000</v>
      </c>
      <c r="AA25" s="35">
        <f t="shared" si="28"/>
        <v>40000</v>
      </c>
      <c r="AB25" s="35">
        <f t="shared" si="29"/>
        <v>40000</v>
      </c>
      <c r="AC25" s="35">
        <f t="shared" si="30"/>
        <v>40000</v>
      </c>
      <c r="AD25" s="35">
        <f t="shared" si="31"/>
        <v>40000</v>
      </c>
      <c r="AE25" s="35">
        <f t="shared" si="32"/>
        <v>40000</v>
      </c>
      <c r="AF25" s="35">
        <f t="shared" si="33"/>
        <v>40000</v>
      </c>
      <c r="AG25" s="35">
        <f t="shared" si="34"/>
        <v>40000</v>
      </c>
      <c r="AH25" s="35">
        <f t="shared" si="35"/>
        <v>40000</v>
      </c>
      <c r="AI25" s="35">
        <f t="shared" si="36"/>
        <v>40000</v>
      </c>
      <c r="AJ25" s="35">
        <f t="shared" si="37"/>
        <v>40000</v>
      </c>
      <c r="AL25" s="34">
        <f t="shared" si="38"/>
        <v>40000</v>
      </c>
      <c r="AN25" s="34">
        <f t="shared" si="39"/>
        <v>40000</v>
      </c>
    </row>
    <row r="26" spans="1:40" ht="12.75" x14ac:dyDescent="0.25">
      <c r="A26" s="34">
        <v>40000</v>
      </c>
      <c r="C26" s="36" t="str">
        <f t="shared" si="17"/>
        <v>(2, 0)</v>
      </c>
      <c r="D26" s="59">
        <f t="shared" si="18"/>
        <v>151880.8302</v>
      </c>
      <c r="E26" s="59">
        <f t="shared" si="19"/>
        <v>-16818380.323795199</v>
      </c>
      <c r="F26" s="59">
        <f t="shared" si="20"/>
        <v>40000</v>
      </c>
      <c r="G26" s="59">
        <f t="shared" si="21"/>
        <v>-4891927.5293250801</v>
      </c>
      <c r="H26" s="59">
        <f t="shared" si="22"/>
        <v>40000</v>
      </c>
      <c r="J26" s="25">
        <f t="shared" si="40"/>
        <v>151880.8302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40000</v>
      </c>
      <c r="Z26" s="35">
        <f t="shared" si="27"/>
        <v>40000</v>
      </c>
      <c r="AA26" s="35">
        <f t="shared" si="28"/>
        <v>40000</v>
      </c>
      <c r="AB26" s="35">
        <f t="shared" si="29"/>
        <v>40000</v>
      </c>
      <c r="AC26" s="35">
        <f t="shared" si="30"/>
        <v>40000</v>
      </c>
      <c r="AD26" s="35">
        <f t="shared" si="31"/>
        <v>40000</v>
      </c>
      <c r="AE26" s="35">
        <f t="shared" si="32"/>
        <v>40000</v>
      </c>
      <c r="AF26" s="35">
        <f t="shared" si="33"/>
        <v>40000</v>
      </c>
      <c r="AG26" s="35">
        <f t="shared" si="34"/>
        <v>40000</v>
      </c>
      <c r="AH26" s="35">
        <f t="shared" si="35"/>
        <v>40000</v>
      </c>
      <c r="AI26" s="35">
        <f t="shared" si="36"/>
        <v>40000</v>
      </c>
      <c r="AJ26" s="35">
        <f t="shared" si="37"/>
        <v>40000</v>
      </c>
      <c r="AL26" s="34">
        <f t="shared" si="38"/>
        <v>40000</v>
      </c>
      <c r="AN26" s="34">
        <f t="shared" si="39"/>
        <v>40000</v>
      </c>
    </row>
    <row r="27" spans="1:40" ht="12.75" x14ac:dyDescent="0.25">
      <c r="A27" s="34">
        <v>1142961.4450000001</v>
      </c>
      <c r="C27" s="36" t="str">
        <f t="shared" si="17"/>
        <v>(2, 1)</v>
      </c>
      <c r="D27" s="59">
        <f t="shared" si="18"/>
        <v>151859.42800000001</v>
      </c>
      <c r="E27" s="59">
        <f t="shared" si="19"/>
        <v>-16787314.208755001</v>
      </c>
      <c r="F27" s="59">
        <f t="shared" si="20"/>
        <v>40000</v>
      </c>
      <c r="G27" s="59">
        <f t="shared" si="21"/>
        <v>-4885567.5372696295</v>
      </c>
      <c r="H27" s="59">
        <f t="shared" si="22"/>
        <v>40000</v>
      </c>
      <c r="J27" s="25">
        <f t="shared" si="40"/>
        <v>151859.42800000001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40000</v>
      </c>
      <c r="Z27" s="35">
        <f t="shared" si="27"/>
        <v>40000</v>
      </c>
      <c r="AA27" s="35">
        <f t="shared" si="28"/>
        <v>40000</v>
      </c>
      <c r="AB27" s="35">
        <f t="shared" si="29"/>
        <v>40000</v>
      </c>
      <c r="AC27" s="35">
        <f t="shared" si="30"/>
        <v>40000</v>
      </c>
      <c r="AD27" s="35">
        <f t="shared" si="31"/>
        <v>40000</v>
      </c>
      <c r="AE27" s="35">
        <f t="shared" si="32"/>
        <v>40000</v>
      </c>
      <c r="AF27" s="35">
        <f t="shared" si="33"/>
        <v>40000</v>
      </c>
      <c r="AG27" s="35">
        <f t="shared" si="34"/>
        <v>40000</v>
      </c>
      <c r="AH27" s="35">
        <f t="shared" si="35"/>
        <v>40000</v>
      </c>
      <c r="AI27" s="35">
        <f t="shared" si="36"/>
        <v>40000</v>
      </c>
      <c r="AJ27" s="35">
        <f t="shared" si="37"/>
        <v>40000</v>
      </c>
      <c r="AL27" s="34">
        <f t="shared" si="38"/>
        <v>40000</v>
      </c>
      <c r="AN27" s="34">
        <f t="shared" si="39"/>
        <v>40000</v>
      </c>
    </row>
    <row r="28" spans="1:40" ht="12.75" x14ac:dyDescent="0.25">
      <c r="A28" s="34">
        <v>78797751.060395002</v>
      </c>
      <c r="C28" s="36" t="str">
        <f t="shared" si="17"/>
        <v>(1, 0)</v>
      </c>
      <c r="D28" s="59">
        <f t="shared" si="18"/>
        <v>155798.00099999999</v>
      </c>
      <c r="E28" s="59">
        <f t="shared" si="19"/>
        <v>-11696629.7985071</v>
      </c>
      <c r="F28" s="59">
        <f t="shared" si="20"/>
        <v>40000</v>
      </c>
      <c r="G28" s="59">
        <f t="shared" si="21"/>
        <v>-9220635.9682957195</v>
      </c>
      <c r="H28" s="59">
        <f t="shared" si="22"/>
        <v>40000</v>
      </c>
      <c r="J28" s="25">
        <f t="shared" si="40"/>
        <v>155798.00099999999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40000</v>
      </c>
      <c r="Z28" s="35">
        <f t="shared" si="27"/>
        <v>40000</v>
      </c>
      <c r="AA28" s="35">
        <f t="shared" si="28"/>
        <v>40000</v>
      </c>
      <c r="AB28" s="35">
        <f t="shared" si="29"/>
        <v>40000</v>
      </c>
      <c r="AC28" s="35">
        <f t="shared" si="30"/>
        <v>40000</v>
      </c>
      <c r="AD28" s="35">
        <f t="shared" si="31"/>
        <v>40000</v>
      </c>
      <c r="AE28" s="35">
        <f t="shared" si="32"/>
        <v>40000</v>
      </c>
      <c r="AF28" s="35">
        <f t="shared" si="33"/>
        <v>40000</v>
      </c>
      <c r="AG28" s="35">
        <f t="shared" si="34"/>
        <v>40000</v>
      </c>
      <c r="AH28" s="35">
        <f t="shared" si="35"/>
        <v>40000</v>
      </c>
      <c r="AI28" s="35">
        <f t="shared" si="36"/>
        <v>40000</v>
      </c>
      <c r="AJ28" s="35">
        <f t="shared" si="37"/>
        <v>40000</v>
      </c>
      <c r="AL28" s="34">
        <f t="shared" si="38"/>
        <v>40000</v>
      </c>
      <c r="AN28" s="34">
        <f t="shared" si="39"/>
        <v>40000</v>
      </c>
    </row>
    <row r="29" spans="1:40" ht="12.75" x14ac:dyDescent="0.25">
      <c r="A29" s="34">
        <v>0.33333333333333298</v>
      </c>
      <c r="C29" s="36" t="str">
        <f t="shared" si="17"/>
        <v>(1, 1)</v>
      </c>
      <c r="D29" s="59">
        <f t="shared" si="18"/>
        <v>155763.90900000001</v>
      </c>
      <c r="E29" s="59">
        <f t="shared" si="19"/>
        <v>-11769525.092065999</v>
      </c>
      <c r="F29" s="59">
        <f t="shared" si="20"/>
        <v>40000</v>
      </c>
      <c r="G29" s="59">
        <f t="shared" si="21"/>
        <v>-9113249.9485898502</v>
      </c>
      <c r="H29" s="59">
        <f t="shared" si="22"/>
        <v>40000</v>
      </c>
      <c r="J29" s="25">
        <f t="shared" si="40"/>
        <v>155763.90900000001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70000</v>
      </c>
      <c r="Z29" s="35">
        <f t="shared" si="27"/>
        <v>70000</v>
      </c>
      <c r="AA29" s="35">
        <f t="shared" si="28"/>
        <v>70000</v>
      </c>
      <c r="AB29" s="35">
        <f t="shared" si="29"/>
        <v>70000</v>
      </c>
      <c r="AC29" s="35">
        <f t="shared" si="30"/>
        <v>70000</v>
      </c>
      <c r="AD29" s="35">
        <f t="shared" si="31"/>
        <v>70000</v>
      </c>
      <c r="AE29" s="35">
        <f t="shared" si="32"/>
        <v>70000</v>
      </c>
      <c r="AF29" s="35">
        <f t="shared" si="33"/>
        <v>70000</v>
      </c>
      <c r="AG29" s="35">
        <f t="shared" si="34"/>
        <v>70000</v>
      </c>
      <c r="AH29" s="35">
        <f t="shared" si="35"/>
        <v>70000</v>
      </c>
      <c r="AI29" s="35">
        <f t="shared" si="36"/>
        <v>70000</v>
      </c>
      <c r="AJ29" s="35">
        <f t="shared" si="37"/>
        <v>70000</v>
      </c>
      <c r="AL29" s="34">
        <f t="shared" si="38"/>
        <v>70000</v>
      </c>
    </row>
    <row r="30" spans="1:40" ht="12.75" x14ac:dyDescent="0.25">
      <c r="A30" s="34">
        <v>90000</v>
      </c>
      <c r="C30" s="36" t="str">
        <f t="shared" si="17"/>
        <v>Inspector</v>
      </c>
      <c r="D30" s="59">
        <f t="shared" si="18"/>
        <v>4108049.4892552299</v>
      </c>
      <c r="E30" s="59">
        <f t="shared" si="19"/>
        <v>2589557.1702586198</v>
      </c>
      <c r="F30" s="59">
        <f t="shared" si="20"/>
        <v>1642907.3644979801</v>
      </c>
      <c r="G30" s="59">
        <f t="shared" si="21"/>
        <v>538123.62</v>
      </c>
      <c r="H30" s="59">
        <f t="shared" si="22"/>
        <v>70000</v>
      </c>
      <c r="J30" s="25">
        <f t="shared" si="40"/>
        <v>4108049.4892552299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2590000</v>
      </c>
      <c r="Z30" s="35">
        <f t="shared" si="27"/>
        <v>2590000</v>
      </c>
      <c r="AA30" s="35">
        <f t="shared" si="28"/>
        <v>2590000</v>
      </c>
      <c r="AB30" s="35">
        <f t="shared" si="29"/>
        <v>2590000</v>
      </c>
      <c r="AC30" s="35">
        <f t="shared" si="30"/>
        <v>2590000</v>
      </c>
      <c r="AD30" s="35">
        <f t="shared" si="31"/>
        <v>2590000</v>
      </c>
      <c r="AE30" s="35">
        <f t="shared" si="32"/>
        <v>2590000</v>
      </c>
      <c r="AF30" s="35">
        <f t="shared" si="33"/>
        <v>2590000</v>
      </c>
      <c r="AG30" s="35">
        <f t="shared" si="34"/>
        <v>2590000</v>
      </c>
      <c r="AH30" s="35">
        <f t="shared" si="35"/>
        <v>2590000</v>
      </c>
      <c r="AI30" s="35">
        <f t="shared" si="36"/>
        <v>2590000</v>
      </c>
      <c r="AJ30" s="35">
        <f t="shared" si="37"/>
        <v>2590000</v>
      </c>
      <c r="AL30" s="34">
        <f t="shared" si="38"/>
        <v>2590000</v>
      </c>
    </row>
    <row r="31" spans="1:40" ht="12.75" x14ac:dyDescent="0.25">
      <c r="A31" s="34">
        <v>90000</v>
      </c>
      <c r="C31" s="36" t="str">
        <f t="shared" si="17"/>
        <v>State</v>
      </c>
      <c r="D31" s="59">
        <f t="shared" si="18"/>
        <v>276694272.685624</v>
      </c>
      <c r="E31" s="59">
        <f t="shared" si="19"/>
        <v>57877805.422888003</v>
      </c>
      <c r="F31" s="59">
        <f t="shared" si="20"/>
        <v>1590000</v>
      </c>
      <c r="G31" s="59">
        <f t="shared" si="21"/>
        <v>30390904.983439699</v>
      </c>
      <c r="H31" s="59">
        <f t="shared" si="22"/>
        <v>2590000</v>
      </c>
      <c r="J31" s="25">
        <f t="shared" si="40"/>
        <v>276694272.685624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</v>
      </c>
      <c r="Z31" s="35">
        <f t="shared" si="27"/>
        <v>0</v>
      </c>
      <c r="AA31" s="35">
        <f t="shared" si="28"/>
        <v>0</v>
      </c>
      <c r="AB31" s="35">
        <f t="shared" si="29"/>
        <v>0</v>
      </c>
      <c r="AC31" s="35">
        <f t="shared" si="30"/>
        <v>0</v>
      </c>
      <c r="AD31" s="35">
        <f t="shared" si="31"/>
        <v>0</v>
      </c>
      <c r="AE31" s="35">
        <f t="shared" si="32"/>
        <v>0</v>
      </c>
      <c r="AF31" s="35">
        <f t="shared" si="33"/>
        <v>0</v>
      </c>
      <c r="AG31" s="35">
        <f t="shared" si="34"/>
        <v>0</v>
      </c>
      <c r="AH31" s="35">
        <f t="shared" si="35"/>
        <v>0</v>
      </c>
      <c r="AI31" s="35">
        <f t="shared" si="36"/>
        <v>0</v>
      </c>
      <c r="AJ31" s="35">
        <f t="shared" si="37"/>
        <v>0</v>
      </c>
      <c r="AL31" s="34">
        <f t="shared" si="38"/>
        <v>0</v>
      </c>
    </row>
    <row r="32" spans="1:40" x14ac:dyDescent="0.25">
      <c r="A32" s="34">
        <v>-4897553.6761433603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4" x14ac:dyDescent="0.25">
      <c r="A33" s="34">
        <v>-4896819.83090619</v>
      </c>
      <c r="D33" s="60"/>
      <c r="E33" s="60"/>
      <c r="F33" s="60"/>
      <c r="G33" s="60"/>
      <c r="H33" s="60"/>
    </row>
    <row r="34" spans="1:14" ht="12.75" x14ac:dyDescent="0.25">
      <c r="A34" s="34">
        <v>-9163151.4247174095</v>
      </c>
      <c r="B34" s="39">
        <v>4</v>
      </c>
      <c r="C34" s="36" t="str">
        <f>A140</f>
        <v>(1500000.488, 8750000.976)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-9126948.3930170201</v>
      </c>
      <c r="B35" s="39" t="s">
        <v>10</v>
      </c>
      <c r="C35" s="36" t="str">
        <f t="shared" ref="C35:C43" si="42">C2</f>
        <v>(3, 0)</v>
      </c>
      <c r="D35" s="59">
        <f t="shared" ref="D35:D43" si="43">A141</f>
        <v>-3301702.9340969701</v>
      </c>
      <c r="E35" s="59">
        <f t="shared" ref="E35:E43" si="44">A150</f>
        <v>-876290.16355561803</v>
      </c>
      <c r="F35" s="59">
        <f t="shared" ref="F35:F43" si="45">A159</f>
        <v>-867732.66260107502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90000</v>
      </c>
      <c r="K35" s="25"/>
      <c r="L35" s="25" t="str">
        <f>HLOOKUP(J35,D35:$H$45,N2,FALSE)</f>
        <v>OptNone_BNB</v>
      </c>
      <c r="N35" s="25"/>
    </row>
    <row r="36" spans="1:14" ht="12.75" x14ac:dyDescent="0.25">
      <c r="A36" s="34">
        <v>537685.81999999995</v>
      </c>
      <c r="C36" s="36" t="str">
        <f t="shared" si="42"/>
        <v>(3, 1)</v>
      </c>
      <c r="D36" s="59">
        <f t="shared" si="43"/>
        <v>-2571532.8526443299</v>
      </c>
      <c r="E36" s="59">
        <f t="shared" si="44"/>
        <v>-866472.66246053297</v>
      </c>
      <c r="F36" s="59">
        <f t="shared" si="45"/>
        <v>-868432.66267915897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90000</v>
      </c>
      <c r="K36" s="25"/>
      <c r="L36" s="25" t="str">
        <f>HLOOKUP(J36,D36:$H$45,N3,FALSE)</f>
        <v>OptNone_BNB</v>
      </c>
      <c r="N36" s="25"/>
    </row>
    <row r="37" spans="1:14" ht="12.75" x14ac:dyDescent="0.25">
      <c r="A37" s="34">
        <v>30364437.324743699</v>
      </c>
      <c r="C37" s="36" t="str">
        <f t="shared" si="42"/>
        <v>(2, 0)</v>
      </c>
      <c r="D37" s="59">
        <f t="shared" si="43"/>
        <v>165000</v>
      </c>
      <c r="E37" s="59">
        <f t="shared" si="44"/>
        <v>-16712706.609642699</v>
      </c>
      <c r="F37" s="59">
        <f t="shared" si="45"/>
        <v>40000</v>
      </c>
      <c r="G37" s="59">
        <f t="shared" si="46"/>
        <v>-4921770.56896987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-16917938.660971198</v>
      </c>
      <c r="F38" s="59">
        <f t="shared" si="45"/>
        <v>40000</v>
      </c>
      <c r="G38" s="59">
        <f t="shared" si="46"/>
        <v>-4973873.5808087196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-11746286.659555599</v>
      </c>
      <c r="F39" s="59">
        <f t="shared" si="45"/>
        <v>40000</v>
      </c>
      <c r="G39" s="59">
        <f t="shared" si="46"/>
        <v>-9124013.0120683406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-11758762.0285875</v>
      </c>
      <c r="F40" s="59">
        <f t="shared" si="45"/>
        <v>40000</v>
      </c>
      <c r="G40" s="59">
        <f t="shared" si="46"/>
        <v>-9173180.6429587305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4612819.44808421</v>
      </c>
      <c r="E41" s="59">
        <f t="shared" si="44"/>
        <v>3090534.7110158899</v>
      </c>
      <c r="F41" s="59">
        <f t="shared" si="45"/>
        <v>2141773.61527124</v>
      </c>
      <c r="G41" s="59">
        <f t="shared" si="46"/>
        <v>539448.96</v>
      </c>
      <c r="H41" s="59">
        <f t="shared" si="47"/>
        <v>70000</v>
      </c>
      <c r="J41" s="25">
        <f t="shared" si="48"/>
        <v>4612819.44808421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57940605.958521299</v>
      </c>
      <c r="F42" s="59">
        <f t="shared" si="45"/>
        <v>1590000</v>
      </c>
      <c r="G42" s="59">
        <f t="shared" si="46"/>
        <v>30471029.8047649</v>
      </c>
      <c r="H42" s="59">
        <f t="shared" si="47"/>
        <v>2590000</v>
      </c>
      <c r="J42" s="25">
        <f t="shared" si="48"/>
        <v>57940605.958521299</v>
      </c>
      <c r="K42" s="25"/>
      <c r="L42" s="25" t="str">
        <f>HLOOKUP(J42,D42:$H$45,N9,FALSE)</f>
        <v>OptOpt_BB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(1500000.488, 13125001.464)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50">C2</f>
        <v>(3, 0)</v>
      </c>
      <c r="D46" s="59">
        <f t="shared" ref="D46:D54" si="51">A187</f>
        <v>-5249785.6513957595</v>
      </c>
      <c r="E46" s="59">
        <f t="shared" ref="E46:E54" si="52">A196</f>
        <v>-1598541.4941147</v>
      </c>
      <c r="F46" s="59">
        <f t="shared" ref="F46:F54" si="53">A205</f>
        <v>-1590220.24318653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90000</v>
      </c>
      <c r="K46" s="25"/>
      <c r="L46" s="25" t="str">
        <f>HLOOKUP(J46,D46:$H$56,N2,FALSE)</f>
        <v>OptNone_BNB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-4145973.028281</v>
      </c>
      <c r="E47" s="59">
        <f t="shared" si="52"/>
        <v>-1606101.49495796</v>
      </c>
      <c r="F47" s="59">
        <f t="shared" si="53"/>
        <v>-1600615.24434601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90000</v>
      </c>
      <c r="K47" s="25"/>
      <c r="L47" s="25" t="str">
        <f>HLOOKUP(J47,D47:$H$56,N3,FALSE)</f>
        <v>OptNone_BNB</v>
      </c>
      <c r="N47" s="25"/>
    </row>
    <row r="48" spans="1:14" ht="12.75" x14ac:dyDescent="0.25">
      <c r="A48" s="34" t="s">
        <v>245</v>
      </c>
      <c r="C48" s="36" t="str">
        <f t="shared" si="50"/>
        <v>(2, 0)</v>
      </c>
      <c r="D48" s="59">
        <f t="shared" si="51"/>
        <v>165000</v>
      </c>
      <c r="E48" s="59">
        <f t="shared" si="52"/>
        <v>-16804437.264288899</v>
      </c>
      <c r="F48" s="59">
        <f t="shared" si="53"/>
        <v>40000</v>
      </c>
      <c r="G48" s="59">
        <f t="shared" si="54"/>
        <v>-4938649.0094247097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-130382751.809852</v>
      </c>
      <c r="C49" s="36" t="str">
        <f t="shared" si="50"/>
        <v>(2, 1)</v>
      </c>
      <c r="D49" s="59">
        <f t="shared" si="51"/>
        <v>165000</v>
      </c>
      <c r="E49" s="59">
        <f t="shared" si="52"/>
        <v>-16765054.236560799</v>
      </c>
      <c r="F49" s="59">
        <f t="shared" si="53"/>
        <v>40000</v>
      </c>
      <c r="G49" s="59">
        <f t="shared" si="54"/>
        <v>-4970204.35462288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-91287235.697098002</v>
      </c>
      <c r="C50" s="36" t="str">
        <f t="shared" si="50"/>
        <v>(1, 0)</v>
      </c>
      <c r="D50" s="59">
        <f t="shared" si="51"/>
        <v>165000</v>
      </c>
      <c r="E50" s="59">
        <f t="shared" si="52"/>
        <v>-11676815.9771035</v>
      </c>
      <c r="F50" s="59">
        <f t="shared" si="53"/>
        <v>40000</v>
      </c>
      <c r="G50" s="59">
        <f t="shared" si="54"/>
        <v>-9114962.2541432492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151832.91200000001</v>
      </c>
      <c r="C51" s="36" t="str">
        <f t="shared" si="50"/>
        <v>(1, 1)</v>
      </c>
      <c r="D51" s="59">
        <f t="shared" si="51"/>
        <v>165000</v>
      </c>
      <c r="E51" s="59">
        <f t="shared" si="52"/>
        <v>-11689535.9612145</v>
      </c>
      <c r="F51" s="59">
        <f t="shared" si="53"/>
        <v>40000</v>
      </c>
      <c r="G51" s="59">
        <f t="shared" si="54"/>
        <v>-9140646.8374441992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151834.2378</v>
      </c>
      <c r="C52" s="36" t="str">
        <f t="shared" si="50"/>
        <v>Inspector</v>
      </c>
      <c r="D52" s="59">
        <f t="shared" si="51"/>
        <v>8136846.4609199101</v>
      </c>
      <c r="E52" s="59">
        <f t="shared" si="52"/>
        <v>4549067.3590906002</v>
      </c>
      <c r="F52" s="59">
        <f t="shared" si="53"/>
        <v>3597105.4675479601</v>
      </c>
      <c r="G52" s="59">
        <f t="shared" si="54"/>
        <v>538987.28</v>
      </c>
      <c r="H52" s="59">
        <f t="shared" si="55"/>
        <v>70000</v>
      </c>
      <c r="J52" s="25">
        <f t="shared" si="56"/>
        <v>8136846.4609199101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155754.62839999999</v>
      </c>
      <c r="C53" s="36" t="str">
        <f t="shared" si="50"/>
        <v>State</v>
      </c>
      <c r="D53" s="59">
        <f t="shared" si="51"/>
        <v>1090000</v>
      </c>
      <c r="E53" s="59">
        <f t="shared" si="52"/>
        <v>57744023.438933603</v>
      </c>
      <c r="F53" s="59">
        <f t="shared" si="53"/>
        <v>1590000</v>
      </c>
      <c r="G53" s="59">
        <f t="shared" si="54"/>
        <v>30443118.455594599</v>
      </c>
      <c r="H53" s="59">
        <f t="shared" si="55"/>
        <v>2590000</v>
      </c>
      <c r="J53" s="25">
        <f t="shared" si="56"/>
        <v>57744023.438933603</v>
      </c>
      <c r="K53" s="25"/>
      <c r="L53" s="25" t="str">
        <f>HLOOKUP(J53,D53:$H$56,N9,FALSE)</f>
        <v>OptOpt_BB</v>
      </c>
      <c r="N53" s="25"/>
    </row>
    <row r="54" spans="1:14" x14ac:dyDescent="0.25">
      <c r="A54" s="34">
        <v>155830.5778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3609582.25783</v>
      </c>
      <c r="D55" s="60"/>
      <c r="E55" s="60"/>
      <c r="F55" s="60"/>
      <c r="G55" s="60"/>
      <c r="H55" s="60"/>
    </row>
    <row r="56" spans="1:14" ht="12.75" x14ac:dyDescent="0.25">
      <c r="A56" s="34">
        <v>219590232.31812</v>
      </c>
      <c r="B56" s="39">
        <v>6</v>
      </c>
      <c r="C56" s="36" t="str">
        <f>A232</f>
        <v>(3000000.976, 2875000.5)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10</v>
      </c>
      <c r="C57" s="36" t="str">
        <f t="shared" ref="C57:C65" si="58">C2</f>
        <v>(3, 0)</v>
      </c>
      <c r="D57" s="59">
        <f>A233</f>
        <v>-104139845.482639</v>
      </c>
      <c r="E57" s="59">
        <f>A242</f>
        <v>-38531316.300944999</v>
      </c>
      <c r="F57" s="59">
        <f>A251</f>
        <v>-38433683.164097004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-368168.666638</v>
      </c>
      <c r="C58" s="36" t="str">
        <f t="shared" si="58"/>
        <v>(3, 1)</v>
      </c>
      <c r="D58" s="59">
        <f t="shared" ref="D58:D65" si="59">A234</f>
        <v>-84085154.271914005</v>
      </c>
      <c r="E58" s="59">
        <f t="shared" ref="E58:E65" si="60">A243</f>
        <v>-38425703.53272</v>
      </c>
      <c r="F58" s="59">
        <f t="shared" ref="F58:F65" si="61">A252</f>
        <v>-38702643.680509999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-370756.16708799999</v>
      </c>
      <c r="C59" s="36" t="str">
        <f t="shared" si="58"/>
        <v>(2, 0)</v>
      </c>
      <c r="D59" s="59">
        <f t="shared" si="59"/>
        <v>151841.24559999999</v>
      </c>
      <c r="E59" s="59">
        <f t="shared" si="60"/>
        <v>-252306.135763372</v>
      </c>
      <c r="F59" s="59">
        <f t="shared" si="61"/>
        <v>40000</v>
      </c>
      <c r="G59" s="59">
        <f t="shared" si="62"/>
        <v>40721.959568218401</v>
      </c>
      <c r="H59" s="59">
        <f t="shared" si="63"/>
        <v>40000</v>
      </c>
      <c r="J59" s="25">
        <f t="shared" si="64"/>
        <v>151841.24559999999</v>
      </c>
      <c r="K59" s="25"/>
      <c r="L59" s="25" t="str">
        <f>HLOOKUP(J59,D59:$H$67,N4,FALSE)</f>
        <v>OptOpt_EB</v>
      </c>
      <c r="N59" s="25"/>
    </row>
    <row r="60" spans="1:14" ht="12.75" x14ac:dyDescent="0.25">
      <c r="A60" s="34">
        <v>-16828164.926957399</v>
      </c>
      <c r="C60" s="36" t="str">
        <f t="shared" si="58"/>
        <v>(2, 1)</v>
      </c>
      <c r="D60" s="59">
        <f t="shared" si="59"/>
        <v>151766.05379999999</v>
      </c>
      <c r="E60" s="59">
        <f t="shared" si="60"/>
        <v>-251094.13536906801</v>
      </c>
      <c r="F60" s="59">
        <f t="shared" si="61"/>
        <v>40000</v>
      </c>
      <c r="G60" s="59">
        <f t="shared" si="62"/>
        <v>39839.9592812755</v>
      </c>
      <c r="H60" s="59">
        <f t="shared" si="63"/>
        <v>40000</v>
      </c>
      <c r="J60" s="25">
        <f t="shared" si="64"/>
        <v>151766.05379999999</v>
      </c>
      <c r="K60" s="25"/>
      <c r="L60" s="25" t="str">
        <f>HLOOKUP(J60,D60:$H$67,N5,FALSE)</f>
        <v>OptOpt_EB</v>
      </c>
      <c r="N60" s="25"/>
    </row>
    <row r="61" spans="1:14" ht="12.75" x14ac:dyDescent="0.25">
      <c r="A61" s="34">
        <v>-16872929.4864248</v>
      </c>
      <c r="C61" s="36" t="str">
        <f t="shared" si="58"/>
        <v>(1, 0)</v>
      </c>
      <c r="D61" s="59">
        <f t="shared" si="59"/>
        <v>155818.45619999999</v>
      </c>
      <c r="E61" s="59">
        <f t="shared" si="60"/>
        <v>-125442.09449041499</v>
      </c>
      <c r="F61" s="59">
        <f t="shared" si="61"/>
        <v>40000</v>
      </c>
      <c r="G61" s="59">
        <f t="shared" si="62"/>
        <v>-64866.074783129603</v>
      </c>
      <c r="H61" s="59">
        <f t="shared" si="63"/>
        <v>40000</v>
      </c>
      <c r="J61" s="25">
        <f t="shared" si="64"/>
        <v>155818.45619999999</v>
      </c>
      <c r="K61" s="25"/>
      <c r="L61" s="25" t="str">
        <f>HLOOKUP(J61,D61:$H$67,N6,FALSE)</f>
        <v>OptOpt_EB</v>
      </c>
      <c r="N61" s="25"/>
    </row>
    <row r="62" spans="1:14" ht="12.75" x14ac:dyDescent="0.25">
      <c r="A62" s="34">
        <v>-11760963.564299</v>
      </c>
      <c r="C62" s="36" t="str">
        <f t="shared" si="58"/>
        <v>(1, 1)</v>
      </c>
      <c r="D62" s="59">
        <f t="shared" si="59"/>
        <v>155805.76639999999</v>
      </c>
      <c r="E62" s="59">
        <f t="shared" si="60"/>
        <v>-126780.09492570801</v>
      </c>
      <c r="F62" s="59">
        <f t="shared" si="61"/>
        <v>40000</v>
      </c>
      <c r="G62" s="59">
        <f t="shared" si="62"/>
        <v>-62964.074164341902</v>
      </c>
      <c r="H62" s="59">
        <f t="shared" si="63"/>
        <v>40000</v>
      </c>
      <c r="J62" s="25">
        <f t="shared" si="64"/>
        <v>155805.76639999999</v>
      </c>
      <c r="K62" s="25"/>
      <c r="L62" s="25" t="str">
        <f>HLOOKUP(J62,D62:$H$67,N7,FALSE)</f>
        <v>OptOpt_EB</v>
      </c>
      <c r="N62" s="25"/>
    </row>
    <row r="63" spans="1:14" ht="12.75" x14ac:dyDescent="0.25">
      <c r="A63" s="34">
        <v>-11701277.485009201</v>
      </c>
      <c r="C63" s="36" t="str">
        <f t="shared" si="58"/>
        <v>Inspector</v>
      </c>
      <c r="D63" s="59">
        <f t="shared" si="59"/>
        <v>3615429.0150000001</v>
      </c>
      <c r="E63" s="59">
        <f t="shared" si="60"/>
        <v>2083561.306874</v>
      </c>
      <c r="F63" s="59">
        <f t="shared" si="61"/>
        <v>1143299.605</v>
      </c>
      <c r="G63" s="59">
        <f t="shared" si="62"/>
        <v>539154.67575599998</v>
      </c>
      <c r="H63" s="59">
        <f t="shared" si="63"/>
        <v>70000</v>
      </c>
      <c r="J63" s="25">
        <f t="shared" si="64"/>
        <v>3615429.0150000001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2087913.2987259999</v>
      </c>
      <c r="C64" s="36" t="str">
        <f t="shared" si="58"/>
        <v>State</v>
      </c>
      <c r="D64" s="59">
        <f t="shared" si="59"/>
        <v>186971453.73255301</v>
      </c>
      <c r="E64" s="59">
        <f t="shared" si="60"/>
        <v>78144997.333664998</v>
      </c>
      <c r="F64" s="59">
        <f t="shared" si="61"/>
        <v>78821821.344606996</v>
      </c>
      <c r="G64" s="59">
        <f t="shared" si="62"/>
        <v>2090000</v>
      </c>
      <c r="H64" s="59">
        <f t="shared" si="63"/>
        <v>2590000</v>
      </c>
      <c r="J64" s="25">
        <f t="shared" si="64"/>
        <v>186971453.73255301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57967795.462454401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-366029.66626600001</v>
      </c>
      <c r="B67" s="39">
        <v>7</v>
      </c>
      <c r="C67" s="36" t="str">
        <f>A278</f>
        <v>(3000000.976, 5750001)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-369261.16682799999</v>
      </c>
      <c r="B68" s="39" t="s">
        <v>10</v>
      </c>
      <c r="C68" s="36" t="str">
        <f>C57</f>
        <v>(3, 0)</v>
      </c>
      <c r="D68" s="59">
        <f>A279</f>
        <v>-130531895.45569</v>
      </c>
      <c r="E68" s="59">
        <f>A288</f>
        <v>-370859.66710600001</v>
      </c>
      <c r="F68" s="59">
        <f>A297</f>
        <v>-370330.66701400001</v>
      </c>
      <c r="G68" s="59">
        <f>A306</f>
        <v>90000</v>
      </c>
      <c r="H68" s="59">
        <f>A315</f>
        <v>90000</v>
      </c>
      <c r="J68" s="25">
        <f>MAX(D68:H68)</f>
        <v>90000</v>
      </c>
      <c r="K68" s="25"/>
      <c r="L68" s="25" t="str">
        <f>HLOOKUP(J68,D68:$H$78,N2,FALSE)</f>
        <v>OptNone_BNB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-91383961.853855997</v>
      </c>
      <c r="E69" s="59">
        <f t="shared" ref="E69:E76" si="68">A289</f>
        <v>-367294.666486</v>
      </c>
      <c r="F69" s="59">
        <f t="shared" ref="F69:F76" si="69">A298</f>
        <v>-368525.1667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90000</v>
      </c>
      <c r="K69" s="25"/>
      <c r="L69" s="25" t="str">
        <f>HLOOKUP(J69,D69:$H$78,N3,FALSE)</f>
        <v>OptNone_BNB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151833.859</v>
      </c>
      <c r="E70" s="59">
        <f t="shared" si="68"/>
        <v>-250476.13516801299</v>
      </c>
      <c r="F70" s="59">
        <f t="shared" si="69"/>
        <v>40000</v>
      </c>
      <c r="G70" s="59">
        <f t="shared" si="70"/>
        <v>40109.959369113101</v>
      </c>
      <c r="H70" s="59">
        <f t="shared" si="71"/>
        <v>40000</v>
      </c>
      <c r="J70" s="25">
        <f t="shared" si="72"/>
        <v>151833.859</v>
      </c>
      <c r="K70" s="25"/>
      <c r="L70" s="25" t="str">
        <f>HLOOKUP(J70,D70:$H$78,N4,FALSE)</f>
        <v>OptOpt_EB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151803.36559999999</v>
      </c>
      <c r="E71" s="59">
        <f t="shared" si="68"/>
        <v>-251916.13563649301</v>
      </c>
      <c r="F71" s="59">
        <f t="shared" si="69"/>
        <v>40000</v>
      </c>
      <c r="G71" s="59">
        <f t="shared" si="70"/>
        <v>39437.959150492199</v>
      </c>
      <c r="H71" s="59">
        <f t="shared" si="71"/>
        <v>40000</v>
      </c>
      <c r="J71" s="25">
        <f t="shared" si="72"/>
        <v>151803.36559999999</v>
      </c>
      <c r="K71" s="25"/>
      <c r="L71" s="25" t="str">
        <f>HLOOKUP(J71,D71:$H$78,N5,FALSE)</f>
        <v>OptOpt_EB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155799.70559999999</v>
      </c>
      <c r="E72" s="59">
        <f t="shared" si="68"/>
        <v>-126930.094974509</v>
      </c>
      <c r="F72" s="59">
        <f t="shared" si="69"/>
        <v>40000</v>
      </c>
      <c r="G72" s="59">
        <f t="shared" si="70"/>
        <v>-66150.075200858802</v>
      </c>
      <c r="H72" s="59">
        <f t="shared" si="71"/>
        <v>40000</v>
      </c>
      <c r="J72" s="25">
        <f t="shared" si="72"/>
        <v>155799.70559999999</v>
      </c>
      <c r="K72" s="25"/>
      <c r="L72" s="25" t="str">
        <f>HLOOKUP(J72,D72:$H$78,N6,FALSE)</f>
        <v>OptOpt_EB</v>
      </c>
      <c r="N72" s="25"/>
    </row>
    <row r="73" spans="1:14" ht="12.75" x14ac:dyDescent="0.25">
      <c r="A73" s="34">
        <v>1141354.298094</v>
      </c>
      <c r="C73" s="36" t="str">
        <f t="shared" si="66"/>
        <v>(1, 1)</v>
      </c>
      <c r="D73" s="59">
        <f t="shared" si="67"/>
        <v>155766.37119999999</v>
      </c>
      <c r="E73" s="59">
        <f t="shared" si="68"/>
        <v>-125664.09456263699</v>
      </c>
      <c r="F73" s="59">
        <f t="shared" si="69"/>
        <v>40000</v>
      </c>
      <c r="G73" s="59">
        <f t="shared" si="70"/>
        <v>-63360.074293172598</v>
      </c>
      <c r="H73" s="59">
        <f t="shared" si="71"/>
        <v>40000</v>
      </c>
      <c r="J73" s="25">
        <f t="shared" si="72"/>
        <v>155766.37119999999</v>
      </c>
      <c r="K73" s="25"/>
      <c r="L73" s="25" t="str">
        <f>HLOOKUP(J73,D73:$H$78,N7,FALSE)</f>
        <v>OptOpt_EB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3614344.0684679998</v>
      </c>
      <c r="E74" s="59">
        <f t="shared" si="68"/>
        <v>2085276.3652540001</v>
      </c>
      <c r="F74" s="59">
        <f t="shared" si="69"/>
        <v>1143360.008714</v>
      </c>
      <c r="G74" s="59">
        <f t="shared" si="70"/>
        <v>540941.69665399997</v>
      </c>
      <c r="H74" s="59">
        <f t="shared" si="71"/>
        <v>70000</v>
      </c>
      <c r="J74" s="25">
        <f t="shared" si="72"/>
        <v>3614344.0684679998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219829763.174678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219829763.174678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-4898042.9063014695</v>
      </c>
      <c r="B78" s="39">
        <v>8</v>
      </c>
      <c r="C78" s="36" t="str">
        <f>A324</f>
        <v>(3000000.976, 7250000.988)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-4954059.7594052097</v>
      </c>
      <c r="B79" s="39" t="s">
        <v>10</v>
      </c>
      <c r="C79" s="36" t="str">
        <f>C68</f>
        <v>(3, 0)</v>
      </c>
      <c r="D79" s="59">
        <f>A325</f>
        <v>-163757016.92797399</v>
      </c>
      <c r="E79" s="59">
        <f>A334</f>
        <v>-623215.16533215495</v>
      </c>
      <c r="F79" s="59">
        <f>A343</f>
        <v>-621286.66506935901</v>
      </c>
      <c r="G79" s="59">
        <f>A352</f>
        <v>90000</v>
      </c>
      <c r="H79" s="59">
        <f>A361</f>
        <v>90000</v>
      </c>
      <c r="J79" s="25">
        <f>MAX(D79:H79)</f>
        <v>90000</v>
      </c>
      <c r="K79" s="25"/>
      <c r="L79" s="25" t="str">
        <f>HLOOKUP(J79,D79:$H$89,N2,FALSE)</f>
        <v>OptNone_BNB</v>
      </c>
      <c r="N79" s="25"/>
    </row>
    <row r="80" spans="1:14" ht="12.75" x14ac:dyDescent="0.25">
      <c r="A80" s="34">
        <v>-9254392.8492055405</v>
      </c>
      <c r="C80" s="36" t="str">
        <f t="shared" ref="C80:C87" si="74">C69</f>
        <v>(3, 1)</v>
      </c>
      <c r="D80" s="59">
        <f t="shared" ref="D80:D87" si="75">A326</f>
        <v>-115431538.32257099</v>
      </c>
      <c r="E80" s="59">
        <f t="shared" ref="E80:E87" si="76">A335</f>
        <v>-617342.66453190905</v>
      </c>
      <c r="F80" s="59">
        <f t="shared" ref="F80:F87" si="77">A344</f>
        <v>-618314.16466429306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90000</v>
      </c>
      <c r="K80" s="25"/>
      <c r="L80" s="25" t="str">
        <f>HLOOKUP(J80,D80:$H$89,N3,FALSE)</f>
        <v>OptNone_BNB</v>
      </c>
      <c r="N80" s="25"/>
    </row>
    <row r="81" spans="1:14" ht="12.75" x14ac:dyDescent="0.25">
      <c r="A81" s="34">
        <v>-9239715.9444621392</v>
      </c>
      <c r="C81" s="36" t="str">
        <f t="shared" si="74"/>
        <v>(2, 0)</v>
      </c>
      <c r="D81" s="59">
        <f t="shared" si="75"/>
        <v>151950.15059999999</v>
      </c>
      <c r="E81" s="59">
        <f t="shared" si="76"/>
        <v>-251508.13550375699</v>
      </c>
      <c r="F81" s="59">
        <f t="shared" si="77"/>
        <v>40000</v>
      </c>
      <c r="G81" s="59">
        <f t="shared" si="78"/>
        <v>39335.959117307801</v>
      </c>
      <c r="H81" s="59">
        <f t="shared" si="79"/>
        <v>40000</v>
      </c>
      <c r="J81" s="25">
        <f t="shared" si="80"/>
        <v>151950.15059999999</v>
      </c>
      <c r="K81" s="25"/>
      <c r="L81" s="25" t="str">
        <f>HLOOKUP(J81,D81:$H$89,N4,FALSE)</f>
        <v>OptOpt_EB</v>
      </c>
      <c r="N81" s="25"/>
    </row>
    <row r="82" spans="1:14" ht="12.75" x14ac:dyDescent="0.25">
      <c r="A82" s="34">
        <v>541944.42000000004</v>
      </c>
      <c r="C82" s="36" t="str">
        <f t="shared" si="74"/>
        <v>(2, 1)</v>
      </c>
      <c r="D82" s="59">
        <f t="shared" si="75"/>
        <v>151824.5784</v>
      </c>
      <c r="E82" s="59">
        <f t="shared" si="76"/>
        <v>-254022.136321642</v>
      </c>
      <c r="F82" s="59">
        <f t="shared" si="77"/>
        <v>40000</v>
      </c>
      <c r="G82" s="59">
        <f t="shared" si="78"/>
        <v>39527.959179772697</v>
      </c>
      <c r="H82" s="59">
        <f t="shared" si="79"/>
        <v>40000</v>
      </c>
      <c r="J82" s="25">
        <f t="shared" si="80"/>
        <v>151824.5784</v>
      </c>
      <c r="K82" s="25"/>
      <c r="L82" s="25" t="str">
        <f>HLOOKUP(J82,D82:$H$89,N5,FALSE)</f>
        <v>OptOpt_EB</v>
      </c>
      <c r="N82" s="25"/>
    </row>
    <row r="83" spans="1:14" ht="12.75" x14ac:dyDescent="0.25">
      <c r="A83" s="34">
        <v>30621895.459332298</v>
      </c>
      <c r="C83" s="36" t="str">
        <f t="shared" si="74"/>
        <v>(1, 0)</v>
      </c>
      <c r="D83" s="59">
        <f t="shared" si="75"/>
        <v>155755.1966</v>
      </c>
      <c r="E83" s="59">
        <f t="shared" si="76"/>
        <v>-125004.09434792001</v>
      </c>
      <c r="F83" s="59">
        <f t="shared" si="77"/>
        <v>40000</v>
      </c>
      <c r="G83" s="59">
        <f t="shared" si="78"/>
        <v>-62592.074043317603</v>
      </c>
      <c r="H83" s="59">
        <f t="shared" si="79"/>
        <v>40000</v>
      </c>
      <c r="J83" s="25">
        <f t="shared" si="80"/>
        <v>155755.1966</v>
      </c>
      <c r="K83" s="25"/>
      <c r="L83" s="25" t="str">
        <f>HLOOKUP(J83,D83:$H$89,N6,FALSE)</f>
        <v>OptOpt_EB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155787.01579999999</v>
      </c>
      <c r="E84" s="59">
        <f t="shared" si="76"/>
        <v>-126774.094923757</v>
      </c>
      <c r="F84" s="59">
        <f t="shared" si="77"/>
        <v>40000</v>
      </c>
      <c r="G84" s="59">
        <f t="shared" si="78"/>
        <v>-64470.074654295298</v>
      </c>
      <c r="H84" s="59">
        <f t="shared" si="79"/>
        <v>40000</v>
      </c>
      <c r="J84" s="25">
        <f t="shared" si="80"/>
        <v>155787.01579999999</v>
      </c>
      <c r="K84" s="25"/>
      <c r="L84" s="25" t="str">
        <f>HLOOKUP(J84,D84:$H$89,N7,FALSE)</f>
        <v>OptOpt_EB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4111717.2301918902</v>
      </c>
      <c r="E85" s="59">
        <f t="shared" si="76"/>
        <v>2588518.86730531</v>
      </c>
      <c r="F85" s="59">
        <f t="shared" si="77"/>
        <v>1644035.4647351</v>
      </c>
      <c r="G85" s="59">
        <f t="shared" si="78"/>
        <v>539771.57606600004</v>
      </c>
      <c r="H85" s="59">
        <f t="shared" si="79"/>
        <v>70000</v>
      </c>
      <c r="J85" s="25">
        <f t="shared" si="80"/>
        <v>4111717.2301918902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276603181.97993898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276603181.97993898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(3000000.976, 8750000.976)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10</v>
      </c>
      <c r="C90" s="36" t="str">
        <f>C79</f>
        <v>(3, 0)</v>
      </c>
      <c r="D90" s="59">
        <f>A371</f>
        <v>-3293180.43314625</v>
      </c>
      <c r="E90" s="59">
        <f>A380</f>
        <v>-867452.66256984405</v>
      </c>
      <c r="F90" s="59">
        <f>A389</f>
        <v>-860172.66175779398</v>
      </c>
      <c r="G90" s="59">
        <f>A398</f>
        <v>90000</v>
      </c>
      <c r="H90" s="59">
        <f>A407</f>
        <v>90000</v>
      </c>
      <c r="J90" s="25">
        <f>MAX(D90:H90)</f>
        <v>90000</v>
      </c>
      <c r="K90" s="25"/>
      <c r="L90" s="25" t="str">
        <f>HLOOKUP(J90,D90:$H$100,N2,FALSE)</f>
        <v>OptNone_BNB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-2574385.3529625498</v>
      </c>
      <c r="E91" s="59">
        <f t="shared" ref="E91:E98" si="84">A381</f>
        <v>-866227.66243320296</v>
      </c>
      <c r="F91" s="59">
        <f t="shared" ref="F91:F98" si="85">A390</f>
        <v>-869570.16280604003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90000</v>
      </c>
      <c r="K91" s="25"/>
      <c r="L91" s="25" t="str">
        <f>HLOOKUP(J91,D91:$H$100,N3,FALSE)</f>
        <v>OptNone_BNB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-250572.13519924501</v>
      </c>
      <c r="F92" s="59">
        <f t="shared" si="85"/>
        <v>40000</v>
      </c>
      <c r="G92" s="59">
        <f t="shared" si="86"/>
        <v>40613.959533081601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-250332.13512116499</v>
      </c>
      <c r="F93" s="59">
        <f t="shared" si="85"/>
        <v>40000</v>
      </c>
      <c r="G93" s="59">
        <f t="shared" si="86"/>
        <v>41519.959827832601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246</v>
      </c>
      <c r="C94" s="36" t="str">
        <f t="shared" si="82"/>
        <v>(1, 0)</v>
      </c>
      <c r="D94" s="59">
        <f t="shared" si="83"/>
        <v>165000</v>
      </c>
      <c r="E94" s="59">
        <f t="shared" si="84"/>
        <v>-126528.094843725</v>
      </c>
      <c r="F94" s="59">
        <f t="shared" si="85"/>
        <v>40000</v>
      </c>
      <c r="G94" s="59">
        <f t="shared" si="86"/>
        <v>-64254.074584023299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-163968552.936712</v>
      </c>
      <c r="C95" s="36" t="str">
        <f t="shared" si="82"/>
        <v>(1, 1)</v>
      </c>
      <c r="D95" s="59">
        <f t="shared" si="83"/>
        <v>165000</v>
      </c>
      <c r="E95" s="59">
        <f t="shared" si="84"/>
        <v>-127002.09499793399</v>
      </c>
      <c r="F95" s="59">
        <f t="shared" si="85"/>
        <v>40000</v>
      </c>
      <c r="G95" s="59">
        <f t="shared" si="86"/>
        <v>-63168.074230710103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-115305024.24538501</v>
      </c>
      <c r="C96" s="36" t="str">
        <f t="shared" si="82"/>
        <v>Inspector</v>
      </c>
      <c r="D96" s="59">
        <f t="shared" si="83"/>
        <v>4608270.9474639203</v>
      </c>
      <c r="E96" s="59">
        <f t="shared" si="84"/>
        <v>3081949.6964806998</v>
      </c>
      <c r="F96" s="59">
        <f t="shared" si="85"/>
        <v>2137199.2495548902</v>
      </c>
      <c r="G96" s="59">
        <f t="shared" si="86"/>
        <v>537841.27509600006</v>
      </c>
      <c r="H96" s="59">
        <f t="shared" si="87"/>
        <v>70000</v>
      </c>
      <c r="J96" s="25">
        <f t="shared" si="88"/>
        <v>4608270.9474639203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151880.8302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151859.42800000001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155798.00099999999</v>
      </c>
      <c r="D99" s="60"/>
      <c r="E99" s="60"/>
      <c r="F99" s="60"/>
      <c r="G99" s="60"/>
      <c r="H99" s="60"/>
    </row>
    <row r="100" spans="1:14" ht="12.75" x14ac:dyDescent="0.25">
      <c r="A100" s="34">
        <v>155763.90900000001</v>
      </c>
      <c r="B100" s="39">
        <v>10</v>
      </c>
      <c r="C100" s="36" t="str">
        <f>A416</f>
        <v>(3000000.976, 13125001.464)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4108049.4892552299</v>
      </c>
      <c r="B101" s="39" t="s">
        <v>10</v>
      </c>
      <c r="C101" s="36" t="str">
        <f>C90</f>
        <v>(3, 0)</v>
      </c>
      <c r="D101" s="59">
        <f>A417</f>
        <v>-5242330.6505642897</v>
      </c>
      <c r="E101" s="59">
        <f>A426</f>
        <v>-1601612.74445728</v>
      </c>
      <c r="F101" s="59">
        <f>A435</f>
        <v>-1600011.4942786701</v>
      </c>
      <c r="G101" s="59">
        <f>A444</f>
        <v>90000</v>
      </c>
      <c r="H101" s="59">
        <f>A453</f>
        <v>90000</v>
      </c>
      <c r="J101" s="25">
        <f>MAX(D101:H101)</f>
        <v>90000</v>
      </c>
      <c r="K101" s="25"/>
      <c r="L101" s="25" t="str">
        <f>HLOOKUP(J101,D101:$H$111,N2,FALSE)</f>
        <v>OptNone_BNB</v>
      </c>
      <c r="N101" s="25"/>
    </row>
    <row r="102" spans="1:14" ht="12.75" x14ac:dyDescent="0.25">
      <c r="A102" s="34">
        <v>276694272.685624</v>
      </c>
      <c r="C102" s="36" t="str">
        <f t="shared" ref="C102:C109" si="90">C91</f>
        <v>(3, 1)</v>
      </c>
      <c r="D102" s="59">
        <f t="shared" ref="D102:D109" si="91">A418</f>
        <v>-4157050.52951673</v>
      </c>
      <c r="E102" s="59">
        <f t="shared" ref="E102:E109" si="92">A427</f>
        <v>-1588828.99303135</v>
      </c>
      <c r="F102" s="59">
        <f t="shared" ref="F102:F109" si="93">A436</f>
        <v>-1591611.49334171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90000</v>
      </c>
      <c r="K102" s="25"/>
      <c r="L102" s="25" t="str">
        <f>HLOOKUP(J102,D102:$H$111,N3,FALSE)</f>
        <v>OptNone_BNB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-251676.135558412</v>
      </c>
      <c r="F103" s="59">
        <f t="shared" si="93"/>
        <v>40000</v>
      </c>
      <c r="G103" s="59">
        <f t="shared" si="94"/>
        <v>40373.959455003198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-620213.66492314194</v>
      </c>
      <c r="C104" s="36" t="str">
        <f t="shared" si="90"/>
        <v>(2, 1)</v>
      </c>
      <c r="D104" s="59">
        <f t="shared" si="91"/>
        <v>165000</v>
      </c>
      <c r="E104" s="59">
        <f t="shared" si="92"/>
        <v>-252600.13585902</v>
      </c>
      <c r="F104" s="59">
        <f t="shared" si="93"/>
        <v>40000</v>
      </c>
      <c r="G104" s="59">
        <f t="shared" si="94"/>
        <v>40067.959355450097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-623200.66533017205</v>
      </c>
      <c r="C105" s="36" t="str">
        <f t="shared" si="90"/>
        <v>(1, 0)</v>
      </c>
      <c r="D105" s="59">
        <f t="shared" si="91"/>
        <v>165000</v>
      </c>
      <c r="E105" s="59">
        <f t="shared" si="92"/>
        <v>-129024.095655754</v>
      </c>
      <c r="F105" s="59">
        <f t="shared" si="93"/>
        <v>40000</v>
      </c>
      <c r="G105" s="59">
        <f t="shared" si="94"/>
        <v>-64722.074736281997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-16818380.323795199</v>
      </c>
      <c r="C106" s="36" t="str">
        <f t="shared" si="90"/>
        <v>(1, 1)</v>
      </c>
      <c r="D106" s="59">
        <f t="shared" si="91"/>
        <v>165000</v>
      </c>
      <c r="E106" s="59">
        <f t="shared" si="92"/>
        <v>-124194.0940844</v>
      </c>
      <c r="F106" s="59">
        <f t="shared" si="93"/>
        <v>40000</v>
      </c>
      <c r="G106" s="59">
        <f t="shared" si="94"/>
        <v>-64188.074562549897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-16787314.208755001</v>
      </c>
      <c r="C107" s="36" t="str">
        <f t="shared" si="90"/>
        <v>Inspector</v>
      </c>
      <c r="D107" s="59">
        <f t="shared" si="91"/>
        <v>8139736.3913248396</v>
      </c>
      <c r="E107" s="59">
        <f t="shared" si="92"/>
        <v>4540756.0450045699</v>
      </c>
      <c r="F107" s="59">
        <f t="shared" si="93"/>
        <v>3597745.3776357998</v>
      </c>
      <c r="G107" s="59">
        <f t="shared" si="94"/>
        <v>539950.676156</v>
      </c>
      <c r="H107" s="59">
        <f t="shared" si="95"/>
        <v>70000</v>
      </c>
      <c r="J107" s="25">
        <f t="shared" si="96"/>
        <v>8139736.3913248396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-11696629.7985071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-11769525.092065999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2589557.1702586198</v>
      </c>
      <c r="D110" s="60"/>
      <c r="E110" s="60"/>
      <c r="F110" s="60"/>
      <c r="G110" s="60"/>
      <c r="H110" s="60"/>
    </row>
    <row r="111" spans="1:14" ht="12.75" x14ac:dyDescent="0.25">
      <c r="A111" s="34">
        <v>57877805.422888003</v>
      </c>
      <c r="B111" s="39">
        <v>11</v>
      </c>
      <c r="C111" s="36" t="str">
        <f>A462</f>
        <v>(4500001.464, 2875000.5)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10</v>
      </c>
      <c r="C112" s="36" t="str">
        <f>C101</f>
        <v>(3, 0)</v>
      </c>
      <c r="D112" s="59">
        <f>A463</f>
        <v>-103740863.913789</v>
      </c>
      <c r="E112" s="59">
        <f>A472</f>
        <v>-38732684.645694003</v>
      </c>
      <c r="F112" s="59">
        <f>A481</f>
        <v>-38695602.829295002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-622809.16527682904</v>
      </c>
      <c r="C113" s="36" t="str">
        <f t="shared" ref="C113:C120" si="98">C102</f>
        <v>(3, 1)</v>
      </c>
      <c r="D113" s="59">
        <f t="shared" ref="D113:D120" si="99">A464</f>
        <v>-84106746.215639994</v>
      </c>
      <c r="E113" s="59">
        <f t="shared" ref="E113:E120" si="100">A473</f>
        <v>-38405519.759236999</v>
      </c>
      <c r="F113" s="59">
        <f t="shared" ref="F113:F120" si="101">A482</f>
        <v>-38497520.215112999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-615051.66421971703</v>
      </c>
      <c r="C114" s="36" t="str">
        <f t="shared" si="98"/>
        <v>(2, 0)</v>
      </c>
      <c r="D114" s="59">
        <f t="shared" si="99"/>
        <v>151792.5698</v>
      </c>
      <c r="E114" s="59">
        <f t="shared" si="100"/>
        <v>-460086.203360844</v>
      </c>
      <c r="F114" s="59">
        <f t="shared" si="101"/>
        <v>40000</v>
      </c>
      <c r="G114" s="59">
        <f t="shared" si="102"/>
        <v>-23955.061473366099</v>
      </c>
      <c r="H114" s="59">
        <f t="shared" si="103"/>
        <v>40000</v>
      </c>
      <c r="J114" s="25">
        <f t="shared" si="104"/>
        <v>151792.5698</v>
      </c>
      <c r="K114" s="25"/>
      <c r="L114" s="25" t="str">
        <f>HLOOKUP(J114,D114:$H$122,N4,FALSE)</f>
        <v>OptOpt_EB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151834.99540000001</v>
      </c>
      <c r="E115" s="59">
        <f t="shared" si="100"/>
        <v>-460167.20338719699</v>
      </c>
      <c r="F115" s="59">
        <f t="shared" si="101"/>
        <v>40000</v>
      </c>
      <c r="G115" s="59">
        <f t="shared" si="102"/>
        <v>-21363.060630099299</v>
      </c>
      <c r="H115" s="59">
        <f t="shared" si="103"/>
        <v>40000</v>
      </c>
      <c r="J115" s="25">
        <f t="shared" si="104"/>
        <v>151834.99540000001</v>
      </c>
      <c r="K115" s="25"/>
      <c r="L115" s="25" t="str">
        <f>HLOOKUP(J115,D115:$H$122,N5,FALSE)</f>
        <v>OptOpt_EB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155825.65340000001</v>
      </c>
      <c r="E116" s="59">
        <f t="shared" si="100"/>
        <v>-272985.142491273</v>
      </c>
      <c r="F116" s="59">
        <f t="shared" si="101"/>
        <v>40000</v>
      </c>
      <c r="G116" s="59">
        <f t="shared" si="102"/>
        <v>-179133.111957941</v>
      </c>
      <c r="H116" s="59">
        <f t="shared" si="103"/>
        <v>40000</v>
      </c>
      <c r="J116" s="25">
        <f t="shared" si="104"/>
        <v>155825.65340000001</v>
      </c>
      <c r="K116" s="25"/>
      <c r="L116" s="25" t="str">
        <f>HLOOKUP(J116,D116:$H$122,N6,FALSE)</f>
        <v>OptOpt_EB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155764.28779999999</v>
      </c>
      <c r="E117" s="59">
        <f t="shared" si="100"/>
        <v>-272868.14245321002</v>
      </c>
      <c r="F117" s="59">
        <f t="shared" si="101"/>
        <v>40000</v>
      </c>
      <c r="G117" s="59">
        <f t="shared" si="102"/>
        <v>-184398.113670828</v>
      </c>
      <c r="H117" s="59">
        <f t="shared" si="103"/>
        <v>40000</v>
      </c>
      <c r="J117" s="25">
        <f t="shared" si="104"/>
        <v>155764.28779999999</v>
      </c>
      <c r="K117" s="25"/>
      <c r="L117" s="25" t="str">
        <f>HLOOKUP(J117,D117:$H$122,N7,FALSE)</f>
        <v>OptOpt_EB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3610533.7149999999</v>
      </c>
      <c r="E118" s="59">
        <f t="shared" si="100"/>
        <v>2795937.22804124</v>
      </c>
      <c r="F118" s="59">
        <f t="shared" si="101"/>
        <v>1144077.6399999999</v>
      </c>
      <c r="G118" s="59">
        <f t="shared" si="102"/>
        <v>898952.13343122206</v>
      </c>
      <c r="H118" s="59">
        <f t="shared" si="103"/>
        <v>70000</v>
      </c>
      <c r="J118" s="25">
        <f t="shared" si="104"/>
        <v>3610533.7149999999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1642907.3644979801</v>
      </c>
      <c r="C119" s="36" t="str">
        <f t="shared" si="98"/>
        <v>State</v>
      </c>
      <c r="D119" s="59">
        <f t="shared" si="99"/>
        <v>186599008.12302899</v>
      </c>
      <c r="E119" s="59">
        <f t="shared" si="100"/>
        <v>78323672.904930994</v>
      </c>
      <c r="F119" s="59">
        <f t="shared" si="101"/>
        <v>78877831.044407994</v>
      </c>
      <c r="G119" s="59">
        <f t="shared" si="102"/>
        <v>2090000</v>
      </c>
      <c r="H119" s="59">
        <f t="shared" si="103"/>
        <v>2590000</v>
      </c>
      <c r="J119" s="25">
        <f t="shared" si="104"/>
        <v>186599008.12302899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(4500001.464, 5750001)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10</v>
      </c>
      <c r="C123" s="36" t="str">
        <f>C112</f>
        <v>(3, 0)</v>
      </c>
      <c r="D123" s="59">
        <f>A509</f>
        <v>-130574643.18309399</v>
      </c>
      <c r="E123" s="59">
        <f>A518</f>
        <v>-365972.166256</v>
      </c>
      <c r="F123" s="59">
        <f>A527</f>
        <v>-368766.66674199997</v>
      </c>
      <c r="G123" s="59">
        <f>A536</f>
        <v>90000</v>
      </c>
      <c r="H123" s="59">
        <f>A545</f>
        <v>90000</v>
      </c>
      <c r="J123" s="25">
        <f>MAX(D123:H123)</f>
        <v>90000</v>
      </c>
      <c r="K123" s="25"/>
      <c r="L123" s="25" t="str">
        <f>HLOOKUP(J123,D123:$H$133,N2,FALSE)</f>
        <v>OptNone_BNB</v>
      </c>
      <c r="N123" s="25"/>
    </row>
    <row r="124" spans="1:14" ht="12.75" x14ac:dyDescent="0.25">
      <c r="A124" s="34">
        <v>-4891927.5293250801</v>
      </c>
      <c r="C124" s="36" t="str">
        <f t="shared" ref="C124:C131" si="106">C113</f>
        <v>(3, 1)</v>
      </c>
      <c r="D124" s="59">
        <f t="shared" ref="D124:D131" si="107">A510</f>
        <v>-90985514.704827994</v>
      </c>
      <c r="E124" s="59">
        <f t="shared" ref="E124:E131" si="108">A519</f>
        <v>-367202.66647</v>
      </c>
      <c r="F124" s="59">
        <f t="shared" ref="F124:F131" si="109">A528</f>
        <v>-367777.66657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90000</v>
      </c>
      <c r="K124" s="25"/>
      <c r="L124" s="25" t="str">
        <f>HLOOKUP(J124,D124:$H$133,N3,FALSE)</f>
        <v>OptNone_BNB</v>
      </c>
      <c r="N124" s="25"/>
    </row>
    <row r="125" spans="1:14" ht="12.75" x14ac:dyDescent="0.25">
      <c r="A125" s="34">
        <v>-4885567.5372696295</v>
      </c>
      <c r="C125" s="36" t="str">
        <f t="shared" si="106"/>
        <v>(2, 0)</v>
      </c>
      <c r="D125" s="59">
        <f t="shared" si="107"/>
        <v>151835.753</v>
      </c>
      <c r="E125" s="59">
        <f t="shared" si="108"/>
        <v>-460248.20341354801</v>
      </c>
      <c r="F125" s="59">
        <f t="shared" si="109"/>
        <v>40000</v>
      </c>
      <c r="G125" s="59">
        <f t="shared" si="110"/>
        <v>-23307.061262549101</v>
      </c>
      <c r="H125" s="59">
        <f t="shared" si="111"/>
        <v>40000</v>
      </c>
      <c r="J125" s="25">
        <f t="shared" si="112"/>
        <v>151835.753</v>
      </c>
      <c r="K125" s="25"/>
      <c r="L125" s="25" t="str">
        <f>HLOOKUP(J125,D125:$H$133,N4,FALSE)</f>
        <v>OptOpt_EB</v>
      </c>
      <c r="N125" s="25"/>
    </row>
    <row r="126" spans="1:14" ht="12.75" x14ac:dyDescent="0.25">
      <c r="A126" s="34">
        <v>-9220635.9682957195</v>
      </c>
      <c r="C126" s="36" t="str">
        <f t="shared" si="106"/>
        <v>(2, 1)</v>
      </c>
      <c r="D126" s="59">
        <f t="shared" si="107"/>
        <v>151792.38039999999</v>
      </c>
      <c r="E126" s="59">
        <f t="shared" si="108"/>
        <v>-460743.203574588</v>
      </c>
      <c r="F126" s="59">
        <f t="shared" si="109"/>
        <v>40000</v>
      </c>
      <c r="G126" s="59">
        <f t="shared" si="110"/>
        <v>-25206.061880360001</v>
      </c>
      <c r="H126" s="59">
        <f t="shared" si="111"/>
        <v>40000</v>
      </c>
      <c r="J126" s="25">
        <f t="shared" si="112"/>
        <v>151792.38039999999</v>
      </c>
      <c r="K126" s="25"/>
      <c r="L126" s="25" t="str">
        <f>HLOOKUP(J126,D126:$H$133,N5,FALSE)</f>
        <v>OptOpt_EB</v>
      </c>
      <c r="N126" s="25"/>
    </row>
    <row r="127" spans="1:14" ht="12.75" x14ac:dyDescent="0.25">
      <c r="A127" s="34">
        <v>-9113249.9485898502</v>
      </c>
      <c r="C127" s="36" t="str">
        <f t="shared" si="106"/>
        <v>(1, 0)</v>
      </c>
      <c r="D127" s="59">
        <f t="shared" si="107"/>
        <v>155762.20439999999</v>
      </c>
      <c r="E127" s="59">
        <f t="shared" si="108"/>
        <v>-272256.14225410402</v>
      </c>
      <c r="F127" s="59">
        <f t="shared" si="109"/>
        <v>40000</v>
      </c>
      <c r="G127" s="59">
        <f t="shared" si="110"/>
        <v>-177630.11146895899</v>
      </c>
      <c r="H127" s="59">
        <f t="shared" si="111"/>
        <v>40000</v>
      </c>
      <c r="J127" s="25">
        <f t="shared" si="112"/>
        <v>155762.20439999999</v>
      </c>
      <c r="K127" s="25"/>
      <c r="L127" s="25" t="str">
        <f>HLOOKUP(J127,D127:$H$133,N6,FALSE)</f>
        <v>OptOpt_EB</v>
      </c>
      <c r="N127" s="25"/>
    </row>
    <row r="128" spans="1:14" ht="12.75" x14ac:dyDescent="0.25">
      <c r="A128" s="34">
        <v>538123.62</v>
      </c>
      <c r="C128" s="36" t="str">
        <f t="shared" si="106"/>
        <v>(1, 1)</v>
      </c>
      <c r="D128" s="59">
        <f t="shared" si="107"/>
        <v>155883.79920000001</v>
      </c>
      <c r="E128" s="59">
        <f t="shared" si="108"/>
        <v>-271428.14198472799</v>
      </c>
      <c r="F128" s="59">
        <f t="shared" si="109"/>
        <v>40000</v>
      </c>
      <c r="G128" s="59">
        <f t="shared" si="110"/>
        <v>-178503.11175297899</v>
      </c>
      <c r="H128" s="59">
        <f t="shared" si="111"/>
        <v>40000</v>
      </c>
      <c r="J128" s="25">
        <f t="shared" si="112"/>
        <v>155883.79920000001</v>
      </c>
      <c r="K128" s="25"/>
      <c r="L128" s="25" t="str">
        <f>HLOOKUP(J128,D128:$H$133,N7,FALSE)</f>
        <v>OptOpt_EB</v>
      </c>
      <c r="N128" s="25"/>
    </row>
    <row r="129" spans="1:14" ht="12.75" x14ac:dyDescent="0.25">
      <c r="A129" s="34">
        <v>30390904.983439699</v>
      </c>
      <c r="C129" s="36" t="str">
        <f t="shared" si="106"/>
        <v>Inspector</v>
      </c>
      <c r="D129" s="59">
        <f t="shared" si="107"/>
        <v>3607097.6874319999</v>
      </c>
      <c r="E129" s="59">
        <f t="shared" si="108"/>
        <v>2791677.7002940401</v>
      </c>
      <c r="F129" s="59">
        <f t="shared" si="109"/>
        <v>1142060.713312</v>
      </c>
      <c r="G129" s="59">
        <f t="shared" si="110"/>
        <v>895692.47204145102</v>
      </c>
      <c r="H129" s="59">
        <f t="shared" si="111"/>
        <v>70000</v>
      </c>
      <c r="J129" s="25">
        <f t="shared" si="112"/>
        <v>3607097.6874319999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219483876.91848999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219483876.91848999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(4500001.464, 7250000.988)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10</v>
      </c>
      <c r="C134" s="36" t="str">
        <f>C123</f>
        <v>(3, 0)</v>
      </c>
      <c r="D134" s="59">
        <f>A555</f>
        <v>-164564220.75763401</v>
      </c>
      <c r="E134" s="59">
        <f>A564</f>
        <v>-610150.66355186398</v>
      </c>
      <c r="F134" s="59">
        <f>A573</f>
        <v>-614138.16409523797</v>
      </c>
      <c r="G134" s="59">
        <f>A582</f>
        <v>90000</v>
      </c>
      <c r="H134" s="59">
        <f>A591</f>
        <v>90000</v>
      </c>
      <c r="J134" s="25">
        <f>MAX(D134:H134)</f>
        <v>90000</v>
      </c>
      <c r="K134" s="25"/>
      <c r="L134" s="25" t="str">
        <f>HLOOKUP(J134,D134:$H$144,N2,FALSE)</f>
        <v>OptNone_BNB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-115004968.164621</v>
      </c>
      <c r="E135" s="59">
        <f t="shared" ref="E135:E142" si="116">A565</f>
        <v>-620474.66495870601</v>
      </c>
      <c r="F135" s="59">
        <f t="shared" ref="F135:F142" si="117">A574</f>
        <v>-615109.66422761895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90000</v>
      </c>
      <c r="K135" s="25"/>
      <c r="L135" s="25" t="str">
        <f>HLOOKUP(J135,D135:$H$144,N3,FALSE)</f>
        <v>OptNone_BNB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151762.834</v>
      </c>
      <c r="E136" s="59">
        <f t="shared" si="116"/>
        <v>-458565.20286601601</v>
      </c>
      <c r="F136" s="59">
        <f t="shared" si="117"/>
        <v>40000</v>
      </c>
      <c r="G136" s="59">
        <f t="shared" si="118"/>
        <v>-20193.060249459399</v>
      </c>
      <c r="H136" s="59">
        <f t="shared" si="119"/>
        <v>40000</v>
      </c>
      <c r="J136" s="25">
        <f t="shared" si="120"/>
        <v>151762.834</v>
      </c>
      <c r="K136" s="25"/>
      <c r="L136" s="25" t="str">
        <f>HLOOKUP(J136,D136:$H$144,N4,FALSE)</f>
        <v>OptOpt_EB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151879.69380000001</v>
      </c>
      <c r="E137" s="59">
        <f t="shared" si="116"/>
        <v>-464226.20470771199</v>
      </c>
      <c r="F137" s="59">
        <f t="shared" si="117"/>
        <v>40000</v>
      </c>
      <c r="G137" s="59">
        <f t="shared" si="118"/>
        <v>-22173.060893619</v>
      </c>
      <c r="H137" s="59">
        <f t="shared" si="119"/>
        <v>40000</v>
      </c>
      <c r="J137" s="25">
        <f t="shared" si="120"/>
        <v>151879.69380000001</v>
      </c>
      <c r="K137" s="25"/>
      <c r="L137" s="25" t="str">
        <f>HLOOKUP(J137,D137:$H$144,N5,FALSE)</f>
        <v>OptOpt_EB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155779.25039999999</v>
      </c>
      <c r="E138" s="59">
        <f t="shared" si="116"/>
        <v>-273588.14268744999</v>
      </c>
      <c r="F138" s="59">
        <f t="shared" si="117"/>
        <v>40000</v>
      </c>
      <c r="G138" s="59">
        <f t="shared" si="118"/>
        <v>-178836.11186131401</v>
      </c>
      <c r="H138" s="59">
        <f t="shared" si="119"/>
        <v>40000</v>
      </c>
      <c r="J138" s="25">
        <f t="shared" si="120"/>
        <v>155779.25039999999</v>
      </c>
      <c r="K138" s="25"/>
      <c r="L138" s="25" t="str">
        <f>HLOOKUP(J138,D138:$H$144,N6,FALSE)</f>
        <v>OptOpt_EB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155832.09299999999</v>
      </c>
      <c r="E139" s="59">
        <f t="shared" si="116"/>
        <v>-271842.14211941598</v>
      </c>
      <c r="F139" s="59">
        <f t="shared" si="117"/>
        <v>40000</v>
      </c>
      <c r="G139" s="59">
        <f t="shared" si="118"/>
        <v>-178728.111826179</v>
      </c>
      <c r="H139" s="59">
        <f t="shared" si="119"/>
        <v>40000</v>
      </c>
      <c r="J139" s="25">
        <f t="shared" si="120"/>
        <v>155832.09299999999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79" t="s">
        <v>247</v>
      </c>
      <c r="C140" s="36" t="str">
        <f t="shared" si="114"/>
        <v>Inspector</v>
      </c>
      <c r="D140" s="59">
        <f t="shared" si="115"/>
        <v>4107571.3535992098</v>
      </c>
      <c r="E140" s="59">
        <f t="shared" si="116"/>
        <v>3292448.40225907</v>
      </c>
      <c r="F140" s="59">
        <f t="shared" si="117"/>
        <v>1637285.81332419</v>
      </c>
      <c r="G140" s="59">
        <f t="shared" si="118"/>
        <v>892034.95048204996</v>
      </c>
      <c r="H140" s="59">
        <f t="shared" si="119"/>
        <v>70000</v>
      </c>
      <c r="J140" s="25">
        <f t="shared" si="120"/>
        <v>4107571.3535992098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-3301702.9340969701</v>
      </c>
      <c r="C141" s="36" t="str">
        <f t="shared" si="114"/>
        <v>State</v>
      </c>
      <c r="D141" s="59">
        <f t="shared" si="115"/>
        <v>276992069.22343999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276992069.22343999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-2571532.8526443299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(4500001.464, 8750000.976)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10</v>
      </c>
      <c r="C145" s="36" t="str">
        <f>C134</f>
        <v>(3, 0)</v>
      </c>
      <c r="D145" s="59">
        <f>A601</f>
        <v>-3294737.9333199998</v>
      </c>
      <c r="E145" s="59">
        <f>A610</f>
        <v>-865265.162325838</v>
      </c>
      <c r="F145" s="59">
        <f>A619</f>
        <v>-862937.66206621996</v>
      </c>
      <c r="G145" s="59">
        <f>A628</f>
        <v>90000</v>
      </c>
      <c r="H145" s="59">
        <f>A637</f>
        <v>90000</v>
      </c>
      <c r="J145" s="25">
        <f>MAX(D145:H145)</f>
        <v>90000</v>
      </c>
      <c r="K145" s="25"/>
      <c r="L145" s="25" t="str">
        <f>HLOOKUP(J145,D145:$H$155,N2,FALSE)</f>
        <v>OptNone_BNB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-2565530.3519747299</v>
      </c>
      <c r="E146" s="59">
        <f t="shared" ref="E146:E153" si="124">A611</f>
        <v>-865720.16237659298</v>
      </c>
      <c r="F146" s="59">
        <f t="shared" ref="F146:F153" si="125">A620</f>
        <v>-865860.162392208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90000</v>
      </c>
      <c r="K146" s="25"/>
      <c r="L146" s="25" t="str">
        <f>HLOOKUP(J146,D146:$H$155,N3,FALSE)</f>
        <v>OptNone_BNB</v>
      </c>
      <c r="N146" s="25"/>
    </row>
    <row r="147" spans="1:14" ht="12.75" x14ac:dyDescent="0.25">
      <c r="A147" s="34">
        <v>4612819.44808421</v>
      </c>
      <c r="C147" s="36" t="str">
        <f t="shared" si="122"/>
        <v>(2, 0)</v>
      </c>
      <c r="D147" s="59">
        <f t="shared" si="123"/>
        <v>165000</v>
      </c>
      <c r="E147" s="59">
        <f t="shared" si="124"/>
        <v>-459276.20309732499</v>
      </c>
      <c r="F147" s="59">
        <f t="shared" si="125"/>
        <v>40000</v>
      </c>
      <c r="G147" s="59">
        <f t="shared" si="126"/>
        <v>-24576.061675397799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-460473.20348674897</v>
      </c>
      <c r="F148" s="59">
        <f t="shared" si="125"/>
        <v>40000</v>
      </c>
      <c r="G148" s="59">
        <f t="shared" si="126"/>
        <v>-21984.060832132101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-272139.14221604198</v>
      </c>
      <c r="F149" s="59">
        <f t="shared" si="125"/>
        <v>40000</v>
      </c>
      <c r="G149" s="59">
        <f t="shared" si="126"/>
        <v>-180726.112476198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-876290.16355561803</v>
      </c>
      <c r="C150" s="36" t="str">
        <f t="shared" si="122"/>
        <v>(1, 1)</v>
      </c>
      <c r="D150" s="59">
        <f t="shared" si="123"/>
        <v>165000</v>
      </c>
      <c r="E150" s="59">
        <f t="shared" si="124"/>
        <v>-268521.14103897999</v>
      </c>
      <c r="F150" s="59">
        <f t="shared" si="125"/>
        <v>40000</v>
      </c>
      <c r="G150" s="59">
        <f t="shared" si="126"/>
        <v>-175452.11076038101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-866472.66246053297</v>
      </c>
      <c r="C151" s="36" t="str">
        <f t="shared" si="122"/>
        <v>Inspector</v>
      </c>
      <c r="D151" s="59">
        <f t="shared" si="123"/>
        <v>4603396.3716423204</v>
      </c>
      <c r="E151" s="59">
        <f t="shared" si="124"/>
        <v>3786285.61586591</v>
      </c>
      <c r="F151" s="59">
        <f t="shared" si="125"/>
        <v>2136522.4794494901</v>
      </c>
      <c r="G151" s="59">
        <f t="shared" si="126"/>
        <v>894212.71141054702</v>
      </c>
      <c r="H151" s="59">
        <f t="shared" si="127"/>
        <v>70000</v>
      </c>
      <c r="J151" s="25">
        <f t="shared" si="128"/>
        <v>4603396.3716423204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-16712706.609642699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-16917938.660971198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-11746286.659555599</v>
      </c>
      <c r="D154" s="60"/>
      <c r="E154" s="60"/>
      <c r="F154" s="60"/>
      <c r="G154" s="60"/>
      <c r="H154" s="60"/>
    </row>
    <row r="155" spans="1:14" ht="12.75" x14ac:dyDescent="0.25">
      <c r="A155" s="34">
        <v>-11758762.0285875</v>
      </c>
      <c r="B155" s="39">
        <v>15</v>
      </c>
      <c r="C155" s="36" t="str">
        <f>A646</f>
        <v>(4500001.464, 13125001.464)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3090534.7110158899</v>
      </c>
      <c r="B156" s="39" t="s">
        <v>10</v>
      </c>
      <c r="C156" s="36" t="str">
        <f>C145</f>
        <v>(3, 0)</v>
      </c>
      <c r="D156" s="59">
        <f>A647</f>
        <v>-5250415.6514660101</v>
      </c>
      <c r="E156" s="59">
        <f>A656</f>
        <v>-1597097.7439536599</v>
      </c>
      <c r="F156" s="59">
        <f>A665</f>
        <v>-1594787.743696</v>
      </c>
      <c r="G156" s="59">
        <f>A674</f>
        <v>90000</v>
      </c>
      <c r="H156" s="59">
        <f>A683</f>
        <v>90000</v>
      </c>
      <c r="J156" s="25">
        <f>MAX(D156:H156)</f>
        <v>90000</v>
      </c>
      <c r="K156" s="25"/>
      <c r="L156" s="25" t="str">
        <f>HLOOKUP(J156,D156:$H$166,N2,FALSE)</f>
        <v>OptNone_BNB</v>
      </c>
      <c r="N156" s="25"/>
    </row>
    <row r="157" spans="1:14" ht="12.75" x14ac:dyDescent="0.25">
      <c r="A157" s="34">
        <v>57940605.958521299</v>
      </c>
      <c r="C157" s="36" t="str">
        <f t="shared" ref="C157:C164" si="130">C146</f>
        <v>(3, 1)</v>
      </c>
      <c r="D157" s="59">
        <f t="shared" ref="D157:D162" si="131">A648</f>
        <v>-4150304.2787641701</v>
      </c>
      <c r="E157" s="59">
        <f t="shared" ref="E157:E162" si="132">A657</f>
        <v>-1592320.2434207699</v>
      </c>
      <c r="F157" s="59">
        <f t="shared" ref="F157:F162" si="133">A666</f>
        <v>-1599223.99419083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90000</v>
      </c>
      <c r="K157" s="25"/>
      <c r="L157" s="25" t="str">
        <f>HLOOKUP(J157,D157:$H$166,N3,FALSE)</f>
        <v>OptNone_BNB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-460329.20343990199</v>
      </c>
      <c r="F158" s="59">
        <f t="shared" si="133"/>
        <v>40000</v>
      </c>
      <c r="G158" s="59">
        <f t="shared" si="134"/>
        <v>-20436.0603285137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-867732.66260107502</v>
      </c>
      <c r="C159" s="36" t="str">
        <f t="shared" si="130"/>
        <v>(2, 1)</v>
      </c>
      <c r="D159" s="59">
        <f t="shared" si="131"/>
        <v>165000</v>
      </c>
      <c r="E159" s="59">
        <f t="shared" si="132"/>
        <v>-458394.20281038497</v>
      </c>
      <c r="F159" s="59">
        <f t="shared" si="133"/>
        <v>40000</v>
      </c>
      <c r="G159" s="59">
        <f t="shared" si="134"/>
        <v>-20904.0604807704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-868432.66267915897</v>
      </c>
      <c r="C160" s="36" t="str">
        <f t="shared" si="130"/>
        <v>(1, 0)</v>
      </c>
      <c r="D160" s="59">
        <f t="shared" si="131"/>
        <v>165000</v>
      </c>
      <c r="E160" s="59">
        <f t="shared" si="132"/>
        <v>-270933.14182368602</v>
      </c>
      <c r="F160" s="59">
        <f t="shared" si="133"/>
        <v>40000</v>
      </c>
      <c r="G160" s="59">
        <f t="shared" si="134"/>
        <v>-181068.11258746099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-274776.14307394798</v>
      </c>
      <c r="F161" s="59">
        <f t="shared" si="133"/>
        <v>40000</v>
      </c>
      <c r="G161" s="59">
        <f t="shared" si="134"/>
        <v>-179313.11201649901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8141549.0864567896</v>
      </c>
      <c r="E162" s="59">
        <f t="shared" si="132"/>
        <v>5247273.2998575196</v>
      </c>
      <c r="F162" s="59">
        <f t="shared" si="133"/>
        <v>3599667.91290227</v>
      </c>
      <c r="G162" s="59">
        <f t="shared" si="134"/>
        <v>893423.97107426496</v>
      </c>
      <c r="H162" s="59">
        <f t="shared" si="135"/>
        <v>70000</v>
      </c>
      <c r="J162" s="25">
        <f t="shared" si="136"/>
        <v>8141549.0864567896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2141773.61527124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-4921770.56896987</v>
      </c>
    </row>
    <row r="171" spans="1:14" x14ac:dyDescent="0.25">
      <c r="A171" s="34">
        <v>-4973873.5808087196</v>
      </c>
    </row>
    <row r="172" spans="1:14" x14ac:dyDescent="0.25">
      <c r="A172" s="34">
        <v>-9124013.0120683406</v>
      </c>
    </row>
    <row r="173" spans="1:14" x14ac:dyDescent="0.25">
      <c r="A173" s="34">
        <v>-9173180.6429587305</v>
      </c>
    </row>
    <row r="174" spans="1:14" x14ac:dyDescent="0.25">
      <c r="A174" s="34">
        <v>539448.96</v>
      </c>
    </row>
    <row r="175" spans="1:14" x14ac:dyDescent="0.25">
      <c r="A175" s="34">
        <v>30471029.8047649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79" t="s">
        <v>248</v>
      </c>
    </row>
    <row r="187" spans="1:1" x14ac:dyDescent="0.25">
      <c r="A187" s="34">
        <v>-5249785.6513957595</v>
      </c>
    </row>
    <row r="188" spans="1:1" x14ac:dyDescent="0.25">
      <c r="A188" s="34">
        <v>-4145973.028281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8136846.4609199101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-1598541.4941147</v>
      </c>
    </row>
    <row r="197" spans="1:1" x14ac:dyDescent="0.25">
      <c r="A197" s="34">
        <v>-1606101.49495796</v>
      </c>
    </row>
    <row r="198" spans="1:1" x14ac:dyDescent="0.25">
      <c r="A198" s="34">
        <v>-16804437.264288899</v>
      </c>
    </row>
    <row r="199" spans="1:1" x14ac:dyDescent="0.25">
      <c r="A199" s="34">
        <v>-16765054.236560799</v>
      </c>
    </row>
    <row r="200" spans="1:1" x14ac:dyDescent="0.25">
      <c r="A200" s="34">
        <v>-11676815.9771035</v>
      </c>
    </row>
    <row r="201" spans="1:1" x14ac:dyDescent="0.25">
      <c r="A201" s="34">
        <v>-11689535.9612145</v>
      </c>
    </row>
    <row r="202" spans="1:1" x14ac:dyDescent="0.25">
      <c r="A202" s="34">
        <v>4549067.3590906002</v>
      </c>
    </row>
    <row r="203" spans="1:1" x14ac:dyDescent="0.25">
      <c r="A203" s="34">
        <v>57744023.438933603</v>
      </c>
    </row>
    <row r="204" spans="1:1" x14ac:dyDescent="0.25">
      <c r="A204" s="34">
        <v>0.5</v>
      </c>
    </row>
    <row r="205" spans="1:1" x14ac:dyDescent="0.25">
      <c r="A205" s="34">
        <v>-1590220.24318653</v>
      </c>
    </row>
    <row r="206" spans="1:1" x14ac:dyDescent="0.25">
      <c r="A206" s="34">
        <v>-1600615.24434601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3597105.4675479601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-4938649.0094247097</v>
      </c>
    </row>
    <row r="217" spans="1:1" x14ac:dyDescent="0.25">
      <c r="A217" s="34">
        <v>-4970204.35462288</v>
      </c>
    </row>
    <row r="218" spans="1:1" x14ac:dyDescent="0.25">
      <c r="A218" s="34">
        <v>-9114962.2541432492</v>
      </c>
    </row>
    <row r="219" spans="1:1" x14ac:dyDescent="0.25">
      <c r="A219" s="34">
        <v>-9140646.8374441992</v>
      </c>
    </row>
    <row r="220" spans="1:1" x14ac:dyDescent="0.25">
      <c r="A220" s="34">
        <v>538987.28</v>
      </c>
    </row>
    <row r="221" spans="1:1" x14ac:dyDescent="0.25">
      <c r="A221" s="34">
        <v>30443118.455594599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79" t="s">
        <v>249</v>
      </c>
    </row>
    <row r="233" spans="1:1" x14ac:dyDescent="0.25">
      <c r="A233" s="34">
        <v>-104139845.482639</v>
      </c>
    </row>
    <row r="234" spans="1:1" x14ac:dyDescent="0.25">
      <c r="A234" s="34">
        <v>-84085154.271914005</v>
      </c>
    </row>
    <row r="235" spans="1:1" x14ac:dyDescent="0.25">
      <c r="A235" s="34">
        <v>151841.24559999999</v>
      </c>
    </row>
    <row r="236" spans="1:1" x14ac:dyDescent="0.25">
      <c r="A236" s="34">
        <v>151766.05379999999</v>
      </c>
    </row>
    <row r="237" spans="1:1" x14ac:dyDescent="0.25">
      <c r="A237" s="34">
        <v>155818.45619999999</v>
      </c>
    </row>
    <row r="238" spans="1:1" x14ac:dyDescent="0.25">
      <c r="A238" s="34">
        <v>155805.76639999999</v>
      </c>
    </row>
    <row r="239" spans="1:1" x14ac:dyDescent="0.25">
      <c r="A239" s="34">
        <v>3615429.0150000001</v>
      </c>
    </row>
    <row r="240" spans="1:1" x14ac:dyDescent="0.25">
      <c r="A240" s="34">
        <v>186971453.73255301</v>
      </c>
    </row>
    <row r="241" spans="1:1" x14ac:dyDescent="0.25">
      <c r="A241" s="34">
        <v>0.5</v>
      </c>
    </row>
    <row r="242" spans="1:1" x14ac:dyDescent="0.25">
      <c r="A242" s="34">
        <v>-38531316.300944999</v>
      </c>
    </row>
    <row r="243" spans="1:1" x14ac:dyDescent="0.25">
      <c r="A243" s="34">
        <v>-38425703.53272</v>
      </c>
    </row>
    <row r="244" spans="1:1" x14ac:dyDescent="0.25">
      <c r="A244" s="34">
        <v>-252306.135763372</v>
      </c>
    </row>
    <row r="245" spans="1:1" x14ac:dyDescent="0.25">
      <c r="A245" s="34">
        <v>-251094.13536906801</v>
      </c>
    </row>
    <row r="246" spans="1:1" x14ac:dyDescent="0.25">
      <c r="A246" s="34">
        <v>-125442.09449041499</v>
      </c>
    </row>
    <row r="247" spans="1:1" x14ac:dyDescent="0.25">
      <c r="A247" s="34">
        <v>-126780.09492570801</v>
      </c>
    </row>
    <row r="248" spans="1:1" x14ac:dyDescent="0.25">
      <c r="A248" s="34">
        <v>2083561.306874</v>
      </c>
    </row>
    <row r="249" spans="1:1" x14ac:dyDescent="0.25">
      <c r="A249" s="34">
        <v>78144997.333664998</v>
      </c>
    </row>
    <row r="250" spans="1:1" x14ac:dyDescent="0.25">
      <c r="A250" s="34">
        <v>0.5</v>
      </c>
    </row>
    <row r="251" spans="1:1" x14ac:dyDescent="0.25">
      <c r="A251" s="34">
        <v>-38433683.164097004</v>
      </c>
    </row>
    <row r="252" spans="1:1" x14ac:dyDescent="0.25">
      <c r="A252" s="34">
        <v>-38702643.680509999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1143299.605</v>
      </c>
    </row>
    <row r="258" spans="1:1" x14ac:dyDescent="0.25">
      <c r="A258" s="34">
        <v>78821821.344606996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40721.959568218401</v>
      </c>
    </row>
    <row r="263" spans="1:1" x14ac:dyDescent="0.25">
      <c r="A263" s="34">
        <v>39839.9592812755</v>
      </c>
    </row>
    <row r="264" spans="1:1" x14ac:dyDescent="0.25">
      <c r="A264" s="34">
        <v>-64866.074783129603</v>
      </c>
    </row>
    <row r="265" spans="1:1" x14ac:dyDescent="0.25">
      <c r="A265" s="34">
        <v>-62964.074164341902</v>
      </c>
    </row>
    <row r="266" spans="1:1" x14ac:dyDescent="0.25">
      <c r="A266" s="34">
        <v>539154.67575599998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250</v>
      </c>
    </row>
    <row r="279" spans="1:1" x14ac:dyDescent="0.25">
      <c r="A279" s="34">
        <v>-130531895.45569</v>
      </c>
    </row>
    <row r="280" spans="1:1" x14ac:dyDescent="0.25">
      <c r="A280" s="34">
        <v>-91383961.853855997</v>
      </c>
    </row>
    <row r="281" spans="1:1" x14ac:dyDescent="0.25">
      <c r="A281" s="34">
        <v>151833.859</v>
      </c>
    </row>
    <row r="282" spans="1:1" x14ac:dyDescent="0.25">
      <c r="A282" s="34">
        <v>151803.36559999999</v>
      </c>
    </row>
    <row r="283" spans="1:1" x14ac:dyDescent="0.25">
      <c r="A283" s="34">
        <v>155799.70559999999</v>
      </c>
    </row>
    <row r="284" spans="1:1" x14ac:dyDescent="0.25">
      <c r="A284" s="34">
        <v>155766.37119999999</v>
      </c>
    </row>
    <row r="285" spans="1:1" x14ac:dyDescent="0.25">
      <c r="A285" s="34">
        <v>3614344.0684679998</v>
      </c>
    </row>
    <row r="286" spans="1:1" x14ac:dyDescent="0.25">
      <c r="A286" s="34">
        <v>219829763.174678</v>
      </c>
    </row>
    <row r="287" spans="1:1" x14ac:dyDescent="0.25">
      <c r="A287" s="34">
        <v>0.5</v>
      </c>
    </row>
    <row r="288" spans="1:1" x14ac:dyDescent="0.25">
      <c r="A288" s="34">
        <v>-370859.66710600001</v>
      </c>
    </row>
    <row r="289" spans="1:1" x14ac:dyDescent="0.25">
      <c r="A289" s="34">
        <v>-367294.666486</v>
      </c>
    </row>
    <row r="290" spans="1:1" x14ac:dyDescent="0.25">
      <c r="A290" s="34">
        <v>-250476.13516801299</v>
      </c>
    </row>
    <row r="291" spans="1:1" x14ac:dyDescent="0.25">
      <c r="A291" s="34">
        <v>-251916.13563649301</v>
      </c>
    </row>
    <row r="292" spans="1:1" x14ac:dyDescent="0.25">
      <c r="A292" s="34">
        <v>-126930.094974509</v>
      </c>
    </row>
    <row r="293" spans="1:1" x14ac:dyDescent="0.25">
      <c r="A293" s="34">
        <v>-125664.09456263699</v>
      </c>
    </row>
    <row r="294" spans="1:1" x14ac:dyDescent="0.25">
      <c r="A294" s="34">
        <v>2085276.3652540001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-370330.66701400001</v>
      </c>
    </row>
    <row r="298" spans="1:1" x14ac:dyDescent="0.25">
      <c r="A298" s="34">
        <v>-368525.1667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1143360.008714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40109.959369113101</v>
      </c>
    </row>
    <row r="309" spans="1:1" x14ac:dyDescent="0.25">
      <c r="A309" s="34">
        <v>39437.959150492199</v>
      </c>
    </row>
    <row r="310" spans="1:1" x14ac:dyDescent="0.25">
      <c r="A310" s="34">
        <v>-66150.075200858802</v>
      </c>
    </row>
    <row r="311" spans="1:1" x14ac:dyDescent="0.25">
      <c r="A311" s="34">
        <v>-63360.074293172598</v>
      </c>
    </row>
    <row r="312" spans="1:1" x14ac:dyDescent="0.25">
      <c r="A312" s="34">
        <v>540941.69665399997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251</v>
      </c>
    </row>
    <row r="325" spans="1:1" x14ac:dyDescent="0.25">
      <c r="A325" s="34">
        <v>-163757016.92797399</v>
      </c>
    </row>
    <row r="326" spans="1:1" x14ac:dyDescent="0.25">
      <c r="A326" s="34">
        <v>-115431538.32257099</v>
      </c>
    </row>
    <row r="327" spans="1:1" x14ac:dyDescent="0.25">
      <c r="A327" s="34">
        <v>151950.15059999999</v>
      </c>
    </row>
    <row r="328" spans="1:1" x14ac:dyDescent="0.25">
      <c r="A328" s="34">
        <v>151824.5784</v>
      </c>
    </row>
    <row r="329" spans="1:1" x14ac:dyDescent="0.25">
      <c r="A329" s="34">
        <v>155755.1966</v>
      </c>
    </row>
    <row r="330" spans="1:1" x14ac:dyDescent="0.25">
      <c r="A330" s="34">
        <v>155787.01579999999</v>
      </c>
    </row>
    <row r="331" spans="1:1" x14ac:dyDescent="0.25">
      <c r="A331" s="34">
        <v>4111717.2301918902</v>
      </c>
    </row>
    <row r="332" spans="1:1" x14ac:dyDescent="0.25">
      <c r="A332" s="34">
        <v>276603181.97993898</v>
      </c>
    </row>
    <row r="333" spans="1:1" x14ac:dyDescent="0.25">
      <c r="A333" s="34">
        <v>0.5</v>
      </c>
    </row>
    <row r="334" spans="1:1" x14ac:dyDescent="0.25">
      <c r="A334" s="34">
        <v>-623215.16533215495</v>
      </c>
    </row>
    <row r="335" spans="1:1" x14ac:dyDescent="0.25">
      <c r="A335" s="34">
        <v>-617342.66453190905</v>
      </c>
    </row>
    <row r="336" spans="1:1" x14ac:dyDescent="0.25">
      <c r="A336" s="34">
        <v>-251508.13550375699</v>
      </c>
    </row>
    <row r="337" spans="1:1" x14ac:dyDescent="0.25">
      <c r="A337" s="34">
        <v>-254022.136321642</v>
      </c>
    </row>
    <row r="338" spans="1:1" x14ac:dyDescent="0.25">
      <c r="A338" s="34">
        <v>-125004.09434792001</v>
      </c>
    </row>
    <row r="339" spans="1:1" x14ac:dyDescent="0.25">
      <c r="A339" s="34">
        <v>-126774.094923757</v>
      </c>
    </row>
    <row r="340" spans="1:1" x14ac:dyDescent="0.25">
      <c r="A340" s="34">
        <v>2588518.86730531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-621286.66506935901</v>
      </c>
    </row>
    <row r="344" spans="1:1" x14ac:dyDescent="0.25">
      <c r="A344" s="34">
        <v>-618314.16466429306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1644035.4647351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39335.959117307801</v>
      </c>
    </row>
    <row r="355" spans="1:1" x14ac:dyDescent="0.25">
      <c r="A355" s="34">
        <v>39527.959179772697</v>
      </c>
    </row>
    <row r="356" spans="1:1" x14ac:dyDescent="0.25">
      <c r="A356" s="34">
        <v>-62592.074043317603</v>
      </c>
    </row>
    <row r="357" spans="1:1" x14ac:dyDescent="0.25">
      <c r="A357" s="34">
        <v>-64470.074654295298</v>
      </c>
    </row>
    <row r="358" spans="1:1" x14ac:dyDescent="0.25">
      <c r="A358" s="34">
        <v>539771.57606600004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252</v>
      </c>
    </row>
    <row r="371" spans="1:1" x14ac:dyDescent="0.25">
      <c r="A371" s="34">
        <v>-3293180.43314625</v>
      </c>
    </row>
    <row r="372" spans="1:1" x14ac:dyDescent="0.25">
      <c r="A372" s="34">
        <v>-2574385.3529625498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4608270.9474639203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-867452.66256984405</v>
      </c>
    </row>
    <row r="381" spans="1:1" x14ac:dyDescent="0.25">
      <c r="A381" s="34">
        <v>-866227.66243320296</v>
      </c>
    </row>
    <row r="382" spans="1:1" x14ac:dyDescent="0.25">
      <c r="A382" s="34">
        <v>-250572.13519924501</v>
      </c>
    </row>
    <row r="383" spans="1:1" x14ac:dyDescent="0.25">
      <c r="A383" s="34">
        <v>-250332.13512116499</v>
      </c>
    </row>
    <row r="384" spans="1:1" x14ac:dyDescent="0.25">
      <c r="A384" s="34">
        <v>-126528.094843725</v>
      </c>
    </row>
    <row r="385" spans="1:1" x14ac:dyDescent="0.25">
      <c r="A385" s="34">
        <v>-127002.09499793399</v>
      </c>
    </row>
    <row r="386" spans="1:1" x14ac:dyDescent="0.25">
      <c r="A386" s="34">
        <v>3081949.6964806998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-860172.66175779398</v>
      </c>
    </row>
    <row r="390" spans="1:1" x14ac:dyDescent="0.25">
      <c r="A390" s="34">
        <v>-869570.16280604003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2137199.2495548902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40613.959533081601</v>
      </c>
    </row>
    <row r="401" spans="1:1" x14ac:dyDescent="0.25">
      <c r="A401" s="34">
        <v>41519.959827832601</v>
      </c>
    </row>
    <row r="402" spans="1:1" x14ac:dyDescent="0.25">
      <c r="A402" s="34">
        <v>-64254.074584023299</v>
      </c>
    </row>
    <row r="403" spans="1:1" x14ac:dyDescent="0.25">
      <c r="A403" s="34">
        <v>-63168.074230710103</v>
      </c>
    </row>
    <row r="404" spans="1:1" x14ac:dyDescent="0.25">
      <c r="A404" s="34">
        <v>537841.27509600006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253</v>
      </c>
    </row>
    <row r="417" spans="1:1" x14ac:dyDescent="0.25">
      <c r="A417" s="34">
        <v>-5242330.6505642897</v>
      </c>
    </row>
    <row r="418" spans="1:1" x14ac:dyDescent="0.25">
      <c r="A418" s="34">
        <v>-4157050.52951673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8139736.3913248396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-1601612.74445728</v>
      </c>
    </row>
    <row r="427" spans="1:1" x14ac:dyDescent="0.25">
      <c r="A427" s="34">
        <v>-1588828.99303135</v>
      </c>
    </row>
    <row r="428" spans="1:1" x14ac:dyDescent="0.25">
      <c r="A428" s="34">
        <v>-251676.135558412</v>
      </c>
    </row>
    <row r="429" spans="1:1" x14ac:dyDescent="0.25">
      <c r="A429" s="34">
        <v>-252600.13585902</v>
      </c>
    </row>
    <row r="430" spans="1:1" x14ac:dyDescent="0.25">
      <c r="A430" s="34">
        <v>-129024.095655754</v>
      </c>
    </row>
    <row r="431" spans="1:1" x14ac:dyDescent="0.25">
      <c r="A431" s="34">
        <v>-124194.0940844</v>
      </c>
    </row>
    <row r="432" spans="1:1" x14ac:dyDescent="0.25">
      <c r="A432" s="34">
        <v>4540756.0450045699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-1600011.4942786701</v>
      </c>
    </row>
    <row r="436" spans="1:1" x14ac:dyDescent="0.25">
      <c r="A436" s="34">
        <v>-1591611.49334171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3597745.3776357998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40373.959455003198</v>
      </c>
    </row>
    <row r="447" spans="1:1" x14ac:dyDescent="0.25">
      <c r="A447" s="34">
        <v>40067.959355450097</v>
      </c>
    </row>
    <row r="448" spans="1:1" x14ac:dyDescent="0.25">
      <c r="A448" s="34">
        <v>-64722.074736281997</v>
      </c>
    </row>
    <row r="449" spans="1:1" x14ac:dyDescent="0.25">
      <c r="A449" s="34">
        <v>-64188.074562549897</v>
      </c>
    </row>
    <row r="450" spans="1:1" x14ac:dyDescent="0.25">
      <c r="A450" s="34">
        <v>539950.676156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254</v>
      </c>
    </row>
    <row r="463" spans="1:1" x14ac:dyDescent="0.25">
      <c r="A463" s="34">
        <v>-103740863.913789</v>
      </c>
    </row>
    <row r="464" spans="1:1" x14ac:dyDescent="0.25">
      <c r="A464" s="34">
        <v>-84106746.215639994</v>
      </c>
    </row>
    <row r="465" spans="1:1" x14ac:dyDescent="0.25">
      <c r="A465" s="34">
        <v>151792.5698</v>
      </c>
    </row>
    <row r="466" spans="1:1" x14ac:dyDescent="0.25">
      <c r="A466" s="34">
        <v>151834.99540000001</v>
      </c>
    </row>
    <row r="467" spans="1:1" x14ac:dyDescent="0.25">
      <c r="A467" s="34">
        <v>155825.65340000001</v>
      </c>
    </row>
    <row r="468" spans="1:1" x14ac:dyDescent="0.25">
      <c r="A468" s="34">
        <v>155764.28779999999</v>
      </c>
    </row>
    <row r="469" spans="1:1" x14ac:dyDescent="0.25">
      <c r="A469" s="34">
        <v>3610533.7149999999</v>
      </c>
    </row>
    <row r="470" spans="1:1" x14ac:dyDescent="0.25">
      <c r="A470" s="34">
        <v>186599008.12302899</v>
      </c>
    </row>
    <row r="471" spans="1:1" x14ac:dyDescent="0.25">
      <c r="A471" s="34">
        <v>0.5</v>
      </c>
    </row>
    <row r="472" spans="1:1" x14ac:dyDescent="0.25">
      <c r="A472" s="34">
        <v>-38732684.645694003</v>
      </c>
    </row>
    <row r="473" spans="1:1" x14ac:dyDescent="0.25">
      <c r="A473" s="34">
        <v>-38405519.759236999</v>
      </c>
    </row>
    <row r="474" spans="1:1" x14ac:dyDescent="0.25">
      <c r="A474" s="34">
        <v>-460086.203360844</v>
      </c>
    </row>
    <row r="475" spans="1:1" x14ac:dyDescent="0.25">
      <c r="A475" s="34">
        <v>-460167.20338719699</v>
      </c>
    </row>
    <row r="476" spans="1:1" x14ac:dyDescent="0.25">
      <c r="A476" s="34">
        <v>-272985.142491273</v>
      </c>
    </row>
    <row r="477" spans="1:1" x14ac:dyDescent="0.25">
      <c r="A477" s="34">
        <v>-272868.14245321002</v>
      </c>
    </row>
    <row r="478" spans="1:1" x14ac:dyDescent="0.25">
      <c r="A478" s="34">
        <v>2795937.22804124</v>
      </c>
    </row>
    <row r="479" spans="1:1" x14ac:dyDescent="0.25">
      <c r="A479" s="34">
        <v>78323672.904930994</v>
      </c>
    </row>
    <row r="480" spans="1:1" x14ac:dyDescent="0.25">
      <c r="A480" s="34">
        <v>0.5</v>
      </c>
    </row>
    <row r="481" spans="1:1" x14ac:dyDescent="0.25">
      <c r="A481" s="34">
        <v>-38695602.829295002</v>
      </c>
    </row>
    <row r="482" spans="1:1" x14ac:dyDescent="0.25">
      <c r="A482" s="34">
        <v>-38497520.215112999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1144077.6399999999</v>
      </c>
    </row>
    <row r="488" spans="1:1" x14ac:dyDescent="0.25">
      <c r="A488" s="34">
        <v>78877831.044407994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-23955.061473366099</v>
      </c>
    </row>
    <row r="493" spans="1:1" x14ac:dyDescent="0.25">
      <c r="A493" s="34">
        <v>-21363.060630099299</v>
      </c>
    </row>
    <row r="494" spans="1:1" x14ac:dyDescent="0.25">
      <c r="A494" s="34">
        <v>-179133.111957941</v>
      </c>
    </row>
    <row r="495" spans="1:1" x14ac:dyDescent="0.25">
      <c r="A495" s="34">
        <v>-184398.113670828</v>
      </c>
    </row>
    <row r="496" spans="1:1" x14ac:dyDescent="0.25">
      <c r="A496" s="34">
        <v>898952.13343122206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255</v>
      </c>
    </row>
    <row r="509" spans="1:1" x14ac:dyDescent="0.25">
      <c r="A509" s="34">
        <v>-130574643.18309399</v>
      </c>
    </row>
    <row r="510" spans="1:1" x14ac:dyDescent="0.25">
      <c r="A510" s="34">
        <v>-90985514.704827994</v>
      </c>
    </row>
    <row r="511" spans="1:1" x14ac:dyDescent="0.25">
      <c r="A511" s="34">
        <v>151835.753</v>
      </c>
    </row>
    <row r="512" spans="1:1" x14ac:dyDescent="0.25">
      <c r="A512" s="34">
        <v>151792.38039999999</v>
      </c>
    </row>
    <row r="513" spans="1:1" x14ac:dyDescent="0.25">
      <c r="A513" s="34">
        <v>155762.20439999999</v>
      </c>
    </row>
    <row r="514" spans="1:1" x14ac:dyDescent="0.25">
      <c r="A514" s="34">
        <v>155883.79920000001</v>
      </c>
    </row>
    <row r="515" spans="1:1" x14ac:dyDescent="0.25">
      <c r="A515" s="34">
        <v>3607097.6874319999</v>
      </c>
    </row>
    <row r="516" spans="1:1" x14ac:dyDescent="0.25">
      <c r="A516" s="34">
        <v>219483876.91848999</v>
      </c>
    </row>
    <row r="517" spans="1:1" x14ac:dyDescent="0.25">
      <c r="A517" s="34">
        <v>0.5</v>
      </c>
    </row>
    <row r="518" spans="1:1" x14ac:dyDescent="0.25">
      <c r="A518" s="34">
        <v>-365972.166256</v>
      </c>
    </row>
    <row r="519" spans="1:1" x14ac:dyDescent="0.25">
      <c r="A519" s="34">
        <v>-367202.66647</v>
      </c>
    </row>
    <row r="520" spans="1:1" x14ac:dyDescent="0.25">
      <c r="A520" s="34">
        <v>-460248.20341354801</v>
      </c>
    </row>
    <row r="521" spans="1:1" x14ac:dyDescent="0.25">
      <c r="A521" s="34">
        <v>-460743.203574588</v>
      </c>
    </row>
    <row r="522" spans="1:1" x14ac:dyDescent="0.25">
      <c r="A522" s="34">
        <v>-272256.14225410402</v>
      </c>
    </row>
    <row r="523" spans="1:1" x14ac:dyDescent="0.25">
      <c r="A523" s="34">
        <v>-271428.14198472799</v>
      </c>
    </row>
    <row r="524" spans="1:1" x14ac:dyDescent="0.25">
      <c r="A524" s="34">
        <v>2791677.7002940401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-368766.66674199997</v>
      </c>
    </row>
    <row r="528" spans="1:1" x14ac:dyDescent="0.25">
      <c r="A528" s="34">
        <v>-367777.66657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1142060.713312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-23307.061262549101</v>
      </c>
    </row>
    <row r="539" spans="1:1" x14ac:dyDescent="0.25">
      <c r="A539" s="34">
        <v>-25206.061880360001</v>
      </c>
    </row>
    <row r="540" spans="1:1" x14ac:dyDescent="0.25">
      <c r="A540" s="34">
        <v>-177630.11146895899</v>
      </c>
    </row>
    <row r="541" spans="1:1" x14ac:dyDescent="0.25">
      <c r="A541" s="34">
        <v>-178503.11175297899</v>
      </c>
    </row>
    <row r="542" spans="1:1" x14ac:dyDescent="0.25">
      <c r="A542" s="34">
        <v>895692.47204145102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256</v>
      </c>
    </row>
    <row r="555" spans="1:1" x14ac:dyDescent="0.25">
      <c r="A555" s="34">
        <v>-164564220.75763401</v>
      </c>
    </row>
    <row r="556" spans="1:1" x14ac:dyDescent="0.25">
      <c r="A556" s="34">
        <v>-115004968.164621</v>
      </c>
    </row>
    <row r="557" spans="1:1" x14ac:dyDescent="0.25">
      <c r="A557" s="34">
        <v>151762.834</v>
      </c>
    </row>
    <row r="558" spans="1:1" x14ac:dyDescent="0.25">
      <c r="A558" s="34">
        <v>151879.69380000001</v>
      </c>
    </row>
    <row r="559" spans="1:1" x14ac:dyDescent="0.25">
      <c r="A559" s="34">
        <v>155779.25039999999</v>
      </c>
    </row>
    <row r="560" spans="1:1" x14ac:dyDescent="0.25">
      <c r="A560" s="34">
        <v>155832.09299999999</v>
      </c>
    </row>
    <row r="561" spans="1:1" x14ac:dyDescent="0.25">
      <c r="A561" s="34">
        <v>4107571.3535992098</v>
      </c>
    </row>
    <row r="562" spans="1:1" x14ac:dyDescent="0.25">
      <c r="A562" s="34">
        <v>276992069.22343999</v>
      </c>
    </row>
    <row r="563" spans="1:1" x14ac:dyDescent="0.25">
      <c r="A563" s="34">
        <v>0.5</v>
      </c>
    </row>
    <row r="564" spans="1:1" x14ac:dyDescent="0.25">
      <c r="A564" s="34">
        <v>-610150.66355186398</v>
      </c>
    </row>
    <row r="565" spans="1:1" x14ac:dyDescent="0.25">
      <c r="A565" s="34">
        <v>-620474.66495870601</v>
      </c>
    </row>
    <row r="566" spans="1:1" x14ac:dyDescent="0.25">
      <c r="A566" s="34">
        <v>-458565.20286601601</v>
      </c>
    </row>
    <row r="567" spans="1:1" x14ac:dyDescent="0.25">
      <c r="A567" s="34">
        <v>-464226.20470771199</v>
      </c>
    </row>
    <row r="568" spans="1:1" x14ac:dyDescent="0.25">
      <c r="A568" s="34">
        <v>-273588.14268744999</v>
      </c>
    </row>
    <row r="569" spans="1:1" x14ac:dyDescent="0.25">
      <c r="A569" s="34">
        <v>-271842.14211941598</v>
      </c>
    </row>
    <row r="570" spans="1:1" x14ac:dyDescent="0.25">
      <c r="A570" s="34">
        <v>3292448.40225907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-614138.16409523797</v>
      </c>
    </row>
    <row r="574" spans="1:1" x14ac:dyDescent="0.25">
      <c r="A574" s="34">
        <v>-615109.66422761895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1637285.81332419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-20193.060249459399</v>
      </c>
    </row>
    <row r="585" spans="1:1" x14ac:dyDescent="0.25">
      <c r="A585" s="34">
        <v>-22173.060893619</v>
      </c>
    </row>
    <row r="586" spans="1:1" x14ac:dyDescent="0.25">
      <c r="A586" s="34">
        <v>-178836.11186131401</v>
      </c>
    </row>
    <row r="587" spans="1:1" x14ac:dyDescent="0.25">
      <c r="A587" s="34">
        <v>-178728.111826179</v>
      </c>
    </row>
    <row r="588" spans="1:1" x14ac:dyDescent="0.25">
      <c r="A588" s="34">
        <v>892034.95048204996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257</v>
      </c>
    </row>
    <row r="601" spans="1:1" x14ac:dyDescent="0.25">
      <c r="A601" s="34">
        <v>-3294737.9333199998</v>
      </c>
    </row>
    <row r="602" spans="1:1" x14ac:dyDescent="0.25">
      <c r="A602" s="34">
        <v>-2565530.3519747299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4603396.3716423204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-865265.162325838</v>
      </c>
    </row>
    <row r="611" spans="1:1" x14ac:dyDescent="0.25">
      <c r="A611" s="34">
        <v>-865720.16237659298</v>
      </c>
    </row>
    <row r="612" spans="1:1" x14ac:dyDescent="0.25">
      <c r="A612" s="34">
        <v>-459276.20309732499</v>
      </c>
    </row>
    <row r="613" spans="1:1" x14ac:dyDescent="0.25">
      <c r="A613" s="34">
        <v>-460473.20348674897</v>
      </c>
    </row>
    <row r="614" spans="1:1" x14ac:dyDescent="0.25">
      <c r="A614" s="34">
        <v>-272139.14221604198</v>
      </c>
    </row>
    <row r="615" spans="1:1" x14ac:dyDescent="0.25">
      <c r="A615" s="34">
        <v>-268521.14103897999</v>
      </c>
    </row>
    <row r="616" spans="1:1" x14ac:dyDescent="0.25">
      <c r="A616" s="34">
        <v>3786285.61586591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-862937.66206621996</v>
      </c>
    </row>
    <row r="620" spans="1:1" x14ac:dyDescent="0.25">
      <c r="A620" s="34">
        <v>-865860.162392208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2136522.4794494901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-24576.061675397799</v>
      </c>
    </row>
    <row r="631" spans="1:1" x14ac:dyDescent="0.25">
      <c r="A631" s="34">
        <v>-21984.060832132101</v>
      </c>
    </row>
    <row r="632" spans="1:1" x14ac:dyDescent="0.25">
      <c r="A632" s="34">
        <v>-180726.112476198</v>
      </c>
    </row>
    <row r="633" spans="1:1" x14ac:dyDescent="0.25">
      <c r="A633" s="34">
        <v>-175452.11076038101</v>
      </c>
    </row>
    <row r="634" spans="1:1" x14ac:dyDescent="0.25">
      <c r="A634" s="34">
        <v>894212.71141054702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258</v>
      </c>
    </row>
    <row r="647" spans="1:1" x14ac:dyDescent="0.25">
      <c r="A647" s="34">
        <v>-5250415.6514660101</v>
      </c>
    </row>
    <row r="648" spans="1:1" x14ac:dyDescent="0.25">
      <c r="A648" s="34">
        <v>-4150304.2787641701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8141549.0864567896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-1597097.7439536599</v>
      </c>
    </row>
    <row r="657" spans="1:1" x14ac:dyDescent="0.25">
      <c r="A657" s="34">
        <v>-1592320.2434207699</v>
      </c>
    </row>
    <row r="658" spans="1:1" x14ac:dyDescent="0.25">
      <c r="A658" s="34">
        <v>-460329.20343990199</v>
      </c>
    </row>
    <row r="659" spans="1:1" x14ac:dyDescent="0.25">
      <c r="A659" s="34">
        <v>-458394.20281038497</v>
      </c>
    </row>
    <row r="660" spans="1:1" x14ac:dyDescent="0.25">
      <c r="A660" s="34">
        <v>-270933.14182368602</v>
      </c>
    </row>
    <row r="661" spans="1:1" x14ac:dyDescent="0.25">
      <c r="A661" s="34">
        <v>-274776.14307394798</v>
      </c>
    </row>
    <row r="662" spans="1:1" x14ac:dyDescent="0.25">
      <c r="A662" s="34">
        <v>5247273.2998575196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-1594787.743696</v>
      </c>
    </row>
    <row r="666" spans="1:1" x14ac:dyDescent="0.25">
      <c r="A666" s="34">
        <v>-1599223.99419083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3599667.91290227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-20436.0603285137</v>
      </c>
    </row>
    <row r="677" spans="1:1" x14ac:dyDescent="0.25">
      <c r="A677" s="34">
        <v>-20904.0604807704</v>
      </c>
    </row>
    <row r="678" spans="1:1" x14ac:dyDescent="0.25">
      <c r="A678" s="34">
        <v>-181068.11258746099</v>
      </c>
    </row>
    <row r="679" spans="1:1" x14ac:dyDescent="0.25">
      <c r="A679" s="34">
        <v>-179313.11201649901</v>
      </c>
    </row>
    <row r="680" spans="1:1" x14ac:dyDescent="0.25">
      <c r="A680" s="34">
        <v>893423.97107426496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Normal="100" workbookViewId="0">
      <selection activeCell="E10" sqref="A1:E10"/>
    </sheetView>
  </sheetViews>
  <sheetFormatPr defaultRowHeight="15" x14ac:dyDescent="0.25"/>
  <cols>
    <col min="1" max="1" width="10" style="19" bestFit="1" customWidth="1"/>
    <col min="2" max="2" width="13.28515625" style="19" bestFit="1" customWidth="1"/>
    <col min="3" max="5" width="10.42578125" style="19" bestFit="1" customWidth="1"/>
    <col min="6" max="6" width="7" style="19" bestFit="1" customWidth="1"/>
    <col min="7" max="10" width="9.140625" style="19"/>
    <col min="11" max="11" width="12.140625" style="19" bestFit="1" customWidth="1"/>
    <col min="12" max="13" width="9.140625" style="19"/>
    <col min="14" max="14" width="16" style="19" bestFit="1" customWidth="1"/>
    <col min="15" max="15" width="9.5703125" style="19" bestFit="1" customWidth="1"/>
    <col min="16" max="18" width="12" style="19" bestFit="1" customWidth="1"/>
    <col min="19" max="19" width="6" style="19" bestFit="1" customWidth="1"/>
    <col min="20" max="16384" width="9.140625" style="19"/>
  </cols>
  <sheetData>
    <row r="1" spans="1:19" x14ac:dyDescent="0.25">
      <c r="A1" s="83" t="s">
        <v>29</v>
      </c>
      <c r="B1" s="83" t="s">
        <v>101</v>
      </c>
      <c r="C1" s="83" t="s">
        <v>102</v>
      </c>
      <c r="D1" s="83" t="s">
        <v>103</v>
      </c>
      <c r="E1" s="83" t="s">
        <v>104</v>
      </c>
      <c r="F1" s="83"/>
      <c r="G1" s="83" t="s">
        <v>106</v>
      </c>
      <c r="H1" s="83" t="s">
        <v>108</v>
      </c>
      <c r="I1" s="83" t="s">
        <v>107</v>
      </c>
      <c r="J1" s="84"/>
      <c r="K1" s="84" t="s">
        <v>162</v>
      </c>
      <c r="N1" s="85" t="s">
        <v>114</v>
      </c>
      <c r="O1" s="83" t="s">
        <v>101</v>
      </c>
      <c r="P1" s="82" t="s">
        <v>102</v>
      </c>
      <c r="Q1" s="83" t="s">
        <v>103</v>
      </c>
      <c r="R1" s="82" t="s">
        <v>104</v>
      </c>
      <c r="S1" s="84"/>
    </row>
    <row r="2" spans="1:19" x14ac:dyDescent="0.25">
      <c r="A2" s="83" t="s">
        <v>44</v>
      </c>
      <c r="B2" s="90">
        <f>def_a!AL23</f>
        <v>233336.68766580004</v>
      </c>
      <c r="C2" s="90">
        <f>s1_a!AL23</f>
        <v>90000</v>
      </c>
      <c r="D2" s="90">
        <f>s2_a!AL23</f>
        <v>90000</v>
      </c>
      <c r="E2" s="90">
        <f>s3_a!AL23</f>
        <v>90000</v>
      </c>
      <c r="F2" s="90"/>
      <c r="G2" s="86">
        <f>-($B2-C2)/$B2</f>
        <v>-0.61429125912293803</v>
      </c>
      <c r="H2" s="86">
        <f>-($B2-D2)/$B2</f>
        <v>-0.61429125912293803</v>
      </c>
      <c r="I2" s="86">
        <f>-($B2-E2)/$B2</f>
        <v>-0.61429125912293803</v>
      </c>
      <c r="J2" s="88"/>
      <c r="K2" s="89">
        <v>90000</v>
      </c>
      <c r="L2" s="88"/>
      <c r="N2" s="90">
        <v>3</v>
      </c>
      <c r="O2" s="91">
        <f>AVERAGE(B2:B3)-$K$2</f>
        <v>145514.02362990001</v>
      </c>
      <c r="P2" s="91">
        <f>AVERAGE(C2:C3)-$K$2</f>
        <v>0</v>
      </c>
      <c r="Q2" s="91">
        <f t="shared" ref="Q2" si="0">AVERAGE(D2:D3)-$K$2</f>
        <v>0</v>
      </c>
      <c r="R2" s="91">
        <f>AVERAGE(E2:E3)-$K$2</f>
        <v>0</v>
      </c>
      <c r="S2" s="21"/>
    </row>
    <row r="3" spans="1:19" x14ac:dyDescent="0.25">
      <c r="A3" s="83" t="s">
        <v>45</v>
      </c>
      <c r="B3" s="90">
        <f>def_a!AL24</f>
        <v>237691.35959400001</v>
      </c>
      <c r="C3" s="90">
        <f>s1_a!AL24</f>
        <v>90000</v>
      </c>
      <c r="D3" s="90">
        <f>s2_a!AL24</f>
        <v>90000</v>
      </c>
      <c r="E3" s="90">
        <f>s3_a!AL24</f>
        <v>90000</v>
      </c>
      <c r="F3" s="90"/>
      <c r="G3" s="86">
        <f t="shared" ref="G3:G10" si="1">-($B3-C3)/$B3</f>
        <v>-0.62135771298658582</v>
      </c>
      <c r="H3" s="86">
        <f t="shared" ref="H3:I10" si="2">-($B3-D3)/$B3</f>
        <v>-0.62135771298658582</v>
      </c>
      <c r="I3" s="86">
        <f t="shared" si="2"/>
        <v>-0.62135771298658582</v>
      </c>
      <c r="J3" s="88"/>
      <c r="K3" s="89">
        <v>40000</v>
      </c>
      <c r="L3" s="88"/>
      <c r="N3" s="90">
        <v>2</v>
      </c>
      <c r="O3" s="91">
        <f>AVERAGE(B4:B5)-$K$3</f>
        <v>109291.28929709998</v>
      </c>
      <c r="P3" s="91">
        <f t="shared" ref="P3:R3" si="3">AVERAGE(C4:C5)-$K$3</f>
        <v>80554.615933133333</v>
      </c>
      <c r="Q3" s="91">
        <f t="shared" si="3"/>
        <v>80554.44259763333</v>
      </c>
      <c r="R3" s="91">
        <f t="shared" si="3"/>
        <v>0</v>
      </c>
      <c r="S3" s="21"/>
    </row>
    <row r="4" spans="1:19" x14ac:dyDescent="0.25">
      <c r="A4" s="83" t="s">
        <v>0</v>
      </c>
      <c r="B4" s="90">
        <f>def_a!AL25</f>
        <v>149345.65062006668</v>
      </c>
      <c r="C4" s="90">
        <f>s1_a!AL25</f>
        <v>120560.61600813332</v>
      </c>
      <c r="D4" s="90">
        <f>s2_a!AL25</f>
        <v>120554.07725973333</v>
      </c>
      <c r="E4" s="90">
        <f>s3_a!AL25</f>
        <v>40000</v>
      </c>
      <c r="F4" s="90"/>
      <c r="G4" s="86">
        <f t="shared" si="1"/>
        <v>-0.19274103057183831</v>
      </c>
      <c r="H4" s="86">
        <f t="shared" si="2"/>
        <v>-0.19278481322217228</v>
      </c>
      <c r="I4" s="86">
        <f t="shared" si="2"/>
        <v>-0.73216494866824433</v>
      </c>
      <c r="J4" s="88"/>
      <c r="K4" s="89">
        <v>70000</v>
      </c>
      <c r="L4" s="88"/>
      <c r="N4" s="90">
        <v>1</v>
      </c>
      <c r="O4" s="91">
        <f>AVERAGE(B6:B7)-$K$3</f>
        <v>96175.799115499976</v>
      </c>
      <c r="P4" s="91">
        <f>AVERAGE(C6:C7)-$K$3</f>
        <v>78236.960296133344</v>
      </c>
      <c r="Q4" s="91">
        <f t="shared" ref="P4:R4" si="4">AVERAGE(D6:D7)-$K$3</f>
        <v>78241.896357833335</v>
      </c>
      <c r="R4" s="91">
        <f t="shared" si="4"/>
        <v>0</v>
      </c>
      <c r="S4" s="21"/>
    </row>
    <row r="5" spans="1:19" x14ac:dyDescent="0.25">
      <c r="A5" s="83" t="s">
        <v>1</v>
      </c>
      <c r="B5" s="90">
        <f>def_a!AL26</f>
        <v>149236.92797413332</v>
      </c>
      <c r="C5" s="90">
        <f>s1_a!AL26</f>
        <v>120548.61585813334</v>
      </c>
      <c r="D5" s="90">
        <f>s2_a!AL26</f>
        <v>120554.80793553333</v>
      </c>
      <c r="E5" s="90">
        <f>s3_a!AL26</f>
        <v>40000</v>
      </c>
      <c r="F5" s="90"/>
      <c r="G5" s="86">
        <f t="shared" si="1"/>
        <v>-0.19223333330053813</v>
      </c>
      <c r="H5" s="86">
        <f t="shared" si="2"/>
        <v>-0.19219184171072826</v>
      </c>
      <c r="I5" s="86">
        <f t="shared" si="2"/>
        <v>-0.73196982447311532</v>
      </c>
      <c r="J5" s="88"/>
      <c r="K5" s="88"/>
      <c r="L5" s="88"/>
      <c r="N5" s="92" t="s">
        <v>113</v>
      </c>
      <c r="O5" s="91">
        <f>B8-$K$4</f>
        <v>36663.687094933324</v>
      </c>
      <c r="P5" s="91">
        <f>C8-$K$4</f>
        <v>11026.424874799981</v>
      </c>
      <c r="Q5" s="91">
        <f>D8-$K$4</f>
        <v>11018.89542239999</v>
      </c>
      <c r="R5" s="91">
        <f t="shared" ref="R5" si="5">E8-$K$4</f>
        <v>0</v>
      </c>
      <c r="S5" s="21"/>
    </row>
    <row r="6" spans="1:19" x14ac:dyDescent="0.25">
      <c r="A6" s="83" t="s">
        <v>2</v>
      </c>
      <c r="B6" s="90">
        <f>def_a!AL27</f>
        <v>136252.4627501333</v>
      </c>
      <c r="C6" s="90">
        <f>s1_a!AL27</f>
        <v>118231.37089293335</v>
      </c>
      <c r="D6" s="90">
        <f>s2_a!AL27</f>
        <v>118253.13649833333</v>
      </c>
      <c r="E6" s="90">
        <f>s3_a!AL27</f>
        <v>40000</v>
      </c>
      <c r="F6" s="90"/>
      <c r="G6" s="86">
        <f t="shared" si="1"/>
        <v>-0.13226250368955125</v>
      </c>
      <c r="H6" s="86">
        <f t="shared" si="2"/>
        <v>-0.13210275901440438</v>
      </c>
      <c r="I6" s="86">
        <f t="shared" si="2"/>
        <v>-0.70642732474234948</v>
      </c>
      <c r="J6" s="88"/>
      <c r="K6" s="88"/>
      <c r="L6" s="88"/>
    </row>
    <row r="7" spans="1:19" x14ac:dyDescent="0.25">
      <c r="A7" s="83" t="s">
        <v>3</v>
      </c>
      <c r="B7" s="90">
        <f>def_a!AL28</f>
        <v>136099.13548086665</v>
      </c>
      <c r="C7" s="90">
        <f>s1_a!AL28</f>
        <v>118242.54969933334</v>
      </c>
      <c r="D7" s="90">
        <f>s2_a!AL28</f>
        <v>118230.65621733334</v>
      </c>
      <c r="E7" s="90">
        <f>s3_a!AL28</f>
        <v>40000</v>
      </c>
      <c r="F7" s="90"/>
      <c r="G7" s="86">
        <f t="shared" si="1"/>
        <v>-0.13120278625167067</v>
      </c>
      <c r="H7" s="86">
        <f t="shared" si="2"/>
        <v>-0.13129017462455031</v>
      </c>
      <c r="I7" s="86">
        <f t="shared" si="2"/>
        <v>-0.70609659011667014</v>
      </c>
      <c r="J7" s="88"/>
      <c r="K7" s="88"/>
      <c r="L7" s="88"/>
      <c r="O7" s="93"/>
    </row>
    <row r="8" spans="1:19" x14ac:dyDescent="0.25">
      <c r="A8" s="83" t="s">
        <v>6</v>
      </c>
      <c r="B8" s="90">
        <f>def_a!AL29</f>
        <v>106663.68709493332</v>
      </c>
      <c r="C8" s="90">
        <f>s1_a!AL29</f>
        <v>81026.424874799981</v>
      </c>
      <c r="D8" s="90">
        <f>s2_a!AL29</f>
        <v>81018.89542239999</v>
      </c>
      <c r="E8" s="90">
        <f>s3_a!AL29</f>
        <v>70000</v>
      </c>
      <c r="F8" s="90"/>
      <c r="G8" s="86">
        <f t="shared" si="1"/>
        <v>-0.24035604729579191</v>
      </c>
      <c r="H8" s="86">
        <f t="shared" si="2"/>
        <v>-0.24042663788388297</v>
      </c>
      <c r="I8" s="86">
        <f t="shared" si="2"/>
        <v>-0.3437316681383959</v>
      </c>
      <c r="J8" s="88"/>
      <c r="K8" s="88"/>
      <c r="L8" s="88"/>
    </row>
    <row r="9" spans="1:19" x14ac:dyDescent="0.25">
      <c r="A9" s="85" t="s">
        <v>23</v>
      </c>
      <c r="B9" s="90">
        <f>def_a!AL30</f>
        <v>1837902.4701534</v>
      </c>
      <c r="C9" s="90">
        <f>s1_a!AL30</f>
        <v>2256666.6666666665</v>
      </c>
      <c r="D9" s="90">
        <f>s2_a!AL30</f>
        <v>2256666.6666666665</v>
      </c>
      <c r="E9" s="90">
        <f>s3_a!AL30</f>
        <v>2590000</v>
      </c>
      <c r="F9" s="90"/>
      <c r="G9" s="86">
        <f t="shared" si="1"/>
        <v>0.22784897638138246</v>
      </c>
      <c r="H9" s="86">
        <f t="shared" si="2"/>
        <v>0.22784897638138246</v>
      </c>
      <c r="I9" s="86">
        <f t="shared" si="2"/>
        <v>0.40921514719104024</v>
      </c>
      <c r="J9" s="88"/>
      <c r="K9" s="88"/>
      <c r="L9" s="88"/>
    </row>
    <row r="10" spans="1:19" x14ac:dyDescent="0.25">
      <c r="A10" s="85" t="s">
        <v>24</v>
      </c>
      <c r="B10" s="90">
        <f>def_a!AL31</f>
        <v>0.2777777777777774</v>
      </c>
      <c r="C10" s="90">
        <f>s1_a!AL31</f>
        <v>0.11111111111111067</v>
      </c>
      <c r="D10" s="90">
        <f>s2_a!AL31</f>
        <v>0.11111111111111067</v>
      </c>
      <c r="E10" s="90">
        <f>s3_a!AL31</f>
        <v>0</v>
      </c>
      <c r="F10" s="90"/>
      <c r="G10" s="86">
        <f t="shared" si="1"/>
        <v>-0.60000000000000109</v>
      </c>
      <c r="H10" s="86">
        <f t="shared" si="2"/>
        <v>-0.60000000000000109</v>
      </c>
      <c r="I10" s="86">
        <f t="shared" si="2"/>
        <v>-1</v>
      </c>
      <c r="J10" s="88"/>
      <c r="K10" s="88"/>
    </row>
    <row r="12" spans="1:19" x14ac:dyDescent="0.25">
      <c r="A12" s="83" t="str">
        <f>A1</f>
        <v>AVG</v>
      </c>
      <c r="B12" s="83" t="str">
        <f t="shared" ref="B12:E12" si="6">B1</f>
        <v>def</v>
      </c>
      <c r="C12" s="83" t="str">
        <f t="shared" si="6"/>
        <v>s1</v>
      </c>
      <c r="D12" s="83" t="str">
        <f t="shared" si="6"/>
        <v>s2</v>
      </c>
      <c r="E12" s="83" t="str">
        <f t="shared" si="6"/>
        <v>s3</v>
      </c>
      <c r="F12" s="90"/>
      <c r="G12" s="83" t="s">
        <v>106</v>
      </c>
      <c r="H12" s="83" t="s">
        <v>108</v>
      </c>
      <c r="I12" s="83" t="s">
        <v>107</v>
      </c>
    </row>
    <row r="13" spans="1:19" x14ac:dyDescent="0.25">
      <c r="A13" s="83" t="str">
        <f>A2</f>
        <v>(3, 0)</v>
      </c>
      <c r="B13" s="115">
        <f>B2-$K$2</f>
        <v>143336.68766580004</v>
      </c>
      <c r="C13" s="115">
        <f>C2-$K$2</f>
        <v>0</v>
      </c>
      <c r="D13" s="115">
        <f>D2-$K$2</f>
        <v>0</v>
      </c>
      <c r="E13" s="115">
        <f>E2-$K$2</f>
        <v>0</v>
      </c>
      <c r="F13" s="90"/>
      <c r="G13" s="86">
        <f>-($B13-C13)/$B13</f>
        <v>-1</v>
      </c>
      <c r="H13" s="86">
        <f>-($B13-D13)/$B13</f>
        <v>-1</v>
      </c>
      <c r="I13" s="86">
        <f>-($B13-E13)/$B13</f>
        <v>-1</v>
      </c>
    </row>
    <row r="14" spans="1:19" x14ac:dyDescent="0.25">
      <c r="A14" s="83" t="str">
        <f>A3</f>
        <v>(3, 1)</v>
      </c>
      <c r="B14" s="115">
        <f>B3-$K$2</f>
        <v>147691.35959400001</v>
      </c>
      <c r="C14" s="115">
        <f>C3-$K$2</f>
        <v>0</v>
      </c>
      <c r="D14" s="115">
        <f>D3-$K$2</f>
        <v>0</v>
      </c>
      <c r="E14" s="115">
        <f>E3-$K$2</f>
        <v>0</v>
      </c>
      <c r="F14" s="90"/>
      <c r="G14" s="86">
        <f t="shared" ref="G14:G21" si="7">-($B14-C14)/$B14</f>
        <v>-1</v>
      </c>
      <c r="H14" s="86">
        <f t="shared" ref="H14:H21" si="8">-($B14-D14)/$B14</f>
        <v>-1</v>
      </c>
      <c r="I14" s="86">
        <f t="shared" ref="I14:I21" si="9">-($B14-E14)/$B14</f>
        <v>-1</v>
      </c>
    </row>
    <row r="15" spans="1:19" x14ac:dyDescent="0.25">
      <c r="A15" s="83" t="str">
        <f>A4</f>
        <v>(2, 0)</v>
      </c>
      <c r="B15" s="115">
        <f>B4-$K$3</f>
        <v>109345.65062006668</v>
      </c>
      <c r="C15" s="115">
        <f>C4-$K$3</f>
        <v>80560.616008133322</v>
      </c>
      <c r="D15" s="115">
        <f>D4-$K$3</f>
        <v>80554.077259733327</v>
      </c>
      <c r="E15" s="115">
        <f>E4-$K$3</f>
        <v>0</v>
      </c>
      <c r="F15" s="90"/>
      <c r="G15" s="86">
        <f t="shared" si="7"/>
        <v>-0.26324809856360981</v>
      </c>
      <c r="H15" s="86">
        <f t="shared" si="8"/>
        <v>-0.26330789745238969</v>
      </c>
      <c r="I15" s="86">
        <f t="shared" si="9"/>
        <v>-1</v>
      </c>
    </row>
    <row r="16" spans="1:19" x14ac:dyDescent="0.25">
      <c r="A16" s="83" t="str">
        <f>A5</f>
        <v>(2, 1)</v>
      </c>
      <c r="B16" s="115">
        <f>B5-$K$3</f>
        <v>109236.92797413332</v>
      </c>
      <c r="C16" s="115">
        <f>C5-$K$3</f>
        <v>80548.615858133344</v>
      </c>
      <c r="D16" s="115">
        <f>D5-$K$3</f>
        <v>80554.807935533332</v>
      </c>
      <c r="E16" s="115">
        <f>E5-$K$3</f>
        <v>0</v>
      </c>
      <c r="F16" s="90"/>
      <c r="G16" s="86">
        <f t="shared" si="7"/>
        <v>-0.26262466958786318</v>
      </c>
      <c r="H16" s="86">
        <f t="shared" si="8"/>
        <v>-0.26256798475138138</v>
      </c>
      <c r="I16" s="86">
        <f t="shared" si="9"/>
        <v>-1</v>
      </c>
    </row>
    <row r="17" spans="1:9" x14ac:dyDescent="0.25">
      <c r="A17" s="83" t="str">
        <f>A6</f>
        <v>(1, 0)</v>
      </c>
      <c r="B17" s="115">
        <f>B6-$K$3</f>
        <v>96252.462750133302</v>
      </c>
      <c r="C17" s="115">
        <f>C6-$K$3</f>
        <v>78231.370892933352</v>
      </c>
      <c r="D17" s="115">
        <f>D6-$K$3</f>
        <v>78253.136498333333</v>
      </c>
      <c r="E17" s="115">
        <f>E6-$K$3</f>
        <v>0</v>
      </c>
      <c r="F17" s="90"/>
      <c r="G17" s="86">
        <f t="shared" si="7"/>
        <v>-0.18722733260323765</v>
      </c>
      <c r="H17" s="86">
        <f t="shared" si="8"/>
        <v>-0.18700120222923897</v>
      </c>
      <c r="I17" s="86">
        <f t="shared" si="9"/>
        <v>-1</v>
      </c>
    </row>
    <row r="18" spans="1:9" x14ac:dyDescent="0.25">
      <c r="A18" s="83" t="str">
        <f>A7</f>
        <v>(1, 1)</v>
      </c>
      <c r="B18" s="115">
        <f>B7-$K$3</f>
        <v>96099.135480866651</v>
      </c>
      <c r="C18" s="115">
        <f>C7-$K$3</f>
        <v>78242.549699333336</v>
      </c>
      <c r="D18" s="115">
        <f>D7-$K$3</f>
        <v>78230.656217333337</v>
      </c>
      <c r="E18" s="115">
        <f>E7-$K$3</f>
        <v>0</v>
      </c>
      <c r="F18" s="90"/>
      <c r="G18" s="86">
        <f t="shared" si="7"/>
        <v>-0.18581421874589665</v>
      </c>
      <c r="H18" s="86">
        <f t="shared" si="8"/>
        <v>-0.18593798137852063</v>
      </c>
      <c r="I18" s="86">
        <f t="shared" si="9"/>
        <v>-1</v>
      </c>
    </row>
    <row r="19" spans="1:9" x14ac:dyDescent="0.25">
      <c r="A19" s="83" t="str">
        <f>A8</f>
        <v>Inspector</v>
      </c>
      <c r="B19" s="115">
        <f>B8-$K$4</f>
        <v>36663.687094933324</v>
      </c>
      <c r="C19" s="115">
        <f>C8-$K$4</f>
        <v>11026.424874799981</v>
      </c>
      <c r="D19" s="115">
        <f>D8-$K$4</f>
        <v>11018.89542239999</v>
      </c>
      <c r="E19" s="115">
        <f>E8-$K$4</f>
        <v>0</v>
      </c>
      <c r="F19" s="90"/>
      <c r="G19" s="86">
        <f t="shared" si="7"/>
        <v>-0.69925488273317282</v>
      </c>
      <c r="H19" s="86">
        <f t="shared" si="8"/>
        <v>-0.6994602481231974</v>
      </c>
      <c r="I19" s="86">
        <f t="shared" si="9"/>
        <v>-1</v>
      </c>
    </row>
    <row r="20" spans="1:9" x14ac:dyDescent="0.25">
      <c r="G20" s="88"/>
      <c r="H20" s="88"/>
      <c r="I20" s="88"/>
    </row>
    <row r="21" spans="1:9" x14ac:dyDescent="0.25">
      <c r="G21" s="88"/>
      <c r="H21" s="88"/>
      <c r="I21" s="88"/>
    </row>
    <row r="24" spans="1:9" x14ac:dyDescent="0.25">
      <c r="A24" s="83" t="s">
        <v>163</v>
      </c>
      <c r="B24" s="83" t="s">
        <v>101</v>
      </c>
      <c r="C24" s="83" t="s">
        <v>102</v>
      </c>
      <c r="D24" s="83" t="s">
        <v>103</v>
      </c>
      <c r="E24" s="83" t="s">
        <v>104</v>
      </c>
      <c r="F24" s="84"/>
      <c r="G24" s="82" t="s">
        <v>106</v>
      </c>
      <c r="H24" s="83" t="s">
        <v>108</v>
      </c>
      <c r="I24" s="82" t="s">
        <v>107</v>
      </c>
    </row>
    <row r="25" spans="1:9" x14ac:dyDescent="0.25">
      <c r="A25" s="83" t="s">
        <v>44</v>
      </c>
      <c r="B25" s="90">
        <f>def_a!AN23</f>
        <v>531644.58039066673</v>
      </c>
      <c r="C25" s="90">
        <f>s1_a!AN23</f>
        <v>90000</v>
      </c>
      <c r="D25" s="90">
        <f>s2_a!AN23</f>
        <v>90000</v>
      </c>
      <c r="E25" s="90">
        <f>s3_a!AN23</f>
        <v>90000</v>
      </c>
      <c r="F25" s="21"/>
      <c r="G25" s="86">
        <f>-($B25-C25)/$B25</f>
        <v>-0.83071397072482978</v>
      </c>
      <c r="H25" s="86">
        <f>-($B25-D25)/$B25</f>
        <v>-0.83071397072482978</v>
      </c>
      <c r="I25" s="87">
        <f>-($B25-E25)/$B25</f>
        <v>-0.83071397072482978</v>
      </c>
    </row>
    <row r="26" spans="1:9" x14ac:dyDescent="0.25">
      <c r="A26" s="83" t="s">
        <v>45</v>
      </c>
      <c r="B26" s="90">
        <f>def_a!AN24</f>
        <v>542617.95149666665</v>
      </c>
      <c r="C26" s="90">
        <f>s1_a!AN24</f>
        <v>90000</v>
      </c>
      <c r="D26" s="90">
        <f>s2_a!AN24</f>
        <v>90000</v>
      </c>
      <c r="E26" s="90">
        <f>s3_a!AN24</f>
        <v>90000</v>
      </c>
      <c r="F26" s="21"/>
      <c r="G26" s="86">
        <f>-($B26-C26)/$B26</f>
        <v>-0.83413744467583673</v>
      </c>
      <c r="H26" s="86">
        <f>-($B26-D26)/$B26</f>
        <v>-0.83413744467583673</v>
      </c>
      <c r="I26" s="87">
        <f>-($B26-E26)/$B26</f>
        <v>-0.83413744467583673</v>
      </c>
    </row>
    <row r="27" spans="1:9" x14ac:dyDescent="0.25">
      <c r="A27" s="83" t="s">
        <v>0</v>
      </c>
      <c r="B27" s="90">
        <f>def_a!AN25</f>
        <v>165000</v>
      </c>
      <c r="C27" s="90">
        <f>s1_a!AN25</f>
        <v>161680.15050239998</v>
      </c>
      <c r="D27" s="90">
        <f>s2_a!AN25</f>
        <v>161664.47030640001</v>
      </c>
      <c r="E27" s="90">
        <f>s3_a!AN25</f>
        <v>40000</v>
      </c>
      <c r="F27" s="21"/>
      <c r="G27" s="86">
        <f>-($B27-C27)/$B27</f>
        <v>-2.0120299985454677E-2</v>
      </c>
      <c r="H27" s="86">
        <f>-($B27-D27)/$B27</f>
        <v>-2.0215331476363601E-2</v>
      </c>
      <c r="I27" s="87">
        <f>-($B27-E27)/$B27</f>
        <v>-0.75757575757575757</v>
      </c>
    </row>
    <row r="28" spans="1:9" x14ac:dyDescent="0.25">
      <c r="A28" s="83" t="s">
        <v>1</v>
      </c>
      <c r="B28" s="90">
        <f>def_a!AN26</f>
        <v>165000</v>
      </c>
      <c r="C28" s="90">
        <f>s1_a!AN26</f>
        <v>161669.68637160002</v>
      </c>
      <c r="D28" s="90">
        <f>s2_a!AN26</f>
        <v>161660.37425519997</v>
      </c>
      <c r="E28" s="90">
        <f>s3_a!AN26</f>
        <v>40000</v>
      </c>
      <c r="F28" s="21"/>
      <c r="G28" s="86">
        <f>-($B28-C28)/$B28</f>
        <v>-2.0183718959999864E-2</v>
      </c>
      <c r="H28" s="86">
        <f>-($B28-D28)/$B28</f>
        <v>-2.0240156029091062E-2</v>
      </c>
      <c r="I28" s="87">
        <f>-($B28-E28)/$B28</f>
        <v>-0.75757575757575757</v>
      </c>
    </row>
    <row r="29" spans="1:9" x14ac:dyDescent="0.25">
      <c r="A29" s="83" t="s">
        <v>2</v>
      </c>
      <c r="B29" s="90">
        <f>def_a!AN27</f>
        <v>165000</v>
      </c>
      <c r="C29" s="90">
        <f>s1_a!AN27</f>
        <v>158883.63554640004</v>
      </c>
      <c r="D29" s="90">
        <f>s2_a!AN27</f>
        <v>158917.203966</v>
      </c>
      <c r="E29" s="90">
        <f>s3_a!AN27</f>
        <v>40000</v>
      </c>
      <c r="F29" s="21"/>
      <c r="G29" s="86">
        <f>-($B29-C29)/$B29</f>
        <v>-3.7068875476363408E-2</v>
      </c>
      <c r="H29" s="86">
        <f>-($B29-D29)/$B29</f>
        <v>-3.6865430509090906E-2</v>
      </c>
      <c r="I29" s="87">
        <f>-($B29-E29)/$B29</f>
        <v>-0.75757575757575757</v>
      </c>
    </row>
    <row r="30" spans="1:9" x14ac:dyDescent="0.25">
      <c r="A30" s="111" t="s">
        <v>3</v>
      </c>
      <c r="B30" s="112">
        <f>def_a!AN28</f>
        <v>165000</v>
      </c>
      <c r="C30" s="112">
        <f>s1_a!AN28</f>
        <v>158896.05170160002</v>
      </c>
      <c r="D30" s="112">
        <f>s2_a!AN28</f>
        <v>158878.22747880002</v>
      </c>
      <c r="E30" s="112">
        <f>s3_a!AN28</f>
        <v>40000</v>
      </c>
      <c r="F30" s="21"/>
      <c r="G30" s="86">
        <f>-($B30-C30)/$B30</f>
        <v>-3.6993626050908952E-2</v>
      </c>
      <c r="H30" s="86">
        <f>-($B30-D30)/$B30</f>
        <v>-3.7101651643636234E-2</v>
      </c>
      <c r="I30" s="87">
        <f>-($B30-E30)/$B30</f>
        <v>-0.75757575757575757</v>
      </c>
    </row>
    <row r="31" spans="1:9" x14ac:dyDescent="0.25">
      <c r="A31" s="84"/>
      <c r="B31" s="21"/>
      <c r="C31" s="21"/>
      <c r="D31" s="21"/>
      <c r="E31" s="21"/>
      <c r="F31" s="21"/>
      <c r="G31" s="86"/>
      <c r="H31" s="86"/>
      <c r="I31" s="87"/>
    </row>
    <row r="32" spans="1:9" x14ac:dyDescent="0.25">
      <c r="A32" s="113"/>
      <c r="B32" s="114">
        <f>B25-$K$2</f>
        <v>441644.58039066673</v>
      </c>
      <c r="C32" s="114">
        <f t="shared" ref="C32:E32" si="10">C25-$K$2</f>
        <v>0</v>
      </c>
      <c r="D32" s="114">
        <f t="shared" si="10"/>
        <v>0</v>
      </c>
      <c r="E32" s="114">
        <f t="shared" si="10"/>
        <v>0</v>
      </c>
      <c r="F32" s="21"/>
      <c r="G32" s="86"/>
      <c r="H32" s="86"/>
      <c r="I32" s="87"/>
    </row>
    <row r="33" spans="1:9" x14ac:dyDescent="0.25">
      <c r="A33" s="113"/>
      <c r="B33" s="114">
        <f>B26-$K$2</f>
        <v>452617.95149666665</v>
      </c>
      <c r="C33" s="114">
        <f t="shared" ref="C33:E33" si="11">C26-$K$2</f>
        <v>0</v>
      </c>
      <c r="D33" s="114">
        <f t="shared" si="11"/>
        <v>0</v>
      </c>
      <c r="E33" s="114">
        <f t="shared" si="11"/>
        <v>0</v>
      </c>
      <c r="F33" s="21"/>
      <c r="G33" s="86"/>
      <c r="H33" s="86"/>
      <c r="I33" s="87"/>
    </row>
    <row r="34" spans="1:9" x14ac:dyDescent="0.25">
      <c r="A34" s="21"/>
      <c r="B34" s="114">
        <f>B27-$K$3</f>
        <v>125000</v>
      </c>
      <c r="C34" s="114">
        <f t="shared" ref="C34:E34" si="12">C27-$K$3</f>
        <v>121680.15050239998</v>
      </c>
      <c r="D34" s="114">
        <f t="shared" si="12"/>
        <v>121664.47030640001</v>
      </c>
      <c r="E34" s="114">
        <f t="shared" si="12"/>
        <v>0</v>
      </c>
    </row>
    <row r="35" spans="1:9" x14ac:dyDescent="0.25">
      <c r="A35" s="21"/>
      <c r="B35" s="114">
        <f t="shared" ref="B35:E35" si="13">B28-$K$3</f>
        <v>125000</v>
      </c>
      <c r="C35" s="114">
        <f t="shared" si="13"/>
        <v>121669.68637160002</v>
      </c>
      <c r="D35" s="114">
        <f t="shared" si="13"/>
        <v>121660.37425519997</v>
      </c>
      <c r="E35" s="114">
        <f t="shared" si="13"/>
        <v>0</v>
      </c>
    </row>
    <row r="36" spans="1:9" x14ac:dyDescent="0.25">
      <c r="A36" s="21"/>
      <c r="B36" s="114">
        <f t="shared" ref="B36:E36" si="14">B29-$K$3</f>
        <v>125000</v>
      </c>
      <c r="C36" s="114">
        <f t="shared" si="14"/>
        <v>118883.63554640004</v>
      </c>
      <c r="D36" s="114">
        <f t="shared" si="14"/>
        <v>118917.203966</v>
      </c>
      <c r="E36" s="114">
        <f t="shared" si="14"/>
        <v>0</v>
      </c>
    </row>
    <row r="37" spans="1:9" x14ac:dyDescent="0.25">
      <c r="A37" s="21"/>
      <c r="B37" s="114">
        <f t="shared" ref="B37:E37" si="15">B30-$K$3</f>
        <v>125000</v>
      </c>
      <c r="C37" s="114">
        <f t="shared" si="15"/>
        <v>118896.05170160002</v>
      </c>
      <c r="D37" s="114">
        <f t="shared" si="15"/>
        <v>118878.22747880002</v>
      </c>
      <c r="E37" s="114">
        <f t="shared" si="15"/>
        <v>0</v>
      </c>
    </row>
    <row r="38" spans="1:9" x14ac:dyDescent="0.25">
      <c r="B38" s="93"/>
      <c r="C38" s="93"/>
      <c r="D38" s="93"/>
      <c r="E38" s="9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4"/>
  <sheetViews>
    <sheetView zoomScaleNormal="100" workbookViewId="0">
      <selection activeCell="I18" sqref="I18"/>
    </sheetView>
  </sheetViews>
  <sheetFormatPr defaultRowHeight="15" x14ac:dyDescent="0.25"/>
  <cols>
    <col min="1" max="1" width="7.85546875" style="34" bestFit="1" customWidth="1"/>
    <col min="2" max="2" width="9.5703125" style="34" bestFit="1" customWidth="1"/>
    <col min="3" max="3" width="9" style="34" bestFit="1" customWidth="1"/>
    <col min="4" max="4" width="6.140625" style="34" bestFit="1" customWidth="1"/>
    <col min="5" max="5" width="9.140625" style="34"/>
    <col min="6" max="6" width="5.7109375" style="34" bestFit="1" customWidth="1"/>
    <col min="7" max="7" width="9.7109375" style="34" bestFit="1" customWidth="1"/>
    <col min="8" max="8" width="7" style="34" bestFit="1" customWidth="1"/>
    <col min="9" max="9" width="9.140625" style="4"/>
    <col min="10" max="10" width="14.7109375" style="68" bestFit="1" customWidth="1"/>
    <col min="11" max="12" width="9.140625" style="4"/>
    <col min="13" max="13" width="7" style="4" bestFit="1" customWidth="1"/>
    <col min="14" max="14" width="8" style="4" bestFit="1" customWidth="1"/>
    <col min="15" max="15" width="7" style="4" bestFit="1" customWidth="1"/>
    <col min="16" max="16" width="9" style="4" bestFit="1" customWidth="1"/>
    <col min="17" max="17" width="8" style="4" bestFit="1" customWidth="1"/>
    <col min="18" max="18" width="9" style="4" bestFit="1" customWidth="1"/>
    <col min="19" max="19" width="7" style="4" bestFit="1" customWidth="1"/>
    <col min="20" max="23" width="14" style="4" bestFit="1" customWidth="1"/>
    <col min="24" max="25" width="10.7109375" style="4" bestFit="1" customWidth="1"/>
    <col min="26" max="26" width="12.7109375" style="4" bestFit="1" customWidth="1"/>
    <col min="27" max="27" width="12" style="4" bestFit="1" customWidth="1"/>
    <col min="28" max="28" width="9.28515625" style="4" bestFit="1" customWidth="1"/>
    <col min="29" max="31" width="12.7109375" style="4" bestFit="1" customWidth="1"/>
    <col min="32" max="43" width="12" style="4" bestFit="1" customWidth="1"/>
    <col min="44" max="44" width="5.5703125" style="4" bestFit="1" customWidth="1"/>
    <col min="45" max="46" width="12" style="4" bestFit="1" customWidth="1"/>
    <col min="47" max="47" width="5.5703125" style="4" bestFit="1" customWidth="1"/>
    <col min="48" max="48" width="9.140625" style="4"/>
    <col min="49" max="49" width="9.28515625" style="4" bestFit="1" customWidth="1"/>
    <col min="50" max="50" width="9.140625" style="4"/>
    <col min="51" max="51" width="9.28515625" style="4" bestFit="1" customWidth="1"/>
    <col min="52" max="52" width="12.7109375" style="4" bestFit="1" customWidth="1"/>
    <col min="53" max="54" width="12" style="4" bestFit="1" customWidth="1"/>
    <col min="55" max="55" width="10" style="4" bestFit="1" customWidth="1"/>
    <col min="56" max="56" width="12.7109375" style="4" bestFit="1" customWidth="1"/>
    <col min="57" max="58" width="12" style="4" bestFit="1" customWidth="1"/>
    <col min="59" max="59" width="10" style="4" bestFit="1" customWidth="1"/>
    <col min="60" max="62" width="12" style="4" bestFit="1" customWidth="1"/>
    <col min="63" max="63" width="10" style="4" bestFit="1" customWidth="1"/>
    <col min="64" max="64" width="9.140625" style="4"/>
    <col min="65" max="66" width="12" style="4" bestFit="1" customWidth="1"/>
    <col min="67" max="67" width="5.28515625" style="4" bestFit="1" customWidth="1"/>
    <col min="68" max="68" width="9.140625" style="4"/>
    <col min="69" max="69" width="3" style="4" bestFit="1" customWidth="1"/>
    <col min="70" max="16384" width="9.140625" style="4"/>
  </cols>
  <sheetData>
    <row r="1" spans="1:69" ht="15.75" thickBot="1" x14ac:dyDescent="0.3">
      <c r="A1" s="36" t="s">
        <v>27</v>
      </c>
      <c r="B1" s="47" t="s">
        <v>134</v>
      </c>
      <c r="C1" s="47" t="s">
        <v>135</v>
      </c>
      <c r="D1" s="47" t="s">
        <v>13</v>
      </c>
      <c r="E1" s="48"/>
      <c r="F1" s="36" t="s">
        <v>14</v>
      </c>
      <c r="G1" s="47" t="s">
        <v>18</v>
      </c>
      <c r="H1" s="47" t="s">
        <v>174</v>
      </c>
      <c r="K1" s="4" t="s">
        <v>161</v>
      </c>
      <c r="L1" s="12"/>
      <c r="M1" s="3" t="s">
        <v>275</v>
      </c>
      <c r="N1" s="3">
        <f>O1*0.5</f>
        <v>43125.5</v>
      </c>
      <c r="O1" s="3">
        <f>H3</f>
        <v>86251</v>
      </c>
      <c r="P1" s="3">
        <f>AVERAGE(O1,Q1)</f>
        <v>108751</v>
      </c>
      <c r="Q1" s="3">
        <f>H4</f>
        <v>131251</v>
      </c>
      <c r="R1" s="3">
        <f>Q1*1.5</f>
        <v>196876.5</v>
      </c>
      <c r="S1" s="11"/>
      <c r="T1" s="3" t="str">
        <f>M1</f>
        <v>B12\B3</v>
      </c>
      <c r="U1" s="3">
        <v>8.6749999999999994E-2</v>
      </c>
      <c r="V1" s="3">
        <v>0.17349999999999999</v>
      </c>
      <c r="W1" s="3">
        <v>0.2185</v>
      </c>
      <c r="X1" s="3">
        <v>0.26350000000000001</v>
      </c>
      <c r="Y1" s="3">
        <v>0.39524999999999999</v>
      </c>
    </row>
    <row r="2" spans="1:69" ht="15.75" thickBot="1" x14ac:dyDescent="0.3">
      <c r="A2" s="35" t="s">
        <v>49</v>
      </c>
      <c r="B2" s="50">
        <v>40000</v>
      </c>
      <c r="C2" s="35">
        <v>5000</v>
      </c>
      <c r="D2" s="35">
        <v>125000</v>
      </c>
      <c r="E2" s="48"/>
      <c r="F2" s="35" t="s">
        <v>130</v>
      </c>
      <c r="G2" s="35">
        <f>SUM(B2:C2)</f>
        <v>45000</v>
      </c>
      <c r="H2" s="35">
        <f>G2+$K$2</f>
        <v>45001</v>
      </c>
      <c r="I2" s="4" t="s">
        <v>130</v>
      </c>
      <c r="J2" s="70">
        <f>H2</f>
        <v>45001</v>
      </c>
      <c r="K2" s="4">
        <v>1</v>
      </c>
      <c r="M2" s="3">
        <f>M3*0.5</f>
        <v>22500.5</v>
      </c>
      <c r="N2" s="13">
        <v>1</v>
      </c>
      <c r="O2" s="13">
        <v>2</v>
      </c>
      <c r="P2" s="13">
        <v>3</v>
      </c>
      <c r="Q2" s="13">
        <v>4</v>
      </c>
      <c r="R2" s="13">
        <v>5</v>
      </c>
      <c r="S2" s="8"/>
      <c r="T2" s="3">
        <v>0.18049999999999999</v>
      </c>
      <c r="U2" s="6" t="s">
        <v>11</v>
      </c>
      <c r="V2" s="6" t="s">
        <v>11</v>
      </c>
      <c r="W2" s="6" t="s">
        <v>11</v>
      </c>
      <c r="X2" s="6" t="s">
        <v>11</v>
      </c>
      <c r="Y2" s="6" t="s">
        <v>11</v>
      </c>
      <c r="AB2" s="3" t="s">
        <v>26</v>
      </c>
      <c r="AC2" s="3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3">
        <v>10</v>
      </c>
      <c r="AM2" s="3">
        <v>11</v>
      </c>
      <c r="AN2" s="3">
        <v>12</v>
      </c>
      <c r="AO2" s="3">
        <v>13</v>
      </c>
      <c r="AP2" s="3">
        <v>14</v>
      </c>
      <c r="AQ2" s="3">
        <v>15</v>
      </c>
      <c r="AS2" s="5" t="s">
        <v>19</v>
      </c>
      <c r="AT2" s="5"/>
      <c r="AU2" s="5" t="s">
        <v>20</v>
      </c>
      <c r="AY2" s="3" t="s">
        <v>21</v>
      </c>
      <c r="AZ2" s="3">
        <v>1</v>
      </c>
      <c r="BA2" s="3">
        <v>2</v>
      </c>
      <c r="BB2" s="3">
        <v>3</v>
      </c>
      <c r="BC2" s="3">
        <v>4</v>
      </c>
      <c r="BD2" s="3">
        <v>5</v>
      </c>
      <c r="BE2" s="3">
        <v>6</v>
      </c>
      <c r="BF2" s="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M2" s="5" t="s">
        <v>19</v>
      </c>
      <c r="BN2" s="5"/>
      <c r="BO2" s="5" t="s">
        <v>20</v>
      </c>
    </row>
    <row r="3" spans="1:69" x14ac:dyDescent="0.25">
      <c r="A3" s="35" t="s">
        <v>109</v>
      </c>
      <c r="B3" s="50">
        <v>75000</v>
      </c>
      <c r="C3" s="35">
        <v>11250</v>
      </c>
      <c r="D3" s="35">
        <v>500000</v>
      </c>
      <c r="E3" s="52"/>
      <c r="F3" s="35" t="s">
        <v>63</v>
      </c>
      <c r="G3" s="35">
        <f>SUM(B3:C3)</f>
        <v>86250</v>
      </c>
      <c r="H3" s="35">
        <f>G3+$K$2</f>
        <v>86251</v>
      </c>
      <c r="I3" s="4" t="s">
        <v>63</v>
      </c>
      <c r="J3" s="70">
        <f>H3</f>
        <v>86251</v>
      </c>
      <c r="M3" s="3">
        <f>H2</f>
        <v>45001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8"/>
      <c r="T3" s="3">
        <v>0.36099999999999999</v>
      </c>
      <c r="U3" s="6" t="s">
        <v>9</v>
      </c>
      <c r="V3" s="6" t="s">
        <v>9</v>
      </c>
      <c r="W3" s="6" t="s">
        <v>11</v>
      </c>
      <c r="X3" s="6" t="s">
        <v>11</v>
      </c>
      <c r="Y3" s="6" t="s">
        <v>11</v>
      </c>
      <c r="AB3" s="3" t="s">
        <v>0</v>
      </c>
      <c r="AC3" s="6">
        <v>-1115378.5974999999</v>
      </c>
      <c r="AD3" s="9">
        <v>-1025551.4225</v>
      </c>
      <c r="AE3" s="9">
        <v>-1340313.7949999999</v>
      </c>
      <c r="AF3" s="9">
        <v>531708.53</v>
      </c>
      <c r="AG3" s="9">
        <v>502487.69750000001</v>
      </c>
      <c r="AH3" s="9">
        <v>90000</v>
      </c>
      <c r="AI3" s="9">
        <v>90000</v>
      </c>
      <c r="AJ3" s="9">
        <v>501991.65875</v>
      </c>
      <c r="AK3" s="9">
        <v>531508.27</v>
      </c>
      <c r="AL3" s="9">
        <v>502086.51874999999</v>
      </c>
      <c r="AM3" s="9">
        <v>90000</v>
      </c>
      <c r="AN3" s="9">
        <v>90000</v>
      </c>
      <c r="AO3" s="9">
        <v>90000</v>
      </c>
      <c r="AP3" s="9">
        <v>531281.66</v>
      </c>
      <c r="AQ3" s="9">
        <v>502501.53125</v>
      </c>
      <c r="AS3" s="4">
        <f>MAX(AC3:AQ3)</f>
        <v>531708.53</v>
      </c>
      <c r="AU3" s="4">
        <f>HLOOKUP(AS3,AC3:$AQ$13,AW3,FALSE)</f>
        <v>4</v>
      </c>
      <c r="AW3" s="4">
        <v>11</v>
      </c>
      <c r="AY3" s="3" t="s">
        <v>0</v>
      </c>
      <c r="AZ3" s="9">
        <v>-7119605.125</v>
      </c>
      <c r="BA3" s="9">
        <v>-8621433.5999999996</v>
      </c>
      <c r="BB3" s="9">
        <v>-9161587.3000000007</v>
      </c>
      <c r="BC3" s="9">
        <v>368090</v>
      </c>
      <c r="BD3" s="9">
        <v>-7114081.125</v>
      </c>
      <c r="BE3" s="9">
        <v>90000</v>
      </c>
      <c r="BF3" s="9">
        <v>90000</v>
      </c>
      <c r="BG3" s="9">
        <v>368230</v>
      </c>
      <c r="BH3" s="9">
        <v>90000</v>
      </c>
      <c r="BI3" s="9">
        <v>90000</v>
      </c>
      <c r="BJ3" s="9">
        <v>90000</v>
      </c>
      <c r="BK3" s="9">
        <v>368710</v>
      </c>
      <c r="BM3" s="4">
        <f t="shared" ref="BM3:BM9" si="0">MAX(AZ3:BK3)</f>
        <v>368710</v>
      </c>
      <c r="BO3" s="4">
        <f>HLOOKUP(BM3,AZ3:$BK$13,BQ3,FALSE)</f>
        <v>12</v>
      </c>
      <c r="BQ3" s="4">
        <v>11</v>
      </c>
    </row>
    <row r="4" spans="1:69" x14ac:dyDescent="0.25">
      <c r="A4" s="44"/>
      <c r="B4" s="44"/>
      <c r="C4" s="44"/>
      <c r="D4" s="44"/>
      <c r="E4" s="44"/>
      <c r="F4" s="35" t="s">
        <v>131</v>
      </c>
      <c r="G4" s="35">
        <f>SUM(B2:C3)</f>
        <v>131250</v>
      </c>
      <c r="H4" s="35">
        <f>G4+$K$2</f>
        <v>131251</v>
      </c>
      <c r="I4" s="4" t="s">
        <v>131</v>
      </c>
      <c r="J4" s="70">
        <f>H4</f>
        <v>131251</v>
      </c>
      <c r="M4" s="3">
        <f>M3*1.5</f>
        <v>67501.5</v>
      </c>
      <c r="N4" s="13">
        <v>11</v>
      </c>
      <c r="O4" s="13">
        <v>12</v>
      </c>
      <c r="P4" s="13">
        <v>13</v>
      </c>
      <c r="Q4" s="13">
        <v>14</v>
      </c>
      <c r="R4" s="13">
        <v>15</v>
      </c>
      <c r="S4" s="8"/>
      <c r="T4" s="3">
        <v>0.54149999999999998</v>
      </c>
      <c r="U4" s="6" t="s">
        <v>9</v>
      </c>
      <c r="V4" s="6" t="s">
        <v>9</v>
      </c>
      <c r="W4" s="6" t="s">
        <v>9</v>
      </c>
      <c r="X4" s="6" t="s">
        <v>11</v>
      </c>
      <c r="Y4" s="6" t="s">
        <v>11</v>
      </c>
      <c r="AB4" s="3" t="s">
        <v>1</v>
      </c>
      <c r="AC4" s="6">
        <v>-781620.52749999997</v>
      </c>
      <c r="AD4" s="9">
        <v>-565633.93500000006</v>
      </c>
      <c r="AE4" s="9">
        <v>-768965.39749999996</v>
      </c>
      <c r="AF4" s="9">
        <v>542078.57250000001</v>
      </c>
      <c r="AG4" s="9">
        <v>518483.46500000003</v>
      </c>
      <c r="AH4" s="9">
        <v>90000</v>
      </c>
      <c r="AI4" s="9">
        <v>90000</v>
      </c>
      <c r="AJ4" s="9">
        <v>518611.92125000001</v>
      </c>
      <c r="AK4" s="9">
        <v>542239.3075</v>
      </c>
      <c r="AL4" s="9">
        <v>518463.70250000001</v>
      </c>
      <c r="AM4" s="9">
        <v>90000</v>
      </c>
      <c r="AN4" s="9">
        <v>90000</v>
      </c>
      <c r="AO4" s="9">
        <v>90000</v>
      </c>
      <c r="AP4" s="9">
        <v>542679.35250000004</v>
      </c>
      <c r="AQ4" s="9">
        <v>518823.38</v>
      </c>
      <c r="AS4" s="4">
        <f t="shared" ref="AS4:AS10" si="1">MAX(AC4:AQ4)</f>
        <v>542679.35250000004</v>
      </c>
      <c r="AU4" s="4">
        <f>HLOOKUP(AS4,AC4:$AQ$13,AW4,FALSE)</f>
        <v>14</v>
      </c>
      <c r="AW4" s="4">
        <v>10</v>
      </c>
      <c r="AY4" s="3" t="s">
        <v>1</v>
      </c>
      <c r="AZ4" s="9">
        <v>-5621565.375</v>
      </c>
      <c r="BA4" s="9">
        <v>-5820778.2999999998</v>
      </c>
      <c r="BB4" s="9">
        <v>-6320224.25</v>
      </c>
      <c r="BC4" s="9">
        <v>408185</v>
      </c>
      <c r="BD4" s="9">
        <v>-5644697.125</v>
      </c>
      <c r="BE4" s="9">
        <v>90000</v>
      </c>
      <c r="BF4" s="9">
        <v>90000</v>
      </c>
      <c r="BG4" s="9">
        <v>409455</v>
      </c>
      <c r="BH4" s="9">
        <v>90000</v>
      </c>
      <c r="BI4" s="9">
        <v>90000</v>
      </c>
      <c r="BJ4" s="9">
        <v>90000</v>
      </c>
      <c r="BK4" s="9">
        <v>408310</v>
      </c>
      <c r="BM4" s="4">
        <f t="shared" si="0"/>
        <v>409455</v>
      </c>
      <c r="BO4" s="4">
        <f>HLOOKUP(BM4,AZ4:$BK$13,BQ4,FALSE)</f>
        <v>8</v>
      </c>
      <c r="BQ4" s="4">
        <v>10</v>
      </c>
    </row>
    <row r="5" spans="1:69" ht="15.75" thickBot="1" x14ac:dyDescent="0.3">
      <c r="J5" s="70"/>
      <c r="N5" s="8"/>
      <c r="O5" s="8"/>
      <c r="P5" s="8"/>
      <c r="Q5" s="8"/>
      <c r="R5" s="8"/>
      <c r="S5" s="8"/>
      <c r="T5" s="8"/>
      <c r="U5" s="8"/>
      <c r="V5" s="8"/>
      <c r="W5" s="8"/>
      <c r="AB5" s="3" t="s">
        <v>2</v>
      </c>
      <c r="AC5" s="6">
        <v>151760.94</v>
      </c>
      <c r="AD5" s="9">
        <v>152011.89499999999</v>
      </c>
      <c r="AE5" s="9">
        <v>151974.01500000001</v>
      </c>
      <c r="AF5" s="9">
        <v>165000</v>
      </c>
      <c r="AG5" s="9">
        <v>165000</v>
      </c>
      <c r="AH5" s="9">
        <v>163127.76375000001</v>
      </c>
      <c r="AI5" s="9">
        <v>163102.49374999999</v>
      </c>
      <c r="AJ5" s="9">
        <v>165000</v>
      </c>
      <c r="AK5" s="9">
        <v>165000</v>
      </c>
      <c r="AL5" s="9">
        <v>165000</v>
      </c>
      <c r="AM5" s="9">
        <v>162174.046875</v>
      </c>
      <c r="AN5" s="9">
        <v>162130.72687499999</v>
      </c>
      <c r="AO5" s="9">
        <v>162138.84937499999</v>
      </c>
      <c r="AP5" s="9">
        <v>165000</v>
      </c>
      <c r="AQ5" s="9">
        <v>165000</v>
      </c>
      <c r="AS5" s="4">
        <f t="shared" si="1"/>
        <v>165000</v>
      </c>
      <c r="AU5" s="4">
        <f>HLOOKUP(AS5,AC5:$AQ$13,AW5,FALSE)</f>
        <v>4</v>
      </c>
      <c r="AW5" s="4">
        <v>9</v>
      </c>
      <c r="AY5" s="3" t="s">
        <v>2</v>
      </c>
      <c r="AZ5" s="9">
        <v>151621.731</v>
      </c>
      <c r="BA5" s="9">
        <v>151840.48800000001</v>
      </c>
      <c r="BB5" s="9">
        <v>152010.948</v>
      </c>
      <c r="BC5" s="9">
        <v>165000</v>
      </c>
      <c r="BD5" s="9">
        <v>151737.26500000001</v>
      </c>
      <c r="BE5" s="9">
        <v>162293.405</v>
      </c>
      <c r="BF5" s="9">
        <v>162302.52249999999</v>
      </c>
      <c r="BG5" s="9">
        <v>165000</v>
      </c>
      <c r="BH5" s="9">
        <v>160870.74937500001</v>
      </c>
      <c r="BI5" s="9">
        <v>160876.610625</v>
      </c>
      <c r="BJ5" s="9">
        <v>160971.36749999999</v>
      </c>
      <c r="BK5" s="9">
        <v>165000</v>
      </c>
      <c r="BM5" s="4">
        <f t="shared" si="0"/>
        <v>165000</v>
      </c>
      <c r="BO5" s="4">
        <f>HLOOKUP(BM5,AZ5:$BK$13,BQ5,FALSE)</f>
        <v>4</v>
      </c>
      <c r="BQ5" s="4">
        <v>9</v>
      </c>
    </row>
    <row r="6" spans="1:69" ht="15.75" thickBot="1" x14ac:dyDescent="0.3">
      <c r="A6" s="36" t="s">
        <v>12</v>
      </c>
      <c r="B6" s="47" t="str">
        <f>B1</f>
        <v>R(S_n,j)</v>
      </c>
      <c r="C6" s="47" t="s">
        <v>17</v>
      </c>
      <c r="D6" s="47" t="s">
        <v>13</v>
      </c>
      <c r="E6" s="48"/>
      <c r="F6" s="36" t="s">
        <v>14</v>
      </c>
      <c r="G6" s="47" t="s">
        <v>18</v>
      </c>
      <c r="H6" s="47" t="str">
        <f>H1</f>
        <v>B_optT</v>
      </c>
      <c r="J6" s="70"/>
      <c r="M6" s="3" t="str">
        <f>M1</f>
        <v>B12\B3</v>
      </c>
      <c r="N6" s="3">
        <f>O6*0.5</f>
        <v>197500</v>
      </c>
      <c r="O6" s="3">
        <f>H8</f>
        <v>395000</v>
      </c>
      <c r="P6" s="3">
        <f>AVERAGE(O6,Q6)</f>
        <v>447500</v>
      </c>
      <c r="Q6" s="3">
        <f>H9</f>
        <v>500000</v>
      </c>
      <c r="R6" s="7"/>
      <c r="S6" s="8"/>
      <c r="T6" s="3" t="str">
        <f>M6</f>
        <v>B12\B3</v>
      </c>
      <c r="U6" s="3">
        <f>N6</f>
        <v>197500</v>
      </c>
      <c r="V6" s="3">
        <f t="shared" ref="V6:X6" si="2">O6</f>
        <v>395000</v>
      </c>
      <c r="W6" s="3">
        <f t="shared" si="2"/>
        <v>447500</v>
      </c>
      <c r="X6" s="3">
        <f t="shared" si="2"/>
        <v>500000</v>
      </c>
      <c r="Y6" s="7"/>
      <c r="AB6" s="3" t="s">
        <v>3</v>
      </c>
      <c r="AC6" s="6">
        <v>151796.92600000001</v>
      </c>
      <c r="AD6" s="9">
        <v>151892.573</v>
      </c>
      <c r="AE6" s="9">
        <v>151575.32800000001</v>
      </c>
      <c r="AF6" s="9">
        <v>165000</v>
      </c>
      <c r="AG6" s="9">
        <v>165000</v>
      </c>
      <c r="AH6" s="9">
        <v>163136.78875000001</v>
      </c>
      <c r="AI6" s="9">
        <v>163127.76375000001</v>
      </c>
      <c r="AJ6" s="9">
        <v>165000</v>
      </c>
      <c r="AK6" s="9">
        <v>165000</v>
      </c>
      <c r="AL6" s="9">
        <v>165000</v>
      </c>
      <c r="AM6" s="9">
        <v>162199.768125</v>
      </c>
      <c r="AN6" s="9">
        <v>162132.080625</v>
      </c>
      <c r="AO6" s="9">
        <v>162236.99625</v>
      </c>
      <c r="AP6" s="9">
        <v>165000</v>
      </c>
      <c r="AQ6" s="9">
        <v>165000</v>
      </c>
      <c r="AS6" s="4">
        <f t="shared" si="1"/>
        <v>165000</v>
      </c>
      <c r="AU6" s="4">
        <f>HLOOKUP(AS6,AC6:$AQ$13,AW6,FALSE)</f>
        <v>4</v>
      </c>
      <c r="AW6" s="4">
        <v>8</v>
      </c>
      <c r="AY6" s="3" t="s">
        <v>3</v>
      </c>
      <c r="AZ6" s="9">
        <v>151833.859</v>
      </c>
      <c r="BA6" s="9">
        <v>151697.49100000001</v>
      </c>
      <c r="BB6" s="9">
        <v>151824.389</v>
      </c>
      <c r="BC6" s="9">
        <v>165000</v>
      </c>
      <c r="BD6" s="9">
        <v>151642.565</v>
      </c>
      <c r="BE6" s="9">
        <v>162323.36249999999</v>
      </c>
      <c r="BF6" s="9">
        <v>162263.44750000001</v>
      </c>
      <c r="BG6" s="9">
        <v>165000</v>
      </c>
      <c r="BH6" s="9">
        <v>160913.731875</v>
      </c>
      <c r="BI6" s="9">
        <v>160932.29250000001</v>
      </c>
      <c r="BJ6" s="9">
        <v>160941.08437500001</v>
      </c>
      <c r="BK6" s="9">
        <v>165000</v>
      </c>
      <c r="BM6" s="4">
        <f t="shared" si="0"/>
        <v>165000</v>
      </c>
      <c r="BO6" s="4">
        <f>HLOOKUP(BM6,AZ6:$BK$13,BQ6,FALSE)</f>
        <v>4</v>
      </c>
      <c r="BQ6" s="4">
        <v>8</v>
      </c>
    </row>
    <row r="7" spans="1:69" ht="15.75" thickBot="1" x14ac:dyDescent="0.3">
      <c r="A7" s="35" t="s">
        <v>49</v>
      </c>
      <c r="B7" s="50">
        <v>70000</v>
      </c>
      <c r="C7" s="35">
        <v>35000</v>
      </c>
      <c r="D7" s="35">
        <v>125000</v>
      </c>
      <c r="E7" s="48"/>
      <c r="F7" s="35" t="str">
        <f>F2</f>
        <v>s</v>
      </c>
      <c r="G7" s="35">
        <f>SUM(B7:C7)</f>
        <v>105000</v>
      </c>
      <c r="H7" s="35">
        <f>G7+$K$2</f>
        <v>105001</v>
      </c>
      <c r="J7" s="70">
        <f>H7</f>
        <v>105001</v>
      </c>
      <c r="K7" s="4">
        <v>2</v>
      </c>
      <c r="M7" s="3">
        <f>M8*0.75</f>
        <v>78750.75</v>
      </c>
      <c r="N7" s="6">
        <v>1</v>
      </c>
      <c r="O7" s="6">
        <v>2</v>
      </c>
      <c r="P7" s="6">
        <v>3</v>
      </c>
      <c r="Q7" s="6">
        <v>4</v>
      </c>
      <c r="R7" s="8"/>
      <c r="S7" s="8"/>
      <c r="T7" s="3">
        <f>M7</f>
        <v>78750.75</v>
      </c>
      <c r="U7" s="6"/>
      <c r="V7" s="6"/>
      <c r="W7" s="6"/>
      <c r="X7" s="6"/>
      <c r="Y7" s="8"/>
      <c r="AB7" s="3" t="s">
        <v>4</v>
      </c>
      <c r="AC7" s="6">
        <v>155804.63</v>
      </c>
      <c r="AD7" s="9">
        <v>155789.478</v>
      </c>
      <c r="AE7" s="9">
        <v>155761.068</v>
      </c>
      <c r="AF7" s="9">
        <v>165000</v>
      </c>
      <c r="AG7" s="9">
        <v>165000</v>
      </c>
      <c r="AH7" s="9">
        <v>161573.20749999999</v>
      </c>
      <c r="AI7" s="9">
        <v>161543.42499999999</v>
      </c>
      <c r="AJ7" s="9">
        <v>165000</v>
      </c>
      <c r="AK7" s="9">
        <v>165000</v>
      </c>
      <c r="AL7" s="9">
        <v>165000</v>
      </c>
      <c r="AM7" s="9">
        <v>159767.079375</v>
      </c>
      <c r="AN7" s="9">
        <v>159846.950625</v>
      </c>
      <c r="AO7" s="9">
        <v>159838.828125</v>
      </c>
      <c r="AP7" s="9">
        <v>165000</v>
      </c>
      <c r="AQ7" s="9">
        <v>165000</v>
      </c>
      <c r="AS7" s="4">
        <f t="shared" si="1"/>
        <v>165000</v>
      </c>
      <c r="AU7" s="4">
        <f>HLOOKUP(AS7,AC7:$AQ$13,AW7,FALSE)</f>
        <v>4</v>
      </c>
      <c r="AW7" s="4">
        <v>7</v>
      </c>
      <c r="AY7" s="3" t="s">
        <v>4</v>
      </c>
      <c r="AZ7" s="9">
        <v>155769.59099999999</v>
      </c>
      <c r="BA7" s="9">
        <v>155854.821</v>
      </c>
      <c r="BB7" s="9">
        <v>155810.31200000001</v>
      </c>
      <c r="BC7" s="9">
        <v>165000</v>
      </c>
      <c r="BD7" s="9">
        <v>155838.72200000001</v>
      </c>
      <c r="BE7" s="9">
        <v>160083.0625</v>
      </c>
      <c r="BF7" s="9">
        <v>160125.39374999999</v>
      </c>
      <c r="BG7" s="9">
        <v>165000</v>
      </c>
      <c r="BH7" s="9">
        <v>157574.77312500001</v>
      </c>
      <c r="BI7" s="9">
        <v>157539.605625</v>
      </c>
      <c r="BJ7" s="9">
        <v>157478.0625</v>
      </c>
      <c r="BK7" s="9">
        <v>165000</v>
      </c>
      <c r="BM7" s="4">
        <f t="shared" si="0"/>
        <v>165000</v>
      </c>
      <c r="BO7" s="4">
        <f>HLOOKUP(BM7,AZ7:$BK$13,BQ7,FALSE)</f>
        <v>4</v>
      </c>
      <c r="BQ7" s="4">
        <v>7</v>
      </c>
    </row>
    <row r="8" spans="1:69" x14ac:dyDescent="0.25">
      <c r="A8" s="35" t="str">
        <f>A3</f>
        <v>O_3,i</v>
      </c>
      <c r="B8" s="50">
        <v>270000</v>
      </c>
      <c r="C8" s="35">
        <v>124999</v>
      </c>
      <c r="D8" s="35">
        <v>500000</v>
      </c>
      <c r="E8" s="52"/>
      <c r="F8" s="35" t="str">
        <f t="shared" ref="F8:F9" si="3">F3</f>
        <v>b</v>
      </c>
      <c r="G8" s="35">
        <f>SUM(B8:C8)</f>
        <v>394999</v>
      </c>
      <c r="H8" s="35">
        <f>G8+$K$2</f>
        <v>395000</v>
      </c>
      <c r="J8" s="70">
        <f>H8</f>
        <v>395000</v>
      </c>
      <c r="K8" s="4">
        <v>1</v>
      </c>
      <c r="M8" s="3">
        <f>H7</f>
        <v>105001</v>
      </c>
      <c r="N8" s="6">
        <v>5</v>
      </c>
      <c r="O8" s="6">
        <v>6</v>
      </c>
      <c r="P8" s="6">
        <v>7</v>
      </c>
      <c r="Q8" s="6">
        <v>8</v>
      </c>
      <c r="R8" s="8"/>
      <c r="S8" s="8"/>
      <c r="T8" s="3">
        <f>M8</f>
        <v>105001</v>
      </c>
      <c r="U8" s="6"/>
      <c r="V8" s="6"/>
      <c r="W8" s="6"/>
      <c r="X8" s="6"/>
      <c r="Y8" s="8"/>
      <c r="AB8" s="3" t="s">
        <v>5</v>
      </c>
      <c r="AC8" s="6">
        <v>155881.337</v>
      </c>
      <c r="AD8" s="9">
        <v>155614.283</v>
      </c>
      <c r="AE8" s="9">
        <v>155689.09599999999</v>
      </c>
      <c r="AF8" s="9">
        <v>165000</v>
      </c>
      <c r="AG8" s="9">
        <v>165000</v>
      </c>
      <c r="AH8" s="9">
        <v>161566.43875</v>
      </c>
      <c r="AI8" s="9">
        <v>161534.85125000001</v>
      </c>
      <c r="AJ8" s="9">
        <v>165000</v>
      </c>
      <c r="AK8" s="9">
        <v>165000</v>
      </c>
      <c r="AL8" s="9">
        <v>165000</v>
      </c>
      <c r="AM8" s="9">
        <v>159805.66125</v>
      </c>
      <c r="AN8" s="9">
        <v>159815.13750000001</v>
      </c>
      <c r="AO8" s="9">
        <v>159818.52187500001</v>
      </c>
      <c r="AP8" s="9">
        <v>165000</v>
      </c>
      <c r="AQ8" s="9">
        <v>165000</v>
      </c>
      <c r="AS8" s="4">
        <f t="shared" si="1"/>
        <v>165000</v>
      </c>
      <c r="AU8" s="4">
        <f>HLOOKUP(AS8,AC8:$AQ$13,AW8,FALSE)</f>
        <v>4</v>
      </c>
      <c r="AW8" s="4">
        <v>6</v>
      </c>
      <c r="AY8" s="3" t="s">
        <v>5</v>
      </c>
      <c r="AZ8" s="9">
        <v>155781.902</v>
      </c>
      <c r="BA8" s="9">
        <v>155792.31899999999</v>
      </c>
      <c r="BB8" s="9">
        <v>155708.98300000001</v>
      </c>
      <c r="BC8" s="9">
        <v>165000</v>
      </c>
      <c r="BD8" s="9">
        <v>155826.41099999999</v>
      </c>
      <c r="BE8" s="9">
        <v>159986.67749999999</v>
      </c>
      <c r="BF8" s="9">
        <v>160064.82750000001</v>
      </c>
      <c r="BG8" s="9">
        <v>165000</v>
      </c>
      <c r="BH8" s="9">
        <v>157418.47312499999</v>
      </c>
      <c r="BI8" s="9">
        <v>157727.16562499999</v>
      </c>
      <c r="BJ8" s="9">
        <v>157566.958125</v>
      </c>
      <c r="BK8" s="9">
        <v>165000</v>
      </c>
      <c r="BM8" s="4">
        <f t="shared" si="0"/>
        <v>165000</v>
      </c>
      <c r="BO8" s="4">
        <f>HLOOKUP(BM8,AZ8:$BK$13,BQ8,FALSE)</f>
        <v>4</v>
      </c>
      <c r="BQ8" s="4">
        <v>6</v>
      </c>
    </row>
    <row r="9" spans="1:69" x14ac:dyDescent="0.25">
      <c r="A9" s="44"/>
      <c r="B9" s="44"/>
      <c r="C9" s="44"/>
      <c r="D9" s="44"/>
      <c r="E9" s="44"/>
      <c r="F9" s="35" t="str">
        <f t="shared" si="3"/>
        <v>ch</v>
      </c>
      <c r="G9" s="35">
        <f>SUM(B7:C8)</f>
        <v>499999</v>
      </c>
      <c r="H9" s="35">
        <f>G9+$K$2</f>
        <v>500000</v>
      </c>
      <c r="I9" s="70">
        <f>J9</f>
        <v>500000</v>
      </c>
      <c r="J9" s="70">
        <f>H9</f>
        <v>500000</v>
      </c>
      <c r="K9" s="4">
        <v>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B9" s="3" t="s">
        <v>6</v>
      </c>
      <c r="AC9" s="6">
        <v>126519.55</v>
      </c>
      <c r="AD9" s="9">
        <v>126673.855</v>
      </c>
      <c r="AE9" s="9">
        <v>134334.85999999999</v>
      </c>
      <c r="AF9" s="9">
        <v>141906.96</v>
      </c>
      <c r="AG9" s="9">
        <v>194794.86249999999</v>
      </c>
      <c r="AH9" s="9">
        <v>77073.651249999995</v>
      </c>
      <c r="AI9" s="9">
        <v>77137.516250000001</v>
      </c>
      <c r="AJ9" s="9">
        <v>195067.12</v>
      </c>
      <c r="AK9" s="9">
        <v>141949.56</v>
      </c>
      <c r="AL9" s="9">
        <v>195136.11624999999</v>
      </c>
      <c r="AM9" s="9">
        <v>82495.894375000003</v>
      </c>
      <c r="AN9" s="9">
        <v>82512.754375000004</v>
      </c>
      <c r="AO9" s="9">
        <v>82428.454375000001</v>
      </c>
      <c r="AP9" s="9">
        <v>141785.70000000001</v>
      </c>
      <c r="AQ9" s="9">
        <v>194537.22625000001</v>
      </c>
      <c r="AS9" s="4">
        <f t="shared" si="1"/>
        <v>195136.11624999999</v>
      </c>
      <c r="AU9" s="4">
        <f>HLOOKUP(AS9,AC9:$AQ$13,AW9,FALSE)</f>
        <v>10</v>
      </c>
      <c r="AW9" s="4">
        <v>5</v>
      </c>
      <c r="AY9" s="3" t="s">
        <v>6</v>
      </c>
      <c r="AZ9" s="9">
        <v>373274.5</v>
      </c>
      <c r="BA9" s="9">
        <v>373591.82500000001</v>
      </c>
      <c r="BB9" s="9">
        <v>383280.63</v>
      </c>
      <c r="BC9" s="9">
        <v>395682.35</v>
      </c>
      <c r="BD9" s="9">
        <v>373618.05</v>
      </c>
      <c r="BE9" s="9">
        <v>79434.992499999993</v>
      </c>
      <c r="BF9" s="9">
        <v>79392.058749999997</v>
      </c>
      <c r="BG9" s="9">
        <v>394584.59</v>
      </c>
      <c r="BH9" s="9">
        <v>87279.272500000006</v>
      </c>
      <c r="BI9" s="9">
        <v>87057.575624999998</v>
      </c>
      <c r="BJ9" s="9">
        <v>87145.527499999997</v>
      </c>
      <c r="BK9" s="9">
        <v>395097.53</v>
      </c>
      <c r="BM9" s="4">
        <f t="shared" si="0"/>
        <v>395682.35</v>
      </c>
      <c r="BO9" s="4">
        <f>HLOOKUP(BM9,AZ9:$BK$13,BQ9,FALSE)</f>
        <v>4</v>
      </c>
      <c r="BQ9" s="4">
        <v>5</v>
      </c>
    </row>
    <row r="10" spans="1:69" x14ac:dyDescent="0.25">
      <c r="A10" s="53"/>
      <c r="B10" s="53"/>
      <c r="C10" s="53"/>
      <c r="D10" s="53"/>
      <c r="E10" s="53"/>
      <c r="F10" s="53"/>
      <c r="G10" s="53"/>
      <c r="H10" s="53"/>
      <c r="J10" s="7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AB10" s="10" t="s">
        <v>23</v>
      </c>
      <c r="AC10" s="6">
        <v>4132363.392</v>
      </c>
      <c r="AD10" s="6">
        <v>3822569.0860000001</v>
      </c>
      <c r="AE10" s="6">
        <v>4333266.7879999997</v>
      </c>
      <c r="AF10" s="6">
        <v>1090000</v>
      </c>
      <c r="AG10" s="6">
        <v>1090000</v>
      </c>
      <c r="AH10" s="6">
        <v>2090000</v>
      </c>
      <c r="AI10" s="6">
        <v>2090000</v>
      </c>
      <c r="AJ10" s="6">
        <v>1090000</v>
      </c>
      <c r="AK10" s="6">
        <v>1090000</v>
      </c>
      <c r="AL10" s="6">
        <v>1090000</v>
      </c>
      <c r="AM10" s="6">
        <v>2090000</v>
      </c>
      <c r="AN10" s="6">
        <v>2090000</v>
      </c>
      <c r="AO10" s="6">
        <v>2090000</v>
      </c>
      <c r="AP10" s="6">
        <v>1090000</v>
      </c>
      <c r="AQ10" s="6">
        <v>1090000</v>
      </c>
      <c r="AS10" s="4">
        <f t="shared" si="1"/>
        <v>4333266.7879999997</v>
      </c>
      <c r="AU10" s="4">
        <f>HLOOKUP(AS10,AC10:$AQ$13,AW10,FALSE)</f>
        <v>3</v>
      </c>
      <c r="AW10" s="4">
        <v>4</v>
      </c>
      <c r="AY10" s="10" t="s">
        <v>23</v>
      </c>
      <c r="AZ10" s="6">
        <v>14729992.916999999</v>
      </c>
      <c r="BA10" s="6">
        <v>16410679.280999999</v>
      </c>
      <c r="BB10" s="6">
        <v>17440576.368000001</v>
      </c>
      <c r="BC10" s="6">
        <v>1090000</v>
      </c>
      <c r="BD10" s="6">
        <v>14747200.287</v>
      </c>
      <c r="BE10" s="6">
        <v>2090000</v>
      </c>
      <c r="BF10" s="6">
        <v>2090000</v>
      </c>
      <c r="BG10" s="6">
        <v>1090000</v>
      </c>
      <c r="BH10" s="6">
        <v>2090000</v>
      </c>
      <c r="BI10" s="6">
        <v>2090000</v>
      </c>
      <c r="BJ10" s="6">
        <v>2090000</v>
      </c>
      <c r="BK10" s="6">
        <v>1090000</v>
      </c>
      <c r="BM10" s="4">
        <f>MAX(AZ10:BK10)</f>
        <v>17440576.368000001</v>
      </c>
      <c r="BO10" s="4">
        <f>HLOOKUP(BM10,AZ10:$BK$13,BQ10,FALSE)</f>
        <v>3</v>
      </c>
      <c r="BQ10" s="4">
        <v>4</v>
      </c>
    </row>
    <row r="11" spans="1:69" ht="15.75" thickBot="1" x14ac:dyDescent="0.3">
      <c r="A11" s="36" t="s">
        <v>15</v>
      </c>
      <c r="B11" s="47" t="str">
        <f>B6</f>
        <v>R(S_n,j)</v>
      </c>
      <c r="C11" s="47" t="s">
        <v>17</v>
      </c>
      <c r="D11" s="47" t="s">
        <v>13</v>
      </c>
      <c r="E11" s="58"/>
      <c r="F11" s="36" t="s">
        <v>14</v>
      </c>
      <c r="G11" s="47" t="s">
        <v>18</v>
      </c>
      <c r="H11" s="47" t="str">
        <f>H6</f>
        <v>B_optT</v>
      </c>
      <c r="J11" s="70"/>
      <c r="M11" s="8"/>
      <c r="N11" s="8"/>
      <c r="O11" s="7"/>
      <c r="P11" s="7"/>
      <c r="Q11" s="7"/>
      <c r="R11" s="7"/>
      <c r="S11" s="8"/>
      <c r="T11" s="8"/>
      <c r="U11" s="8"/>
      <c r="V11" s="8"/>
      <c r="W11" s="8"/>
      <c r="X11" s="8"/>
      <c r="Y11" s="8"/>
      <c r="AB11" s="10" t="s">
        <v>24</v>
      </c>
      <c r="AC11" s="6">
        <v>0.5</v>
      </c>
      <c r="AD11" s="6">
        <v>0.5</v>
      </c>
      <c r="AE11" s="6">
        <v>0.5</v>
      </c>
      <c r="AF11" s="6">
        <v>0.5</v>
      </c>
      <c r="AG11" s="6">
        <v>0.5</v>
      </c>
      <c r="AH11" s="6">
        <v>0.16666666666666599</v>
      </c>
      <c r="AI11" s="6">
        <v>0.16666666666666599</v>
      </c>
      <c r="AJ11" s="6">
        <v>0.5</v>
      </c>
      <c r="AK11" s="6">
        <v>0.5</v>
      </c>
      <c r="AL11" s="6">
        <v>0.5</v>
      </c>
      <c r="AM11" s="6">
        <v>0.16666666666666599</v>
      </c>
      <c r="AN11" s="6">
        <v>0.16666666666666599</v>
      </c>
      <c r="AO11" s="6">
        <v>0.16666666666666599</v>
      </c>
      <c r="AP11" s="6">
        <v>0.5</v>
      </c>
      <c r="AQ11" s="6">
        <v>0.5</v>
      </c>
      <c r="AS11" s="5" t="s">
        <v>19</v>
      </c>
      <c r="AT11" s="5" t="s">
        <v>25</v>
      </c>
      <c r="AW11" s="4">
        <v>3</v>
      </c>
      <c r="AY11" s="10" t="s">
        <v>24</v>
      </c>
      <c r="AZ11" s="6">
        <v>0.5</v>
      </c>
      <c r="BA11" s="6">
        <v>0.5</v>
      </c>
      <c r="BB11" s="6">
        <v>0.5</v>
      </c>
      <c r="BC11" s="6">
        <v>0.5</v>
      </c>
      <c r="BD11" s="6">
        <v>0.5</v>
      </c>
      <c r="BE11" s="6">
        <v>0.16666666666666599</v>
      </c>
      <c r="BF11" s="6">
        <v>0.16666666666666599</v>
      </c>
      <c r="BG11" s="6">
        <v>0.5</v>
      </c>
      <c r="BH11" s="6">
        <v>0.16666666666666599</v>
      </c>
      <c r="BI11" s="6">
        <v>0.16666666666666599</v>
      </c>
      <c r="BJ11" s="6">
        <v>0.16666666666666599</v>
      </c>
      <c r="BK11" s="6">
        <v>0.5</v>
      </c>
      <c r="BM11" s="5" t="s">
        <v>19</v>
      </c>
      <c r="BN11" s="5" t="s">
        <v>25</v>
      </c>
      <c r="BQ11" s="4">
        <v>3</v>
      </c>
    </row>
    <row r="12" spans="1:69" ht="15.75" thickBot="1" x14ac:dyDescent="0.3">
      <c r="A12" s="35" t="s">
        <v>49</v>
      </c>
      <c r="B12" s="50">
        <v>0</v>
      </c>
      <c r="C12" s="35">
        <v>0</v>
      </c>
      <c r="D12" s="35">
        <v>125000</v>
      </c>
      <c r="E12" s="48"/>
      <c r="F12" s="35" t="str">
        <f>F7</f>
        <v>s</v>
      </c>
      <c r="G12" s="35">
        <f>SUM(B12:C12)</f>
        <v>0</v>
      </c>
      <c r="H12" s="35">
        <f>G12+$K$2</f>
        <v>1</v>
      </c>
      <c r="J12" s="70">
        <f>H12</f>
        <v>1</v>
      </c>
      <c r="M12" s="8"/>
      <c r="N12" s="8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AS12" s="4">
        <f>MAX(AC11:AQ11)</f>
        <v>0.5</v>
      </c>
      <c r="AT12" s="4">
        <f>MIN(AC11:AQ11)</f>
        <v>0.16666666666666599</v>
      </c>
      <c r="BM12" s="4">
        <f>MAX(AZ11:BK11)</f>
        <v>0.5</v>
      </c>
      <c r="BN12" s="4">
        <f>MIN(AZ11:BK11)</f>
        <v>0.16666666666666599</v>
      </c>
    </row>
    <row r="13" spans="1:69" x14ac:dyDescent="0.25">
      <c r="A13" s="35" t="str">
        <f>A3</f>
        <v>O_3,i</v>
      </c>
      <c r="B13" s="50">
        <v>300000</v>
      </c>
      <c r="C13" s="35">
        <v>199999</v>
      </c>
      <c r="D13" s="35">
        <v>500000</v>
      </c>
      <c r="E13" s="52"/>
      <c r="F13" s="35" t="str">
        <f t="shared" ref="F13:F14" si="4">F8</f>
        <v>b</v>
      </c>
      <c r="G13" s="35">
        <f>SUM(B13:C13)</f>
        <v>499999</v>
      </c>
      <c r="H13" s="35">
        <f>G13+$K$2</f>
        <v>500000</v>
      </c>
      <c r="I13" s="70">
        <f>J13</f>
        <v>500000</v>
      </c>
      <c r="J13" s="70">
        <f>H13</f>
        <v>500000</v>
      </c>
      <c r="M13" s="8"/>
      <c r="N13" s="8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AC13" s="4">
        <f>AC2</f>
        <v>1</v>
      </c>
      <c r="AD13" s="4">
        <f t="shared" ref="AD13:AQ13" si="5">AD2</f>
        <v>2</v>
      </c>
      <c r="AE13" s="4">
        <f t="shared" si="5"/>
        <v>3</v>
      </c>
      <c r="AF13" s="4">
        <f t="shared" si="5"/>
        <v>4</v>
      </c>
      <c r="AG13" s="4">
        <f t="shared" si="5"/>
        <v>5</v>
      </c>
      <c r="AH13" s="4">
        <f t="shared" si="5"/>
        <v>6</v>
      </c>
      <c r="AI13" s="4">
        <f t="shared" si="5"/>
        <v>7</v>
      </c>
      <c r="AJ13" s="4">
        <f t="shared" si="5"/>
        <v>8</v>
      </c>
      <c r="AK13" s="4">
        <f t="shared" si="5"/>
        <v>9</v>
      </c>
      <c r="AL13" s="4">
        <f t="shared" si="5"/>
        <v>10</v>
      </c>
      <c r="AM13" s="4">
        <f t="shared" si="5"/>
        <v>11</v>
      </c>
      <c r="AN13" s="4">
        <f t="shared" si="5"/>
        <v>12</v>
      </c>
      <c r="AO13" s="4">
        <f t="shared" si="5"/>
        <v>13</v>
      </c>
      <c r="AP13" s="4">
        <f t="shared" si="5"/>
        <v>14</v>
      </c>
      <c r="AQ13" s="4">
        <f t="shared" si="5"/>
        <v>15</v>
      </c>
      <c r="AS13" s="4">
        <f>HLOOKUP(AS12,AC11:AQ13,AW13,FALSE)</f>
        <v>1</v>
      </c>
      <c r="AT13" s="4">
        <f>HLOOKUP(AT12,AC11:AQ13,AW13,FALSE)</f>
        <v>6</v>
      </c>
      <c r="AW13" s="4">
        <v>3</v>
      </c>
      <c r="AZ13" s="4">
        <f>AZ2</f>
        <v>1</v>
      </c>
      <c r="BA13" s="4">
        <f t="shared" ref="BA13:BK13" si="6">BA2</f>
        <v>2</v>
      </c>
      <c r="BB13" s="4">
        <f t="shared" si="6"/>
        <v>3</v>
      </c>
      <c r="BC13" s="4">
        <f t="shared" si="6"/>
        <v>4</v>
      </c>
      <c r="BD13" s="4">
        <f t="shared" si="6"/>
        <v>5</v>
      </c>
      <c r="BE13" s="4">
        <f t="shared" si="6"/>
        <v>6</v>
      </c>
      <c r="BF13" s="4">
        <f t="shared" si="6"/>
        <v>7</v>
      </c>
      <c r="BG13" s="4">
        <f t="shared" si="6"/>
        <v>8</v>
      </c>
      <c r="BH13" s="4">
        <f t="shared" si="6"/>
        <v>9</v>
      </c>
      <c r="BI13" s="4">
        <f t="shared" si="6"/>
        <v>10</v>
      </c>
      <c r="BJ13" s="4">
        <f t="shared" si="6"/>
        <v>11</v>
      </c>
      <c r="BK13" s="4">
        <f t="shared" si="6"/>
        <v>12</v>
      </c>
      <c r="BM13" s="4">
        <f>HLOOKUP(BM12,AZ11:BK13,BQ13,FALSE)</f>
        <v>1</v>
      </c>
      <c r="BN13" s="4">
        <f>HLOOKUP(BN12,AZ11:BK13,BQ13,FALSE)</f>
        <v>6</v>
      </c>
      <c r="BQ13" s="4">
        <v>3</v>
      </c>
    </row>
    <row r="14" spans="1:69" x14ac:dyDescent="0.25">
      <c r="A14" s="44"/>
      <c r="B14" s="44"/>
      <c r="C14" s="44"/>
      <c r="D14" s="44"/>
      <c r="E14" s="44"/>
      <c r="F14" s="35" t="str">
        <f t="shared" si="4"/>
        <v>ch</v>
      </c>
      <c r="G14" s="35">
        <f>SUM(B12:C13)</f>
        <v>499999</v>
      </c>
      <c r="H14" s="35">
        <f>G14+$K$2</f>
        <v>500000</v>
      </c>
      <c r="J14" s="70">
        <f>H14</f>
        <v>500000</v>
      </c>
      <c r="M14" s="8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69" x14ac:dyDescent="0.25">
      <c r="A15" s="44"/>
      <c r="B15" s="44"/>
      <c r="C15" s="44"/>
      <c r="D15" s="44"/>
      <c r="E15" s="44"/>
      <c r="F15" s="44"/>
      <c r="G15" s="44"/>
      <c r="H15" s="44"/>
      <c r="J15" s="7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7"/>
      <c r="Z15" s="7"/>
      <c r="AA15" s="7"/>
      <c r="AB15" s="7"/>
      <c r="AC15" s="7"/>
      <c r="AD15" s="7"/>
      <c r="AE15" s="7"/>
      <c r="AF15" s="4">
        <f>AF3</f>
        <v>531708.53</v>
      </c>
      <c r="AG15" s="5"/>
      <c r="AH15" s="5"/>
      <c r="AI15" s="5"/>
      <c r="AK15" s="4">
        <f>AK3</f>
        <v>531508.27</v>
      </c>
      <c r="AP15" s="4">
        <f>AP3</f>
        <v>531281.66</v>
      </c>
      <c r="AX15" s="17">
        <f t="shared" ref="AX15:AX21" si="7">(AF15-BC15)/AF15</f>
        <v>0.30772222142082245</v>
      </c>
      <c r="AY15" s="17">
        <f t="shared" ref="AY15:AY21" si="8">(AK15-BG15)/AK15</f>
        <v>0.3071979858375487</v>
      </c>
      <c r="AZ15" s="17">
        <f t="shared" ref="AZ15:AZ21" si="9">(AP15-BK15)/AP15</f>
        <v>0.30599900625216392</v>
      </c>
      <c r="BC15" s="4">
        <f>BC3</f>
        <v>368090</v>
      </c>
      <c r="BG15" s="4">
        <f>BG3</f>
        <v>368230</v>
      </c>
      <c r="BK15" s="4">
        <f>BK3</f>
        <v>368710</v>
      </c>
    </row>
    <row r="16" spans="1:69" ht="15.75" thickBot="1" x14ac:dyDescent="0.3">
      <c r="A16" s="36" t="s">
        <v>16</v>
      </c>
      <c r="B16" s="47" t="str">
        <f>B11</f>
        <v>R(S_n,j)</v>
      </c>
      <c r="C16" s="47" t="s">
        <v>17</v>
      </c>
      <c r="D16" s="47" t="s">
        <v>13</v>
      </c>
      <c r="E16" s="58"/>
      <c r="F16" s="36" t="s">
        <v>14</v>
      </c>
      <c r="G16" s="47" t="s">
        <v>18</v>
      </c>
      <c r="H16" s="47" t="str">
        <f>H11</f>
        <v>B_optT</v>
      </c>
      <c r="J16" s="70"/>
      <c r="M16" s="3" t="str">
        <f>M6</f>
        <v>B12\B3</v>
      </c>
      <c r="N16" s="3">
        <f>O16*0.5</f>
        <v>187500.5</v>
      </c>
      <c r="O16" s="3">
        <f>H18</f>
        <v>375001</v>
      </c>
      <c r="P16" s="3">
        <f>AVERAGE(O16,Q16)</f>
        <v>437500.5</v>
      </c>
      <c r="Q16" s="3">
        <f>H19</f>
        <v>500000</v>
      </c>
      <c r="R16" s="11"/>
      <c r="S16" s="8"/>
      <c r="T16" s="3" t="str">
        <f>M16</f>
        <v>B12\B3</v>
      </c>
      <c r="U16" s="3">
        <f>N16</f>
        <v>187500.5</v>
      </c>
      <c r="V16" s="3">
        <f t="shared" ref="V16:X16" si="10">O16</f>
        <v>375001</v>
      </c>
      <c r="W16" s="3">
        <f t="shared" si="10"/>
        <v>437500.5</v>
      </c>
      <c r="X16" s="3">
        <f t="shared" si="10"/>
        <v>500000</v>
      </c>
      <c r="Y16" s="7"/>
      <c r="Z16" s="14"/>
      <c r="AA16" s="14"/>
      <c r="AF16" s="4">
        <f t="shared" ref="AF16:AF22" si="11">AF4</f>
        <v>542078.57250000001</v>
      </c>
      <c r="AK16" s="4">
        <f t="shared" ref="AK16:AK22" si="12">AK4</f>
        <v>542239.3075</v>
      </c>
      <c r="AP16" s="4">
        <f t="shared" ref="AP16:AP22" si="13">AP4</f>
        <v>542679.35250000004</v>
      </c>
      <c r="AX16" s="17">
        <f t="shared" si="7"/>
        <v>0.24700030455455793</v>
      </c>
      <c r="AY16" s="17">
        <f t="shared" si="8"/>
        <v>0.24488137555391076</v>
      </c>
      <c r="AZ16" s="17">
        <f t="shared" si="9"/>
        <v>0.24760358373870514</v>
      </c>
      <c r="BC16" s="4">
        <f t="shared" ref="BC16:BC22" si="14">BC4</f>
        <v>408185</v>
      </c>
      <c r="BG16" s="4">
        <f t="shared" ref="BG16:BG22" si="15">BG4</f>
        <v>409455</v>
      </c>
      <c r="BK16" s="4">
        <f t="shared" ref="BK16:BK22" si="16">BK4</f>
        <v>408310</v>
      </c>
    </row>
    <row r="17" spans="1:63" ht="15.75" thickBot="1" x14ac:dyDescent="0.3">
      <c r="A17" s="35" t="s">
        <v>49</v>
      </c>
      <c r="B17" s="50">
        <v>85000</v>
      </c>
      <c r="C17" s="35">
        <f>40000-1</f>
        <v>39999</v>
      </c>
      <c r="D17" s="35">
        <v>125000</v>
      </c>
      <c r="E17" s="48"/>
      <c r="F17" s="35" t="str">
        <f>F12</f>
        <v>s</v>
      </c>
      <c r="G17" s="35">
        <f>SUM(B17:C17)</f>
        <v>124999</v>
      </c>
      <c r="H17" s="35">
        <f>G17+$K$2</f>
        <v>125000</v>
      </c>
      <c r="I17" s="70">
        <f>J17</f>
        <v>125000</v>
      </c>
      <c r="J17" s="70">
        <f>H17</f>
        <v>125000</v>
      </c>
      <c r="M17" s="3">
        <f>M18*0.5</f>
        <v>62500</v>
      </c>
      <c r="N17" s="13">
        <v>1</v>
      </c>
      <c r="O17" s="13">
        <v>2</v>
      </c>
      <c r="P17" s="13">
        <v>3</v>
      </c>
      <c r="Q17" s="13">
        <v>4</v>
      </c>
      <c r="R17" s="8"/>
      <c r="S17" s="8"/>
      <c r="T17" s="3">
        <f>M17</f>
        <v>62500</v>
      </c>
      <c r="U17" s="6"/>
      <c r="V17" s="6"/>
      <c r="W17" s="6"/>
      <c r="X17" s="6"/>
      <c r="Y17" s="7"/>
      <c r="Z17" s="14"/>
      <c r="AA17" s="14"/>
      <c r="AF17" s="4">
        <f t="shared" si="11"/>
        <v>165000</v>
      </c>
      <c r="AK17" s="4">
        <f t="shared" si="12"/>
        <v>165000</v>
      </c>
      <c r="AP17" s="4">
        <f t="shared" si="13"/>
        <v>165000</v>
      </c>
      <c r="AX17" s="17">
        <f t="shared" si="7"/>
        <v>0</v>
      </c>
      <c r="AY17" s="17">
        <f t="shared" si="8"/>
        <v>0</v>
      </c>
      <c r="AZ17" s="17">
        <f t="shared" si="9"/>
        <v>0</v>
      </c>
      <c r="BC17" s="4">
        <f t="shared" si="14"/>
        <v>165000</v>
      </c>
      <c r="BG17" s="4">
        <f t="shared" si="15"/>
        <v>165000</v>
      </c>
      <c r="BK17" s="4">
        <f t="shared" si="16"/>
        <v>165000</v>
      </c>
    </row>
    <row r="18" spans="1:63" ht="15.75" thickBot="1" x14ac:dyDescent="0.3">
      <c r="A18" s="35" t="str">
        <f>A3</f>
        <v>O_3,i</v>
      </c>
      <c r="B18" s="50">
        <v>250000</v>
      </c>
      <c r="C18" s="35">
        <v>125000</v>
      </c>
      <c r="D18" s="35">
        <v>500000</v>
      </c>
      <c r="E18" s="48"/>
      <c r="F18" s="35" t="str">
        <f t="shared" ref="F18:F19" si="17">F13</f>
        <v>b</v>
      </c>
      <c r="G18" s="35">
        <f>SUM(B18:C18)</f>
        <v>375000</v>
      </c>
      <c r="H18" s="35">
        <f>G18+$K$2</f>
        <v>375001</v>
      </c>
      <c r="J18" s="70">
        <f>H18</f>
        <v>375001</v>
      </c>
      <c r="M18" s="3">
        <f>H17</f>
        <v>125000</v>
      </c>
      <c r="N18" s="13">
        <v>5</v>
      </c>
      <c r="O18" s="13">
        <v>6</v>
      </c>
      <c r="P18" s="13">
        <v>7</v>
      </c>
      <c r="Q18" s="13">
        <v>8</v>
      </c>
      <c r="R18" s="8"/>
      <c r="S18" s="8"/>
      <c r="T18" s="3">
        <f>M18</f>
        <v>125000</v>
      </c>
      <c r="U18" s="6"/>
      <c r="V18" s="6"/>
      <c r="W18" s="6"/>
      <c r="X18" s="6"/>
      <c r="Y18" s="7"/>
      <c r="Z18" s="14"/>
      <c r="AA18" s="14"/>
      <c r="AF18" s="4">
        <f t="shared" si="11"/>
        <v>165000</v>
      </c>
      <c r="AK18" s="4">
        <f t="shared" si="12"/>
        <v>165000</v>
      </c>
      <c r="AP18" s="4">
        <f t="shared" si="13"/>
        <v>165000</v>
      </c>
      <c r="AX18" s="17">
        <f t="shared" si="7"/>
        <v>0</v>
      </c>
      <c r="AY18" s="17">
        <f t="shared" si="8"/>
        <v>0</v>
      </c>
      <c r="AZ18" s="17">
        <f t="shared" si="9"/>
        <v>0</v>
      </c>
      <c r="BC18" s="4">
        <f t="shared" si="14"/>
        <v>165000</v>
      </c>
      <c r="BG18" s="4">
        <f t="shared" si="15"/>
        <v>165000</v>
      </c>
      <c r="BK18" s="4">
        <f t="shared" si="16"/>
        <v>165000</v>
      </c>
    </row>
    <row r="19" spans="1:63" x14ac:dyDescent="0.25">
      <c r="F19" s="35" t="str">
        <f t="shared" si="17"/>
        <v>ch</v>
      </c>
      <c r="G19" s="35">
        <f>SUM(B17:C18)</f>
        <v>499999</v>
      </c>
      <c r="H19" s="35">
        <f>G19+$K$2</f>
        <v>500000</v>
      </c>
      <c r="J19" s="70">
        <f>H19</f>
        <v>500000</v>
      </c>
      <c r="M19" s="7"/>
      <c r="N19" s="11"/>
      <c r="O19" s="11"/>
      <c r="P19" s="11"/>
      <c r="Q19" s="11"/>
      <c r="R19" s="8"/>
      <c r="S19" s="8"/>
      <c r="T19" s="7"/>
      <c r="U19" s="8"/>
      <c r="V19" s="8"/>
      <c r="W19" s="8"/>
      <c r="X19" s="8"/>
      <c r="Y19" s="7"/>
      <c r="Z19" s="14"/>
      <c r="AA19" s="14"/>
      <c r="AF19" s="4">
        <f t="shared" si="11"/>
        <v>165000</v>
      </c>
      <c r="AK19" s="4">
        <f t="shared" si="12"/>
        <v>165000</v>
      </c>
      <c r="AP19" s="4">
        <f t="shared" si="13"/>
        <v>165000</v>
      </c>
      <c r="AX19" s="17">
        <f t="shared" si="7"/>
        <v>0</v>
      </c>
      <c r="AY19" s="17">
        <f t="shared" si="8"/>
        <v>0</v>
      </c>
      <c r="AZ19" s="17">
        <f t="shared" si="9"/>
        <v>0</v>
      </c>
      <c r="BC19" s="4">
        <f t="shared" si="14"/>
        <v>165000</v>
      </c>
      <c r="BG19" s="4">
        <f t="shared" si="15"/>
        <v>165000</v>
      </c>
      <c r="BK19" s="4">
        <f t="shared" si="16"/>
        <v>165000</v>
      </c>
    </row>
    <row r="20" spans="1:63" x14ac:dyDescent="0.25">
      <c r="Y20" s="7"/>
      <c r="Z20" s="14"/>
      <c r="AA20" s="14"/>
      <c r="AF20" s="4">
        <f t="shared" si="11"/>
        <v>165000</v>
      </c>
      <c r="AK20" s="4">
        <f t="shared" si="12"/>
        <v>165000</v>
      </c>
      <c r="AP20" s="4">
        <f t="shared" si="13"/>
        <v>165000</v>
      </c>
      <c r="AX20" s="17">
        <f t="shared" si="7"/>
        <v>0</v>
      </c>
      <c r="AY20" s="17">
        <f t="shared" si="8"/>
        <v>0</v>
      </c>
      <c r="AZ20" s="17">
        <f t="shared" si="9"/>
        <v>0</v>
      </c>
      <c r="BC20" s="4">
        <f t="shared" si="14"/>
        <v>165000</v>
      </c>
      <c r="BG20" s="4">
        <f t="shared" si="15"/>
        <v>165000</v>
      </c>
      <c r="BK20" s="4">
        <f t="shared" si="16"/>
        <v>165000</v>
      </c>
    </row>
    <row r="21" spans="1:63" x14ac:dyDescent="0.25">
      <c r="A21" s="42"/>
      <c r="B21" s="54"/>
      <c r="C21" s="54"/>
      <c r="D21" s="54"/>
      <c r="E21" s="44"/>
      <c r="F21" s="42"/>
      <c r="G21" s="54"/>
      <c r="H21" s="54"/>
      <c r="Y21" s="7"/>
      <c r="Z21" s="14"/>
      <c r="AA21" s="14"/>
      <c r="AF21" s="4">
        <f t="shared" si="11"/>
        <v>141906.96</v>
      </c>
      <c r="AK21" s="4">
        <f t="shared" si="12"/>
        <v>141949.56</v>
      </c>
      <c r="AP21" s="4">
        <f t="shared" si="13"/>
        <v>141785.70000000001</v>
      </c>
      <c r="AX21" s="18">
        <f t="shared" si="7"/>
        <v>-1.7883223627650116</v>
      </c>
      <c r="AY21" s="18">
        <f t="shared" si="8"/>
        <v>-1.7797521175831756</v>
      </c>
      <c r="AZ21" s="18">
        <f t="shared" si="9"/>
        <v>-1.7865823563307159</v>
      </c>
      <c r="BC21" s="4">
        <f t="shared" si="14"/>
        <v>395682.35</v>
      </c>
      <c r="BG21" s="4">
        <f t="shared" si="15"/>
        <v>394584.59</v>
      </c>
      <c r="BK21" s="4">
        <f t="shared" si="16"/>
        <v>395097.53</v>
      </c>
    </row>
    <row r="22" spans="1:63" x14ac:dyDescent="0.25">
      <c r="A22" s="44"/>
      <c r="B22" s="55"/>
      <c r="C22" s="44"/>
      <c r="D22" s="44"/>
      <c r="E22" s="44"/>
      <c r="F22" s="44"/>
      <c r="G22" s="44"/>
      <c r="H22" s="44"/>
      <c r="Y22" s="7"/>
      <c r="Z22" s="14"/>
      <c r="AA22" s="14"/>
      <c r="AF22" s="4">
        <f t="shared" si="11"/>
        <v>1090000</v>
      </c>
      <c r="AK22" s="4">
        <f t="shared" si="12"/>
        <v>1090000</v>
      </c>
      <c r="AP22" s="4">
        <f t="shared" si="13"/>
        <v>1090000</v>
      </c>
      <c r="AX22" s="18">
        <f>(BC21-AF21)/BC21</f>
        <v>0.64136141023222293</v>
      </c>
      <c r="AY22" s="18">
        <f>(BG21-AK21)/BG21</f>
        <v>0.64025569270203886</v>
      </c>
      <c r="AZ22" s="18">
        <f>(BK21-AP21)/BK21</f>
        <v>0.64113746800695004</v>
      </c>
      <c r="BC22" s="4">
        <f t="shared" si="14"/>
        <v>1090000</v>
      </c>
      <c r="BG22" s="4">
        <f t="shared" si="15"/>
        <v>1090000</v>
      </c>
      <c r="BK22" s="4">
        <f t="shared" si="16"/>
        <v>1090000</v>
      </c>
    </row>
    <row r="23" spans="1:63" ht="15.75" x14ac:dyDescent="0.25">
      <c r="A23" s="44"/>
      <c r="B23" s="74" t="s">
        <v>169</v>
      </c>
      <c r="C23" s="74" t="s">
        <v>170</v>
      </c>
      <c r="D23" s="75" t="s">
        <v>183</v>
      </c>
      <c r="E23" s="74">
        <f>H4</f>
        <v>131251</v>
      </c>
      <c r="F23" s="74" t="s">
        <v>172</v>
      </c>
      <c r="G23" s="74">
        <f>H3</f>
        <v>86251</v>
      </c>
      <c r="H23" s="75" t="s">
        <v>172</v>
      </c>
      <c r="I23" s="74">
        <f>H2</f>
        <v>45001</v>
      </c>
      <c r="J23" s="75" t="s">
        <v>184</v>
      </c>
      <c r="Y23" s="15"/>
      <c r="Z23" s="8"/>
      <c r="AA23" s="8"/>
    </row>
    <row r="24" spans="1:63" ht="15.75" x14ac:dyDescent="0.25">
      <c r="A24" s="44"/>
      <c r="B24" s="74" t="s">
        <v>182</v>
      </c>
      <c r="C24" s="74" t="s">
        <v>170</v>
      </c>
      <c r="D24" s="75" t="s">
        <v>183</v>
      </c>
      <c r="E24" s="74">
        <f>H9</f>
        <v>500000</v>
      </c>
      <c r="F24" s="74" t="s">
        <v>172</v>
      </c>
      <c r="G24" s="74">
        <f>H8</f>
        <v>395000</v>
      </c>
      <c r="H24" s="74" t="s">
        <v>172</v>
      </c>
      <c r="I24" s="74">
        <f>H7</f>
        <v>105001</v>
      </c>
      <c r="J24" s="75" t="s">
        <v>184</v>
      </c>
      <c r="Y24" s="15"/>
      <c r="Z24" s="8"/>
      <c r="AA24" s="8"/>
      <c r="AM24" s="8"/>
      <c r="AN24" s="8"/>
      <c r="AO24" s="8"/>
      <c r="AP24" s="8"/>
      <c r="AQ24" s="8"/>
    </row>
    <row r="25" spans="1:63" ht="15.75" x14ac:dyDescent="0.25">
      <c r="A25" s="44"/>
      <c r="B25" s="74"/>
      <c r="C25" s="74"/>
      <c r="D25" s="75"/>
      <c r="E25" s="74"/>
      <c r="F25" s="74"/>
      <c r="G25" s="74"/>
      <c r="H25" s="74"/>
      <c r="I25" s="74"/>
      <c r="J25" s="75"/>
      <c r="Y25" s="8"/>
      <c r="Z25" s="8"/>
      <c r="AA25" s="8"/>
      <c r="AB25" s="3" t="s">
        <v>26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7"/>
      <c r="AN25" s="5" t="s">
        <v>19</v>
      </c>
      <c r="AO25" s="5"/>
      <c r="AP25" s="5" t="s">
        <v>20</v>
      </c>
      <c r="AW25" s="3" t="s">
        <v>29</v>
      </c>
      <c r="AX25" s="3" t="s">
        <v>26</v>
      </c>
      <c r="AY25" s="3" t="s">
        <v>30</v>
      </c>
      <c r="AZ25" s="3" t="s">
        <v>21</v>
      </c>
      <c r="BB25" s="3" t="s">
        <v>31</v>
      </c>
      <c r="BC25" s="3" t="s">
        <v>32</v>
      </c>
      <c r="BD25" s="3" t="s">
        <v>33</v>
      </c>
    </row>
    <row r="26" spans="1:63" ht="15.75" x14ac:dyDescent="0.25">
      <c r="A26" s="42"/>
      <c r="B26" s="74" t="s">
        <v>181</v>
      </c>
      <c r="C26" s="74" t="s">
        <v>170</v>
      </c>
      <c r="D26" s="75" t="s">
        <v>183</v>
      </c>
      <c r="E26" s="74">
        <f>H19</f>
        <v>500000</v>
      </c>
      <c r="F26" s="74" t="s">
        <v>172</v>
      </c>
      <c r="G26" s="74">
        <f>H18</f>
        <v>375001</v>
      </c>
      <c r="H26" s="74" t="s">
        <v>172</v>
      </c>
      <c r="I26" s="74">
        <f>H17</f>
        <v>125000</v>
      </c>
      <c r="J26" s="75" t="s">
        <v>184</v>
      </c>
      <c r="Y26" s="8"/>
      <c r="Z26" s="8"/>
      <c r="AA26" s="8"/>
      <c r="AB26" s="3" t="s">
        <v>0</v>
      </c>
      <c r="AC26" s="9">
        <v>-1951819.4650000001</v>
      </c>
      <c r="AD26" s="9">
        <v>-3295763.13</v>
      </c>
      <c r="AE26" s="9">
        <v>-4552564.1968750004</v>
      </c>
      <c r="AF26" s="9">
        <v>459405.85125000001</v>
      </c>
      <c r="AG26" s="9">
        <v>392336.52687499998</v>
      </c>
      <c r="AH26" s="9">
        <v>90000</v>
      </c>
      <c r="AI26" s="9">
        <v>-3317529.5750000002</v>
      </c>
      <c r="AJ26" s="9">
        <v>-4532308.1900000004</v>
      </c>
      <c r="AK26" s="9">
        <v>458623.10749999998</v>
      </c>
      <c r="AL26" s="9">
        <v>393958.135625</v>
      </c>
      <c r="AM26" s="14"/>
      <c r="AN26" s="4">
        <f t="shared" ref="AN26:AN32" si="18">MAX(AC26:AM26)</f>
        <v>459405.85125000001</v>
      </c>
      <c r="AP26" s="4">
        <f>HLOOKUP(AN26,AC26:$AL$36,AR26,FALSE)</f>
        <v>4</v>
      </c>
      <c r="AR26" s="4">
        <v>11</v>
      </c>
      <c r="AW26" s="3" t="s">
        <v>0</v>
      </c>
      <c r="AX26" s="6">
        <f>AVERAGE(AF15,AK15,AP15)</f>
        <v>531499.48666666669</v>
      </c>
      <c r="AY26" s="6">
        <f t="shared" ref="AY26:AY33" si="19">AVERAGE(AF26,AK26)</f>
        <v>459014.479375</v>
      </c>
      <c r="AZ26" s="6">
        <f>AVERAGE(BC15,BG15,BK15)</f>
        <v>368343.33333333331</v>
      </c>
      <c r="BB26" s="17">
        <f>-(AX26-AY26)/AX26</f>
        <v>-0.13637832041242617</v>
      </c>
      <c r="BC26" s="17">
        <f>-(AX26-AZ26)/AX26</f>
        <v>-0.30697330369325043</v>
      </c>
      <c r="BD26" s="17">
        <f>-(AY26-AZ26)/AY26</f>
        <v>-0.19753439186738875</v>
      </c>
    </row>
    <row r="27" spans="1:63" ht="15.75" x14ac:dyDescent="0.25">
      <c r="A27" s="44"/>
      <c r="B27" s="55"/>
      <c r="C27" s="44"/>
      <c r="D27" s="44"/>
      <c r="E27" s="74"/>
      <c r="F27" s="74"/>
      <c r="G27" s="74"/>
      <c r="H27" s="74"/>
      <c r="I27" s="74"/>
      <c r="J27" s="74"/>
      <c r="K27" s="74"/>
      <c r="L27" s="74"/>
      <c r="Q27" s="34"/>
      <c r="S27" s="68"/>
      <c r="AB27" s="3" t="s">
        <v>1</v>
      </c>
      <c r="AC27" s="9">
        <v>-1482796.33</v>
      </c>
      <c r="AD27" s="9">
        <v>-2174722.2749999999</v>
      </c>
      <c r="AE27" s="9">
        <v>-3010183.0325000002</v>
      </c>
      <c r="AF27" s="9">
        <v>482660.72499999998</v>
      </c>
      <c r="AG27" s="9">
        <v>430497.5</v>
      </c>
      <c r="AH27" s="9">
        <v>90000</v>
      </c>
      <c r="AI27" s="9">
        <v>-2170910.6850000001</v>
      </c>
      <c r="AJ27" s="9">
        <v>-3026923.395</v>
      </c>
      <c r="AK27" s="9">
        <v>483526.17375000002</v>
      </c>
      <c r="AL27" s="9">
        <v>430439.90187499998</v>
      </c>
      <c r="AM27" s="14"/>
      <c r="AN27" s="4">
        <f t="shared" si="18"/>
        <v>483526.17375000002</v>
      </c>
      <c r="AP27" s="4">
        <f>HLOOKUP(AN27,AC27:$AL$36,AR27,FALSE)</f>
        <v>9</v>
      </c>
      <c r="AR27" s="4">
        <v>10</v>
      </c>
      <c r="AW27" s="3" t="s">
        <v>1</v>
      </c>
      <c r="AX27" s="6">
        <f t="shared" ref="AX27:AX33" si="20">AVERAGE(AF16,AK16,AP16)</f>
        <v>542332.41083333327</v>
      </c>
      <c r="AY27" s="6">
        <f t="shared" si="19"/>
        <v>483093.44937499997</v>
      </c>
      <c r="AZ27" s="6">
        <f t="shared" ref="AZ27:AZ33" si="21">AVERAGE(BC16,BG16,BK16)</f>
        <v>408650</v>
      </c>
      <c r="BB27" s="17">
        <f>-(AX27-AY27)/AX27</f>
        <v>-0.10922998566010156</v>
      </c>
      <c r="BC27" s="17">
        <f>-(AY27-AZ27)/AY27</f>
        <v>-0.15409741007937669</v>
      </c>
      <c r="BD27" s="17">
        <f>-(AY27-AZ27)/AY27</f>
        <v>-0.15409741007937669</v>
      </c>
    </row>
    <row r="28" spans="1:63" x14ac:dyDescent="0.25">
      <c r="A28" s="44"/>
      <c r="B28" s="55"/>
      <c r="C28" s="55"/>
      <c r="D28" s="44"/>
      <c r="E28" s="44"/>
      <c r="F28" s="44"/>
      <c r="G28" s="44"/>
      <c r="H28" s="44"/>
      <c r="I28" s="44"/>
      <c r="J28" s="8"/>
      <c r="K28" s="11"/>
      <c r="L28" s="11"/>
      <c r="S28" s="68"/>
      <c r="V28" s="20" t="s">
        <v>35</v>
      </c>
      <c r="W28" s="20"/>
      <c r="X28" s="20" t="s">
        <v>34</v>
      </c>
      <c r="Y28" s="20"/>
      <c r="Z28" s="12" t="e">
        <f>I6*D6</f>
        <v>#VALUE!</v>
      </c>
      <c r="AB28" s="3" t="s">
        <v>2</v>
      </c>
      <c r="AC28" s="9">
        <v>151868.89799999999</v>
      </c>
      <c r="AD28" s="9">
        <v>151860.375</v>
      </c>
      <c r="AE28" s="9">
        <v>151782.72099999999</v>
      </c>
      <c r="AF28" s="9">
        <v>165000</v>
      </c>
      <c r="AG28" s="9">
        <v>165000</v>
      </c>
      <c r="AH28" s="9">
        <v>159680</v>
      </c>
      <c r="AI28" s="9">
        <v>151791.24400000001</v>
      </c>
      <c r="AJ28" s="9">
        <v>151943.71100000001</v>
      </c>
      <c r="AK28" s="9">
        <v>165000</v>
      </c>
      <c r="AL28" s="9">
        <v>165000</v>
      </c>
      <c r="AM28" s="14"/>
      <c r="AN28" s="4">
        <f t="shared" si="18"/>
        <v>165000</v>
      </c>
      <c r="AP28" s="4">
        <f>HLOOKUP(AN28,AC28:$AL$36,AR28,FALSE)</f>
        <v>4</v>
      </c>
      <c r="AR28" s="4">
        <v>9</v>
      </c>
      <c r="AW28" s="3" t="s">
        <v>2</v>
      </c>
      <c r="AX28" s="6">
        <f t="shared" si="20"/>
        <v>165000</v>
      </c>
      <c r="AY28" s="6">
        <f t="shared" si="19"/>
        <v>165000</v>
      </c>
      <c r="AZ28" s="6">
        <f t="shared" si="21"/>
        <v>165000</v>
      </c>
      <c r="BB28" s="17">
        <f t="shared" ref="BB28:BC33" si="22">(AX28-AY28)/AX28</f>
        <v>0</v>
      </c>
      <c r="BC28" s="17">
        <f t="shared" si="22"/>
        <v>0</v>
      </c>
      <c r="BD28" s="17">
        <f t="shared" ref="BD28:BD33" si="23">(AY28-AZ28)/AY28</f>
        <v>0</v>
      </c>
    </row>
    <row r="29" spans="1:63" x14ac:dyDescent="0.25">
      <c r="A29" s="44"/>
      <c r="B29" s="44"/>
      <c r="C29" s="44"/>
      <c r="D29" s="44"/>
      <c r="E29" s="76"/>
      <c r="F29" s="4"/>
      <c r="G29" s="4"/>
      <c r="H29" s="4"/>
      <c r="J29" s="4"/>
      <c r="K29" s="11"/>
      <c r="L29" s="11"/>
      <c r="Q29" s="57" t="s">
        <v>118</v>
      </c>
      <c r="R29" s="57" t="s">
        <v>115</v>
      </c>
      <c r="S29" s="69" t="s">
        <v>116</v>
      </c>
      <c r="T29" s="57" t="s">
        <v>117</v>
      </c>
      <c r="V29" s="20">
        <v>4</v>
      </c>
      <c r="W29" s="20"/>
      <c r="X29" s="20">
        <v>3000000</v>
      </c>
      <c r="Y29" s="20"/>
      <c r="Z29" s="12" t="s">
        <v>100</v>
      </c>
      <c r="AA29" s="4" t="s">
        <v>99</v>
      </c>
      <c r="AB29" s="3" t="s">
        <v>3</v>
      </c>
      <c r="AC29" s="9">
        <v>151900.149</v>
      </c>
      <c r="AD29" s="9">
        <v>151906.77799999999</v>
      </c>
      <c r="AE29" s="9">
        <v>151889.73199999999</v>
      </c>
      <c r="AF29" s="9">
        <v>165000</v>
      </c>
      <c r="AG29" s="9">
        <v>165000</v>
      </c>
      <c r="AH29" s="9">
        <v>159611.25</v>
      </c>
      <c r="AI29" s="9">
        <v>151825.33600000001</v>
      </c>
      <c r="AJ29" s="9">
        <v>151835.753</v>
      </c>
      <c r="AK29" s="9">
        <v>165000</v>
      </c>
      <c r="AL29" s="9">
        <v>165000</v>
      </c>
      <c r="AM29" s="14"/>
      <c r="AN29" s="4">
        <f t="shared" si="18"/>
        <v>165000</v>
      </c>
      <c r="AP29" s="4">
        <f>HLOOKUP(AN29,AC29:$AL$36,AR29,FALSE)</f>
        <v>4</v>
      </c>
      <c r="AR29" s="4">
        <v>8</v>
      </c>
      <c r="AW29" s="3" t="s">
        <v>3</v>
      </c>
      <c r="AX29" s="6">
        <f t="shared" si="20"/>
        <v>165000</v>
      </c>
      <c r="AY29" s="6">
        <f t="shared" si="19"/>
        <v>165000</v>
      </c>
      <c r="AZ29" s="6">
        <f t="shared" si="21"/>
        <v>165000</v>
      </c>
      <c r="BB29" s="17">
        <f t="shared" si="22"/>
        <v>0</v>
      </c>
      <c r="BC29" s="17">
        <f t="shared" si="22"/>
        <v>0</v>
      </c>
      <c r="BD29" s="17">
        <f t="shared" si="23"/>
        <v>0</v>
      </c>
    </row>
    <row r="30" spans="1:63" x14ac:dyDescent="0.25">
      <c r="A30" s="4"/>
      <c r="B30" s="4"/>
      <c r="C30" s="4"/>
      <c r="D30" s="4"/>
      <c r="E30" s="4"/>
      <c r="F30" s="4"/>
      <c r="G30" s="4"/>
      <c r="H30" s="4"/>
      <c r="J30" s="4"/>
      <c r="Q30" s="57"/>
      <c r="R30" s="57" t="e">
        <f>SUM($V32:V$33)/$X$30</f>
        <v>#DIV/0!</v>
      </c>
      <c r="S30" s="69" t="e">
        <f>SUM($V32:W$33)/$X$30</f>
        <v>#DIV/0!</v>
      </c>
      <c r="T30" s="57" t="e">
        <f>SUM($V32:X$33)/$X$30</f>
        <v>#DIV/0!</v>
      </c>
      <c r="V30" s="21"/>
      <c r="W30" s="20"/>
      <c r="X30" s="20"/>
      <c r="Y30" s="20"/>
      <c r="Z30" s="12">
        <v>1.62</v>
      </c>
      <c r="AA30" s="4">
        <v>24</v>
      </c>
      <c r="AB30" s="3" t="s">
        <v>4</v>
      </c>
      <c r="AC30" s="9">
        <v>155833.98699999999</v>
      </c>
      <c r="AD30" s="9">
        <v>155744.022</v>
      </c>
      <c r="AE30" s="9">
        <v>155782.84899999999</v>
      </c>
      <c r="AF30" s="9">
        <v>165000</v>
      </c>
      <c r="AG30" s="9">
        <v>165000</v>
      </c>
      <c r="AH30" s="9">
        <v>155607.5</v>
      </c>
      <c r="AI30" s="9">
        <v>155594.39600000001</v>
      </c>
      <c r="AJ30" s="9">
        <v>155755.386</v>
      </c>
      <c r="AK30" s="9">
        <v>165000</v>
      </c>
      <c r="AL30" s="9">
        <v>165000</v>
      </c>
      <c r="AM30" s="14"/>
      <c r="AN30" s="4">
        <f t="shared" si="18"/>
        <v>165000</v>
      </c>
      <c r="AP30" s="4">
        <f>HLOOKUP(AN30,AC30:$AL$36,AR30,FALSE)</f>
        <v>4</v>
      </c>
      <c r="AR30" s="4">
        <v>7</v>
      </c>
      <c r="AW30" s="3" t="s">
        <v>4</v>
      </c>
      <c r="AX30" s="6">
        <f t="shared" si="20"/>
        <v>165000</v>
      </c>
      <c r="AY30" s="6">
        <f t="shared" si="19"/>
        <v>165000</v>
      </c>
      <c r="AZ30" s="6">
        <f t="shared" si="21"/>
        <v>165000</v>
      </c>
      <c r="BB30" s="17">
        <f t="shared" si="22"/>
        <v>0</v>
      </c>
      <c r="BC30" s="17">
        <f t="shared" si="22"/>
        <v>0</v>
      </c>
      <c r="BD30" s="17">
        <f t="shared" si="23"/>
        <v>0</v>
      </c>
    </row>
    <row r="31" spans="1:63" x14ac:dyDescent="0.25">
      <c r="A31" s="4"/>
      <c r="B31" s="4" t="s">
        <v>178</v>
      </c>
      <c r="C31" s="4"/>
      <c r="D31" s="4"/>
      <c r="E31" s="4"/>
      <c r="F31" s="4"/>
      <c r="G31" s="4"/>
      <c r="H31" s="4" t="s">
        <v>179</v>
      </c>
      <c r="J31" s="4"/>
      <c r="Q31" s="57"/>
      <c r="R31" s="57" t="s">
        <v>119</v>
      </c>
      <c r="S31" s="69" t="s">
        <v>120</v>
      </c>
      <c r="T31" s="57" t="s">
        <v>121</v>
      </c>
      <c r="V31" s="19" t="s">
        <v>38</v>
      </c>
      <c r="W31" s="19" t="s">
        <v>36</v>
      </c>
      <c r="X31" s="19" t="s">
        <v>37</v>
      </c>
      <c r="Y31" s="19"/>
      <c r="Z31" s="4" t="s">
        <v>111</v>
      </c>
      <c r="AA31" s="4" t="s">
        <v>112</v>
      </c>
      <c r="AB31" s="3" t="s">
        <v>5</v>
      </c>
      <c r="AC31" s="9">
        <v>155798.948</v>
      </c>
      <c r="AD31" s="9">
        <v>155648.375</v>
      </c>
      <c r="AE31" s="9">
        <v>155847.245</v>
      </c>
      <c r="AF31" s="9">
        <v>165000</v>
      </c>
      <c r="AG31" s="9">
        <v>165000</v>
      </c>
      <c r="AH31" s="9">
        <v>155422.5</v>
      </c>
      <c r="AI31" s="9">
        <v>155822.62299999999</v>
      </c>
      <c r="AJ31" s="9">
        <v>155786.63699999999</v>
      </c>
      <c r="AK31" s="9">
        <v>165000</v>
      </c>
      <c r="AL31" s="9">
        <v>165000</v>
      </c>
      <c r="AM31" s="14"/>
      <c r="AN31" s="4">
        <f t="shared" si="18"/>
        <v>165000</v>
      </c>
      <c r="AP31" s="4">
        <f>HLOOKUP(AN31,AC31:$AL$36,AR31,FALSE)</f>
        <v>4</v>
      </c>
      <c r="AR31" s="4">
        <v>6</v>
      </c>
      <c r="AW31" s="3" t="s">
        <v>5</v>
      </c>
      <c r="AX31" s="6">
        <f t="shared" si="20"/>
        <v>165000</v>
      </c>
      <c r="AY31" s="6">
        <f t="shared" si="19"/>
        <v>165000</v>
      </c>
      <c r="AZ31" s="6">
        <f t="shared" si="21"/>
        <v>165000</v>
      </c>
      <c r="BB31" s="17">
        <f t="shared" si="22"/>
        <v>0</v>
      </c>
      <c r="BC31" s="17">
        <f t="shared" si="22"/>
        <v>0</v>
      </c>
      <c r="BD31" s="17">
        <f t="shared" si="23"/>
        <v>0</v>
      </c>
    </row>
    <row r="32" spans="1:63" x14ac:dyDescent="0.25">
      <c r="A32" s="4" t="str">
        <f>B23</f>
        <v>d</v>
      </c>
      <c r="B32" s="76" t="s">
        <v>175</v>
      </c>
      <c r="C32" s="77">
        <f>B3</f>
        <v>75000</v>
      </c>
      <c r="D32" s="76" t="s">
        <v>176</v>
      </c>
      <c r="E32" s="76">
        <f>B2</f>
        <v>40000</v>
      </c>
      <c r="F32" s="78" t="s">
        <v>177</v>
      </c>
      <c r="G32" s="4"/>
      <c r="H32" s="76" t="s">
        <v>175</v>
      </c>
      <c r="I32" s="77">
        <f>C3</f>
        <v>11250</v>
      </c>
      <c r="J32" s="76" t="s">
        <v>176</v>
      </c>
      <c r="K32" s="76">
        <f>C2</f>
        <v>5000</v>
      </c>
      <c r="L32" s="78" t="s">
        <v>177</v>
      </c>
      <c r="Q32" s="57">
        <v>0</v>
      </c>
      <c r="R32" s="57" t="e">
        <f>(1-Q32)*R30</f>
        <v>#DIV/0!</v>
      </c>
      <c r="S32" s="69" t="e">
        <f>(1-R32)*S30</f>
        <v>#DIV/0!</v>
      </c>
      <c r="T32" s="57" t="e">
        <f>(1-S32)*T30</f>
        <v>#DIV/0!</v>
      </c>
      <c r="V32" s="19">
        <v>1000000</v>
      </c>
      <c r="W32" s="19">
        <v>250000</v>
      </c>
      <c r="X32" s="19">
        <v>250000</v>
      </c>
      <c r="Y32" s="19"/>
      <c r="Z32" s="19"/>
      <c r="AB32" s="3" t="s">
        <v>6</v>
      </c>
      <c r="AC32" s="9">
        <v>167491.84</v>
      </c>
      <c r="AD32" s="9">
        <v>168057.35500000001</v>
      </c>
      <c r="AE32" s="9">
        <v>188699.1925</v>
      </c>
      <c r="AF32" s="9">
        <v>209719.29</v>
      </c>
      <c r="AG32" s="9">
        <v>328874.78562500002</v>
      </c>
      <c r="AH32" s="9">
        <v>87777.571249999994</v>
      </c>
      <c r="AI32" s="9">
        <v>168000.88750000001</v>
      </c>
      <c r="AJ32" s="9">
        <v>188762.83562500001</v>
      </c>
      <c r="AK32" s="9">
        <v>209688.04874999999</v>
      </c>
      <c r="AL32" s="9">
        <v>327751.58500000002</v>
      </c>
      <c r="AM32" s="14"/>
      <c r="AN32" s="4">
        <f t="shared" si="18"/>
        <v>328874.78562500002</v>
      </c>
      <c r="AP32" s="4">
        <f>HLOOKUP(AN32,AC32:$AL$36,AR32,FALSE)</f>
        <v>5</v>
      </c>
      <c r="AR32" s="4">
        <v>5</v>
      </c>
      <c r="AW32" s="3" t="s">
        <v>6</v>
      </c>
      <c r="AX32" s="6">
        <f t="shared" si="20"/>
        <v>141880.74000000002</v>
      </c>
      <c r="AY32" s="6">
        <f t="shared" si="19"/>
        <v>209703.669375</v>
      </c>
      <c r="AZ32" s="6">
        <f t="shared" si="21"/>
        <v>395121.49</v>
      </c>
      <c r="BB32" s="17">
        <f>(AY32-AX32)/AX32</f>
        <v>0.47802773917728347</v>
      </c>
      <c r="BC32" s="17">
        <f>(AZ32-AX32)/AX32</f>
        <v>1.7848846150647364</v>
      </c>
      <c r="BD32" s="17">
        <f>(AZ32-AY32)/AY32</f>
        <v>0.884189681456784</v>
      </c>
    </row>
    <row r="33" spans="1:56" x14ac:dyDescent="0.25">
      <c r="A33" s="4" t="str">
        <f t="shared" ref="A33" si="24">B24</f>
        <v>z1</v>
      </c>
      <c r="B33" s="76" t="s">
        <v>175</v>
      </c>
      <c r="C33" s="77">
        <f>B8</f>
        <v>270000</v>
      </c>
      <c r="D33" s="76" t="s">
        <v>176</v>
      </c>
      <c r="E33" s="76">
        <f>B7</f>
        <v>70000</v>
      </c>
      <c r="F33" s="78" t="s">
        <v>177</v>
      </c>
      <c r="G33" s="4"/>
      <c r="H33" s="76" t="s">
        <v>175</v>
      </c>
      <c r="I33" s="77">
        <f>C8</f>
        <v>124999</v>
      </c>
      <c r="J33" s="76" t="s">
        <v>176</v>
      </c>
      <c r="K33" s="76">
        <f>C7</f>
        <v>35000</v>
      </c>
      <c r="L33" s="78" t="s">
        <v>177</v>
      </c>
      <c r="S33" s="68"/>
      <c r="V33" s="19" t="s">
        <v>39</v>
      </c>
      <c r="W33" s="19" t="s">
        <v>40</v>
      </c>
      <c r="X33" s="19" t="s">
        <v>41</v>
      </c>
      <c r="Y33" s="19"/>
      <c r="Z33" s="19"/>
      <c r="AA33" s="19"/>
      <c r="AB33" s="10" t="s">
        <v>23</v>
      </c>
      <c r="AC33" s="6">
        <v>5628928.648</v>
      </c>
      <c r="AD33" s="6">
        <v>7641085.5750000002</v>
      </c>
      <c r="AE33" s="6">
        <v>9712555.2148749996</v>
      </c>
      <c r="AF33" s="6">
        <v>1090000</v>
      </c>
      <c r="AG33" s="6">
        <v>1090000</v>
      </c>
      <c r="AH33" s="6">
        <v>2090000</v>
      </c>
      <c r="AI33" s="6">
        <v>7659486.7235000003</v>
      </c>
      <c r="AJ33" s="6">
        <v>9708901.5123750009</v>
      </c>
      <c r="AK33" s="6">
        <v>1090000</v>
      </c>
      <c r="AL33" s="6">
        <v>1090000</v>
      </c>
      <c r="AM33" s="8"/>
      <c r="AN33" s="4">
        <f>MAX(AC33:AM33)</f>
        <v>9712555.2148749996</v>
      </c>
      <c r="AP33" s="4">
        <f>HLOOKUP(AN33,AC33:$AL$36,AR33,FALSE)</f>
        <v>3</v>
      </c>
      <c r="AR33" s="4">
        <v>4</v>
      </c>
      <c r="AW33" s="10" t="s">
        <v>23</v>
      </c>
      <c r="AX33" s="6">
        <f t="shared" si="20"/>
        <v>1090000</v>
      </c>
      <c r="AY33" s="6">
        <f t="shared" si="19"/>
        <v>1090000</v>
      </c>
      <c r="AZ33" s="6">
        <f t="shared" si="21"/>
        <v>1090000</v>
      </c>
      <c r="BA33" s="16"/>
      <c r="BB33" s="17">
        <f>(AY33-AX33)/AX33</f>
        <v>0</v>
      </c>
      <c r="BC33" s="17">
        <f t="shared" si="22"/>
        <v>0</v>
      </c>
      <c r="BD33" s="17">
        <f t="shared" si="23"/>
        <v>0</v>
      </c>
    </row>
    <row r="34" spans="1:56" x14ac:dyDescent="0.25">
      <c r="A34" s="4" t="str">
        <f>B26</f>
        <v>z3</v>
      </c>
      <c r="B34" s="76" t="s">
        <v>175</v>
      </c>
      <c r="C34" s="77">
        <f>B18</f>
        <v>250000</v>
      </c>
      <c r="D34" s="76" t="s">
        <v>176</v>
      </c>
      <c r="E34" s="76">
        <f>B17</f>
        <v>85000</v>
      </c>
      <c r="F34" s="78" t="s">
        <v>177</v>
      </c>
      <c r="G34" s="4"/>
      <c r="H34" s="76" t="s">
        <v>175</v>
      </c>
      <c r="I34" s="77">
        <f>C18</f>
        <v>125000</v>
      </c>
      <c r="J34" s="76" t="s">
        <v>176</v>
      </c>
      <c r="K34" s="76">
        <f>C17</f>
        <v>39999</v>
      </c>
      <c r="L34" s="78" t="s">
        <v>177</v>
      </c>
      <c r="R34" s="4" t="s">
        <v>122</v>
      </c>
      <c r="S34" s="68" t="s">
        <v>123</v>
      </c>
      <c r="T34" s="4" t="s">
        <v>124</v>
      </c>
      <c r="V34" s="19">
        <v>2</v>
      </c>
      <c r="W34" s="19">
        <v>2</v>
      </c>
      <c r="X34" s="19">
        <v>2</v>
      </c>
      <c r="Y34" s="19"/>
      <c r="Z34" s="23"/>
      <c r="AA34" s="19"/>
      <c r="AB34" s="10" t="s">
        <v>24</v>
      </c>
      <c r="AC34" s="6">
        <v>0.5</v>
      </c>
      <c r="AD34" s="6">
        <v>0.5</v>
      </c>
      <c r="AE34" s="6">
        <v>0.5</v>
      </c>
      <c r="AF34" s="6">
        <v>0.5</v>
      </c>
      <c r="AG34" s="6">
        <v>0.5</v>
      </c>
      <c r="AH34" s="6">
        <v>0.16666666666666599</v>
      </c>
      <c r="AI34" s="6">
        <v>0.5</v>
      </c>
      <c r="AJ34" s="6">
        <v>0.5</v>
      </c>
      <c r="AK34" s="6">
        <v>0.5</v>
      </c>
      <c r="AL34" s="6">
        <v>0.5</v>
      </c>
      <c r="AM34" s="8"/>
      <c r="AN34" s="5" t="s">
        <v>19</v>
      </c>
      <c r="AO34" s="5" t="s">
        <v>25</v>
      </c>
      <c r="AR34" s="4">
        <v>3</v>
      </c>
      <c r="AX34" s="6"/>
      <c r="AY34" s="6"/>
      <c r="AZ34" s="6"/>
    </row>
    <row r="35" spans="1:56" x14ac:dyDescent="0.25">
      <c r="R35" s="4" t="e">
        <f t="shared" ref="R35:S35" si="25">R30/V34</f>
        <v>#DIV/0!</v>
      </c>
      <c r="S35" s="68" t="e">
        <f t="shared" si="25"/>
        <v>#DIV/0!</v>
      </c>
      <c r="T35" s="4" t="e">
        <f>T30/X34</f>
        <v>#DIV/0!</v>
      </c>
      <c r="AN35" s="4">
        <f>MAX(AC34:AM34)</f>
        <v>0.5</v>
      </c>
      <c r="AO35" s="4">
        <f>MIN(AC34:AM34)</f>
        <v>0.16666666666666599</v>
      </c>
    </row>
    <row r="36" spans="1:56" x14ac:dyDescent="0.25">
      <c r="A36" s="4"/>
      <c r="B36" s="76"/>
      <c r="C36" s="77"/>
      <c r="D36" s="76"/>
      <c r="E36" s="76"/>
      <c r="F36" s="78"/>
      <c r="G36" s="4"/>
      <c r="H36" s="4"/>
      <c r="J36" s="4"/>
      <c r="S36" s="68"/>
      <c r="Z36" s="22"/>
      <c r="AC36" s="4">
        <f>AC25</f>
        <v>1</v>
      </c>
      <c r="AD36" s="4">
        <f t="shared" ref="AD36:AL36" si="26">AD25</f>
        <v>2</v>
      </c>
      <c r="AE36" s="4">
        <f t="shared" si="26"/>
        <v>3</v>
      </c>
      <c r="AF36" s="4">
        <f t="shared" si="26"/>
        <v>4</v>
      </c>
      <c r="AG36" s="4">
        <f t="shared" si="26"/>
        <v>5</v>
      </c>
      <c r="AH36" s="4">
        <f t="shared" si="26"/>
        <v>6</v>
      </c>
      <c r="AI36" s="4">
        <f t="shared" si="26"/>
        <v>7</v>
      </c>
      <c r="AJ36" s="4">
        <f t="shared" si="26"/>
        <v>8</v>
      </c>
      <c r="AK36" s="4">
        <f t="shared" si="26"/>
        <v>9</v>
      </c>
      <c r="AL36" s="4">
        <f t="shared" si="26"/>
        <v>10</v>
      </c>
      <c r="AN36" s="4">
        <f>HLOOKUP(AN35,AC34:AM36,AR36,FALSE)</f>
        <v>1</v>
      </c>
      <c r="AO36" s="4">
        <f>HLOOKUP(AO35,AC34:AM36,AR36,FALSE)</f>
        <v>6</v>
      </c>
      <c r="AR36" s="4">
        <v>3</v>
      </c>
    </row>
    <row r="37" spans="1:56" x14ac:dyDescent="0.25">
      <c r="A37" s="4"/>
      <c r="B37" s="4"/>
      <c r="C37" s="4"/>
      <c r="D37" s="4"/>
      <c r="E37" s="4"/>
      <c r="F37" s="4"/>
      <c r="G37" s="4" t="s">
        <v>185</v>
      </c>
      <c r="H37" s="4"/>
      <c r="I37" s="4" t="str">
        <f>CONCATENATE("[",M2,", ",M3,", ",M4,"]")</f>
        <v>[22500.5, 45001, 67501.5]</v>
      </c>
      <c r="J37" s="4"/>
      <c r="R37" s="57" t="s">
        <v>125</v>
      </c>
      <c r="S37" s="69" t="s">
        <v>126</v>
      </c>
      <c r="T37" s="57" t="s">
        <v>127</v>
      </c>
    </row>
    <row r="38" spans="1:56" x14ac:dyDescent="0.25">
      <c r="A38" s="4"/>
      <c r="B38" s="4"/>
      <c r="C38" s="4"/>
      <c r="D38" s="4"/>
      <c r="E38" s="4"/>
      <c r="F38" s="4"/>
      <c r="G38" s="4" t="s">
        <v>186</v>
      </c>
      <c r="H38" s="4"/>
      <c r="I38" s="4" t="str">
        <f>CONCATENATE("[",N1,", ",O1,", ",P1,", ",Q1,", ",R1,"]")</f>
        <v>[43125.5, 86251, 108751, 131251, 196876.5]</v>
      </c>
      <c r="J38" s="4"/>
      <c r="R38" s="4" t="e">
        <f t="shared" ref="R38:S38" si="27">R32/V34</f>
        <v>#DIV/0!</v>
      </c>
      <c r="S38" s="68" t="e">
        <f t="shared" si="27"/>
        <v>#DIV/0!</v>
      </c>
      <c r="T38" s="4" t="e">
        <f>T32/X34</f>
        <v>#DIV/0!</v>
      </c>
      <c r="Z38" s="22"/>
    </row>
    <row r="39" spans="1:56" x14ac:dyDescent="0.25">
      <c r="A39" s="4"/>
      <c r="B39" s="4"/>
      <c r="C39" s="4"/>
      <c r="D39" s="4"/>
      <c r="E39" s="4"/>
      <c r="F39" s="4"/>
      <c r="G39" s="4" t="s">
        <v>187</v>
      </c>
      <c r="H39" s="4"/>
      <c r="I39" s="4" t="str">
        <f>CONCATENATE("[",M7,", ",M8,"]")</f>
        <v>[78750.75, 105001]</v>
      </c>
      <c r="J39" s="4"/>
      <c r="S39" s="68"/>
    </row>
    <row r="40" spans="1:56" x14ac:dyDescent="0.25">
      <c r="A40" s="4"/>
      <c r="B40" s="4"/>
      <c r="C40" s="4"/>
      <c r="D40" s="4"/>
      <c r="E40" s="4"/>
      <c r="F40" s="4"/>
      <c r="G40" s="4" t="s">
        <v>188</v>
      </c>
      <c r="H40" s="4"/>
      <c r="I40" s="4" t="str">
        <f>CONCATENATE("[",N6,", ",O6,", ",P6,", ",Q6,"]")</f>
        <v>[197500, 395000, 447500, 500000]</v>
      </c>
      <c r="J40" s="4"/>
      <c r="R40" s="5"/>
      <c r="S40" s="68"/>
      <c r="U40" s="5" t="s">
        <v>42</v>
      </c>
      <c r="V40" s="4" t="e">
        <f>1-(1-AA32)*(1-#REF!)*(1-#REF!)</f>
        <v>#REF!</v>
      </c>
    </row>
    <row r="41" spans="1:56" x14ac:dyDescent="0.25">
      <c r="A41" s="4"/>
      <c r="B41" s="4"/>
      <c r="C41" s="4"/>
      <c r="D41" s="4"/>
      <c r="E41" s="4"/>
      <c r="F41" s="4"/>
      <c r="G41" s="4" t="s">
        <v>189</v>
      </c>
      <c r="H41" s="4"/>
      <c r="I41" s="4" t="str">
        <f>CONCATENATE("[",M17,", ",M18,"]")</f>
        <v>[62500, 125000]</v>
      </c>
      <c r="J41" s="4"/>
      <c r="S41" s="68"/>
    </row>
    <row r="42" spans="1:56" x14ac:dyDescent="0.25">
      <c r="A42" s="4"/>
      <c r="B42" s="4"/>
      <c r="C42" s="4"/>
      <c r="D42" s="4"/>
      <c r="E42" s="4"/>
      <c r="F42" s="4"/>
      <c r="G42" s="4" t="s">
        <v>190</v>
      </c>
      <c r="H42" s="4"/>
      <c r="I42" s="4" t="str">
        <f>CONCATENATE("[",N16,", ",O16,", ",P16,", ",Q16,"]")</f>
        <v>[187500.5, 375001, 437500.5, 500000]</v>
      </c>
      <c r="J42" s="4"/>
      <c r="S42" s="68">
        <v>0.13888888899999999</v>
      </c>
      <c r="T42" s="4">
        <v>0.18055555600000001</v>
      </c>
      <c r="V42" s="4">
        <f>(1-V32/X29)*(1-SUM(V32:W32)/X29)*(1-SUM(V32:X32)/X29)</f>
        <v>0.19444444444444445</v>
      </c>
    </row>
    <row r="43" spans="1:56" x14ac:dyDescent="0.25">
      <c r="A43" s="4"/>
      <c r="B43" s="4"/>
      <c r="C43" s="4"/>
      <c r="D43" s="4"/>
      <c r="E43" s="4"/>
      <c r="F43" s="4"/>
      <c r="G43" s="4"/>
      <c r="H43" s="4"/>
      <c r="J43" s="4"/>
      <c r="Q43" s="34"/>
      <c r="S43" s="68"/>
    </row>
    <row r="44" spans="1:56" x14ac:dyDescent="0.25">
      <c r="A44" s="4"/>
      <c r="B44" s="4"/>
      <c r="C44" s="4"/>
      <c r="D44" s="4"/>
      <c r="E44" s="4"/>
      <c r="F44" s="4"/>
      <c r="G44" s="4"/>
      <c r="H44" s="4"/>
      <c r="J44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3"/>
  <sheetViews>
    <sheetView topLeftCell="Q1" zoomScale="130" zoomScaleNormal="130" workbookViewId="0">
      <selection activeCell="AH20" sqref="AH20"/>
    </sheetView>
  </sheetViews>
  <sheetFormatPr defaultRowHeight="12" x14ac:dyDescent="0.25"/>
  <cols>
    <col min="1" max="1" width="30.5703125" style="81" bestFit="1" customWidth="1"/>
    <col min="2" max="2" width="14.85546875" style="39" bestFit="1" customWidth="1"/>
    <col min="3" max="3" width="15.285156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6.140625" style="34" bestFit="1" customWidth="1"/>
    <col min="15" max="17" width="14.28515625" style="34" bestFit="1" customWidth="1"/>
    <col min="18" max="19" width="9.7109375" style="34" bestFit="1" customWidth="1"/>
    <col min="20" max="20" width="12.5703125" style="34" bestFit="1" customWidth="1"/>
    <col min="21" max="21" width="8.7109375" style="34" bestFit="1" customWidth="1"/>
    <col min="22" max="24" width="8.42578125" style="34" bestFit="1" customWidth="1"/>
    <col min="25" max="25" width="11.5703125" style="34" bestFit="1" customWidth="1"/>
    <col min="26" max="27" width="12.5703125" style="34" bestFit="1" customWidth="1"/>
    <col min="28" max="29" width="11.5703125" style="34" bestFit="1" customWidth="1"/>
    <col min="30" max="30" width="9.140625" style="34"/>
    <col min="31" max="35" width="12.5703125" style="34" bestFit="1" customWidth="1"/>
    <col min="36" max="36" width="8.42578125" style="34" bestFit="1" customWidth="1"/>
    <col min="37" max="16384" width="9.140625" style="34"/>
  </cols>
  <sheetData>
    <row r="1" spans="1:19" x14ac:dyDescent="0.25">
      <c r="A1" s="81" t="s">
        <v>47</v>
      </c>
      <c r="B1" s="39">
        <v>1</v>
      </c>
      <c r="C1" s="36" t="str">
        <f>A2</f>
        <v>(78750.75, 197500)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38" t="s">
        <v>19</v>
      </c>
      <c r="K1" s="38"/>
      <c r="L1" s="38" t="s">
        <v>20</v>
      </c>
    </row>
    <row r="2" spans="1:19" x14ac:dyDescent="0.25">
      <c r="A2" s="79" t="s">
        <v>267</v>
      </c>
      <c r="B2" s="36" t="s">
        <v>10</v>
      </c>
      <c r="C2" s="36" t="s">
        <v>44</v>
      </c>
      <c r="D2" s="59">
        <f t="shared" ref="D2:D10" si="0">A3</f>
        <v>-6461306.6399999997</v>
      </c>
      <c r="E2" s="59">
        <f t="shared" ref="E2:E10" si="1">A12</f>
        <v>-2046984.125</v>
      </c>
      <c r="F2" s="59">
        <f t="shared" ref="F2:F10" si="2">A21</f>
        <v>-2052814.165</v>
      </c>
      <c r="G2" s="59">
        <f t="shared" ref="G2:G10" si="3">A30</f>
        <v>90000</v>
      </c>
      <c r="H2" s="59">
        <f t="shared" ref="H2:H10" si="4">A39</f>
        <v>90000</v>
      </c>
      <c r="J2" s="34">
        <f>MAX(D2:H2)</f>
        <v>90000</v>
      </c>
      <c r="L2" s="34" t="str">
        <f>HLOOKUP(J2,D2:$H$12,N2,FALSE)</f>
        <v>OptNone_BNB</v>
      </c>
      <c r="N2" s="34">
        <v>11</v>
      </c>
    </row>
    <row r="3" spans="1:19" x14ac:dyDescent="0.25">
      <c r="A3" s="81">
        <v>-6461306.6399999997</v>
      </c>
      <c r="C3" s="36" t="s">
        <v>45</v>
      </c>
      <c r="D3" s="59">
        <f t="shared" si="0"/>
        <v>-5118496.34</v>
      </c>
      <c r="E3" s="59">
        <f t="shared" si="1"/>
        <v>-2054144.9350000001</v>
      </c>
      <c r="F3" s="59">
        <f t="shared" si="2"/>
        <v>-2038112.325</v>
      </c>
      <c r="G3" s="59">
        <f t="shared" si="3"/>
        <v>90000</v>
      </c>
      <c r="H3" s="59">
        <f t="shared" si="4"/>
        <v>90000</v>
      </c>
      <c r="J3" s="34">
        <f t="shared" ref="J3:J9" si="5">MAX(D3:H3)</f>
        <v>90000</v>
      </c>
      <c r="L3" s="34" t="str">
        <f>HLOOKUP(J3,D3:$H$12,N3,FALSE)</f>
        <v>OptNone_BNB</v>
      </c>
      <c r="N3" s="34">
        <v>10</v>
      </c>
    </row>
    <row r="4" spans="1:19" x14ac:dyDescent="0.25">
      <c r="A4" s="81">
        <v>-5118496.34</v>
      </c>
      <c r="C4" s="36" t="s">
        <v>0</v>
      </c>
      <c r="D4" s="59">
        <f t="shared" si="0"/>
        <v>151853.1778</v>
      </c>
      <c r="E4" s="59">
        <f t="shared" si="1"/>
        <v>-231784.90007100001</v>
      </c>
      <c r="F4" s="59">
        <f t="shared" si="2"/>
        <v>40000</v>
      </c>
      <c r="G4" s="59">
        <f t="shared" si="3"/>
        <v>47293.256053999998</v>
      </c>
      <c r="H4" s="59">
        <f t="shared" si="4"/>
        <v>40000</v>
      </c>
      <c r="J4" s="34">
        <f t="shared" si="5"/>
        <v>151853.1778</v>
      </c>
      <c r="L4" s="34" t="str">
        <f>HLOOKUP(J4,D4:$H$12,N4,FALSE)</f>
        <v>OptOpt_EB</v>
      </c>
      <c r="N4" s="34">
        <v>9</v>
      </c>
    </row>
    <row r="5" spans="1:19" x14ac:dyDescent="0.25">
      <c r="A5" s="81">
        <v>151853.1778</v>
      </c>
      <c r="C5" s="36" t="s">
        <v>1</v>
      </c>
      <c r="D5" s="59">
        <f t="shared" si="0"/>
        <v>151847.3064</v>
      </c>
      <c r="E5" s="59">
        <f t="shared" si="1"/>
        <v>-231059.725118</v>
      </c>
      <c r="F5" s="59">
        <f t="shared" si="2"/>
        <v>40000</v>
      </c>
      <c r="G5" s="59">
        <f t="shared" si="3"/>
        <v>46202.638605</v>
      </c>
      <c r="H5" s="59">
        <f t="shared" si="4"/>
        <v>40000</v>
      </c>
      <c r="J5" s="34">
        <f t="shared" si="5"/>
        <v>151847.3064</v>
      </c>
      <c r="L5" s="34" t="str">
        <f>HLOOKUP(J5,D5:$H$12,N5,FALSE)</f>
        <v>OptOpt_EB</v>
      </c>
      <c r="N5" s="34">
        <v>8</v>
      </c>
    </row>
    <row r="6" spans="1:19" x14ac:dyDescent="0.25">
      <c r="A6" s="81">
        <v>151847.3064</v>
      </c>
      <c r="C6" s="36" t="s">
        <v>2</v>
      </c>
      <c r="D6" s="59">
        <f t="shared" si="0"/>
        <v>155841.56299999999</v>
      </c>
      <c r="E6" s="59">
        <f t="shared" si="1"/>
        <v>-112290.91391800001</v>
      </c>
      <c r="F6" s="59">
        <f t="shared" si="2"/>
        <v>40000</v>
      </c>
      <c r="G6" s="59">
        <f t="shared" si="3"/>
        <v>-53568.872841999997</v>
      </c>
      <c r="H6" s="59">
        <f t="shared" si="4"/>
        <v>40000</v>
      </c>
      <c r="J6" s="34">
        <f t="shared" si="5"/>
        <v>155841.56299999999</v>
      </c>
      <c r="L6" s="34" t="str">
        <f>HLOOKUP(J6,D6:$H$12,N6,FALSE)</f>
        <v>OptOpt_EB</v>
      </c>
      <c r="N6" s="34">
        <v>7</v>
      </c>
    </row>
    <row r="7" spans="1:19" x14ac:dyDescent="0.25">
      <c r="A7" s="81">
        <v>155841.56299999999</v>
      </c>
      <c r="C7" s="36" t="s">
        <v>3</v>
      </c>
      <c r="D7" s="59">
        <f t="shared" si="0"/>
        <v>155811.06959999999</v>
      </c>
      <c r="E7" s="59">
        <f t="shared" si="1"/>
        <v>-113341.561094</v>
      </c>
      <c r="F7" s="59">
        <f t="shared" si="2"/>
        <v>40000</v>
      </c>
      <c r="G7" s="59">
        <f t="shared" si="3"/>
        <v>-52997.868942000001</v>
      </c>
      <c r="H7" s="59">
        <f t="shared" si="4"/>
        <v>40000</v>
      </c>
      <c r="J7" s="34">
        <f t="shared" si="5"/>
        <v>155811.06959999999</v>
      </c>
      <c r="L7" s="34" t="str">
        <f>HLOOKUP(J7,D7:$H$12,N7,FALSE)</f>
        <v>OptOpt_EB</v>
      </c>
      <c r="N7" s="34">
        <v>6</v>
      </c>
    </row>
    <row r="8" spans="1:19" x14ac:dyDescent="0.25">
      <c r="A8" s="81">
        <v>155811.06959999999</v>
      </c>
      <c r="C8" s="36" t="s">
        <v>6</v>
      </c>
      <c r="D8" s="59">
        <f t="shared" si="0"/>
        <v>297627.82</v>
      </c>
      <c r="E8" s="59">
        <f t="shared" si="1"/>
        <v>180843.7</v>
      </c>
      <c r="F8" s="59">
        <f t="shared" si="2"/>
        <v>148633.87</v>
      </c>
      <c r="G8" s="59">
        <f t="shared" si="3"/>
        <v>84145</v>
      </c>
      <c r="H8" s="59">
        <f t="shared" si="4"/>
        <v>70000</v>
      </c>
      <c r="J8" s="34">
        <f t="shared" si="5"/>
        <v>297627.82</v>
      </c>
      <c r="L8" s="34" t="str">
        <f>HLOOKUP(J8,D8:$H$12,N8,FALSE)</f>
        <v>OptOpt_EB</v>
      </c>
      <c r="N8" s="34">
        <v>5</v>
      </c>
    </row>
    <row r="9" spans="1:19" x14ac:dyDescent="0.25">
      <c r="A9" s="81">
        <v>297627.82</v>
      </c>
      <c r="C9" s="37" t="s">
        <v>23</v>
      </c>
      <c r="D9" s="59">
        <f t="shared" si="0"/>
        <v>13643985.623199999</v>
      </c>
      <c r="E9" s="59">
        <f t="shared" si="1"/>
        <v>7596538.8602010002</v>
      </c>
      <c r="F9" s="59">
        <f t="shared" si="2"/>
        <v>6771095.3300000001</v>
      </c>
      <c r="G9" s="59">
        <f t="shared" si="3"/>
        <v>2746568.3471249999</v>
      </c>
      <c r="H9" s="59">
        <f t="shared" si="4"/>
        <v>2590000</v>
      </c>
      <c r="J9" s="34">
        <f t="shared" si="5"/>
        <v>13643985.623199999</v>
      </c>
      <c r="L9" s="34" t="str">
        <f>HLOOKUP(J9,D9:$H$12,N9,FALSE)</f>
        <v>OptOpt_EB</v>
      </c>
      <c r="N9" s="34">
        <v>4</v>
      </c>
    </row>
    <row r="10" spans="1:19" x14ac:dyDescent="0.25">
      <c r="A10" s="81">
        <v>13643985.623199999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38"/>
      <c r="K10" s="38"/>
    </row>
    <row r="11" spans="1:19" x14ac:dyDescent="0.25">
      <c r="A11" s="81">
        <v>0.5</v>
      </c>
      <c r="D11" s="60"/>
      <c r="E11" s="60"/>
      <c r="F11" s="60"/>
      <c r="G11" s="60"/>
      <c r="H11" s="60"/>
    </row>
    <row r="12" spans="1:19" x14ac:dyDescent="0.25">
      <c r="A12" s="81">
        <v>-2046984.125</v>
      </c>
      <c r="B12" s="39">
        <v>2</v>
      </c>
      <c r="C12" s="36" t="str">
        <f>A48</f>
        <v>(78750.75, 395000)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38" t="s">
        <v>19</v>
      </c>
      <c r="K12" s="38"/>
      <c r="L12" s="38" t="s">
        <v>20</v>
      </c>
      <c r="N12" s="36" t="str">
        <f>settings_top1!M6</f>
        <v>B12\B3</v>
      </c>
      <c r="O12" s="36">
        <f>settings_top1!N6</f>
        <v>197500</v>
      </c>
      <c r="P12" s="36">
        <f>settings_top1!O6</f>
        <v>395000</v>
      </c>
      <c r="Q12" s="36">
        <f>settings_top1!P6</f>
        <v>447500</v>
      </c>
      <c r="R12" s="36">
        <f>settings_top1!Q6</f>
        <v>500000</v>
      </c>
      <c r="S12" s="36"/>
    </row>
    <row r="13" spans="1:19" x14ac:dyDescent="0.25">
      <c r="A13" s="81">
        <v>-2054144.9350000001</v>
      </c>
      <c r="B13" s="36" t="s">
        <v>10</v>
      </c>
      <c r="C13" s="36" t="str">
        <f t="shared" ref="C13:C21" si="7">C2</f>
        <v>(3, 0)</v>
      </c>
      <c r="D13" s="59">
        <f t="shared" ref="D13:D21" si="8">A49</f>
        <v>-7746425.5599999996</v>
      </c>
      <c r="E13" s="59">
        <f t="shared" ref="E13:E21" si="9">A58</f>
        <v>524042.11</v>
      </c>
      <c r="F13" s="59">
        <f t="shared" ref="F13:F21" si="10">A67</f>
        <v>524388.13</v>
      </c>
      <c r="G13" s="59">
        <f t="shared" ref="G13:G21" si="11">A76</f>
        <v>90000</v>
      </c>
      <c r="H13" s="59">
        <f t="shared" ref="H13:H21" si="12">A85</f>
        <v>90000</v>
      </c>
      <c r="J13" s="34">
        <f>MAX(D13:H13)</f>
        <v>524388.13</v>
      </c>
      <c r="L13" s="34" t="str">
        <f>HLOOKUP(J13,D13:$H$23,N2,FALSE)</f>
        <v>NoneOpt_NBB</v>
      </c>
      <c r="N13" s="36">
        <f>settings_top1!M7</f>
        <v>78750.75</v>
      </c>
      <c r="O13" s="35">
        <v>1</v>
      </c>
      <c r="P13" s="35">
        <v>2</v>
      </c>
      <c r="Q13" s="35">
        <v>3</v>
      </c>
      <c r="R13" s="35">
        <v>4</v>
      </c>
      <c r="S13" s="35"/>
    </row>
    <row r="14" spans="1:19" x14ac:dyDescent="0.25">
      <c r="A14" s="81">
        <v>-231784.90007100001</v>
      </c>
      <c r="C14" s="36" t="str">
        <f t="shared" si="7"/>
        <v>(3, 1)</v>
      </c>
      <c r="D14" s="59">
        <f t="shared" si="8"/>
        <v>-5304466.1399999997</v>
      </c>
      <c r="E14" s="59">
        <f t="shared" si="9"/>
        <v>524387.34</v>
      </c>
      <c r="F14" s="59">
        <f t="shared" si="10"/>
        <v>524015.25</v>
      </c>
      <c r="G14" s="59">
        <f t="shared" si="11"/>
        <v>90000</v>
      </c>
      <c r="H14" s="59">
        <f t="shared" si="12"/>
        <v>90000</v>
      </c>
      <c r="J14" s="34">
        <f t="shared" ref="J14:J20" si="13">MAX(D14:H14)</f>
        <v>524387.34</v>
      </c>
      <c r="L14" s="34" t="str">
        <f>HLOOKUP(J14,D14:$H$23,N3,FALSE)</f>
        <v>OptOpt_BB</v>
      </c>
      <c r="N14" s="36">
        <f>settings_top1!M8</f>
        <v>105001</v>
      </c>
      <c r="O14" s="35">
        <v>5</v>
      </c>
      <c r="P14" s="35">
        <v>6</v>
      </c>
      <c r="Q14" s="35">
        <v>7</v>
      </c>
      <c r="R14" s="35">
        <v>8</v>
      </c>
      <c r="S14" s="35"/>
    </row>
    <row r="15" spans="1:19" x14ac:dyDescent="0.25">
      <c r="A15" s="81">
        <v>-231059.725118</v>
      </c>
      <c r="C15" s="36" t="str">
        <f t="shared" si="7"/>
        <v>(2, 0)</v>
      </c>
      <c r="D15" s="59">
        <f t="shared" si="8"/>
        <v>151892.1942</v>
      </c>
      <c r="E15" s="59">
        <f t="shared" si="9"/>
        <v>-234417.22805000001</v>
      </c>
      <c r="F15" s="59">
        <f t="shared" si="10"/>
        <v>40000</v>
      </c>
      <c r="G15" s="59">
        <f t="shared" si="11"/>
        <v>46174.088409999997</v>
      </c>
      <c r="H15" s="59">
        <f t="shared" si="12"/>
        <v>40000</v>
      </c>
      <c r="J15" s="34">
        <f t="shared" si="13"/>
        <v>151892.1942</v>
      </c>
      <c r="L15" s="34" t="str">
        <f>HLOOKUP(J15,D15:$H$23,N4,FALSE)</f>
        <v>OptOpt_EB</v>
      </c>
      <c r="N15" s="42"/>
      <c r="O15" s="44"/>
      <c r="P15" s="44"/>
      <c r="Q15" s="44"/>
      <c r="R15" s="44"/>
      <c r="S15" s="44"/>
    </row>
    <row r="16" spans="1:19" x14ac:dyDescent="0.25">
      <c r="A16" s="81">
        <v>-112290.91391800001</v>
      </c>
      <c r="C16" s="36" t="str">
        <f t="shared" si="7"/>
        <v>(2, 1)</v>
      </c>
      <c r="D16" s="59">
        <f t="shared" si="8"/>
        <v>151882.9136</v>
      </c>
      <c r="E16" s="59">
        <f t="shared" si="9"/>
        <v>-230614.342076</v>
      </c>
      <c r="F16" s="59">
        <f t="shared" si="10"/>
        <v>40000</v>
      </c>
      <c r="G16" s="59">
        <f t="shared" si="11"/>
        <v>46505.270671999999</v>
      </c>
      <c r="H16" s="59">
        <f t="shared" si="12"/>
        <v>40000</v>
      </c>
      <c r="J16" s="34">
        <f t="shared" si="13"/>
        <v>151882.9136</v>
      </c>
      <c r="L16" s="34" t="str">
        <f>HLOOKUP(J16,D16:$H$23,N5,FALSE)</f>
        <v>OptOpt_EB</v>
      </c>
      <c r="N16" s="44"/>
      <c r="O16" s="44"/>
      <c r="P16" s="44"/>
      <c r="Q16" s="44"/>
      <c r="R16" s="44"/>
      <c r="S16" s="44"/>
    </row>
    <row r="17" spans="1:36" x14ac:dyDescent="0.25">
      <c r="A17" s="81">
        <v>-113341.561094</v>
      </c>
      <c r="C17" s="36" t="str">
        <f t="shared" si="7"/>
        <v>(1, 0)</v>
      </c>
      <c r="D17" s="59">
        <f t="shared" si="8"/>
        <v>155736.446</v>
      </c>
      <c r="E17" s="59">
        <f t="shared" si="9"/>
        <v>-113290.170743</v>
      </c>
      <c r="F17" s="59">
        <f t="shared" si="10"/>
        <v>40000</v>
      </c>
      <c r="G17" s="59">
        <f t="shared" si="11"/>
        <v>-50713.853342000002</v>
      </c>
      <c r="H17" s="59">
        <f t="shared" si="12"/>
        <v>40000</v>
      </c>
      <c r="J17" s="34">
        <f t="shared" si="13"/>
        <v>155736.446</v>
      </c>
      <c r="L17" s="34" t="str">
        <f>HLOOKUP(J17,D17:$H$23,N6,FALSE)</f>
        <v>OptOpt_EB</v>
      </c>
      <c r="N17" s="36" t="str">
        <f>N12</f>
        <v>B12\B3</v>
      </c>
      <c r="O17" s="36">
        <f t="shared" ref="O17:R17" si="14">O12</f>
        <v>197500</v>
      </c>
      <c r="P17" s="36">
        <f t="shared" si="14"/>
        <v>395000</v>
      </c>
      <c r="Q17" s="36">
        <f t="shared" si="14"/>
        <v>447500</v>
      </c>
      <c r="R17" s="36">
        <f t="shared" si="14"/>
        <v>500000</v>
      </c>
      <c r="S17" s="36"/>
    </row>
    <row r="18" spans="1:36" x14ac:dyDescent="0.25">
      <c r="A18" s="81">
        <v>180843.7</v>
      </c>
      <c r="C18" s="36" t="str">
        <f t="shared" si="7"/>
        <v>(1, 1)</v>
      </c>
      <c r="D18" s="59">
        <f t="shared" si="8"/>
        <v>155781.14439999999</v>
      </c>
      <c r="E18" s="59">
        <f t="shared" si="9"/>
        <v>-111131.77600100001</v>
      </c>
      <c r="F18" s="59">
        <f t="shared" si="10"/>
        <v>40000</v>
      </c>
      <c r="G18" s="59">
        <f t="shared" si="11"/>
        <v>-52324.084340000001</v>
      </c>
      <c r="H18" s="59">
        <f t="shared" si="12"/>
        <v>40000</v>
      </c>
      <c r="J18" s="34">
        <f t="shared" si="13"/>
        <v>155781.14439999999</v>
      </c>
      <c r="L18" s="34" t="str">
        <f>HLOOKUP(J18,D18:$H$23,N7,FALSE)</f>
        <v>OptOpt_EB</v>
      </c>
      <c r="N18" s="36">
        <f t="shared" ref="N18:N19" si="15">N13</f>
        <v>78750.75</v>
      </c>
      <c r="O18" s="35" t="str">
        <f>B2</f>
        <v>NoneNone_NBNB</v>
      </c>
      <c r="P18" s="35" t="str">
        <f>B13</f>
        <v>NoneNone_NBNB</v>
      </c>
      <c r="Q18" s="35" t="str">
        <f>B24</f>
        <v>NoneNone_NBNB</v>
      </c>
      <c r="R18" s="35" t="str">
        <f>B35</f>
        <v>OptOpt_EB</v>
      </c>
      <c r="S18" s="35"/>
    </row>
    <row r="19" spans="1:36" x14ac:dyDescent="0.25">
      <c r="A19" s="81">
        <v>7596538.8602010002</v>
      </c>
      <c r="C19" s="36" t="str">
        <f t="shared" si="7"/>
        <v>Inspector</v>
      </c>
      <c r="D19" s="59">
        <f t="shared" si="8"/>
        <v>297755.53368200001</v>
      </c>
      <c r="E19" s="59">
        <f t="shared" si="9"/>
        <v>180799.70809</v>
      </c>
      <c r="F19" s="59">
        <f t="shared" si="10"/>
        <v>148760.18315600001</v>
      </c>
      <c r="G19" s="59">
        <f t="shared" si="11"/>
        <v>84088</v>
      </c>
      <c r="H19" s="59">
        <f t="shared" si="12"/>
        <v>70000</v>
      </c>
      <c r="J19" s="34">
        <f t="shared" si="13"/>
        <v>297755.53368200001</v>
      </c>
      <c r="L19" s="34" t="str">
        <f>HLOOKUP(J19,D19:$H$23,N8,FALSE)</f>
        <v>OptOpt_EB</v>
      </c>
      <c r="N19" s="36">
        <f t="shared" si="15"/>
        <v>105001</v>
      </c>
      <c r="O19" s="35" t="str">
        <f>B46</f>
        <v>OptNone_BNB</v>
      </c>
      <c r="P19" s="35" t="str">
        <f>B57</f>
        <v>OptNone_BNB</v>
      </c>
      <c r="Q19" s="35" t="str">
        <f>B68</f>
        <v>OptNone_BNB</v>
      </c>
      <c r="R19" s="35" t="str">
        <f>B79</f>
        <v>OptOpt_EB</v>
      </c>
      <c r="S19" s="35"/>
    </row>
    <row r="20" spans="1:36" x14ac:dyDescent="0.25">
      <c r="A20" s="81">
        <v>0.5</v>
      </c>
      <c r="C20" s="36" t="str">
        <f t="shared" si="7"/>
        <v>State</v>
      </c>
      <c r="D20" s="59">
        <f t="shared" si="8"/>
        <v>15073282.651799999</v>
      </c>
      <c r="E20" s="59">
        <f t="shared" si="9"/>
        <v>2406367.3168700002</v>
      </c>
      <c r="F20" s="59">
        <f t="shared" si="10"/>
        <v>1590000</v>
      </c>
      <c r="G20" s="59">
        <f t="shared" si="11"/>
        <v>2743922.5786000001</v>
      </c>
      <c r="H20" s="59">
        <f t="shared" si="12"/>
        <v>2590000</v>
      </c>
      <c r="J20" s="34">
        <f t="shared" si="13"/>
        <v>15073282.651799999</v>
      </c>
      <c r="L20" s="34" t="str">
        <f>HLOOKUP(J20,D20:$H$23,N9,FALSE)</f>
        <v>OptOpt_EB</v>
      </c>
      <c r="N20" s="42"/>
      <c r="O20" s="44"/>
      <c r="P20" s="44"/>
      <c r="Q20" s="44"/>
      <c r="R20" s="44"/>
      <c r="S20" s="44"/>
    </row>
    <row r="21" spans="1:36" x14ac:dyDescent="0.25">
      <c r="A21" s="81">
        <v>-2052814.165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36" x14ac:dyDescent="0.25">
      <c r="A22" s="81">
        <v>-2038112.325</v>
      </c>
      <c r="D22" s="60"/>
      <c r="E22" s="60"/>
      <c r="F22" s="60"/>
      <c r="G22" s="60"/>
      <c r="H22" s="60"/>
      <c r="U22" s="36" t="s">
        <v>102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62">
        <v>8</v>
      </c>
      <c r="AD22" s="42"/>
      <c r="AE22" s="42"/>
      <c r="AF22" s="42"/>
      <c r="AG22" s="42"/>
      <c r="AH22" s="42"/>
      <c r="AI22" s="42"/>
      <c r="AJ22" s="42"/>
    </row>
    <row r="23" spans="1:36" x14ac:dyDescent="0.25">
      <c r="A23" s="81">
        <v>40000</v>
      </c>
      <c r="B23" s="39">
        <v>3</v>
      </c>
      <c r="C23" s="36" t="str">
        <f>A94</f>
        <v>(78750.75, 447500)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38" t="s">
        <v>19</v>
      </c>
      <c r="K23" s="38"/>
      <c r="L23" s="38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367450</v>
      </c>
      <c r="Z23" s="35">
        <f>HLOOKUP($O$19,$D$45:$H$54,S23,FALSE)</f>
        <v>90000</v>
      </c>
      <c r="AA23" s="35">
        <f>HLOOKUP($P$19,$D$56:$H$65,S23,FALSE)</f>
        <v>90000</v>
      </c>
      <c r="AB23" s="35">
        <f>HLOOKUP($Q$19,$D$67:$H$76,S23,FALSE)</f>
        <v>90000</v>
      </c>
      <c r="AC23" s="63">
        <f>HLOOKUP($R$19,$D$78:$H$87,S23,FALSE)</f>
        <v>368009</v>
      </c>
      <c r="AD23" s="44"/>
      <c r="AE23" s="34">
        <f>AVERAGE(V23:AC23)</f>
        <v>159432.375</v>
      </c>
      <c r="AF23" s="44"/>
      <c r="AG23" s="34">
        <f>AVERAGE(Y23,AC23)</f>
        <v>367729.5</v>
      </c>
      <c r="AH23" s="44"/>
      <c r="AI23" s="44"/>
      <c r="AJ23" s="44"/>
    </row>
    <row r="24" spans="1:36" x14ac:dyDescent="0.25">
      <c r="A24" s="81">
        <v>40000</v>
      </c>
      <c r="B24" s="39" t="s">
        <v>10</v>
      </c>
      <c r="C24" s="36" t="str">
        <f t="shared" ref="C24:C32" si="17">C2</f>
        <v>(3, 0)</v>
      </c>
      <c r="D24" s="59">
        <f t="shared" ref="D24:D32" si="18">A95</f>
        <v>-8811470.9100000001</v>
      </c>
      <c r="E24" s="59">
        <f t="shared" ref="E24:E32" si="19">A104</f>
        <v>515471.56</v>
      </c>
      <c r="F24" s="59">
        <f t="shared" ref="F24:F32" si="20">A113</f>
        <v>515845.67</v>
      </c>
      <c r="G24" s="59">
        <f t="shared" ref="G24:G32" si="21">A122</f>
        <v>90000</v>
      </c>
      <c r="H24" s="59">
        <f t="shared" ref="H24:H32" si="22">A131</f>
        <v>90000</v>
      </c>
      <c r="J24" s="34">
        <f>MAX(D24:H24)</f>
        <v>515845.67</v>
      </c>
      <c r="L24" s="34" t="str">
        <f>HLOOKUP(J24,D24:$H$34,N2,FALSE)</f>
        <v>NoneOpt_NBB</v>
      </c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409469</v>
      </c>
      <c r="Z24" s="35">
        <f t="shared" ref="Z24:Z31" si="27">HLOOKUP($O$19,$D$45:$H$54,S24,FALSE)</f>
        <v>90000</v>
      </c>
      <c r="AA24" s="35">
        <f t="shared" ref="AA24:AA31" si="28">HLOOKUP($P$19,$D$56:$H$65,S24,FALSE)</f>
        <v>90000</v>
      </c>
      <c r="AB24" s="35">
        <f t="shared" ref="AB24:AB31" si="29">HLOOKUP($Q$19,$D$67:$H$76,S24,FALSE)</f>
        <v>90000</v>
      </c>
      <c r="AC24" s="63">
        <f t="shared" ref="AC24:AC31" si="30">HLOOKUP($R$19,$D$78:$H$87,S24,FALSE)</f>
        <v>409387</v>
      </c>
      <c r="AD24" s="44"/>
      <c r="AE24" s="34">
        <f t="shared" ref="AE24:AE31" si="31">AVERAGE(V24:AC24)</f>
        <v>169857</v>
      </c>
      <c r="AF24" s="44"/>
      <c r="AG24" s="34">
        <f t="shared" ref="AG24:AG28" si="32">AVERAGE(Y24,AC24)</f>
        <v>409428</v>
      </c>
      <c r="AH24" s="44"/>
      <c r="AI24" s="44"/>
      <c r="AJ24" s="44"/>
    </row>
    <row r="25" spans="1:36" x14ac:dyDescent="0.25">
      <c r="A25" s="81">
        <v>40000</v>
      </c>
      <c r="C25" s="36" t="str">
        <f t="shared" si="17"/>
        <v>(3, 1)</v>
      </c>
      <c r="D25" s="59">
        <f t="shared" si="18"/>
        <v>-6002427.2149999999</v>
      </c>
      <c r="E25" s="59">
        <f t="shared" si="19"/>
        <v>515341.78499999997</v>
      </c>
      <c r="F25" s="59">
        <f t="shared" si="20"/>
        <v>515265.71</v>
      </c>
      <c r="G25" s="59">
        <f t="shared" si="21"/>
        <v>90000</v>
      </c>
      <c r="H25" s="59">
        <f t="shared" si="22"/>
        <v>90000</v>
      </c>
      <c r="J25" s="34">
        <f t="shared" ref="J25:J31" si="33">MAX(D25:H25)</f>
        <v>515341.78499999997</v>
      </c>
      <c r="L25" s="34" t="str">
        <f>HLOOKUP(J25,D25:$H$34,N3,FALSE)</f>
        <v>OptOpt_BB</v>
      </c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165000</v>
      </c>
      <c r="Z25" s="35">
        <f t="shared" si="27"/>
        <v>160632.37840399999</v>
      </c>
      <c r="AA25" s="35">
        <f t="shared" si="28"/>
        <v>160651.90859000001</v>
      </c>
      <c r="AB25" s="35">
        <f t="shared" si="29"/>
        <v>160600.24809800001</v>
      </c>
      <c r="AC25" s="63">
        <f t="shared" si="30"/>
        <v>165000</v>
      </c>
      <c r="AD25" s="44"/>
      <c r="AE25" s="34">
        <f t="shared" si="31"/>
        <v>116485.56688649999</v>
      </c>
      <c r="AF25" s="44"/>
      <c r="AG25" s="34">
        <f t="shared" si="32"/>
        <v>165000</v>
      </c>
      <c r="AH25" s="44"/>
      <c r="AI25" s="44"/>
      <c r="AJ25" s="44"/>
    </row>
    <row r="26" spans="1:36" x14ac:dyDescent="0.25">
      <c r="A26" s="81">
        <v>40000</v>
      </c>
      <c r="C26" s="36" t="str">
        <f t="shared" si="17"/>
        <v>(2, 0)</v>
      </c>
      <c r="D26" s="59">
        <f t="shared" si="18"/>
        <v>151891.81539999999</v>
      </c>
      <c r="E26" s="59">
        <f t="shared" si="19"/>
        <v>-230934.10425999999</v>
      </c>
      <c r="F26" s="59">
        <f t="shared" si="20"/>
        <v>40000</v>
      </c>
      <c r="G26" s="59">
        <f t="shared" si="21"/>
        <v>45580.244354000002</v>
      </c>
      <c r="H26" s="59">
        <f t="shared" si="22"/>
        <v>40000</v>
      </c>
      <c r="J26" s="34">
        <f t="shared" si="33"/>
        <v>151891.81539999999</v>
      </c>
      <c r="L26" s="34" t="str">
        <f>HLOOKUP(J26,D26:$H$34,N4,FALSE)</f>
        <v>OptOpt_EB</v>
      </c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165000</v>
      </c>
      <c r="Z26" s="35">
        <f t="shared" si="27"/>
        <v>160670.17876400001</v>
      </c>
      <c r="AA26" s="35">
        <f t="shared" si="28"/>
        <v>160676.05882000001</v>
      </c>
      <c r="AB26" s="35">
        <f t="shared" si="29"/>
        <v>160630.278384</v>
      </c>
      <c r="AC26" s="63">
        <f t="shared" si="30"/>
        <v>165000</v>
      </c>
      <c r="AD26" s="44"/>
      <c r="AE26" s="34">
        <f t="shared" si="31"/>
        <v>116497.06449600001</v>
      </c>
      <c r="AF26" s="44"/>
      <c r="AG26" s="34">
        <f t="shared" si="32"/>
        <v>165000</v>
      </c>
      <c r="AH26" s="44"/>
      <c r="AI26" s="44"/>
      <c r="AJ26" s="44"/>
    </row>
    <row r="27" spans="1:36" x14ac:dyDescent="0.25">
      <c r="A27" s="81">
        <v>148633.87</v>
      </c>
      <c r="C27" s="36" t="str">
        <f t="shared" si="17"/>
        <v>(2, 1)</v>
      </c>
      <c r="D27" s="59">
        <f t="shared" si="18"/>
        <v>151814.54019999999</v>
      </c>
      <c r="E27" s="59">
        <f t="shared" si="19"/>
        <v>-230974.07453300001</v>
      </c>
      <c r="F27" s="59">
        <f t="shared" si="20"/>
        <v>40000</v>
      </c>
      <c r="G27" s="59">
        <f t="shared" si="21"/>
        <v>45637.344744000002</v>
      </c>
      <c r="H27" s="59">
        <f t="shared" si="22"/>
        <v>40000</v>
      </c>
      <c r="J27" s="34">
        <f t="shared" si="33"/>
        <v>151814.54019999999</v>
      </c>
      <c r="L27" s="34" t="str">
        <f>HLOOKUP(J27,D27:$H$34,N5,FALSE)</f>
        <v>OptOpt_EB</v>
      </c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165000</v>
      </c>
      <c r="Z27" s="35">
        <f t="shared" si="27"/>
        <v>156897.07282999999</v>
      </c>
      <c r="AA27" s="35">
        <f t="shared" si="28"/>
        <v>156936.343204</v>
      </c>
      <c r="AB27" s="35">
        <f t="shared" si="29"/>
        <v>157019.50399600001</v>
      </c>
      <c r="AC27" s="63">
        <f t="shared" si="30"/>
        <v>165000</v>
      </c>
      <c r="AD27" s="44"/>
      <c r="AE27" s="34">
        <f t="shared" si="31"/>
        <v>115106.61500375</v>
      </c>
      <c r="AF27" s="44"/>
      <c r="AG27" s="34">
        <f t="shared" si="32"/>
        <v>165000</v>
      </c>
      <c r="AH27" s="44"/>
      <c r="AI27" s="44"/>
      <c r="AJ27" s="44"/>
    </row>
    <row r="28" spans="1:36" x14ac:dyDescent="0.25">
      <c r="A28" s="81">
        <v>6771095.3300000001</v>
      </c>
      <c r="C28" s="36" t="str">
        <f t="shared" si="17"/>
        <v>(1, 0)</v>
      </c>
      <c r="D28" s="59">
        <f t="shared" si="18"/>
        <v>155809.17559999999</v>
      </c>
      <c r="E28" s="59">
        <f t="shared" si="19"/>
        <v>-113741.26382399999</v>
      </c>
      <c r="F28" s="59">
        <f t="shared" si="20"/>
        <v>40000</v>
      </c>
      <c r="G28" s="59">
        <f t="shared" si="21"/>
        <v>-51695.980049999998</v>
      </c>
      <c r="H28" s="59">
        <f t="shared" si="22"/>
        <v>40000</v>
      </c>
      <c r="J28" s="34">
        <f t="shared" si="33"/>
        <v>155809.17559999999</v>
      </c>
      <c r="L28" s="34" t="str">
        <f>HLOOKUP(J28,D28:$H$34,N6,FALSE)</f>
        <v>OptOpt_EB</v>
      </c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165000</v>
      </c>
      <c r="Z28" s="35">
        <f t="shared" si="27"/>
        <v>157026.22406000001</v>
      </c>
      <c r="AA28" s="35">
        <f t="shared" si="28"/>
        <v>156982.963648</v>
      </c>
      <c r="AB28" s="35">
        <f t="shared" si="29"/>
        <v>157009.21389799999</v>
      </c>
      <c r="AC28" s="63">
        <f t="shared" si="30"/>
        <v>165000</v>
      </c>
      <c r="AD28" s="44"/>
      <c r="AE28" s="34">
        <f t="shared" si="31"/>
        <v>115127.30020075</v>
      </c>
      <c r="AF28" s="44"/>
      <c r="AG28" s="34">
        <f t="shared" si="32"/>
        <v>165000</v>
      </c>
      <c r="AH28" s="44"/>
      <c r="AI28" s="44"/>
      <c r="AJ28" s="44"/>
    </row>
    <row r="29" spans="1:36" x14ac:dyDescent="0.25">
      <c r="A29" s="81">
        <v>0.33333333333333298</v>
      </c>
      <c r="C29" s="36" t="str">
        <f t="shared" si="17"/>
        <v>(1, 1)</v>
      </c>
      <c r="D29" s="59">
        <f t="shared" si="18"/>
        <v>155817.13039999999</v>
      </c>
      <c r="E29" s="59">
        <f t="shared" si="19"/>
        <v>-112930.438286</v>
      </c>
      <c r="F29" s="59">
        <f t="shared" si="20"/>
        <v>40000</v>
      </c>
      <c r="G29" s="59">
        <f t="shared" si="21"/>
        <v>-52124.232974999999</v>
      </c>
      <c r="H29" s="59">
        <f t="shared" si="22"/>
        <v>40000</v>
      </c>
      <c r="J29" s="34">
        <f t="shared" si="33"/>
        <v>155817.13039999999</v>
      </c>
      <c r="L29" s="34" t="str">
        <f>HLOOKUP(J29,D29:$H$34,N7,FALSE)</f>
        <v>OptOpt_EB</v>
      </c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332884.22116199997</v>
      </c>
      <c r="Z29" s="35">
        <f t="shared" si="27"/>
        <v>84156.755942000003</v>
      </c>
      <c r="AA29" s="35">
        <f t="shared" si="28"/>
        <v>84144.515738000002</v>
      </c>
      <c r="AB29" s="35">
        <f t="shared" si="29"/>
        <v>84137.675623999996</v>
      </c>
      <c r="AC29" s="63">
        <f t="shared" si="30"/>
        <v>332590.59520799998</v>
      </c>
      <c r="AD29" s="44"/>
      <c r="AE29" s="34">
        <f t="shared" si="31"/>
        <v>140989.22045925001</v>
      </c>
      <c r="AF29" s="44"/>
      <c r="AG29" s="44"/>
      <c r="AH29" s="44"/>
      <c r="AI29" s="44"/>
      <c r="AJ29" s="44"/>
    </row>
    <row r="30" spans="1:36" x14ac:dyDescent="0.25">
      <c r="A30" s="81">
        <v>90000</v>
      </c>
      <c r="C30" s="36" t="str">
        <f t="shared" si="17"/>
        <v>Inspector</v>
      </c>
      <c r="D30" s="59">
        <f t="shared" si="18"/>
        <v>315099.673534</v>
      </c>
      <c r="E30" s="59">
        <f t="shared" si="19"/>
        <v>198354.973378</v>
      </c>
      <c r="F30" s="59">
        <f t="shared" si="20"/>
        <v>166100.31271200001</v>
      </c>
      <c r="G30" s="59">
        <f t="shared" si="21"/>
        <v>84135.16</v>
      </c>
      <c r="H30" s="59">
        <f t="shared" si="22"/>
        <v>70000</v>
      </c>
      <c r="J30" s="34">
        <f t="shared" si="33"/>
        <v>315099.673534</v>
      </c>
      <c r="L30" s="34" t="str">
        <f>HLOOKUP(J30,D30:$H$34,N8,FALSE)</f>
        <v>OptOpt_EB</v>
      </c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1090000</v>
      </c>
      <c r="Z30" s="35">
        <f t="shared" si="27"/>
        <v>2090000</v>
      </c>
      <c r="AA30" s="35">
        <f t="shared" si="28"/>
        <v>2090000</v>
      </c>
      <c r="AB30" s="35">
        <f t="shared" si="29"/>
        <v>2090000</v>
      </c>
      <c r="AC30" s="63">
        <f t="shared" si="30"/>
        <v>1090000</v>
      </c>
      <c r="AD30" s="44"/>
      <c r="AE30" s="34">
        <f t="shared" si="31"/>
        <v>2027500</v>
      </c>
      <c r="AF30" s="44"/>
      <c r="AG30" s="44"/>
      <c r="AH30" s="44"/>
      <c r="AI30" s="44"/>
      <c r="AJ30" s="44"/>
    </row>
    <row r="31" spans="1:36" x14ac:dyDescent="0.25">
      <c r="A31" s="81">
        <v>90000</v>
      </c>
      <c r="C31" s="36" t="str">
        <f t="shared" si="17"/>
        <v>State</v>
      </c>
      <c r="D31" s="59">
        <f t="shared" si="18"/>
        <v>16818940.518399999</v>
      </c>
      <c r="E31" s="59">
        <f t="shared" si="19"/>
        <v>2405515.1009030002</v>
      </c>
      <c r="F31" s="59">
        <f t="shared" si="20"/>
        <v>1590000</v>
      </c>
      <c r="G31" s="59">
        <f t="shared" si="21"/>
        <v>2746111.603927</v>
      </c>
      <c r="H31" s="59">
        <f t="shared" si="22"/>
        <v>2590000</v>
      </c>
      <c r="J31" s="34">
        <f t="shared" si="33"/>
        <v>16818940.518399999</v>
      </c>
      <c r="L31" s="34" t="str">
        <f>HLOOKUP(J31,D31:$H$34,N9,FALSE)</f>
        <v>OptOpt_EB</v>
      </c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0.5</v>
      </c>
      <c r="Z31" s="35">
        <f t="shared" si="27"/>
        <v>0.16666666666666599</v>
      </c>
      <c r="AA31" s="35">
        <f t="shared" si="28"/>
        <v>0.16666666666666599</v>
      </c>
      <c r="AB31" s="35">
        <f t="shared" si="29"/>
        <v>0.16666666666666599</v>
      </c>
      <c r="AC31" s="63">
        <f t="shared" si="30"/>
        <v>0.5</v>
      </c>
      <c r="AD31" s="44"/>
      <c r="AE31" s="34">
        <f t="shared" si="31"/>
        <v>0.18749999999999972</v>
      </c>
      <c r="AF31" s="44"/>
      <c r="AG31" s="44"/>
      <c r="AH31" s="44"/>
      <c r="AI31" s="44"/>
      <c r="AJ31" s="44"/>
    </row>
    <row r="32" spans="1:36" x14ac:dyDescent="0.25">
      <c r="A32" s="81">
        <v>47293.256053999998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2" x14ac:dyDescent="0.25">
      <c r="A33" s="81">
        <v>46202.638605</v>
      </c>
      <c r="D33" s="60"/>
      <c r="E33" s="60"/>
      <c r="F33" s="60"/>
      <c r="G33" s="60"/>
      <c r="H33" s="60"/>
    </row>
    <row r="34" spans="1:12" x14ac:dyDescent="0.25">
      <c r="A34" s="81">
        <v>-53568.872841999997</v>
      </c>
      <c r="B34" s="39">
        <v>4</v>
      </c>
      <c r="C34" s="36" t="str">
        <f>A140</f>
        <v>(78750.75, 500000)</v>
      </c>
      <c r="D34" s="61" t="str">
        <f>D23</f>
        <v>OptOpt_EB</v>
      </c>
      <c r="E34" s="61" t="str">
        <f t="shared" ref="E34:H34" si="34">E23</f>
        <v>OptOpt_BB</v>
      </c>
      <c r="F34" s="61" t="str">
        <f t="shared" si="34"/>
        <v>NoneOpt_NBB</v>
      </c>
      <c r="G34" s="61" t="str">
        <f t="shared" si="34"/>
        <v>OptNone_BNB</v>
      </c>
      <c r="H34" s="61" t="str">
        <f t="shared" si="34"/>
        <v>NoneNone_NBNB</v>
      </c>
      <c r="J34" s="38" t="s">
        <v>19</v>
      </c>
      <c r="K34" s="38"/>
      <c r="L34" s="38" t="s">
        <v>20</v>
      </c>
    </row>
    <row r="35" spans="1:12" x14ac:dyDescent="0.25">
      <c r="A35" s="81">
        <v>-52997.868942000001</v>
      </c>
      <c r="B35" s="39" t="s">
        <v>11</v>
      </c>
      <c r="C35" s="36" t="str">
        <f t="shared" ref="C35:C43" si="35">C2</f>
        <v>(3, 0)</v>
      </c>
      <c r="D35" s="59">
        <f t="shared" ref="D35:D43" si="36">A141</f>
        <v>367450</v>
      </c>
      <c r="E35" s="59">
        <f t="shared" ref="E35:E43" si="37">A150</f>
        <v>506543</v>
      </c>
      <c r="F35" s="59">
        <f t="shared" ref="F35:F43" si="38">A159</f>
        <v>506619</v>
      </c>
      <c r="G35" s="59">
        <f t="shared" ref="G35:G43" si="39">A168</f>
        <v>90000</v>
      </c>
      <c r="H35" s="59">
        <f t="shared" ref="H35:H43" si="40">A177</f>
        <v>90000</v>
      </c>
      <c r="J35" s="34">
        <f>MAX(D35:H35)</f>
        <v>506619</v>
      </c>
      <c r="L35" s="34" t="str">
        <f>HLOOKUP(J35,D35:$H$45,N2,FALSE)</f>
        <v>NoneOpt_NBB</v>
      </c>
    </row>
    <row r="36" spans="1:12" x14ac:dyDescent="0.25">
      <c r="A36" s="81">
        <v>84145</v>
      </c>
      <c r="C36" s="36" t="str">
        <f t="shared" si="35"/>
        <v>(3, 1)</v>
      </c>
      <c r="D36" s="59">
        <f t="shared" si="36"/>
        <v>409469</v>
      </c>
      <c r="E36" s="59">
        <f t="shared" si="37"/>
        <v>507462</v>
      </c>
      <c r="F36" s="59">
        <f t="shared" si="38"/>
        <v>506506</v>
      </c>
      <c r="G36" s="59">
        <f t="shared" si="39"/>
        <v>90000</v>
      </c>
      <c r="H36" s="59">
        <f t="shared" si="40"/>
        <v>90000</v>
      </c>
      <c r="J36" s="34">
        <f t="shared" ref="J36:J42" si="41">MAX(D36:H36)</f>
        <v>507462</v>
      </c>
      <c r="L36" s="34" t="str">
        <f>HLOOKUP(J36,D36:$H$45,N3,FALSE)</f>
        <v>OptOpt_BB</v>
      </c>
    </row>
    <row r="37" spans="1:12" x14ac:dyDescent="0.25">
      <c r="A37" s="81">
        <v>2746568.3471249999</v>
      </c>
      <c r="C37" s="36" t="str">
        <f t="shared" si="35"/>
        <v>(2, 0)</v>
      </c>
      <c r="D37" s="59">
        <f t="shared" si="36"/>
        <v>165000</v>
      </c>
      <c r="E37" s="59">
        <f t="shared" si="37"/>
        <v>-231270.99656100001</v>
      </c>
      <c r="F37" s="59">
        <f t="shared" si="38"/>
        <v>40000</v>
      </c>
      <c r="G37" s="59">
        <f t="shared" si="39"/>
        <v>46510.980710999997</v>
      </c>
      <c r="H37" s="59">
        <f t="shared" si="40"/>
        <v>40000</v>
      </c>
      <c r="J37" s="34">
        <f t="shared" si="41"/>
        <v>165000</v>
      </c>
      <c r="L37" s="34" t="str">
        <f>HLOOKUP(J37,D37:$H$45,N4,FALSE)</f>
        <v>OptOpt_EB</v>
      </c>
    </row>
    <row r="38" spans="1:12" x14ac:dyDescent="0.25">
      <c r="A38" s="81">
        <v>0.16666666666666599</v>
      </c>
      <c r="C38" s="36" t="str">
        <f t="shared" si="35"/>
        <v>(2, 1)</v>
      </c>
      <c r="D38" s="59">
        <f t="shared" si="36"/>
        <v>165000</v>
      </c>
      <c r="E38" s="59">
        <f t="shared" si="37"/>
        <v>-231505.10816</v>
      </c>
      <c r="F38" s="59">
        <f t="shared" si="38"/>
        <v>40000</v>
      </c>
      <c r="G38" s="59">
        <f t="shared" si="39"/>
        <v>46214.058683000003</v>
      </c>
      <c r="H38" s="59">
        <f t="shared" si="40"/>
        <v>40000</v>
      </c>
      <c r="J38" s="34">
        <f t="shared" si="41"/>
        <v>165000</v>
      </c>
      <c r="L38" s="34" t="str">
        <f>HLOOKUP(J38,D38:$H$45,N5,FALSE)</f>
        <v>OptOpt_EB</v>
      </c>
    </row>
    <row r="39" spans="1:12" x14ac:dyDescent="0.25">
      <c r="A39" s="81">
        <v>90000</v>
      </c>
      <c r="C39" s="36" t="str">
        <f t="shared" si="35"/>
        <v>(1, 0)</v>
      </c>
      <c r="D39" s="59">
        <f t="shared" si="36"/>
        <v>165000</v>
      </c>
      <c r="E39" s="59">
        <f t="shared" si="37"/>
        <v>-113981.085462</v>
      </c>
      <c r="F39" s="59">
        <f t="shared" si="38"/>
        <v>40000</v>
      </c>
      <c r="G39" s="59">
        <f t="shared" si="39"/>
        <v>-52352.634534999997</v>
      </c>
      <c r="H39" s="59">
        <f t="shared" si="40"/>
        <v>40000</v>
      </c>
      <c r="J39" s="34">
        <f t="shared" si="41"/>
        <v>165000</v>
      </c>
      <c r="L39" s="34" t="str">
        <f>HLOOKUP(J39,D39:$H$45,N6,FALSE)</f>
        <v>OptOpt_EB</v>
      </c>
    </row>
    <row r="40" spans="1:12" x14ac:dyDescent="0.25">
      <c r="A40" s="81">
        <v>90000</v>
      </c>
      <c r="C40" s="36" t="str">
        <f t="shared" si="35"/>
        <v>(1, 1)</v>
      </c>
      <c r="D40" s="59">
        <f t="shared" si="36"/>
        <v>165000</v>
      </c>
      <c r="E40" s="59">
        <f t="shared" si="37"/>
        <v>-115185.903691</v>
      </c>
      <c r="F40" s="59">
        <f t="shared" si="38"/>
        <v>40000</v>
      </c>
      <c r="G40" s="59">
        <f t="shared" si="39"/>
        <v>-53174.880150999998</v>
      </c>
      <c r="H40" s="59">
        <f t="shared" si="40"/>
        <v>40000</v>
      </c>
      <c r="J40" s="34">
        <f t="shared" si="41"/>
        <v>165000</v>
      </c>
      <c r="L40" s="34" t="str">
        <f>HLOOKUP(J40,D40:$H$45,N7,FALSE)</f>
        <v>OptOpt_EB</v>
      </c>
    </row>
    <row r="41" spans="1:12" x14ac:dyDescent="0.25">
      <c r="A41" s="81">
        <v>40000</v>
      </c>
      <c r="C41" s="36" t="str">
        <f t="shared" si="35"/>
        <v>Inspector</v>
      </c>
      <c r="D41" s="59">
        <f t="shared" si="36"/>
        <v>332884.22116199997</v>
      </c>
      <c r="E41" s="59">
        <f t="shared" si="37"/>
        <v>215438.72699</v>
      </c>
      <c r="F41" s="59">
        <f t="shared" si="38"/>
        <v>183945.64874999999</v>
      </c>
      <c r="G41" s="59">
        <f t="shared" si="39"/>
        <v>84139.36</v>
      </c>
      <c r="H41" s="59">
        <f t="shared" si="40"/>
        <v>70000</v>
      </c>
      <c r="J41" s="34">
        <f t="shared" si="41"/>
        <v>332884.22116199997</v>
      </c>
      <c r="L41" s="34" t="str">
        <f>HLOOKUP(J41,D41:$H$45,N8,FALSE)</f>
        <v>OptOpt_EB</v>
      </c>
    </row>
    <row r="42" spans="1:12" x14ac:dyDescent="0.25">
      <c r="A42" s="81">
        <v>40000</v>
      </c>
      <c r="C42" s="36" t="str">
        <f t="shared" si="35"/>
        <v>State</v>
      </c>
      <c r="D42" s="59">
        <f t="shared" si="36"/>
        <v>1090000</v>
      </c>
      <c r="E42" s="59">
        <f t="shared" si="37"/>
        <v>2408795.8538739998</v>
      </c>
      <c r="F42" s="59">
        <f t="shared" si="38"/>
        <v>1590000</v>
      </c>
      <c r="G42" s="59">
        <f t="shared" si="39"/>
        <v>2746306.5552920001</v>
      </c>
      <c r="H42" s="59">
        <f t="shared" si="40"/>
        <v>2590000</v>
      </c>
      <c r="J42" s="34">
        <f t="shared" si="41"/>
        <v>2746306.5552920001</v>
      </c>
      <c r="L42" s="34" t="str">
        <f>HLOOKUP(J42,D42:$H$45,N9,FALSE)</f>
        <v>OptNone_BNB</v>
      </c>
    </row>
    <row r="43" spans="1:12" x14ac:dyDescent="0.25">
      <c r="A43" s="81">
        <v>40000</v>
      </c>
      <c r="C43" s="36" t="str">
        <f t="shared" si="35"/>
        <v>LoC</v>
      </c>
      <c r="D43" s="59">
        <f t="shared" si="36"/>
        <v>0.5</v>
      </c>
      <c r="E43" s="59">
        <f t="shared" si="37"/>
        <v>0.5</v>
      </c>
      <c r="F43" s="59">
        <f t="shared" si="38"/>
        <v>0.33333333333333298</v>
      </c>
      <c r="G43" s="59">
        <f t="shared" si="39"/>
        <v>0.16666666666666599</v>
      </c>
      <c r="H43" s="59">
        <f t="shared" si="40"/>
        <v>0</v>
      </c>
    </row>
    <row r="44" spans="1:12" x14ac:dyDescent="0.25">
      <c r="A44" s="81">
        <v>40000</v>
      </c>
      <c r="D44" s="60"/>
      <c r="E44" s="60"/>
      <c r="F44" s="60"/>
      <c r="G44" s="60"/>
      <c r="H44" s="60"/>
    </row>
    <row r="45" spans="1:12" x14ac:dyDescent="0.25">
      <c r="A45" s="81">
        <v>70000</v>
      </c>
      <c r="B45" s="39">
        <v>5</v>
      </c>
      <c r="C45" s="36" t="str">
        <f>A186</f>
        <v>(105001, 197500)</v>
      </c>
      <c r="D45" s="61" t="str">
        <f>D34</f>
        <v>OptOpt_EB</v>
      </c>
      <c r="E45" s="61" t="str">
        <f t="shared" ref="E45:H45" si="42">E34</f>
        <v>OptOpt_BB</v>
      </c>
      <c r="F45" s="61" t="str">
        <f t="shared" si="42"/>
        <v>NoneOpt_NBB</v>
      </c>
      <c r="G45" s="61" t="str">
        <f t="shared" si="42"/>
        <v>OptNone_BNB</v>
      </c>
      <c r="H45" s="61" t="str">
        <f t="shared" si="42"/>
        <v>NoneNone_NBNB</v>
      </c>
      <c r="J45" s="38" t="s">
        <v>19</v>
      </c>
      <c r="K45" s="38"/>
      <c r="L45" s="38" t="s">
        <v>20</v>
      </c>
    </row>
    <row r="46" spans="1:12" x14ac:dyDescent="0.25">
      <c r="A46" s="81">
        <v>2590000</v>
      </c>
      <c r="B46" s="39" t="s">
        <v>9</v>
      </c>
      <c r="C46" s="36" t="str">
        <f t="shared" ref="C46:C54" si="43">C2</f>
        <v>(3, 0)</v>
      </c>
      <c r="D46" s="59">
        <f t="shared" ref="D46:D54" si="44">A187</f>
        <v>-6454304.2549999999</v>
      </c>
      <c r="E46" s="59">
        <f t="shared" ref="E46:E54" si="45">A196</f>
        <v>-2052370.575</v>
      </c>
      <c r="F46" s="59">
        <f t="shared" ref="F46:F54" si="46">A205</f>
        <v>-2047966.36</v>
      </c>
      <c r="G46" s="59">
        <f t="shared" ref="G46:G54" si="47">A214</f>
        <v>90000</v>
      </c>
      <c r="H46" s="59">
        <f t="shared" ref="H46:H54" si="48">A223</f>
        <v>90000</v>
      </c>
      <c r="J46" s="34">
        <f>MAX(D46:H46)</f>
        <v>90000</v>
      </c>
      <c r="L46" s="34" t="str">
        <f>HLOOKUP(J46,D46:$H$56,N2,FALSE)</f>
        <v>OptNone_BNB</v>
      </c>
    </row>
    <row r="47" spans="1:12" x14ac:dyDescent="0.25">
      <c r="A47" s="81">
        <v>0</v>
      </c>
      <c r="C47" s="36" t="str">
        <f t="shared" si="43"/>
        <v>(3, 1)</v>
      </c>
      <c r="D47" s="59">
        <f t="shared" si="44"/>
        <v>-5140865.95</v>
      </c>
      <c r="E47" s="59">
        <f t="shared" si="45"/>
        <v>-2047776.25</v>
      </c>
      <c r="F47" s="59">
        <f t="shared" si="46"/>
        <v>-2067484.32</v>
      </c>
      <c r="G47" s="59">
        <f t="shared" si="47"/>
        <v>90000</v>
      </c>
      <c r="H47" s="59">
        <f t="shared" si="48"/>
        <v>90000</v>
      </c>
      <c r="J47" s="34">
        <f t="shared" ref="J47:J53" si="49">MAX(D47:H47)</f>
        <v>90000</v>
      </c>
      <c r="L47" s="34" t="str">
        <f>HLOOKUP(J47,D47:$H$56,N3,FALSE)</f>
        <v>OptNone_BNB</v>
      </c>
    </row>
    <row r="48" spans="1:12" x14ac:dyDescent="0.25">
      <c r="A48" s="80" t="s">
        <v>268</v>
      </c>
      <c r="C48" s="36" t="str">
        <f t="shared" si="43"/>
        <v>(2, 0)</v>
      </c>
      <c r="D48" s="59">
        <f t="shared" si="44"/>
        <v>151815.67660000001</v>
      </c>
      <c r="E48" s="59">
        <f t="shared" si="45"/>
        <v>150418.30112799999</v>
      </c>
      <c r="F48" s="59">
        <f t="shared" si="46"/>
        <v>40000</v>
      </c>
      <c r="G48" s="59">
        <f t="shared" si="47"/>
        <v>160632.37840399999</v>
      </c>
      <c r="H48" s="59">
        <f t="shared" si="48"/>
        <v>40000</v>
      </c>
      <c r="J48" s="34">
        <f t="shared" si="49"/>
        <v>160632.37840399999</v>
      </c>
      <c r="L48" s="34" t="str">
        <f>HLOOKUP(J48,D48:$H$56,N4,FALSE)</f>
        <v>OptNone_BNB</v>
      </c>
    </row>
    <row r="49" spans="1:12" x14ac:dyDescent="0.25">
      <c r="A49" s="81">
        <v>-7746425.5599999996</v>
      </c>
      <c r="C49" s="36" t="str">
        <f t="shared" si="43"/>
        <v>(2, 1)</v>
      </c>
      <c r="D49" s="59">
        <f t="shared" si="44"/>
        <v>151873.06479999999</v>
      </c>
      <c r="E49" s="59">
        <f t="shared" si="45"/>
        <v>150358.030554</v>
      </c>
      <c r="F49" s="59">
        <f t="shared" si="46"/>
        <v>40000</v>
      </c>
      <c r="G49" s="59">
        <f t="shared" si="47"/>
        <v>160670.17876400001</v>
      </c>
      <c r="H49" s="59">
        <f t="shared" si="48"/>
        <v>40000</v>
      </c>
      <c r="J49" s="34">
        <f t="shared" si="49"/>
        <v>160670.17876400001</v>
      </c>
      <c r="L49" s="34" t="str">
        <f>HLOOKUP(J49,D49:$H$56,N5,FALSE)</f>
        <v>OptNone_BNB</v>
      </c>
    </row>
    <row r="50" spans="1:12" x14ac:dyDescent="0.25">
      <c r="A50" s="81">
        <v>-5304466.1399999997</v>
      </c>
      <c r="C50" s="36" t="str">
        <f t="shared" si="43"/>
        <v>(1, 0)</v>
      </c>
      <c r="D50" s="59">
        <f t="shared" si="44"/>
        <v>155825.0852</v>
      </c>
      <c r="E50" s="59">
        <f t="shared" si="45"/>
        <v>154816.793018</v>
      </c>
      <c r="F50" s="59">
        <f t="shared" si="46"/>
        <v>40000</v>
      </c>
      <c r="G50" s="59">
        <f t="shared" si="47"/>
        <v>156897.07282999999</v>
      </c>
      <c r="H50" s="59">
        <f t="shared" si="48"/>
        <v>40000</v>
      </c>
      <c r="J50" s="34">
        <f t="shared" si="49"/>
        <v>156897.07282999999</v>
      </c>
      <c r="L50" s="34" t="str">
        <f>HLOOKUP(J50,D50:$H$56,N6,FALSE)</f>
        <v>OptNone_BNB</v>
      </c>
    </row>
    <row r="51" spans="1:12" x14ac:dyDescent="0.25">
      <c r="A51" s="81">
        <v>151892.1942</v>
      </c>
      <c r="C51" s="36" t="str">
        <f t="shared" si="43"/>
        <v>(1, 1)</v>
      </c>
      <c r="D51" s="59">
        <f t="shared" si="44"/>
        <v>155830.7672</v>
      </c>
      <c r="E51" s="59">
        <f t="shared" si="45"/>
        <v>154800.83286600001</v>
      </c>
      <c r="F51" s="59">
        <f t="shared" si="46"/>
        <v>40000</v>
      </c>
      <c r="G51" s="59">
        <f t="shared" si="47"/>
        <v>157026.22406000001</v>
      </c>
      <c r="H51" s="59">
        <f t="shared" si="48"/>
        <v>40000</v>
      </c>
      <c r="J51" s="34">
        <f t="shared" si="49"/>
        <v>157026.22406000001</v>
      </c>
      <c r="L51" s="34" t="str">
        <f>HLOOKUP(J51,D51:$H$56,N7,FALSE)</f>
        <v>OptNone_BNB</v>
      </c>
    </row>
    <row r="52" spans="1:12" x14ac:dyDescent="0.25">
      <c r="A52" s="81">
        <v>151882.9136</v>
      </c>
      <c r="C52" s="36" t="str">
        <f t="shared" si="43"/>
        <v>Inspector</v>
      </c>
      <c r="D52" s="59">
        <f t="shared" si="44"/>
        <v>297873.29499999998</v>
      </c>
      <c r="E52" s="59">
        <f t="shared" si="45"/>
        <v>180835.787434</v>
      </c>
      <c r="F52" s="59">
        <f t="shared" si="46"/>
        <v>149029.6</v>
      </c>
      <c r="G52" s="59">
        <f t="shared" si="47"/>
        <v>84156.755942000003</v>
      </c>
      <c r="H52" s="59">
        <f t="shared" si="48"/>
        <v>70000</v>
      </c>
      <c r="J52" s="34">
        <f t="shared" si="49"/>
        <v>297873.29499999998</v>
      </c>
      <c r="L52" s="34" t="str">
        <f>HLOOKUP(J52,D52:$H$56,N8,FALSE)</f>
        <v>OptOpt_EB</v>
      </c>
    </row>
    <row r="53" spans="1:12" x14ac:dyDescent="0.25">
      <c r="A53" s="81">
        <v>155736.446</v>
      </c>
      <c r="C53" s="36" t="str">
        <f t="shared" si="43"/>
        <v>State</v>
      </c>
      <c r="D53" s="59">
        <f t="shared" si="44"/>
        <v>13659093.1712</v>
      </c>
      <c r="E53" s="59">
        <f t="shared" si="45"/>
        <v>6280158.5250000004</v>
      </c>
      <c r="F53" s="59">
        <f t="shared" si="46"/>
        <v>6795201.5599999996</v>
      </c>
      <c r="G53" s="59">
        <f t="shared" si="47"/>
        <v>2090000</v>
      </c>
      <c r="H53" s="59">
        <f t="shared" si="48"/>
        <v>2590000</v>
      </c>
      <c r="J53" s="34">
        <f t="shared" si="49"/>
        <v>13659093.1712</v>
      </c>
      <c r="L53" s="34" t="str">
        <f>HLOOKUP(J53,D53:$H$56,N9,FALSE)</f>
        <v>OptOpt_EB</v>
      </c>
    </row>
    <row r="54" spans="1:12" x14ac:dyDescent="0.25">
      <c r="A54" s="81">
        <v>155781.14439999999</v>
      </c>
      <c r="C54" s="36" t="str">
        <f t="shared" si="43"/>
        <v>LoC</v>
      </c>
      <c r="D54" s="59">
        <f t="shared" si="44"/>
        <v>0.5</v>
      </c>
      <c r="E54" s="59">
        <f t="shared" si="45"/>
        <v>0.5</v>
      </c>
      <c r="F54" s="59">
        <f t="shared" si="46"/>
        <v>0.33333333333333298</v>
      </c>
      <c r="G54" s="59">
        <f t="shared" si="47"/>
        <v>0.16666666666666599</v>
      </c>
      <c r="H54" s="59">
        <f t="shared" si="48"/>
        <v>0</v>
      </c>
    </row>
    <row r="55" spans="1:12" x14ac:dyDescent="0.25">
      <c r="A55" s="81">
        <v>297755.53368200001</v>
      </c>
      <c r="D55" s="60"/>
      <c r="E55" s="60"/>
      <c r="F55" s="60"/>
      <c r="G55" s="60"/>
      <c r="H55" s="60"/>
    </row>
    <row r="56" spans="1:12" x14ac:dyDescent="0.25">
      <c r="A56" s="81">
        <v>15073282.651799999</v>
      </c>
      <c r="B56" s="39">
        <v>6</v>
      </c>
      <c r="C56" s="36" t="str">
        <f>A232</f>
        <v>(105001, 395000)</v>
      </c>
      <c r="D56" s="61" t="str">
        <f>D45</f>
        <v>OptOpt_EB</v>
      </c>
      <c r="E56" s="61" t="str">
        <f t="shared" ref="E56:H56" si="50">E45</f>
        <v>OptOpt_BB</v>
      </c>
      <c r="F56" s="61" t="str">
        <f t="shared" si="50"/>
        <v>NoneOpt_NBB</v>
      </c>
      <c r="G56" s="61" t="str">
        <f t="shared" si="50"/>
        <v>OptNone_BNB</v>
      </c>
      <c r="H56" s="61" t="str">
        <f t="shared" si="50"/>
        <v>NoneNone_NBNB</v>
      </c>
      <c r="J56" s="38" t="s">
        <v>19</v>
      </c>
      <c r="K56" s="38"/>
      <c r="L56" s="38" t="s">
        <v>20</v>
      </c>
    </row>
    <row r="57" spans="1:12" x14ac:dyDescent="0.25">
      <c r="A57" s="81">
        <v>0.5</v>
      </c>
      <c r="B57" s="39" t="s">
        <v>9</v>
      </c>
      <c r="C57" s="36" t="str">
        <f t="shared" ref="C57:C65" si="51">C2</f>
        <v>(3, 0)</v>
      </c>
      <c r="D57" s="59">
        <f>A233</f>
        <v>-7765751.1900000004</v>
      </c>
      <c r="E57" s="59">
        <f>A242</f>
        <v>524361.27</v>
      </c>
      <c r="F57" s="59">
        <f>A251</f>
        <v>524343.89</v>
      </c>
      <c r="G57" s="59">
        <f>A260</f>
        <v>90000</v>
      </c>
      <c r="H57" s="59">
        <f>A269</f>
        <v>90000</v>
      </c>
      <c r="J57" s="34">
        <f>MAX(D57:H57)</f>
        <v>524361.27</v>
      </c>
      <c r="L57" s="34" t="str">
        <f>HLOOKUP(J57,D57:$H$67,N2,FALSE)</f>
        <v>OptOpt_BB</v>
      </c>
    </row>
    <row r="58" spans="1:12" x14ac:dyDescent="0.25">
      <c r="A58" s="81">
        <v>524042.11</v>
      </c>
      <c r="C58" s="36" t="str">
        <f t="shared" si="51"/>
        <v>(3, 1)</v>
      </c>
      <c r="D58" s="59">
        <f t="shared" ref="D58:D65" si="52">A234</f>
        <v>-5291730.7300000004</v>
      </c>
      <c r="E58" s="59">
        <f t="shared" ref="E58:E65" si="53">A243</f>
        <v>524439.48</v>
      </c>
      <c r="F58" s="59">
        <f t="shared" ref="F58:F65" si="54">A252</f>
        <v>523958.37</v>
      </c>
      <c r="G58" s="59">
        <f t="shared" ref="G58:G65" si="55">A261</f>
        <v>90000</v>
      </c>
      <c r="H58" s="59">
        <f t="shared" ref="H58:H65" si="56">A270</f>
        <v>90000</v>
      </c>
      <c r="J58" s="34">
        <f t="shared" ref="J58:J64" si="57">MAX(D58:H58)</f>
        <v>524439.48</v>
      </c>
      <c r="L58" s="34" t="str">
        <f>HLOOKUP(J58,D58:$H$67,N3,FALSE)</f>
        <v>OptOpt_BB</v>
      </c>
    </row>
    <row r="59" spans="1:12" x14ac:dyDescent="0.25">
      <c r="A59" s="81">
        <v>524387.34</v>
      </c>
      <c r="C59" s="36" t="str">
        <f t="shared" si="51"/>
        <v>(2, 0)</v>
      </c>
      <c r="D59" s="59">
        <f t="shared" si="52"/>
        <v>151871.5496</v>
      </c>
      <c r="E59" s="59">
        <f t="shared" si="53"/>
        <v>150299.64999800001</v>
      </c>
      <c r="F59" s="59">
        <f t="shared" si="54"/>
        <v>40000</v>
      </c>
      <c r="G59" s="59">
        <f t="shared" si="55"/>
        <v>160651.90859000001</v>
      </c>
      <c r="H59" s="59">
        <f t="shared" si="56"/>
        <v>40000</v>
      </c>
      <c r="J59" s="34">
        <f t="shared" si="57"/>
        <v>160651.90859000001</v>
      </c>
      <c r="L59" s="34" t="str">
        <f>HLOOKUP(J59,D59:$H$67,N4,FALSE)</f>
        <v>OptNone_BNB</v>
      </c>
    </row>
    <row r="60" spans="1:12" x14ac:dyDescent="0.25">
      <c r="A60" s="81">
        <v>-234417.22805000001</v>
      </c>
      <c r="C60" s="36" t="str">
        <f t="shared" si="51"/>
        <v>(2, 1)</v>
      </c>
      <c r="D60" s="59">
        <f t="shared" si="52"/>
        <v>151843.13959999999</v>
      </c>
      <c r="E60" s="59">
        <f t="shared" si="53"/>
        <v>150442.45135799999</v>
      </c>
      <c r="F60" s="59">
        <f t="shared" si="54"/>
        <v>40000</v>
      </c>
      <c r="G60" s="59">
        <f t="shared" si="55"/>
        <v>160676.05882000001</v>
      </c>
      <c r="H60" s="59">
        <f t="shared" si="56"/>
        <v>40000</v>
      </c>
      <c r="J60" s="34">
        <f t="shared" si="57"/>
        <v>160676.05882000001</v>
      </c>
      <c r="L60" s="34" t="str">
        <f>HLOOKUP(J60,D60:$H$67,N5,FALSE)</f>
        <v>OptNone_BNB</v>
      </c>
    </row>
    <row r="61" spans="1:12" x14ac:dyDescent="0.25">
      <c r="A61" s="81">
        <v>-230614.342076</v>
      </c>
      <c r="C61" s="36" t="str">
        <f t="shared" si="51"/>
        <v>(1, 0)</v>
      </c>
      <c r="D61" s="59">
        <f t="shared" si="52"/>
        <v>155753.3026</v>
      </c>
      <c r="E61" s="59">
        <f t="shared" si="53"/>
        <v>154782.14268799999</v>
      </c>
      <c r="F61" s="59">
        <f t="shared" si="54"/>
        <v>40000</v>
      </c>
      <c r="G61" s="59">
        <f t="shared" si="55"/>
        <v>156936.343204</v>
      </c>
      <c r="H61" s="59">
        <f t="shared" si="56"/>
        <v>40000</v>
      </c>
      <c r="J61" s="34">
        <f t="shared" si="57"/>
        <v>156936.343204</v>
      </c>
      <c r="L61" s="34" t="str">
        <f>HLOOKUP(J61,D61:$H$67,N6,FALSE)</f>
        <v>OptNone_BNB</v>
      </c>
    </row>
    <row r="62" spans="1:12" x14ac:dyDescent="0.25">
      <c r="A62" s="81">
        <v>-113290.170743</v>
      </c>
      <c r="C62" s="36" t="str">
        <f t="shared" si="51"/>
        <v>(1, 1)</v>
      </c>
      <c r="D62" s="59">
        <f t="shared" si="52"/>
        <v>155803.49359999999</v>
      </c>
      <c r="E62" s="59">
        <f t="shared" si="53"/>
        <v>154775.84262800001</v>
      </c>
      <c r="F62" s="59">
        <f t="shared" si="54"/>
        <v>40000</v>
      </c>
      <c r="G62" s="59">
        <f t="shared" si="55"/>
        <v>156982.963648</v>
      </c>
      <c r="H62" s="59">
        <f t="shared" si="56"/>
        <v>40000</v>
      </c>
      <c r="J62" s="34">
        <f t="shared" si="57"/>
        <v>156982.963648</v>
      </c>
      <c r="L62" s="34" t="str">
        <f>HLOOKUP(J62,D62:$H$67,N7,FALSE)</f>
        <v>OptNone_BNB</v>
      </c>
    </row>
    <row r="63" spans="1:12" x14ac:dyDescent="0.25">
      <c r="A63" s="81">
        <v>-111131.77600100001</v>
      </c>
      <c r="C63" s="36" t="str">
        <f t="shared" si="51"/>
        <v>Inspector</v>
      </c>
      <c r="D63" s="59">
        <f t="shared" si="52"/>
        <v>297762.04343000002</v>
      </c>
      <c r="E63" s="59">
        <f t="shared" si="53"/>
        <v>180607.61047799999</v>
      </c>
      <c r="F63" s="59">
        <f t="shared" si="54"/>
        <v>148826.423412</v>
      </c>
      <c r="G63" s="59">
        <f t="shared" si="55"/>
        <v>84144.515738000002</v>
      </c>
      <c r="H63" s="59">
        <f t="shared" si="56"/>
        <v>70000</v>
      </c>
      <c r="J63" s="34">
        <f t="shared" si="57"/>
        <v>297762.04343000002</v>
      </c>
      <c r="L63" s="34" t="str">
        <f>HLOOKUP(J63,D63:$H$67,N8,FALSE)</f>
        <v>OptOpt_EB</v>
      </c>
    </row>
    <row r="64" spans="1:12" x14ac:dyDescent="0.25">
      <c r="A64" s="81">
        <v>180799.70809</v>
      </c>
      <c r="C64" s="36" t="str">
        <f t="shared" si="51"/>
        <v>State</v>
      </c>
      <c r="D64" s="59">
        <f t="shared" si="52"/>
        <v>15079917.464600001</v>
      </c>
      <c r="E64" s="59">
        <f t="shared" si="53"/>
        <v>1090000</v>
      </c>
      <c r="F64" s="59">
        <f t="shared" si="54"/>
        <v>1590000</v>
      </c>
      <c r="G64" s="59">
        <f t="shared" si="55"/>
        <v>2090000</v>
      </c>
      <c r="H64" s="59">
        <f t="shared" si="56"/>
        <v>2590000</v>
      </c>
      <c r="J64" s="34">
        <f t="shared" si="57"/>
        <v>15079917.464600001</v>
      </c>
      <c r="L64" s="34" t="str">
        <f>HLOOKUP(J64,D64:$H$67,N9,FALSE)</f>
        <v>OptOpt_EB</v>
      </c>
    </row>
    <row r="65" spans="1:12" x14ac:dyDescent="0.25">
      <c r="A65" s="81">
        <v>2406367.3168700002</v>
      </c>
      <c r="C65" s="36" t="str">
        <f t="shared" si="51"/>
        <v>LoC</v>
      </c>
      <c r="D65" s="59">
        <f t="shared" si="52"/>
        <v>0.5</v>
      </c>
      <c r="E65" s="59">
        <f t="shared" si="53"/>
        <v>0.5</v>
      </c>
      <c r="F65" s="59">
        <f t="shared" si="54"/>
        <v>0.33333333333333298</v>
      </c>
      <c r="G65" s="59">
        <f t="shared" si="55"/>
        <v>0.16666666666666599</v>
      </c>
      <c r="H65" s="59">
        <f t="shared" si="56"/>
        <v>0</v>
      </c>
    </row>
    <row r="66" spans="1:12" x14ac:dyDescent="0.25">
      <c r="A66" s="81">
        <v>0.5</v>
      </c>
      <c r="D66" s="60"/>
      <c r="E66" s="60"/>
      <c r="F66" s="60"/>
      <c r="G66" s="60"/>
      <c r="H66" s="60"/>
    </row>
    <row r="67" spans="1:12" x14ac:dyDescent="0.25">
      <c r="A67" s="81">
        <v>524388.13</v>
      </c>
      <c r="B67" s="39">
        <v>7</v>
      </c>
      <c r="C67" s="36" t="str">
        <f>A278</f>
        <v>(105001, 447500)</v>
      </c>
      <c r="D67" s="61" t="str">
        <f>D56</f>
        <v>OptOpt_EB</v>
      </c>
      <c r="E67" s="61" t="str">
        <f t="shared" ref="E67:H67" si="58">E56</f>
        <v>OptOpt_BB</v>
      </c>
      <c r="F67" s="61" t="str">
        <f t="shared" si="58"/>
        <v>NoneOpt_NBB</v>
      </c>
      <c r="G67" s="61" t="str">
        <f t="shared" si="58"/>
        <v>OptNone_BNB</v>
      </c>
      <c r="H67" s="61" t="str">
        <f t="shared" si="58"/>
        <v>NoneNone_NBNB</v>
      </c>
      <c r="J67" s="38" t="s">
        <v>19</v>
      </c>
      <c r="K67" s="38"/>
      <c r="L67" s="38" t="s">
        <v>20</v>
      </c>
    </row>
    <row r="68" spans="1:12" x14ac:dyDescent="0.25">
      <c r="A68" s="81">
        <v>524015.25</v>
      </c>
      <c r="B68" s="39" t="s">
        <v>9</v>
      </c>
      <c r="C68" s="36" t="str">
        <f>C57</f>
        <v>(3, 0)</v>
      </c>
      <c r="D68" s="59">
        <f>A279</f>
        <v>-8812375.4600000009</v>
      </c>
      <c r="E68" s="59">
        <f>A288</f>
        <v>515263.92</v>
      </c>
      <c r="F68" s="59">
        <f>A297</f>
        <v>515501.09499999997</v>
      </c>
      <c r="G68" s="59">
        <f>A306</f>
        <v>90000</v>
      </c>
      <c r="H68" s="59">
        <f>A315</f>
        <v>90000</v>
      </c>
      <c r="J68" s="34">
        <f>MAX(D68:H68)</f>
        <v>515501.09499999997</v>
      </c>
      <c r="L68" s="34" t="str">
        <f>HLOOKUP(J68,D68:$H$78,N2,FALSE)</f>
        <v>NoneOpt_NBB</v>
      </c>
    </row>
    <row r="69" spans="1:12" x14ac:dyDescent="0.25">
      <c r="A69" s="81">
        <v>40000</v>
      </c>
      <c r="C69" s="36" t="str">
        <f t="shared" ref="C69:C76" si="59">C58</f>
        <v>(3, 1)</v>
      </c>
      <c r="D69" s="59">
        <f t="shared" ref="D69:D76" si="60">A280</f>
        <v>-6012792.8600000003</v>
      </c>
      <c r="E69" s="59">
        <f t="shared" ref="E69:E76" si="61">A289</f>
        <v>515375.79499999998</v>
      </c>
      <c r="F69" s="59">
        <f t="shared" ref="F69:F76" si="62">A298</f>
        <v>515297.93</v>
      </c>
      <c r="G69" s="59">
        <f t="shared" ref="G69:G76" si="63">A307</f>
        <v>90000</v>
      </c>
      <c r="H69" s="59">
        <f t="shared" ref="H69:H76" si="64">A316</f>
        <v>90000</v>
      </c>
      <c r="J69" s="34">
        <f t="shared" ref="J69:J75" si="65">MAX(D69:H69)</f>
        <v>515375.79499999998</v>
      </c>
      <c r="L69" s="34" t="str">
        <f>HLOOKUP(J69,D69:$H$78,N3,FALSE)</f>
        <v>OptOpt_BB</v>
      </c>
    </row>
    <row r="70" spans="1:12" x14ac:dyDescent="0.25">
      <c r="A70" s="81">
        <v>40000</v>
      </c>
      <c r="C70" s="36" t="str">
        <f t="shared" si="59"/>
        <v>(2, 0)</v>
      </c>
      <c r="D70" s="59">
        <f t="shared" si="60"/>
        <v>151797.49419999999</v>
      </c>
      <c r="E70" s="59">
        <f t="shared" si="61"/>
        <v>150430.90124800001</v>
      </c>
      <c r="F70" s="59">
        <f t="shared" si="62"/>
        <v>40000</v>
      </c>
      <c r="G70" s="59">
        <f t="shared" si="63"/>
        <v>160600.24809800001</v>
      </c>
      <c r="H70" s="59">
        <f t="shared" si="64"/>
        <v>40000</v>
      </c>
      <c r="J70" s="34">
        <f t="shared" si="65"/>
        <v>160600.24809800001</v>
      </c>
      <c r="L70" s="34" t="str">
        <f>HLOOKUP(J70,D70:$H$78,N4,FALSE)</f>
        <v>OptNone_BNB</v>
      </c>
    </row>
    <row r="71" spans="1:12" x14ac:dyDescent="0.25">
      <c r="A71" s="81">
        <v>40000</v>
      </c>
      <c r="C71" s="36" t="str">
        <f t="shared" si="59"/>
        <v>(2, 1)</v>
      </c>
      <c r="D71" s="59">
        <f t="shared" si="60"/>
        <v>151906.96739999999</v>
      </c>
      <c r="E71" s="59">
        <f t="shared" si="61"/>
        <v>150441.19134600001</v>
      </c>
      <c r="F71" s="59">
        <f t="shared" si="62"/>
        <v>40000</v>
      </c>
      <c r="G71" s="59">
        <f t="shared" si="63"/>
        <v>160630.278384</v>
      </c>
      <c r="H71" s="59">
        <f t="shared" si="64"/>
        <v>40000</v>
      </c>
      <c r="J71" s="34">
        <f t="shared" si="65"/>
        <v>160630.278384</v>
      </c>
      <c r="L71" s="34" t="str">
        <f>HLOOKUP(J71,D71:$H$78,N5,FALSE)</f>
        <v>OptNone_BNB</v>
      </c>
    </row>
    <row r="72" spans="1:12" x14ac:dyDescent="0.25">
      <c r="A72" s="81">
        <v>40000</v>
      </c>
      <c r="C72" s="36" t="str">
        <f t="shared" si="59"/>
        <v>(1, 0)</v>
      </c>
      <c r="D72" s="59">
        <f t="shared" si="60"/>
        <v>155797.24340000001</v>
      </c>
      <c r="E72" s="59">
        <f t="shared" si="61"/>
        <v>154785.082716</v>
      </c>
      <c r="F72" s="59">
        <f t="shared" si="62"/>
        <v>40000</v>
      </c>
      <c r="G72" s="59">
        <f t="shared" si="63"/>
        <v>157019.50399600001</v>
      </c>
      <c r="H72" s="59">
        <f t="shared" si="64"/>
        <v>40000</v>
      </c>
      <c r="J72" s="34">
        <f t="shared" si="65"/>
        <v>157019.50399600001</v>
      </c>
      <c r="L72" s="34" t="str">
        <f>HLOOKUP(J72,D72:$H$78,N6,FALSE)</f>
        <v>OptNone_BNB</v>
      </c>
    </row>
    <row r="73" spans="1:12" x14ac:dyDescent="0.25">
      <c r="A73" s="81">
        <v>148760.18315600001</v>
      </c>
      <c r="C73" s="36" t="str">
        <f t="shared" si="59"/>
        <v>(1, 1)</v>
      </c>
      <c r="D73" s="59">
        <f t="shared" si="60"/>
        <v>155798.7586</v>
      </c>
      <c r="E73" s="59">
        <f t="shared" si="61"/>
        <v>154801.67287400001</v>
      </c>
      <c r="F73" s="59">
        <f t="shared" si="62"/>
        <v>40000</v>
      </c>
      <c r="G73" s="59">
        <f t="shared" si="63"/>
        <v>157009.21389799999</v>
      </c>
      <c r="H73" s="59">
        <f t="shared" si="64"/>
        <v>40000</v>
      </c>
      <c r="J73" s="34">
        <f t="shared" si="65"/>
        <v>157009.21389799999</v>
      </c>
      <c r="L73" s="34" t="str">
        <f>HLOOKUP(J73,D73:$H$78,N7,FALSE)</f>
        <v>OptNone_BNB</v>
      </c>
    </row>
    <row r="74" spans="1:12" x14ac:dyDescent="0.25">
      <c r="A74" s="81">
        <v>1590000</v>
      </c>
      <c r="C74" s="36" t="str">
        <f t="shared" si="59"/>
        <v>Inspector</v>
      </c>
      <c r="D74" s="59">
        <f t="shared" si="60"/>
        <v>315102.82319600001</v>
      </c>
      <c r="E74" s="59">
        <f t="shared" si="61"/>
        <v>198439.56558200001</v>
      </c>
      <c r="F74" s="59">
        <f t="shared" si="62"/>
        <v>166315.13341000001</v>
      </c>
      <c r="G74" s="59">
        <f t="shared" si="63"/>
        <v>84137.675623999996</v>
      </c>
      <c r="H74" s="59">
        <f t="shared" si="64"/>
        <v>70000</v>
      </c>
      <c r="J74" s="34">
        <f t="shared" si="65"/>
        <v>315102.82319600001</v>
      </c>
      <c r="L74" s="34" t="str">
        <f>HLOOKUP(J74,D74:$H$78,N8,FALSE)</f>
        <v>OptOpt_EB</v>
      </c>
    </row>
    <row r="75" spans="1:12" x14ac:dyDescent="0.25">
      <c r="A75" s="81">
        <v>0.33333333333333298</v>
      </c>
      <c r="C75" s="36" t="str">
        <f t="shared" si="59"/>
        <v>State</v>
      </c>
      <c r="D75" s="59">
        <f t="shared" si="60"/>
        <v>16830278.566399999</v>
      </c>
      <c r="E75" s="59">
        <f t="shared" si="61"/>
        <v>1090000</v>
      </c>
      <c r="F75" s="59">
        <f t="shared" si="62"/>
        <v>1590000</v>
      </c>
      <c r="G75" s="59">
        <f t="shared" si="63"/>
        <v>2090000</v>
      </c>
      <c r="H75" s="59">
        <f t="shared" si="64"/>
        <v>2590000</v>
      </c>
      <c r="J75" s="34">
        <f t="shared" si="65"/>
        <v>16830278.566399999</v>
      </c>
      <c r="L75" s="34" t="str">
        <f>HLOOKUP(J75,D75:$H$78,N9,FALSE)</f>
        <v>OptOpt_EB</v>
      </c>
    </row>
    <row r="76" spans="1:12" x14ac:dyDescent="0.25">
      <c r="A76" s="81">
        <v>90000</v>
      </c>
      <c r="C76" s="36" t="str">
        <f t="shared" si="59"/>
        <v>LoC</v>
      </c>
      <c r="D76" s="59">
        <f t="shared" si="60"/>
        <v>0.5</v>
      </c>
      <c r="E76" s="59">
        <f t="shared" si="61"/>
        <v>0.5</v>
      </c>
      <c r="F76" s="59">
        <f t="shared" si="62"/>
        <v>0.33333333333333298</v>
      </c>
      <c r="G76" s="59">
        <f t="shared" si="63"/>
        <v>0.16666666666666599</v>
      </c>
      <c r="H76" s="59">
        <f t="shared" si="64"/>
        <v>0</v>
      </c>
    </row>
    <row r="77" spans="1:12" x14ac:dyDescent="0.25">
      <c r="A77" s="81">
        <v>90000</v>
      </c>
      <c r="D77" s="60"/>
      <c r="E77" s="60"/>
      <c r="F77" s="60"/>
      <c r="G77" s="60"/>
      <c r="H77" s="60"/>
    </row>
    <row r="78" spans="1:12" x14ac:dyDescent="0.25">
      <c r="A78" s="81">
        <v>46174.088409999997</v>
      </c>
      <c r="B78" s="39">
        <v>8</v>
      </c>
      <c r="C78" s="36" t="str">
        <f>A324</f>
        <v>(105001, 500000)</v>
      </c>
      <c r="D78" s="61" t="str">
        <f>D67</f>
        <v>OptOpt_EB</v>
      </c>
      <c r="E78" s="61" t="str">
        <f t="shared" ref="E78:H78" si="66">E67</f>
        <v>OptOpt_BB</v>
      </c>
      <c r="F78" s="61" t="str">
        <f t="shared" si="66"/>
        <v>NoneOpt_NBB</v>
      </c>
      <c r="G78" s="61" t="str">
        <f t="shared" si="66"/>
        <v>OptNone_BNB</v>
      </c>
      <c r="H78" s="61" t="str">
        <f t="shared" si="66"/>
        <v>NoneNone_NBNB</v>
      </c>
      <c r="J78" s="38" t="s">
        <v>19</v>
      </c>
      <c r="K78" s="38"/>
      <c r="L78" s="38" t="s">
        <v>20</v>
      </c>
    </row>
    <row r="79" spans="1:12" x14ac:dyDescent="0.25">
      <c r="A79" s="81">
        <v>46505.270671999999</v>
      </c>
      <c r="B79" s="39" t="s">
        <v>11</v>
      </c>
      <c r="C79" s="36" t="str">
        <f>C68</f>
        <v>(3, 0)</v>
      </c>
      <c r="D79" s="59">
        <f>A325</f>
        <v>368009</v>
      </c>
      <c r="E79" s="59">
        <f>A334</f>
        <v>507415</v>
      </c>
      <c r="F79" s="59">
        <f>A343</f>
        <v>506794</v>
      </c>
      <c r="G79" s="59">
        <f>A352</f>
        <v>90000</v>
      </c>
      <c r="H79" s="59">
        <f>A361</f>
        <v>90000</v>
      </c>
      <c r="J79" s="34">
        <f>MAX(D79:H79)</f>
        <v>507415</v>
      </c>
      <c r="L79" s="34" t="str">
        <f>HLOOKUP(J79,D79:$H$89,N2,FALSE)</f>
        <v>OptOpt_BB</v>
      </c>
    </row>
    <row r="80" spans="1:12" x14ac:dyDescent="0.25">
      <c r="A80" s="81">
        <v>-50713.853342000002</v>
      </c>
      <c r="C80" s="36" t="str">
        <f t="shared" ref="C80:C87" si="67">C69</f>
        <v>(3, 1)</v>
      </c>
      <c r="D80" s="59">
        <f t="shared" ref="D80:D87" si="68">A326</f>
        <v>409387</v>
      </c>
      <c r="E80" s="59">
        <f t="shared" ref="E80:E87" si="69">A335</f>
        <v>506573</v>
      </c>
      <c r="F80" s="59">
        <f t="shared" ref="F80:F87" si="70">A344</f>
        <v>506169</v>
      </c>
      <c r="G80" s="59">
        <f t="shared" ref="G80:G87" si="71">A353</f>
        <v>90000</v>
      </c>
      <c r="H80" s="59">
        <f t="shared" ref="H80:H87" si="72">A362</f>
        <v>90000</v>
      </c>
      <c r="J80" s="34">
        <f t="shared" ref="J80:J86" si="73">MAX(D80:H80)</f>
        <v>506573</v>
      </c>
      <c r="L80" s="34" t="str">
        <f>HLOOKUP(J80,D80:$H$89,N3,FALSE)</f>
        <v>OptOpt_BB</v>
      </c>
    </row>
    <row r="81" spans="1:12" x14ac:dyDescent="0.25">
      <c r="A81" s="81">
        <v>-52324.084340000001</v>
      </c>
      <c r="C81" s="36" t="str">
        <f t="shared" si="67"/>
        <v>(2, 0)</v>
      </c>
      <c r="D81" s="59">
        <f t="shared" si="68"/>
        <v>165000</v>
      </c>
      <c r="E81" s="59">
        <f t="shared" si="69"/>
        <v>150488.441796</v>
      </c>
      <c r="F81" s="59">
        <f t="shared" si="70"/>
        <v>40000</v>
      </c>
      <c r="G81" s="59">
        <f t="shared" si="71"/>
        <v>160584.07794399999</v>
      </c>
      <c r="H81" s="59">
        <f t="shared" si="72"/>
        <v>40000</v>
      </c>
      <c r="J81" s="34">
        <f t="shared" si="73"/>
        <v>165000</v>
      </c>
      <c r="L81" s="34" t="str">
        <f>HLOOKUP(J81,D81:$H$89,N4,FALSE)</f>
        <v>OptOpt_EB</v>
      </c>
    </row>
    <row r="82" spans="1:12" x14ac:dyDescent="0.25">
      <c r="A82" s="81">
        <v>84088</v>
      </c>
      <c r="C82" s="36" t="str">
        <f t="shared" si="67"/>
        <v>(2, 1)</v>
      </c>
      <c r="D82" s="59">
        <f t="shared" si="68"/>
        <v>165000</v>
      </c>
      <c r="E82" s="59">
        <f t="shared" si="69"/>
        <v>150356.77054200001</v>
      </c>
      <c r="F82" s="59">
        <f t="shared" si="70"/>
        <v>40000</v>
      </c>
      <c r="G82" s="59">
        <f t="shared" si="71"/>
        <v>160609.278184</v>
      </c>
      <c r="H82" s="59">
        <f t="shared" si="72"/>
        <v>40000</v>
      </c>
      <c r="J82" s="34">
        <f t="shared" si="73"/>
        <v>165000</v>
      </c>
      <c r="L82" s="34" t="str">
        <f>HLOOKUP(J82,D82:$H$89,N5,FALSE)</f>
        <v>OptOpt_EB</v>
      </c>
    </row>
    <row r="83" spans="1:12" x14ac:dyDescent="0.25">
      <c r="A83" s="81">
        <v>2743922.5786000001</v>
      </c>
      <c r="C83" s="36" t="str">
        <f t="shared" si="67"/>
        <v>(1, 0)</v>
      </c>
      <c r="D83" s="59">
        <f t="shared" si="68"/>
        <v>165000</v>
      </c>
      <c r="E83" s="59">
        <f t="shared" si="69"/>
        <v>154766.812542</v>
      </c>
      <c r="F83" s="59">
        <f t="shared" si="70"/>
        <v>40000</v>
      </c>
      <c r="G83" s="59">
        <f t="shared" si="71"/>
        <v>157052.26430800001</v>
      </c>
      <c r="H83" s="59">
        <f t="shared" si="72"/>
        <v>40000</v>
      </c>
      <c r="J83" s="34">
        <f t="shared" si="73"/>
        <v>165000</v>
      </c>
      <c r="L83" s="34" t="str">
        <f>HLOOKUP(J83,D83:$H$89,N6,FALSE)</f>
        <v>OptOpt_EB</v>
      </c>
    </row>
    <row r="84" spans="1:12" x14ac:dyDescent="0.25">
      <c r="A84" s="81">
        <v>0.16666666666666599</v>
      </c>
      <c r="C84" s="36" t="str">
        <f t="shared" si="67"/>
        <v>(1, 1)</v>
      </c>
      <c r="D84" s="59">
        <f t="shared" si="68"/>
        <v>165000</v>
      </c>
      <c r="E84" s="59">
        <f t="shared" si="69"/>
        <v>154763.66251200001</v>
      </c>
      <c r="F84" s="59">
        <f t="shared" si="70"/>
        <v>40000</v>
      </c>
      <c r="G84" s="59">
        <f t="shared" si="71"/>
        <v>156994.30375600001</v>
      </c>
      <c r="H84" s="59">
        <f t="shared" si="72"/>
        <v>40000</v>
      </c>
      <c r="J84" s="34">
        <f t="shared" si="73"/>
        <v>165000</v>
      </c>
      <c r="L84" s="34" t="str">
        <f>HLOOKUP(J84,D84:$H$89,N7,FALSE)</f>
        <v>OptOpt_EB</v>
      </c>
    </row>
    <row r="85" spans="1:12" x14ac:dyDescent="0.25">
      <c r="A85" s="81">
        <v>90000</v>
      </c>
      <c r="C85" s="36" t="str">
        <f t="shared" si="67"/>
        <v>Inspector</v>
      </c>
      <c r="D85" s="59">
        <f t="shared" si="68"/>
        <v>332590.59520799998</v>
      </c>
      <c r="E85" s="59">
        <f t="shared" si="69"/>
        <v>215395.74463199999</v>
      </c>
      <c r="F85" s="59">
        <f t="shared" si="70"/>
        <v>184063.45907400001</v>
      </c>
      <c r="G85" s="59">
        <f t="shared" si="71"/>
        <v>84148.715807999994</v>
      </c>
      <c r="H85" s="59">
        <f t="shared" si="72"/>
        <v>70000</v>
      </c>
      <c r="J85" s="34">
        <f t="shared" si="73"/>
        <v>332590.59520799998</v>
      </c>
      <c r="L85" s="34" t="str">
        <f>HLOOKUP(J85,D85:$H$89,N8,FALSE)</f>
        <v>OptOpt_EB</v>
      </c>
    </row>
    <row r="86" spans="1:12" x14ac:dyDescent="0.25">
      <c r="A86" s="81">
        <v>90000</v>
      </c>
      <c r="C86" s="36" t="str">
        <f t="shared" si="67"/>
        <v>State</v>
      </c>
      <c r="D86" s="59">
        <f t="shared" si="68"/>
        <v>1090000</v>
      </c>
      <c r="E86" s="59">
        <f t="shared" si="69"/>
        <v>1090000</v>
      </c>
      <c r="F86" s="59">
        <f t="shared" si="70"/>
        <v>1590000</v>
      </c>
      <c r="G86" s="59">
        <f t="shared" si="71"/>
        <v>2090000</v>
      </c>
      <c r="H86" s="59">
        <f t="shared" si="72"/>
        <v>2590000</v>
      </c>
      <c r="J86" s="34">
        <f t="shared" si="73"/>
        <v>2590000</v>
      </c>
      <c r="L86" s="34" t="str">
        <f>HLOOKUP(J86,D86:$H$89,N9,FALSE)</f>
        <v>NoneNone_NBNB</v>
      </c>
    </row>
    <row r="87" spans="1:12" x14ac:dyDescent="0.25">
      <c r="A87" s="81">
        <v>40000</v>
      </c>
      <c r="C87" s="36" t="str">
        <f t="shared" si="67"/>
        <v>LoC</v>
      </c>
      <c r="D87" s="59">
        <f t="shared" si="68"/>
        <v>0.5</v>
      </c>
      <c r="E87" s="59">
        <f t="shared" si="69"/>
        <v>0.5</v>
      </c>
      <c r="F87" s="59">
        <f t="shared" si="70"/>
        <v>0.33333333333333298</v>
      </c>
      <c r="G87" s="59">
        <f t="shared" si="71"/>
        <v>0.16666666666666599</v>
      </c>
      <c r="H87" s="59">
        <f t="shared" si="72"/>
        <v>0</v>
      </c>
    </row>
    <row r="88" spans="1:12" x14ac:dyDescent="0.25">
      <c r="A88" s="81">
        <v>40000</v>
      </c>
      <c r="D88" s="60"/>
      <c r="E88" s="60"/>
      <c r="F88" s="60"/>
      <c r="G88" s="60"/>
      <c r="H88" s="60"/>
    </row>
    <row r="89" spans="1:12" x14ac:dyDescent="0.25">
      <c r="A89" s="81">
        <v>40000</v>
      </c>
      <c r="B89" s="39">
        <v>9</v>
      </c>
      <c r="C89" s="36">
        <f>A370</f>
        <v>0</v>
      </c>
      <c r="D89" s="61" t="str">
        <f>D78</f>
        <v>OptOpt_EB</v>
      </c>
      <c r="E89" s="61" t="str">
        <f t="shared" ref="E89:H89" si="74">E78</f>
        <v>OptOpt_BB</v>
      </c>
      <c r="F89" s="61" t="str">
        <f t="shared" si="74"/>
        <v>NoneOpt_NBB</v>
      </c>
      <c r="G89" s="61" t="str">
        <f t="shared" si="74"/>
        <v>OptNone_BNB</v>
      </c>
      <c r="H89" s="61" t="str">
        <f t="shared" si="74"/>
        <v>NoneNone_NBNB</v>
      </c>
      <c r="J89" s="38" t="s">
        <v>19</v>
      </c>
      <c r="K89" s="38"/>
      <c r="L89" s="38" t="s">
        <v>20</v>
      </c>
    </row>
    <row r="90" spans="1:12" x14ac:dyDescent="0.25">
      <c r="A90" s="81">
        <v>40000</v>
      </c>
      <c r="B90" s="39" t="s">
        <v>11</v>
      </c>
      <c r="C90" s="36" t="str">
        <f>C79</f>
        <v>(3, 0)</v>
      </c>
      <c r="D90" s="59" t="str">
        <f>A371</f>
        <v>Process finished with exit code 0</v>
      </c>
      <c r="E90" s="59">
        <f>A380</f>
        <v>0</v>
      </c>
      <c r="F90" s="59">
        <f>A389</f>
        <v>0</v>
      </c>
      <c r="G90" s="59">
        <f>A398</f>
        <v>0</v>
      </c>
      <c r="H90" s="59">
        <f>A407</f>
        <v>0</v>
      </c>
      <c r="J90" s="34">
        <f>MAX(D90:H90)</f>
        <v>0</v>
      </c>
      <c r="L90" s="34" t="str">
        <f>HLOOKUP(J90,D90:$H$100,N2,FALSE)</f>
        <v>OptOpt_BB</v>
      </c>
    </row>
    <row r="91" spans="1:12" x14ac:dyDescent="0.25">
      <c r="A91" s="81">
        <v>70000</v>
      </c>
      <c r="C91" s="36" t="str">
        <f t="shared" ref="C91:C98" si="75">C80</f>
        <v>(3, 1)</v>
      </c>
      <c r="D91" s="59">
        <f t="shared" ref="D91:D98" si="76">A372</f>
        <v>0</v>
      </c>
      <c r="E91" s="59">
        <f t="shared" ref="E91:E98" si="77">A381</f>
        <v>0</v>
      </c>
      <c r="F91" s="59">
        <f t="shared" ref="F91:F98" si="78">A390</f>
        <v>0</v>
      </c>
      <c r="G91" s="59">
        <f t="shared" ref="G91:G98" si="79">A399</f>
        <v>0</v>
      </c>
      <c r="H91" s="59">
        <f t="shared" ref="H91:H98" si="80">A408</f>
        <v>0</v>
      </c>
      <c r="J91" s="34">
        <f t="shared" ref="J91:J97" si="81">MAX(D91:H91)</f>
        <v>0</v>
      </c>
      <c r="L91" s="34" t="str">
        <f>HLOOKUP(J91,D91:$H$100,N3,FALSE)</f>
        <v>OptOpt_EB</v>
      </c>
    </row>
    <row r="92" spans="1:12" x14ac:dyDescent="0.25">
      <c r="A92" s="81">
        <v>2590000</v>
      </c>
      <c r="C92" s="36" t="str">
        <f t="shared" si="75"/>
        <v>(2, 0)</v>
      </c>
      <c r="D92" s="59">
        <f t="shared" si="76"/>
        <v>0</v>
      </c>
      <c r="E92" s="59">
        <f t="shared" si="77"/>
        <v>0</v>
      </c>
      <c r="F92" s="59">
        <f t="shared" si="78"/>
        <v>0</v>
      </c>
      <c r="G92" s="59">
        <f t="shared" si="79"/>
        <v>0</v>
      </c>
      <c r="H92" s="59">
        <f t="shared" si="80"/>
        <v>0</v>
      </c>
      <c r="J92" s="34">
        <f t="shared" si="81"/>
        <v>0</v>
      </c>
      <c r="L92" s="34" t="str">
        <f>HLOOKUP(J92,D92:$H$100,N4,FALSE)</f>
        <v>OptOpt_EB</v>
      </c>
    </row>
    <row r="93" spans="1:12" x14ac:dyDescent="0.25">
      <c r="A93" s="81">
        <v>0</v>
      </c>
      <c r="C93" s="36" t="str">
        <f t="shared" si="75"/>
        <v>(2, 1)</v>
      </c>
      <c r="D93" s="59">
        <f t="shared" si="76"/>
        <v>0</v>
      </c>
      <c r="E93" s="59">
        <f t="shared" si="77"/>
        <v>0</v>
      </c>
      <c r="F93" s="59">
        <f t="shared" si="78"/>
        <v>0</v>
      </c>
      <c r="G93" s="59">
        <f t="shared" si="79"/>
        <v>0</v>
      </c>
      <c r="H93" s="59">
        <f t="shared" si="80"/>
        <v>0</v>
      </c>
      <c r="J93" s="34">
        <f t="shared" si="81"/>
        <v>0</v>
      </c>
      <c r="L93" s="34" t="str">
        <f>HLOOKUP(J93,D93:$H$100,N5,FALSE)</f>
        <v>OptOpt_EB</v>
      </c>
    </row>
    <row r="94" spans="1:12" x14ac:dyDescent="0.25">
      <c r="A94" s="79" t="s">
        <v>269</v>
      </c>
      <c r="C94" s="36" t="str">
        <f t="shared" si="75"/>
        <v>(1, 0)</v>
      </c>
      <c r="D94" s="59">
        <f t="shared" si="76"/>
        <v>0</v>
      </c>
      <c r="E94" s="59">
        <f t="shared" si="77"/>
        <v>0</v>
      </c>
      <c r="F94" s="59">
        <f t="shared" si="78"/>
        <v>0</v>
      </c>
      <c r="G94" s="59">
        <f t="shared" si="79"/>
        <v>0</v>
      </c>
      <c r="H94" s="59">
        <f t="shared" si="80"/>
        <v>0</v>
      </c>
      <c r="J94" s="34">
        <f t="shared" si="81"/>
        <v>0</v>
      </c>
      <c r="L94" s="34" t="str">
        <f>HLOOKUP(J94,D94:$H$100,N6,FALSE)</f>
        <v>OptOpt_EB</v>
      </c>
    </row>
    <row r="95" spans="1:12" x14ac:dyDescent="0.25">
      <c r="A95" s="81">
        <v>-8811470.9100000001</v>
      </c>
      <c r="C95" s="36" t="str">
        <f t="shared" si="75"/>
        <v>(1, 1)</v>
      </c>
      <c r="D95" s="59">
        <f t="shared" si="76"/>
        <v>0</v>
      </c>
      <c r="E95" s="59">
        <f t="shared" si="77"/>
        <v>0</v>
      </c>
      <c r="F95" s="59">
        <f t="shared" si="78"/>
        <v>0</v>
      </c>
      <c r="G95" s="59">
        <f t="shared" si="79"/>
        <v>0</v>
      </c>
      <c r="H95" s="59">
        <f t="shared" si="80"/>
        <v>0</v>
      </c>
      <c r="J95" s="34">
        <f t="shared" si="81"/>
        <v>0</v>
      </c>
      <c r="L95" s="34" t="str">
        <f>HLOOKUP(J95,D95:$H$100,N7,FALSE)</f>
        <v>OptOpt_EB</v>
      </c>
    </row>
    <row r="96" spans="1:12" x14ac:dyDescent="0.25">
      <c r="A96" s="81">
        <v>-6002427.2149999999</v>
      </c>
      <c r="C96" s="36" t="str">
        <f t="shared" si="75"/>
        <v>Inspector</v>
      </c>
      <c r="D96" s="59">
        <f t="shared" si="76"/>
        <v>0</v>
      </c>
      <c r="E96" s="59">
        <f t="shared" si="77"/>
        <v>0</v>
      </c>
      <c r="F96" s="59">
        <f t="shared" si="78"/>
        <v>0</v>
      </c>
      <c r="G96" s="59">
        <f t="shared" si="79"/>
        <v>0</v>
      </c>
      <c r="H96" s="59">
        <f t="shared" si="80"/>
        <v>0</v>
      </c>
      <c r="J96" s="34">
        <f t="shared" si="81"/>
        <v>0</v>
      </c>
      <c r="L96" s="34" t="str">
        <f>HLOOKUP(J96,D96:$H$100,N8,FALSE)</f>
        <v>OptOpt_EB</v>
      </c>
    </row>
    <row r="97" spans="1:12" x14ac:dyDescent="0.25">
      <c r="A97" s="81">
        <v>151891.81539999999</v>
      </c>
      <c r="C97" s="36" t="str">
        <f t="shared" si="75"/>
        <v>State</v>
      </c>
      <c r="D97" s="59">
        <f t="shared" si="76"/>
        <v>0</v>
      </c>
      <c r="E97" s="59">
        <f t="shared" si="77"/>
        <v>0</v>
      </c>
      <c r="F97" s="59">
        <f t="shared" si="78"/>
        <v>0</v>
      </c>
      <c r="G97" s="59">
        <f t="shared" si="79"/>
        <v>0</v>
      </c>
      <c r="H97" s="59">
        <f t="shared" si="80"/>
        <v>0</v>
      </c>
      <c r="J97" s="34">
        <f t="shared" si="81"/>
        <v>0</v>
      </c>
      <c r="L97" s="34" t="str">
        <f>HLOOKUP(J97,D97:$H$100,N9,FALSE)</f>
        <v>OptOpt_EB</v>
      </c>
    </row>
    <row r="98" spans="1:12" x14ac:dyDescent="0.25">
      <c r="A98" s="81">
        <v>151814.54019999999</v>
      </c>
      <c r="C98" s="36" t="str">
        <f t="shared" si="75"/>
        <v>LoC</v>
      </c>
      <c r="D98" s="59">
        <f t="shared" si="76"/>
        <v>0</v>
      </c>
      <c r="E98" s="59">
        <f t="shared" si="77"/>
        <v>0</v>
      </c>
      <c r="F98" s="59">
        <f t="shared" si="78"/>
        <v>0</v>
      </c>
      <c r="G98" s="59">
        <f t="shared" si="79"/>
        <v>0</v>
      </c>
      <c r="H98" s="59">
        <f t="shared" si="80"/>
        <v>0</v>
      </c>
    </row>
    <row r="99" spans="1:12" x14ac:dyDescent="0.25">
      <c r="A99" s="81">
        <v>155809.17559999999</v>
      </c>
      <c r="D99" s="60"/>
      <c r="E99" s="60"/>
      <c r="F99" s="60"/>
      <c r="G99" s="60"/>
      <c r="H99" s="60"/>
    </row>
    <row r="100" spans="1:12" x14ac:dyDescent="0.25">
      <c r="A100" s="81">
        <v>155817.13039999999</v>
      </c>
      <c r="B100" s="39">
        <v>10</v>
      </c>
      <c r="C100" s="36">
        <f>A416</f>
        <v>0</v>
      </c>
      <c r="D100" s="61" t="str">
        <f>D89</f>
        <v>OptOpt_EB</v>
      </c>
      <c r="E100" s="61" t="str">
        <f t="shared" ref="E100:H100" si="82">E89</f>
        <v>OptOpt_BB</v>
      </c>
      <c r="F100" s="61" t="str">
        <f t="shared" si="82"/>
        <v>NoneOpt_NBB</v>
      </c>
      <c r="G100" s="61" t="str">
        <f t="shared" si="82"/>
        <v>OptNone_BNB</v>
      </c>
      <c r="H100" s="61" t="str">
        <f t="shared" si="82"/>
        <v>NoneNone_NBNB</v>
      </c>
      <c r="J100" s="38" t="s">
        <v>19</v>
      </c>
      <c r="K100" s="38"/>
      <c r="L100" s="38" t="s">
        <v>20</v>
      </c>
    </row>
    <row r="101" spans="1:12" x14ac:dyDescent="0.25">
      <c r="A101" s="81">
        <v>315099.673534</v>
      </c>
      <c r="B101" s="39" t="s">
        <v>11</v>
      </c>
      <c r="C101" s="36" t="str">
        <f>C90</f>
        <v>(3, 0)</v>
      </c>
      <c r="D101" s="59">
        <f>A417</f>
        <v>0</v>
      </c>
      <c r="E101" s="59">
        <f>A426</f>
        <v>0</v>
      </c>
      <c r="F101" s="59">
        <f>A435</f>
        <v>0</v>
      </c>
      <c r="G101" s="59">
        <f>A444</f>
        <v>0</v>
      </c>
      <c r="H101" s="59">
        <f>A453</f>
        <v>0</v>
      </c>
      <c r="J101" s="34">
        <f>MAX(D101:H101)</f>
        <v>0</v>
      </c>
      <c r="L101" s="34" t="str">
        <f>HLOOKUP(J101,D101:$H$111,N2,FALSE)</f>
        <v>OptOpt_EB</v>
      </c>
    </row>
    <row r="102" spans="1:12" x14ac:dyDescent="0.25">
      <c r="A102" s="81">
        <v>16818940.518399999</v>
      </c>
      <c r="C102" s="36" t="str">
        <f t="shared" ref="C102:C109" si="83">C91</f>
        <v>(3, 1)</v>
      </c>
      <c r="D102" s="59">
        <f t="shared" ref="D102:D109" si="84">A418</f>
        <v>0</v>
      </c>
      <c r="E102" s="59">
        <f t="shared" ref="E102:E109" si="85">A427</f>
        <v>0</v>
      </c>
      <c r="F102" s="59">
        <f t="shared" ref="F102:F109" si="86">A436</f>
        <v>0</v>
      </c>
      <c r="G102" s="59">
        <f t="shared" ref="G102:G109" si="87">A445</f>
        <v>0</v>
      </c>
      <c r="H102" s="59">
        <f t="shared" ref="H102:H109" si="88">A454</f>
        <v>0</v>
      </c>
      <c r="J102" s="34">
        <f t="shared" ref="J102:J108" si="89">MAX(D102:H102)</f>
        <v>0</v>
      </c>
      <c r="L102" s="34" t="str">
        <f>HLOOKUP(J102,D102:$H$111,N3,FALSE)</f>
        <v>OptOpt_EB</v>
      </c>
    </row>
    <row r="103" spans="1:12" x14ac:dyDescent="0.25">
      <c r="A103" s="81">
        <v>0.5</v>
      </c>
      <c r="C103" s="36" t="str">
        <f t="shared" si="83"/>
        <v>(2, 0)</v>
      </c>
      <c r="D103" s="59">
        <f t="shared" si="84"/>
        <v>0</v>
      </c>
      <c r="E103" s="59">
        <f t="shared" si="85"/>
        <v>0</v>
      </c>
      <c r="F103" s="59">
        <f t="shared" si="86"/>
        <v>0</v>
      </c>
      <c r="G103" s="59">
        <f t="shared" si="87"/>
        <v>0</v>
      </c>
      <c r="H103" s="59">
        <f t="shared" si="88"/>
        <v>0</v>
      </c>
      <c r="J103" s="34">
        <f t="shared" si="89"/>
        <v>0</v>
      </c>
      <c r="L103" s="34" t="str">
        <f>HLOOKUP(J103,D103:$H$111,N4,FALSE)</f>
        <v>OptOpt_EB</v>
      </c>
    </row>
    <row r="104" spans="1:12" x14ac:dyDescent="0.25">
      <c r="A104" s="81">
        <v>515471.56</v>
      </c>
      <c r="C104" s="36" t="str">
        <f t="shared" si="83"/>
        <v>(2, 1)</v>
      </c>
      <c r="D104" s="59">
        <f t="shared" si="84"/>
        <v>0</v>
      </c>
      <c r="E104" s="59">
        <f t="shared" si="85"/>
        <v>0</v>
      </c>
      <c r="F104" s="59">
        <f t="shared" si="86"/>
        <v>0</v>
      </c>
      <c r="G104" s="59">
        <f t="shared" si="87"/>
        <v>0</v>
      </c>
      <c r="H104" s="59">
        <f t="shared" si="88"/>
        <v>0</v>
      </c>
      <c r="J104" s="34">
        <f t="shared" si="89"/>
        <v>0</v>
      </c>
      <c r="L104" s="34" t="str">
        <f>HLOOKUP(J104,D104:$H$111,N5,FALSE)</f>
        <v>OptOpt_EB</v>
      </c>
    </row>
    <row r="105" spans="1:12" x14ac:dyDescent="0.25">
      <c r="A105" s="81">
        <v>515341.78499999997</v>
      </c>
      <c r="C105" s="36" t="str">
        <f t="shared" si="83"/>
        <v>(1, 0)</v>
      </c>
      <c r="D105" s="59">
        <f t="shared" si="84"/>
        <v>0</v>
      </c>
      <c r="E105" s="59">
        <f t="shared" si="85"/>
        <v>0</v>
      </c>
      <c r="F105" s="59">
        <f t="shared" si="86"/>
        <v>0</v>
      </c>
      <c r="G105" s="59">
        <f t="shared" si="87"/>
        <v>0</v>
      </c>
      <c r="H105" s="59">
        <f t="shared" si="88"/>
        <v>0</v>
      </c>
      <c r="J105" s="34">
        <f t="shared" si="89"/>
        <v>0</v>
      </c>
      <c r="L105" s="34" t="str">
        <f>HLOOKUP(J105,D105:$H$111,N6,FALSE)</f>
        <v>OptOpt_EB</v>
      </c>
    </row>
    <row r="106" spans="1:12" x14ac:dyDescent="0.25">
      <c r="A106" s="81">
        <v>-230934.10425999999</v>
      </c>
      <c r="C106" s="36" t="str">
        <f t="shared" si="83"/>
        <v>(1, 1)</v>
      </c>
      <c r="D106" s="59">
        <f t="shared" si="84"/>
        <v>0</v>
      </c>
      <c r="E106" s="59">
        <f t="shared" si="85"/>
        <v>0</v>
      </c>
      <c r="F106" s="59">
        <f t="shared" si="86"/>
        <v>0</v>
      </c>
      <c r="G106" s="59">
        <f t="shared" si="87"/>
        <v>0</v>
      </c>
      <c r="H106" s="59">
        <f t="shared" si="88"/>
        <v>0</v>
      </c>
      <c r="J106" s="34">
        <f t="shared" si="89"/>
        <v>0</v>
      </c>
      <c r="L106" s="34" t="str">
        <f>HLOOKUP(J106,D106:$H$111,N7,FALSE)</f>
        <v>OptOpt_EB</v>
      </c>
    </row>
    <row r="107" spans="1:12" x14ac:dyDescent="0.25">
      <c r="A107" s="81">
        <v>-230974.07453300001</v>
      </c>
      <c r="C107" s="36" t="str">
        <f t="shared" si="83"/>
        <v>Inspector</v>
      </c>
      <c r="D107" s="59">
        <f t="shared" si="84"/>
        <v>0</v>
      </c>
      <c r="E107" s="59">
        <f t="shared" si="85"/>
        <v>0</v>
      </c>
      <c r="F107" s="59">
        <f t="shared" si="86"/>
        <v>0</v>
      </c>
      <c r="G107" s="59">
        <f t="shared" si="87"/>
        <v>0</v>
      </c>
      <c r="H107" s="59">
        <f t="shared" si="88"/>
        <v>0</v>
      </c>
      <c r="J107" s="34">
        <f t="shared" si="89"/>
        <v>0</v>
      </c>
      <c r="L107" s="34" t="str">
        <f>HLOOKUP(J107,D107:$H$111,N8,FALSE)</f>
        <v>OptOpt_EB</v>
      </c>
    </row>
    <row r="108" spans="1:12" x14ac:dyDescent="0.25">
      <c r="A108" s="81">
        <v>-113741.26382399999</v>
      </c>
      <c r="C108" s="36" t="str">
        <f t="shared" si="83"/>
        <v>State</v>
      </c>
      <c r="D108" s="59">
        <f t="shared" si="84"/>
        <v>0</v>
      </c>
      <c r="E108" s="59">
        <f t="shared" si="85"/>
        <v>0</v>
      </c>
      <c r="F108" s="59">
        <f t="shared" si="86"/>
        <v>0</v>
      </c>
      <c r="G108" s="59">
        <f t="shared" si="87"/>
        <v>0</v>
      </c>
      <c r="H108" s="59">
        <f t="shared" si="88"/>
        <v>0</v>
      </c>
      <c r="J108" s="34">
        <f t="shared" si="89"/>
        <v>0</v>
      </c>
      <c r="L108" s="34" t="str">
        <f>HLOOKUP(J108,D108:$H$111,N9,FALSE)</f>
        <v>OptOpt_EB</v>
      </c>
    </row>
    <row r="109" spans="1:12" x14ac:dyDescent="0.25">
      <c r="A109" s="81">
        <v>-112930.438286</v>
      </c>
      <c r="C109" s="36" t="str">
        <f t="shared" si="83"/>
        <v>LoC</v>
      </c>
      <c r="D109" s="59">
        <f t="shared" si="84"/>
        <v>0</v>
      </c>
      <c r="E109" s="59">
        <f t="shared" si="85"/>
        <v>0</v>
      </c>
      <c r="F109" s="59">
        <f t="shared" si="86"/>
        <v>0</v>
      </c>
      <c r="G109" s="59">
        <f t="shared" si="87"/>
        <v>0</v>
      </c>
      <c r="H109" s="59">
        <f t="shared" si="88"/>
        <v>0</v>
      </c>
    </row>
    <row r="110" spans="1:12" x14ac:dyDescent="0.25">
      <c r="A110" s="81">
        <v>198354.973378</v>
      </c>
      <c r="D110" s="60"/>
      <c r="E110" s="60"/>
      <c r="F110" s="60"/>
      <c r="G110" s="60"/>
      <c r="H110" s="60"/>
    </row>
    <row r="111" spans="1:12" x14ac:dyDescent="0.25">
      <c r="A111" s="81">
        <v>2405515.1009030002</v>
      </c>
      <c r="B111" s="39">
        <v>11</v>
      </c>
      <c r="C111" s="36">
        <f>A462</f>
        <v>0</v>
      </c>
      <c r="D111" s="61" t="str">
        <f>D100</f>
        <v>OptOpt_EB</v>
      </c>
      <c r="E111" s="61" t="str">
        <f t="shared" ref="E111:H111" si="90">E100</f>
        <v>OptOpt_BB</v>
      </c>
      <c r="F111" s="61" t="str">
        <f t="shared" si="90"/>
        <v>NoneOpt_NBB</v>
      </c>
      <c r="G111" s="61" t="str">
        <f t="shared" si="90"/>
        <v>OptNone_BNB</v>
      </c>
      <c r="H111" s="61" t="str">
        <f t="shared" si="90"/>
        <v>NoneNone_NBNB</v>
      </c>
      <c r="J111" s="38" t="s">
        <v>19</v>
      </c>
      <c r="K111" s="38"/>
      <c r="L111" s="38" t="s">
        <v>20</v>
      </c>
    </row>
    <row r="112" spans="1:12" x14ac:dyDescent="0.25">
      <c r="A112" s="81">
        <v>0.5</v>
      </c>
      <c r="C112" s="36" t="str">
        <f>C101</f>
        <v>(3, 0)</v>
      </c>
      <c r="D112" s="59" t="str">
        <f>A463</f>
        <v>Process finished with exit code 0</v>
      </c>
      <c r="E112" s="59">
        <f>A472</f>
        <v>0</v>
      </c>
      <c r="F112" s="59">
        <f>A481</f>
        <v>0</v>
      </c>
      <c r="G112" s="59">
        <f>A490</f>
        <v>0</v>
      </c>
      <c r="H112" s="59">
        <f>A499</f>
        <v>0</v>
      </c>
      <c r="J112" s="34">
        <f>MAX(D112:H112)</f>
        <v>0</v>
      </c>
      <c r="L112" s="34" t="str">
        <f>HLOOKUP(J112,D112:$H$122,N2,FALSE)</f>
        <v>OptOpt_BB</v>
      </c>
    </row>
    <row r="113" spans="1:12" x14ac:dyDescent="0.25">
      <c r="A113" s="81">
        <v>515845.67</v>
      </c>
      <c r="C113" s="36" t="str">
        <f t="shared" ref="C113:C120" si="91">C102</f>
        <v>(3, 1)</v>
      </c>
      <c r="D113" s="59">
        <f t="shared" ref="D113:D120" si="92">A464</f>
        <v>0</v>
      </c>
      <c r="E113" s="59">
        <f t="shared" ref="E113:E120" si="93">A473</f>
        <v>0</v>
      </c>
      <c r="F113" s="59">
        <f t="shared" ref="F113:F120" si="94">A482</f>
        <v>0</v>
      </c>
      <c r="G113" s="59">
        <f t="shared" ref="G113:G120" si="95">A491</f>
        <v>0</v>
      </c>
      <c r="H113" s="59">
        <f t="shared" ref="H113:H120" si="96">A500</f>
        <v>0</v>
      </c>
      <c r="J113" s="34">
        <f t="shared" ref="J113:J119" si="97">MAX(D113:H113)</f>
        <v>0</v>
      </c>
      <c r="L113" s="34" t="str">
        <f>HLOOKUP(J113,D113:$H$122,N3,FALSE)</f>
        <v>OptOpt_EB</v>
      </c>
    </row>
    <row r="114" spans="1:12" x14ac:dyDescent="0.25">
      <c r="A114" s="81">
        <v>515265.71</v>
      </c>
      <c r="C114" s="36" t="str">
        <f t="shared" si="91"/>
        <v>(2, 0)</v>
      </c>
      <c r="D114" s="59">
        <f t="shared" si="92"/>
        <v>0</v>
      </c>
      <c r="E114" s="59">
        <f t="shared" si="93"/>
        <v>0</v>
      </c>
      <c r="F114" s="59">
        <f t="shared" si="94"/>
        <v>0</v>
      </c>
      <c r="G114" s="59">
        <f t="shared" si="95"/>
        <v>0</v>
      </c>
      <c r="H114" s="59">
        <f t="shared" si="96"/>
        <v>0</v>
      </c>
      <c r="J114" s="34">
        <f t="shared" si="97"/>
        <v>0</v>
      </c>
      <c r="L114" s="34" t="str">
        <f>HLOOKUP(J114,D114:$H$122,N4,FALSE)</f>
        <v>OptOpt_EB</v>
      </c>
    </row>
    <row r="115" spans="1:12" x14ac:dyDescent="0.25">
      <c r="A115" s="81">
        <v>40000</v>
      </c>
      <c r="C115" s="36" t="str">
        <f t="shared" si="91"/>
        <v>(2, 1)</v>
      </c>
      <c r="D115" s="59">
        <f t="shared" si="92"/>
        <v>0</v>
      </c>
      <c r="E115" s="59">
        <f t="shared" si="93"/>
        <v>0</v>
      </c>
      <c r="F115" s="59">
        <f t="shared" si="94"/>
        <v>0</v>
      </c>
      <c r="G115" s="59">
        <f t="shared" si="95"/>
        <v>0</v>
      </c>
      <c r="H115" s="59">
        <f t="shared" si="96"/>
        <v>0</v>
      </c>
      <c r="J115" s="34">
        <f t="shared" si="97"/>
        <v>0</v>
      </c>
      <c r="L115" s="34" t="str">
        <f>HLOOKUP(J115,D115:$H$122,N5,FALSE)</f>
        <v>OptOpt_EB</v>
      </c>
    </row>
    <row r="116" spans="1:12" x14ac:dyDescent="0.25">
      <c r="A116" s="81">
        <v>40000</v>
      </c>
      <c r="C116" s="36" t="str">
        <f t="shared" si="91"/>
        <v>(1, 0)</v>
      </c>
      <c r="D116" s="59">
        <f t="shared" si="92"/>
        <v>0</v>
      </c>
      <c r="E116" s="59">
        <f t="shared" si="93"/>
        <v>0</v>
      </c>
      <c r="F116" s="59">
        <f t="shared" si="94"/>
        <v>0</v>
      </c>
      <c r="G116" s="59">
        <f t="shared" si="95"/>
        <v>0</v>
      </c>
      <c r="H116" s="59">
        <f t="shared" si="96"/>
        <v>0</v>
      </c>
      <c r="J116" s="34">
        <f t="shared" si="97"/>
        <v>0</v>
      </c>
      <c r="L116" s="34" t="str">
        <f>HLOOKUP(J116,D116:$H$122,N6,FALSE)</f>
        <v>OptOpt_EB</v>
      </c>
    </row>
    <row r="117" spans="1:12" x14ac:dyDescent="0.25">
      <c r="A117" s="81">
        <v>40000</v>
      </c>
      <c r="C117" s="36" t="str">
        <f t="shared" si="91"/>
        <v>(1, 1)</v>
      </c>
      <c r="D117" s="59">
        <f t="shared" si="92"/>
        <v>0</v>
      </c>
      <c r="E117" s="59">
        <f t="shared" si="93"/>
        <v>0</v>
      </c>
      <c r="F117" s="59">
        <f t="shared" si="94"/>
        <v>0</v>
      </c>
      <c r="G117" s="59">
        <f t="shared" si="95"/>
        <v>0</v>
      </c>
      <c r="H117" s="59">
        <f t="shared" si="96"/>
        <v>0</v>
      </c>
      <c r="J117" s="34">
        <f t="shared" si="97"/>
        <v>0</v>
      </c>
      <c r="L117" s="34" t="str">
        <f>HLOOKUP(J117,D117:$H$122,N7,FALSE)</f>
        <v>OptOpt_EB</v>
      </c>
    </row>
    <row r="118" spans="1:12" x14ac:dyDescent="0.25">
      <c r="A118" s="81">
        <v>40000</v>
      </c>
      <c r="C118" s="36" t="str">
        <f t="shared" si="91"/>
        <v>Inspector</v>
      </c>
      <c r="D118" s="59">
        <f t="shared" si="92"/>
        <v>0</v>
      </c>
      <c r="E118" s="59">
        <f t="shared" si="93"/>
        <v>0</v>
      </c>
      <c r="F118" s="59">
        <f t="shared" si="94"/>
        <v>0</v>
      </c>
      <c r="G118" s="59">
        <f t="shared" si="95"/>
        <v>0</v>
      </c>
      <c r="H118" s="59">
        <f t="shared" si="96"/>
        <v>0</v>
      </c>
      <c r="J118" s="34">
        <f t="shared" si="97"/>
        <v>0</v>
      </c>
      <c r="L118" s="34" t="str">
        <f>HLOOKUP(J118,D118:$H$122,N8,FALSE)</f>
        <v>OptOpt_EB</v>
      </c>
    </row>
    <row r="119" spans="1:12" x14ac:dyDescent="0.25">
      <c r="A119" s="81">
        <v>166100.31271200001</v>
      </c>
      <c r="C119" s="36" t="str">
        <f t="shared" si="91"/>
        <v>State</v>
      </c>
      <c r="D119" s="59">
        <f t="shared" si="92"/>
        <v>0</v>
      </c>
      <c r="E119" s="59">
        <f t="shared" si="93"/>
        <v>0</v>
      </c>
      <c r="F119" s="59">
        <f t="shared" si="94"/>
        <v>0</v>
      </c>
      <c r="G119" s="59">
        <f t="shared" si="95"/>
        <v>0</v>
      </c>
      <c r="H119" s="59">
        <f t="shared" si="96"/>
        <v>0</v>
      </c>
      <c r="J119" s="34">
        <f t="shared" si="97"/>
        <v>0</v>
      </c>
      <c r="L119" s="34" t="str">
        <f>HLOOKUP(J119,D119:$H$122,N9,FALSE)</f>
        <v>OptOpt_EB</v>
      </c>
    </row>
    <row r="120" spans="1:12" x14ac:dyDescent="0.25">
      <c r="A120" s="81">
        <v>1590000</v>
      </c>
      <c r="C120" s="36" t="str">
        <f t="shared" si="91"/>
        <v>LoC</v>
      </c>
      <c r="D120" s="59">
        <f t="shared" si="92"/>
        <v>0</v>
      </c>
      <c r="E120" s="59">
        <f t="shared" si="93"/>
        <v>0</v>
      </c>
      <c r="F120" s="59">
        <f t="shared" si="94"/>
        <v>0</v>
      </c>
      <c r="G120" s="59">
        <f t="shared" si="95"/>
        <v>0</v>
      </c>
      <c r="H120" s="59">
        <f t="shared" si="96"/>
        <v>0</v>
      </c>
    </row>
    <row r="121" spans="1:12" x14ac:dyDescent="0.25">
      <c r="A121" s="81">
        <v>0.33333333333333298</v>
      </c>
      <c r="D121" s="60"/>
      <c r="E121" s="60"/>
      <c r="F121" s="60"/>
      <c r="G121" s="60"/>
      <c r="H121" s="60"/>
    </row>
    <row r="122" spans="1:12" x14ac:dyDescent="0.25">
      <c r="A122" s="81">
        <v>90000</v>
      </c>
      <c r="B122" s="39">
        <v>12</v>
      </c>
      <c r="C122" s="36">
        <f>A508</f>
        <v>0</v>
      </c>
      <c r="D122" s="61" t="str">
        <f>D111</f>
        <v>OptOpt_EB</v>
      </c>
      <c r="E122" s="61" t="str">
        <f t="shared" ref="E122:H122" si="98">E111</f>
        <v>OptOpt_BB</v>
      </c>
      <c r="F122" s="61" t="str">
        <f t="shared" si="98"/>
        <v>NoneOpt_NBB</v>
      </c>
      <c r="G122" s="61" t="str">
        <f t="shared" si="98"/>
        <v>OptNone_BNB</v>
      </c>
      <c r="H122" s="61" t="str">
        <f t="shared" si="98"/>
        <v>NoneNone_NBNB</v>
      </c>
      <c r="J122" s="38" t="s">
        <v>19</v>
      </c>
      <c r="K122" s="38"/>
      <c r="L122" s="38" t="s">
        <v>20</v>
      </c>
    </row>
    <row r="123" spans="1:12" x14ac:dyDescent="0.25">
      <c r="A123" s="81">
        <v>90000</v>
      </c>
      <c r="C123" s="36" t="str">
        <f>C112</f>
        <v>(3, 0)</v>
      </c>
      <c r="D123" s="59">
        <f>A509</f>
        <v>0</v>
      </c>
      <c r="E123" s="59">
        <f>A518</f>
        <v>0</v>
      </c>
      <c r="F123" s="59">
        <f>A527</f>
        <v>0</v>
      </c>
      <c r="G123" s="59">
        <f>A536</f>
        <v>0</v>
      </c>
      <c r="H123" s="59">
        <f>A545</f>
        <v>0</v>
      </c>
      <c r="J123" s="34">
        <f>MAX(D123:H123)</f>
        <v>0</v>
      </c>
      <c r="L123" s="34" t="str">
        <f>HLOOKUP(J123,D123:$H$133,N2,FALSE)</f>
        <v>OptOpt_EB</v>
      </c>
    </row>
    <row r="124" spans="1:12" x14ac:dyDescent="0.25">
      <c r="A124" s="81">
        <v>45580.244354000002</v>
      </c>
      <c r="C124" s="36" t="str">
        <f t="shared" ref="C124:C131" si="99">C113</f>
        <v>(3, 1)</v>
      </c>
      <c r="D124" s="59">
        <f t="shared" ref="D124:D131" si="100">A510</f>
        <v>0</v>
      </c>
      <c r="E124" s="59">
        <f t="shared" ref="E124:E131" si="101">A519</f>
        <v>0</v>
      </c>
      <c r="F124" s="59">
        <f t="shared" ref="F124:F131" si="102">A528</f>
        <v>0</v>
      </c>
      <c r="G124" s="59">
        <f t="shared" ref="G124:G131" si="103">A537</f>
        <v>0</v>
      </c>
      <c r="H124" s="59">
        <f t="shared" ref="H124:H131" si="104">A546</f>
        <v>0</v>
      </c>
      <c r="J124" s="34">
        <f t="shared" ref="J124:J130" si="105">MAX(D124:H124)</f>
        <v>0</v>
      </c>
      <c r="L124" s="34" t="str">
        <f>HLOOKUP(J124,D124:$H$133,N3,FALSE)</f>
        <v>OptOpt_EB</v>
      </c>
    </row>
    <row r="125" spans="1:12" x14ac:dyDescent="0.25">
      <c r="A125" s="81">
        <v>45637.344744000002</v>
      </c>
      <c r="C125" s="36" t="str">
        <f t="shared" si="99"/>
        <v>(2, 0)</v>
      </c>
      <c r="D125" s="59">
        <f t="shared" si="100"/>
        <v>0</v>
      </c>
      <c r="E125" s="59">
        <f t="shared" si="101"/>
        <v>0</v>
      </c>
      <c r="F125" s="59">
        <f t="shared" si="102"/>
        <v>0</v>
      </c>
      <c r="G125" s="59">
        <f t="shared" si="103"/>
        <v>0</v>
      </c>
      <c r="H125" s="59">
        <f t="shared" si="104"/>
        <v>0</v>
      </c>
      <c r="J125" s="34">
        <f t="shared" si="105"/>
        <v>0</v>
      </c>
      <c r="L125" s="34" t="str">
        <f>HLOOKUP(J125,D125:$H$133,N4,FALSE)</f>
        <v>OptOpt_EB</v>
      </c>
    </row>
    <row r="126" spans="1:12" x14ac:dyDescent="0.25">
      <c r="A126" s="81">
        <v>-51695.980049999998</v>
      </c>
      <c r="C126" s="36" t="str">
        <f t="shared" si="99"/>
        <v>(2, 1)</v>
      </c>
      <c r="D126" s="59">
        <f t="shared" si="100"/>
        <v>0</v>
      </c>
      <c r="E126" s="59">
        <f t="shared" si="101"/>
        <v>0</v>
      </c>
      <c r="F126" s="59">
        <f t="shared" si="102"/>
        <v>0</v>
      </c>
      <c r="G126" s="59">
        <f t="shared" si="103"/>
        <v>0</v>
      </c>
      <c r="H126" s="59">
        <f t="shared" si="104"/>
        <v>0</v>
      </c>
      <c r="J126" s="34">
        <f t="shared" si="105"/>
        <v>0</v>
      </c>
      <c r="L126" s="34" t="str">
        <f>HLOOKUP(J126,D126:$H$133,N5,FALSE)</f>
        <v>OptOpt_EB</v>
      </c>
    </row>
    <row r="127" spans="1:12" x14ac:dyDescent="0.25">
      <c r="A127" s="81">
        <v>-52124.232974999999</v>
      </c>
      <c r="C127" s="36" t="str">
        <f t="shared" si="99"/>
        <v>(1, 0)</v>
      </c>
      <c r="D127" s="59">
        <f t="shared" si="100"/>
        <v>0</v>
      </c>
      <c r="E127" s="59">
        <f t="shared" si="101"/>
        <v>0</v>
      </c>
      <c r="F127" s="59">
        <f t="shared" si="102"/>
        <v>0</v>
      </c>
      <c r="G127" s="59">
        <f t="shared" si="103"/>
        <v>0</v>
      </c>
      <c r="H127" s="59">
        <f t="shared" si="104"/>
        <v>0</v>
      </c>
      <c r="J127" s="34">
        <f t="shared" si="105"/>
        <v>0</v>
      </c>
      <c r="L127" s="34" t="str">
        <f>HLOOKUP(J127,D127:$H$133,N6,FALSE)</f>
        <v>OptOpt_EB</v>
      </c>
    </row>
    <row r="128" spans="1:12" x14ac:dyDescent="0.25">
      <c r="A128" s="81">
        <v>84135.16</v>
      </c>
      <c r="C128" s="36" t="str">
        <f t="shared" si="99"/>
        <v>(1, 1)</v>
      </c>
      <c r="D128" s="59">
        <f t="shared" si="100"/>
        <v>0</v>
      </c>
      <c r="E128" s="59">
        <f t="shared" si="101"/>
        <v>0</v>
      </c>
      <c r="F128" s="59">
        <f t="shared" si="102"/>
        <v>0</v>
      </c>
      <c r="G128" s="59">
        <f t="shared" si="103"/>
        <v>0</v>
      </c>
      <c r="H128" s="59">
        <f t="shared" si="104"/>
        <v>0</v>
      </c>
      <c r="J128" s="34">
        <f t="shared" si="105"/>
        <v>0</v>
      </c>
      <c r="L128" s="34" t="str">
        <f>HLOOKUP(J128,D128:$H$133,N7,FALSE)</f>
        <v>OptOpt_EB</v>
      </c>
    </row>
    <row r="129" spans="1:12" x14ac:dyDescent="0.25">
      <c r="A129" s="81">
        <v>2746111.603927</v>
      </c>
      <c r="C129" s="36" t="str">
        <f t="shared" si="99"/>
        <v>Inspector</v>
      </c>
      <c r="D129" s="59">
        <f t="shared" si="100"/>
        <v>0</v>
      </c>
      <c r="E129" s="59">
        <f t="shared" si="101"/>
        <v>0</v>
      </c>
      <c r="F129" s="59">
        <f t="shared" si="102"/>
        <v>0</v>
      </c>
      <c r="G129" s="59">
        <f t="shared" si="103"/>
        <v>0</v>
      </c>
      <c r="H129" s="59">
        <f t="shared" si="104"/>
        <v>0</v>
      </c>
      <c r="J129" s="34">
        <f t="shared" si="105"/>
        <v>0</v>
      </c>
      <c r="L129" s="34" t="str">
        <f>HLOOKUP(J129,D129:$H$133,N8,FALSE)</f>
        <v>OptOpt_EB</v>
      </c>
    </row>
    <row r="130" spans="1:12" x14ac:dyDescent="0.25">
      <c r="A130" s="81">
        <v>0.16666666666666599</v>
      </c>
      <c r="C130" s="36" t="str">
        <f t="shared" si="99"/>
        <v>State</v>
      </c>
      <c r="D130" s="59">
        <f t="shared" si="100"/>
        <v>0</v>
      </c>
      <c r="E130" s="59">
        <f t="shared" si="101"/>
        <v>0</v>
      </c>
      <c r="F130" s="59">
        <f t="shared" si="102"/>
        <v>0</v>
      </c>
      <c r="G130" s="59">
        <f t="shared" si="103"/>
        <v>0</v>
      </c>
      <c r="H130" s="59">
        <f t="shared" si="104"/>
        <v>0</v>
      </c>
      <c r="J130" s="34">
        <f t="shared" si="105"/>
        <v>0</v>
      </c>
      <c r="L130" s="34" t="str">
        <f>HLOOKUP(J130,D130:$H$133,N9,FALSE)</f>
        <v>OptOpt_EB</v>
      </c>
    </row>
    <row r="131" spans="1:12" x14ac:dyDescent="0.25">
      <c r="A131" s="81">
        <v>90000</v>
      </c>
      <c r="C131" s="36" t="str">
        <f t="shared" si="99"/>
        <v>LoC</v>
      </c>
      <c r="D131" s="59">
        <f t="shared" si="100"/>
        <v>0</v>
      </c>
      <c r="E131" s="59">
        <f t="shared" si="101"/>
        <v>0</v>
      </c>
      <c r="F131" s="59">
        <f t="shared" si="102"/>
        <v>0</v>
      </c>
      <c r="G131" s="59">
        <f t="shared" si="103"/>
        <v>0</v>
      </c>
      <c r="H131" s="59">
        <f t="shared" si="104"/>
        <v>0</v>
      </c>
    </row>
    <row r="132" spans="1:12" x14ac:dyDescent="0.25">
      <c r="A132" s="81">
        <v>90000</v>
      </c>
      <c r="D132" s="60"/>
      <c r="E132" s="60"/>
      <c r="F132" s="60"/>
      <c r="G132" s="60"/>
      <c r="H132" s="60"/>
    </row>
    <row r="133" spans="1:12" x14ac:dyDescent="0.25">
      <c r="A133" s="81">
        <v>40000</v>
      </c>
      <c r="B133" s="39">
        <v>13</v>
      </c>
      <c r="C133" s="36">
        <f>A554</f>
        <v>0</v>
      </c>
      <c r="D133" s="61" t="str">
        <f>D122</f>
        <v>OptOpt_EB</v>
      </c>
      <c r="E133" s="61" t="str">
        <f t="shared" ref="E133:H133" si="106">E122</f>
        <v>OptOpt_BB</v>
      </c>
      <c r="F133" s="61" t="str">
        <f t="shared" si="106"/>
        <v>NoneOpt_NBB</v>
      </c>
      <c r="G133" s="61" t="str">
        <f t="shared" si="106"/>
        <v>OptNone_BNB</v>
      </c>
      <c r="H133" s="61" t="str">
        <f t="shared" si="106"/>
        <v>NoneNone_NBNB</v>
      </c>
      <c r="J133" s="38" t="s">
        <v>19</v>
      </c>
      <c r="K133" s="38"/>
      <c r="L133" s="38" t="s">
        <v>20</v>
      </c>
    </row>
    <row r="134" spans="1:12" x14ac:dyDescent="0.25">
      <c r="A134" s="81">
        <v>40000</v>
      </c>
      <c r="C134" s="36" t="str">
        <f>C123</f>
        <v>(3, 0)</v>
      </c>
      <c r="D134" s="59">
        <f>A555</f>
        <v>0</v>
      </c>
      <c r="E134" s="59">
        <f>A564</f>
        <v>0</v>
      </c>
      <c r="F134" s="59">
        <f>A573</f>
        <v>0</v>
      </c>
      <c r="G134" s="59">
        <f>A582</f>
        <v>0</v>
      </c>
      <c r="H134" s="59">
        <f>A591</f>
        <v>0</v>
      </c>
      <c r="J134" s="34">
        <f>MAX(D134:H134)</f>
        <v>0</v>
      </c>
      <c r="L134" s="34" t="str">
        <f>HLOOKUP(J134,D134:$H$144,N2,FALSE)</f>
        <v>OptOpt_EB</v>
      </c>
    </row>
    <row r="135" spans="1:12" x14ac:dyDescent="0.25">
      <c r="A135" s="81">
        <v>40000</v>
      </c>
      <c r="C135" s="36" t="str">
        <f t="shared" ref="C135:C142" si="107">C124</f>
        <v>(3, 1)</v>
      </c>
      <c r="D135" s="59">
        <f t="shared" ref="D135:D142" si="108">A556</f>
        <v>0</v>
      </c>
      <c r="E135" s="59">
        <f t="shared" ref="E135:E142" si="109">A565</f>
        <v>0</v>
      </c>
      <c r="F135" s="59">
        <f t="shared" ref="F135:F142" si="110">A574</f>
        <v>0</v>
      </c>
      <c r="G135" s="59">
        <f t="shared" ref="G135:G142" si="111">A583</f>
        <v>0</v>
      </c>
      <c r="H135" s="59">
        <f t="shared" ref="H135:H142" si="112">A592</f>
        <v>0</v>
      </c>
      <c r="J135" s="34">
        <f t="shared" ref="J135:J141" si="113">MAX(D135:H135)</f>
        <v>0</v>
      </c>
      <c r="L135" s="34" t="str">
        <f>HLOOKUP(J135,D135:$H$144,N3,FALSE)</f>
        <v>OptOpt_EB</v>
      </c>
    </row>
    <row r="136" spans="1:12" x14ac:dyDescent="0.25">
      <c r="A136" s="81">
        <v>40000</v>
      </c>
      <c r="C136" s="36" t="str">
        <f t="shared" si="107"/>
        <v>(2, 0)</v>
      </c>
      <c r="D136" s="59">
        <f t="shared" si="108"/>
        <v>0</v>
      </c>
      <c r="E136" s="59">
        <f t="shared" si="109"/>
        <v>0</v>
      </c>
      <c r="F136" s="59">
        <f t="shared" si="110"/>
        <v>0</v>
      </c>
      <c r="G136" s="59">
        <f t="shared" si="111"/>
        <v>0</v>
      </c>
      <c r="H136" s="59">
        <f t="shared" si="112"/>
        <v>0</v>
      </c>
      <c r="J136" s="34">
        <f t="shared" si="113"/>
        <v>0</v>
      </c>
      <c r="L136" s="34" t="str">
        <f>HLOOKUP(J136,D136:$H$144,N4,FALSE)</f>
        <v>OptOpt_EB</v>
      </c>
    </row>
    <row r="137" spans="1:12" x14ac:dyDescent="0.25">
      <c r="A137" s="81">
        <v>70000</v>
      </c>
      <c r="C137" s="36" t="str">
        <f t="shared" si="107"/>
        <v>(2, 1)</v>
      </c>
      <c r="D137" s="59">
        <f t="shared" si="108"/>
        <v>0</v>
      </c>
      <c r="E137" s="59">
        <f t="shared" si="109"/>
        <v>0</v>
      </c>
      <c r="F137" s="59">
        <f t="shared" si="110"/>
        <v>0</v>
      </c>
      <c r="G137" s="59">
        <f t="shared" si="111"/>
        <v>0</v>
      </c>
      <c r="H137" s="59">
        <f t="shared" si="112"/>
        <v>0</v>
      </c>
      <c r="J137" s="34">
        <f t="shared" si="113"/>
        <v>0</v>
      </c>
      <c r="L137" s="34" t="str">
        <f>HLOOKUP(J137,D137:$H$144,N5,FALSE)</f>
        <v>OptOpt_EB</v>
      </c>
    </row>
    <row r="138" spans="1:12" x14ac:dyDescent="0.25">
      <c r="A138" s="81">
        <v>2590000</v>
      </c>
      <c r="C138" s="36" t="str">
        <f t="shared" si="107"/>
        <v>(1, 0)</v>
      </c>
      <c r="D138" s="59">
        <f t="shared" si="108"/>
        <v>0</v>
      </c>
      <c r="E138" s="59">
        <f t="shared" si="109"/>
        <v>0</v>
      </c>
      <c r="F138" s="59">
        <f t="shared" si="110"/>
        <v>0</v>
      </c>
      <c r="G138" s="59">
        <f t="shared" si="111"/>
        <v>0</v>
      </c>
      <c r="H138" s="59">
        <f t="shared" si="112"/>
        <v>0</v>
      </c>
      <c r="J138" s="34">
        <f t="shared" si="113"/>
        <v>0</v>
      </c>
      <c r="L138" s="34" t="str">
        <f>HLOOKUP(J138,D138:$H$144,N6,FALSE)</f>
        <v>OptOpt_EB</v>
      </c>
    </row>
    <row r="139" spans="1:12" x14ac:dyDescent="0.25">
      <c r="A139" s="81">
        <v>0</v>
      </c>
      <c r="C139" s="36" t="str">
        <f t="shared" si="107"/>
        <v>(1, 1)</v>
      </c>
      <c r="D139" s="59">
        <f t="shared" si="108"/>
        <v>0</v>
      </c>
      <c r="E139" s="59">
        <f t="shared" si="109"/>
        <v>0</v>
      </c>
      <c r="F139" s="59">
        <f t="shared" si="110"/>
        <v>0</v>
      </c>
      <c r="G139" s="59">
        <f t="shared" si="111"/>
        <v>0</v>
      </c>
      <c r="H139" s="59">
        <f t="shared" si="112"/>
        <v>0</v>
      </c>
      <c r="J139" s="34">
        <f t="shared" si="113"/>
        <v>0</v>
      </c>
      <c r="L139" s="34" t="str">
        <f>HLOOKUP(J139,D139:$H$144,N7,FALSE)</f>
        <v>OptOpt_EB</v>
      </c>
    </row>
    <row r="140" spans="1:12" x14ac:dyDescent="0.25">
      <c r="A140" s="80" t="s">
        <v>270</v>
      </c>
      <c r="C140" s="36" t="str">
        <f t="shared" si="107"/>
        <v>Inspector</v>
      </c>
      <c r="D140" s="59">
        <f t="shared" si="108"/>
        <v>0</v>
      </c>
      <c r="E140" s="59">
        <f t="shared" si="109"/>
        <v>0</v>
      </c>
      <c r="F140" s="59">
        <f t="shared" si="110"/>
        <v>0</v>
      </c>
      <c r="G140" s="59">
        <f t="shared" si="111"/>
        <v>0</v>
      </c>
      <c r="H140" s="59">
        <f t="shared" si="112"/>
        <v>0</v>
      </c>
      <c r="J140" s="34">
        <f t="shared" si="113"/>
        <v>0</v>
      </c>
      <c r="L140" s="34" t="str">
        <f>HLOOKUP(J140,D140:$H$144,N8,FALSE)</f>
        <v>OptOpt_EB</v>
      </c>
    </row>
    <row r="141" spans="1:12" x14ac:dyDescent="0.25">
      <c r="A141" s="81">
        <v>367450</v>
      </c>
      <c r="C141" s="36" t="str">
        <f t="shared" si="107"/>
        <v>State</v>
      </c>
      <c r="D141" s="59">
        <f t="shared" si="108"/>
        <v>0</v>
      </c>
      <c r="E141" s="59">
        <f t="shared" si="109"/>
        <v>0</v>
      </c>
      <c r="F141" s="59">
        <f t="shared" si="110"/>
        <v>0</v>
      </c>
      <c r="G141" s="59">
        <f t="shared" si="111"/>
        <v>0</v>
      </c>
      <c r="H141" s="59">
        <f t="shared" si="112"/>
        <v>0</v>
      </c>
      <c r="J141" s="34">
        <f t="shared" si="113"/>
        <v>0</v>
      </c>
      <c r="L141" s="34" t="str">
        <f>HLOOKUP(J141,D141:$H$144,N9,FALSE)</f>
        <v>OptOpt_EB</v>
      </c>
    </row>
    <row r="142" spans="1:12" x14ac:dyDescent="0.25">
      <c r="A142" s="81">
        <v>409469</v>
      </c>
      <c r="C142" s="36" t="str">
        <f t="shared" si="107"/>
        <v>LoC</v>
      </c>
      <c r="D142" s="59">
        <f t="shared" si="108"/>
        <v>0</v>
      </c>
      <c r="E142" s="59">
        <f t="shared" si="109"/>
        <v>0</v>
      </c>
      <c r="F142" s="59">
        <f t="shared" si="110"/>
        <v>0</v>
      </c>
      <c r="G142" s="59">
        <f t="shared" si="111"/>
        <v>0</v>
      </c>
      <c r="H142" s="59">
        <f t="shared" si="112"/>
        <v>0</v>
      </c>
    </row>
    <row r="143" spans="1:12" x14ac:dyDescent="0.25">
      <c r="A143" s="81">
        <v>165000</v>
      </c>
      <c r="D143" s="60"/>
      <c r="E143" s="60"/>
      <c r="F143" s="60"/>
      <c r="G143" s="60"/>
      <c r="H143" s="60"/>
    </row>
    <row r="144" spans="1:12" x14ac:dyDescent="0.25">
      <c r="A144" s="81">
        <v>165000</v>
      </c>
      <c r="B144" s="39">
        <v>14</v>
      </c>
      <c r="C144" s="36">
        <f>A600</f>
        <v>0</v>
      </c>
      <c r="D144" s="61" t="str">
        <f>D133</f>
        <v>OptOpt_EB</v>
      </c>
      <c r="E144" s="61" t="str">
        <f t="shared" ref="E144:H144" si="114">E133</f>
        <v>OptOpt_BB</v>
      </c>
      <c r="F144" s="61" t="str">
        <f t="shared" si="114"/>
        <v>NoneOpt_NBB</v>
      </c>
      <c r="G144" s="61" t="str">
        <f t="shared" si="114"/>
        <v>OptNone_BNB</v>
      </c>
      <c r="H144" s="61" t="str">
        <f t="shared" si="114"/>
        <v>NoneNone_NBNB</v>
      </c>
      <c r="J144" s="38" t="s">
        <v>19</v>
      </c>
      <c r="K144" s="38"/>
      <c r="L144" s="38" t="s">
        <v>20</v>
      </c>
    </row>
    <row r="145" spans="1:12" x14ac:dyDescent="0.25">
      <c r="A145" s="81">
        <v>165000</v>
      </c>
      <c r="C145" s="36" t="str">
        <f>C134</f>
        <v>(3, 0)</v>
      </c>
      <c r="D145" s="59">
        <f>A601</f>
        <v>0</v>
      </c>
      <c r="E145" s="59">
        <f>A610</f>
        <v>0</v>
      </c>
      <c r="F145" s="59">
        <f>A619</f>
        <v>0</v>
      </c>
      <c r="G145" s="59">
        <f>A628</f>
        <v>0</v>
      </c>
      <c r="H145" s="59">
        <f>A637</f>
        <v>0</v>
      </c>
      <c r="J145" s="34">
        <f>MAX(D145:H145)</f>
        <v>0</v>
      </c>
      <c r="L145" s="34" t="str">
        <f>HLOOKUP(J145,D145:$H$155,N2,FALSE)</f>
        <v>OptOpt_EB</v>
      </c>
    </row>
    <row r="146" spans="1:12" x14ac:dyDescent="0.25">
      <c r="A146" s="81">
        <v>165000</v>
      </c>
      <c r="C146" s="36" t="str">
        <f t="shared" ref="C146:C153" si="115">C135</f>
        <v>(3, 1)</v>
      </c>
      <c r="D146" s="59">
        <f t="shared" ref="D146:D153" si="116">A602</f>
        <v>0</v>
      </c>
      <c r="E146" s="59">
        <f t="shared" ref="E146:E153" si="117">A611</f>
        <v>0</v>
      </c>
      <c r="F146" s="59">
        <f t="shared" ref="F146:F153" si="118">A620</f>
        <v>0</v>
      </c>
      <c r="G146" s="59">
        <f t="shared" ref="G146:G153" si="119">A629</f>
        <v>0</v>
      </c>
      <c r="H146" s="59">
        <f t="shared" ref="H146:H153" si="120">A638</f>
        <v>0</v>
      </c>
      <c r="J146" s="34">
        <f t="shared" ref="J146:J152" si="121">MAX(D146:H146)</f>
        <v>0</v>
      </c>
      <c r="L146" s="34" t="str">
        <f>HLOOKUP(J146,D146:$H$155,N3,FALSE)</f>
        <v>OptOpt_EB</v>
      </c>
    </row>
    <row r="147" spans="1:12" x14ac:dyDescent="0.25">
      <c r="A147" s="81">
        <v>332884.22116199997</v>
      </c>
      <c r="C147" s="36" t="str">
        <f t="shared" si="115"/>
        <v>(2, 0)</v>
      </c>
      <c r="D147" s="59">
        <f t="shared" si="116"/>
        <v>0</v>
      </c>
      <c r="E147" s="59">
        <f t="shared" si="117"/>
        <v>0</v>
      </c>
      <c r="F147" s="59">
        <f t="shared" si="118"/>
        <v>0</v>
      </c>
      <c r="G147" s="59">
        <f t="shared" si="119"/>
        <v>0</v>
      </c>
      <c r="H147" s="59">
        <f t="shared" si="120"/>
        <v>0</v>
      </c>
      <c r="J147" s="34">
        <f t="shared" si="121"/>
        <v>0</v>
      </c>
      <c r="L147" s="34" t="str">
        <f>HLOOKUP(J147,D147:$H$155,N4,FALSE)</f>
        <v>OptOpt_EB</v>
      </c>
    </row>
    <row r="148" spans="1:12" x14ac:dyDescent="0.25">
      <c r="A148" s="81">
        <v>1090000</v>
      </c>
      <c r="C148" s="36" t="str">
        <f t="shared" si="115"/>
        <v>(2, 1)</v>
      </c>
      <c r="D148" s="59">
        <f t="shared" si="116"/>
        <v>0</v>
      </c>
      <c r="E148" s="59">
        <f t="shared" si="117"/>
        <v>0</v>
      </c>
      <c r="F148" s="59">
        <f t="shared" si="118"/>
        <v>0</v>
      </c>
      <c r="G148" s="59">
        <f t="shared" si="119"/>
        <v>0</v>
      </c>
      <c r="H148" s="59">
        <f t="shared" si="120"/>
        <v>0</v>
      </c>
      <c r="J148" s="34">
        <f t="shared" si="121"/>
        <v>0</v>
      </c>
      <c r="L148" s="34" t="str">
        <f>HLOOKUP(J148,D148:$H$155,N5,FALSE)</f>
        <v>OptOpt_EB</v>
      </c>
    </row>
    <row r="149" spans="1:12" x14ac:dyDescent="0.25">
      <c r="A149" s="81">
        <v>0.5</v>
      </c>
      <c r="C149" s="36" t="str">
        <f t="shared" si="115"/>
        <v>(1, 0)</v>
      </c>
      <c r="D149" s="59">
        <f t="shared" si="116"/>
        <v>0</v>
      </c>
      <c r="E149" s="59">
        <f t="shared" si="117"/>
        <v>0</v>
      </c>
      <c r="F149" s="59">
        <f t="shared" si="118"/>
        <v>0</v>
      </c>
      <c r="G149" s="59">
        <f t="shared" si="119"/>
        <v>0</v>
      </c>
      <c r="H149" s="59">
        <f t="shared" si="120"/>
        <v>0</v>
      </c>
      <c r="J149" s="34">
        <f t="shared" si="121"/>
        <v>0</v>
      </c>
      <c r="L149" s="34" t="str">
        <f>HLOOKUP(J149,D149:$H$155,N6,FALSE)</f>
        <v>OptOpt_EB</v>
      </c>
    </row>
    <row r="150" spans="1:12" x14ac:dyDescent="0.25">
      <c r="A150" s="81">
        <v>506543</v>
      </c>
      <c r="C150" s="36" t="str">
        <f t="shared" si="115"/>
        <v>(1, 1)</v>
      </c>
      <c r="D150" s="59">
        <f t="shared" si="116"/>
        <v>0</v>
      </c>
      <c r="E150" s="59">
        <f t="shared" si="117"/>
        <v>0</v>
      </c>
      <c r="F150" s="59">
        <f t="shared" si="118"/>
        <v>0</v>
      </c>
      <c r="G150" s="59">
        <f t="shared" si="119"/>
        <v>0</v>
      </c>
      <c r="H150" s="59">
        <f t="shared" si="120"/>
        <v>0</v>
      </c>
      <c r="J150" s="34">
        <f t="shared" si="121"/>
        <v>0</v>
      </c>
      <c r="L150" s="34" t="str">
        <f>HLOOKUP(J150,D150:$H$155,N7,FALSE)</f>
        <v>OptOpt_EB</v>
      </c>
    </row>
    <row r="151" spans="1:12" x14ac:dyDescent="0.25">
      <c r="A151" s="81">
        <v>507462</v>
      </c>
      <c r="C151" s="36" t="str">
        <f t="shared" si="115"/>
        <v>Inspector</v>
      </c>
      <c r="D151" s="59">
        <f t="shared" si="116"/>
        <v>0</v>
      </c>
      <c r="E151" s="59">
        <f t="shared" si="117"/>
        <v>0</v>
      </c>
      <c r="F151" s="59">
        <f t="shared" si="118"/>
        <v>0</v>
      </c>
      <c r="G151" s="59">
        <f t="shared" si="119"/>
        <v>0</v>
      </c>
      <c r="H151" s="59">
        <f t="shared" si="120"/>
        <v>0</v>
      </c>
      <c r="J151" s="34">
        <f t="shared" si="121"/>
        <v>0</v>
      </c>
      <c r="L151" s="34" t="str">
        <f>HLOOKUP(J151,D151:$H$155,N8,FALSE)</f>
        <v>OptOpt_EB</v>
      </c>
    </row>
    <row r="152" spans="1:12" x14ac:dyDescent="0.25">
      <c r="A152" s="81">
        <v>-231270.99656100001</v>
      </c>
      <c r="C152" s="36" t="str">
        <f t="shared" si="115"/>
        <v>State</v>
      </c>
      <c r="D152" s="59">
        <f t="shared" si="116"/>
        <v>0</v>
      </c>
      <c r="E152" s="59">
        <f t="shared" si="117"/>
        <v>0</v>
      </c>
      <c r="F152" s="59">
        <f t="shared" si="118"/>
        <v>0</v>
      </c>
      <c r="G152" s="59">
        <f t="shared" si="119"/>
        <v>0</v>
      </c>
      <c r="H152" s="59">
        <f t="shared" si="120"/>
        <v>0</v>
      </c>
      <c r="J152" s="34">
        <f t="shared" si="121"/>
        <v>0</v>
      </c>
      <c r="L152" s="34" t="str">
        <f>HLOOKUP(J152,D152:$H$155,N9,FALSE)</f>
        <v>OptOpt_EB</v>
      </c>
    </row>
    <row r="153" spans="1:12" x14ac:dyDescent="0.25">
      <c r="A153" s="81">
        <v>-231505.10816</v>
      </c>
      <c r="C153" s="36" t="str">
        <f t="shared" si="115"/>
        <v>LoC</v>
      </c>
      <c r="D153" s="59">
        <f t="shared" si="116"/>
        <v>0</v>
      </c>
      <c r="E153" s="59">
        <f t="shared" si="117"/>
        <v>0</v>
      </c>
      <c r="F153" s="59">
        <f t="shared" si="118"/>
        <v>0</v>
      </c>
      <c r="G153" s="59">
        <f t="shared" si="119"/>
        <v>0</v>
      </c>
      <c r="H153" s="59">
        <f t="shared" si="120"/>
        <v>0</v>
      </c>
    </row>
    <row r="154" spans="1:12" x14ac:dyDescent="0.25">
      <c r="A154" s="81">
        <v>-113981.085462</v>
      </c>
      <c r="D154" s="60"/>
      <c r="E154" s="60"/>
      <c r="F154" s="60"/>
      <c r="G154" s="60"/>
      <c r="H154" s="60"/>
    </row>
    <row r="155" spans="1:12" x14ac:dyDescent="0.25">
      <c r="A155" s="81">
        <v>-115185.903691</v>
      </c>
      <c r="B155" s="39">
        <v>15</v>
      </c>
      <c r="C155" s="36">
        <f>A646</f>
        <v>0</v>
      </c>
      <c r="D155" s="61" t="str">
        <f>D144</f>
        <v>OptOpt_EB</v>
      </c>
      <c r="E155" s="61" t="str">
        <f t="shared" ref="E155:H155" si="122">E144</f>
        <v>OptOpt_BB</v>
      </c>
      <c r="F155" s="61" t="str">
        <f t="shared" si="122"/>
        <v>NoneOpt_NBB</v>
      </c>
      <c r="G155" s="61" t="str">
        <f t="shared" si="122"/>
        <v>OptNone_BNB</v>
      </c>
      <c r="H155" s="61" t="str">
        <f t="shared" si="122"/>
        <v>NoneNone_NBNB</v>
      </c>
      <c r="J155" s="38" t="s">
        <v>19</v>
      </c>
      <c r="K155" s="38"/>
      <c r="L155" s="38" t="s">
        <v>20</v>
      </c>
    </row>
    <row r="156" spans="1:12" x14ac:dyDescent="0.25">
      <c r="A156" s="81">
        <v>215438.72699</v>
      </c>
      <c r="C156" s="36" t="str">
        <f>C145</f>
        <v>(3, 0)</v>
      </c>
      <c r="D156" s="59">
        <f>A647</f>
        <v>0</v>
      </c>
      <c r="E156" s="59">
        <f>A656</f>
        <v>0</v>
      </c>
      <c r="F156" s="59">
        <f>A665</f>
        <v>0</v>
      </c>
      <c r="G156" s="59">
        <f>A674</f>
        <v>0</v>
      </c>
      <c r="H156" s="59">
        <f>A683</f>
        <v>0</v>
      </c>
      <c r="J156" s="34">
        <f>MAX(D156:H156)</f>
        <v>0</v>
      </c>
      <c r="L156" s="34" t="str">
        <f>HLOOKUP(J156,D156:$H$166,N2,FALSE)</f>
        <v>OptOpt_EB</v>
      </c>
    </row>
    <row r="157" spans="1:12" x14ac:dyDescent="0.25">
      <c r="A157" s="81">
        <v>2408795.8538739998</v>
      </c>
      <c r="C157" s="36" t="str">
        <f t="shared" ref="C157:C164" si="123">C146</f>
        <v>(3, 1)</v>
      </c>
      <c r="D157" s="59">
        <f t="shared" ref="D157:D162" si="124">A648</f>
        <v>0</v>
      </c>
      <c r="E157" s="59">
        <f t="shared" ref="E157:E162" si="125">A657</f>
        <v>0</v>
      </c>
      <c r="F157" s="59">
        <f t="shared" ref="F157:F162" si="126">A666</f>
        <v>0</v>
      </c>
      <c r="G157" s="59">
        <f t="shared" ref="G157:G162" si="127">A675</f>
        <v>0</v>
      </c>
      <c r="H157" s="59">
        <f t="shared" ref="H157:H162" si="128">A684</f>
        <v>0</v>
      </c>
      <c r="J157" s="34">
        <f t="shared" ref="J157:J163" si="129">MAX(D157:H157)</f>
        <v>0</v>
      </c>
      <c r="L157" s="34" t="str">
        <f>HLOOKUP(J157,D157:$H$166,N3,FALSE)</f>
        <v>OptOpt_EB</v>
      </c>
    </row>
    <row r="158" spans="1:12" x14ac:dyDescent="0.25">
      <c r="A158" s="81">
        <v>0.5</v>
      </c>
      <c r="C158" s="36" t="str">
        <f t="shared" si="123"/>
        <v>(2, 0)</v>
      </c>
      <c r="D158" s="59">
        <f t="shared" si="124"/>
        <v>0</v>
      </c>
      <c r="E158" s="59">
        <f t="shared" si="125"/>
        <v>0</v>
      </c>
      <c r="F158" s="59">
        <f t="shared" si="126"/>
        <v>0</v>
      </c>
      <c r="G158" s="59">
        <f t="shared" si="127"/>
        <v>0</v>
      </c>
      <c r="H158" s="59">
        <f t="shared" si="128"/>
        <v>0</v>
      </c>
      <c r="J158" s="34">
        <f t="shared" si="129"/>
        <v>0</v>
      </c>
      <c r="L158" s="34" t="str">
        <f>HLOOKUP(J158,D158:$H$166,N4,FALSE)</f>
        <v>OptOpt_EB</v>
      </c>
    </row>
    <row r="159" spans="1:12" x14ac:dyDescent="0.25">
      <c r="A159" s="81">
        <v>506619</v>
      </c>
      <c r="C159" s="36" t="str">
        <f t="shared" si="123"/>
        <v>(2, 1)</v>
      </c>
      <c r="D159" s="59">
        <f t="shared" si="124"/>
        <v>0</v>
      </c>
      <c r="E159" s="59">
        <f t="shared" si="125"/>
        <v>0</v>
      </c>
      <c r="F159" s="59">
        <f t="shared" si="126"/>
        <v>0</v>
      </c>
      <c r="G159" s="59">
        <f t="shared" si="127"/>
        <v>0</v>
      </c>
      <c r="H159" s="59">
        <f t="shared" si="128"/>
        <v>0</v>
      </c>
      <c r="J159" s="34">
        <f t="shared" si="129"/>
        <v>0</v>
      </c>
      <c r="L159" s="34" t="str">
        <f>HLOOKUP(J159,D159:$H$166,N5,FALSE)</f>
        <v>OptOpt_EB</v>
      </c>
    </row>
    <row r="160" spans="1:12" x14ac:dyDescent="0.25">
      <c r="A160" s="81">
        <v>506506</v>
      </c>
      <c r="C160" s="36" t="str">
        <f t="shared" si="123"/>
        <v>(1, 0)</v>
      </c>
      <c r="D160" s="59">
        <f t="shared" si="124"/>
        <v>0</v>
      </c>
      <c r="E160" s="59">
        <f t="shared" si="125"/>
        <v>0</v>
      </c>
      <c r="F160" s="59">
        <f t="shared" si="126"/>
        <v>0</v>
      </c>
      <c r="G160" s="59">
        <f t="shared" si="127"/>
        <v>0</v>
      </c>
      <c r="H160" s="59">
        <f t="shared" si="128"/>
        <v>0</v>
      </c>
      <c r="J160" s="34">
        <f t="shared" si="129"/>
        <v>0</v>
      </c>
      <c r="L160" s="34" t="str">
        <f>HLOOKUP(J160,D160:$H$166,N6,FALSE)</f>
        <v>OptOpt_EB</v>
      </c>
    </row>
    <row r="161" spans="1:12" x14ac:dyDescent="0.25">
      <c r="A161" s="81">
        <v>40000</v>
      </c>
      <c r="C161" s="36" t="str">
        <f t="shared" si="123"/>
        <v>(1, 1)</v>
      </c>
      <c r="D161" s="59">
        <f t="shared" si="124"/>
        <v>0</v>
      </c>
      <c r="E161" s="59">
        <f t="shared" si="125"/>
        <v>0</v>
      </c>
      <c r="F161" s="59">
        <f t="shared" si="126"/>
        <v>0</v>
      </c>
      <c r="G161" s="59">
        <f t="shared" si="127"/>
        <v>0</v>
      </c>
      <c r="H161" s="59">
        <f t="shared" si="128"/>
        <v>0</v>
      </c>
      <c r="J161" s="34">
        <f t="shared" si="129"/>
        <v>0</v>
      </c>
      <c r="L161" s="34" t="str">
        <f>HLOOKUP(J161,D161:$H$166,N7,FALSE)</f>
        <v>OptOpt_EB</v>
      </c>
    </row>
    <row r="162" spans="1:12" x14ac:dyDescent="0.25">
      <c r="A162" s="81">
        <v>40000</v>
      </c>
      <c r="C162" s="36" t="str">
        <f t="shared" si="123"/>
        <v>Inspector</v>
      </c>
      <c r="D162" s="59">
        <f t="shared" si="124"/>
        <v>0</v>
      </c>
      <c r="E162" s="59">
        <f t="shared" si="125"/>
        <v>0</v>
      </c>
      <c r="F162" s="59">
        <f t="shared" si="126"/>
        <v>0</v>
      </c>
      <c r="G162" s="59">
        <f t="shared" si="127"/>
        <v>0</v>
      </c>
      <c r="H162" s="59">
        <f t="shared" si="128"/>
        <v>0</v>
      </c>
      <c r="J162" s="34">
        <f t="shared" si="129"/>
        <v>0</v>
      </c>
      <c r="L162" s="34" t="str">
        <f>HLOOKUP(J162,D162:$H$166,N8,FALSE)</f>
        <v>OptOpt_EB</v>
      </c>
    </row>
    <row r="163" spans="1:12" x14ac:dyDescent="0.25">
      <c r="A163" s="81">
        <v>40000</v>
      </c>
      <c r="C163" s="36" t="str">
        <f>C152</f>
        <v>State</v>
      </c>
      <c r="D163" s="59">
        <f>A654</f>
        <v>0</v>
      </c>
      <c r="E163" s="59">
        <f>A663</f>
        <v>0</v>
      </c>
      <c r="F163" s="59">
        <f>A672</f>
        <v>0</v>
      </c>
      <c r="G163" s="59">
        <f>A681</f>
        <v>0</v>
      </c>
      <c r="H163" s="59">
        <f>A690</f>
        <v>0</v>
      </c>
      <c r="J163" s="34">
        <f t="shared" si="129"/>
        <v>0</v>
      </c>
      <c r="L163" s="34" t="str">
        <f>HLOOKUP(J163,D163:$H$166,N9,FALSE)</f>
        <v>OptOpt_EB</v>
      </c>
    </row>
    <row r="164" spans="1:12" x14ac:dyDescent="0.25">
      <c r="A164" s="81">
        <v>40000</v>
      </c>
      <c r="C164" s="36" t="str">
        <f t="shared" si="123"/>
        <v>LoC</v>
      </c>
      <c r="D164" s="59">
        <f t="shared" ref="D164" si="130">A655</f>
        <v>0</v>
      </c>
      <c r="E164" s="59">
        <f t="shared" ref="E164" si="131">A664</f>
        <v>0</v>
      </c>
      <c r="F164" s="59">
        <f t="shared" ref="F164" si="132">A673</f>
        <v>0</v>
      </c>
      <c r="G164" s="59">
        <f t="shared" ref="G164" si="133">A682</f>
        <v>0</v>
      </c>
      <c r="H164" s="59">
        <f t="shared" ref="H164" si="134">A691</f>
        <v>0</v>
      </c>
    </row>
    <row r="165" spans="1:12" x14ac:dyDescent="0.25">
      <c r="A165" s="81">
        <v>183945.64874999999</v>
      </c>
    </row>
    <row r="166" spans="1:12" x14ac:dyDescent="0.25">
      <c r="A166" s="81">
        <v>1590000</v>
      </c>
      <c r="D166" s="34" t="str">
        <f>D155</f>
        <v>OptOpt_EB</v>
      </c>
      <c r="E166" s="34" t="str">
        <f t="shared" ref="E166:H166" si="135">E155</f>
        <v>OptOpt_BB</v>
      </c>
      <c r="F166" s="34" t="str">
        <f t="shared" si="135"/>
        <v>NoneOpt_NBB</v>
      </c>
      <c r="G166" s="34" t="str">
        <f t="shared" si="135"/>
        <v>OptNone_BNB</v>
      </c>
      <c r="H166" s="34" t="str">
        <f t="shared" si="135"/>
        <v>NoneNone_NBNB</v>
      </c>
    </row>
    <row r="167" spans="1:12" x14ac:dyDescent="0.25">
      <c r="A167" s="81">
        <v>0.33333333333333298</v>
      </c>
    </row>
    <row r="168" spans="1:12" x14ac:dyDescent="0.25">
      <c r="A168" s="81">
        <v>90000</v>
      </c>
    </row>
    <row r="169" spans="1:12" x14ac:dyDescent="0.25">
      <c r="A169" s="81">
        <v>90000</v>
      </c>
    </row>
    <row r="170" spans="1:12" x14ac:dyDescent="0.25">
      <c r="A170" s="81">
        <v>46510.980710999997</v>
      </c>
    </row>
    <row r="171" spans="1:12" x14ac:dyDescent="0.25">
      <c r="A171" s="81">
        <v>46214.058683000003</v>
      </c>
    </row>
    <row r="172" spans="1:12" x14ac:dyDescent="0.25">
      <c r="A172" s="81">
        <v>-52352.634534999997</v>
      </c>
    </row>
    <row r="173" spans="1:12" x14ac:dyDescent="0.25">
      <c r="A173" s="81">
        <v>-53174.880150999998</v>
      </c>
    </row>
    <row r="174" spans="1:12" x14ac:dyDescent="0.25">
      <c r="A174" s="81">
        <v>84139.36</v>
      </c>
    </row>
    <row r="175" spans="1:12" x14ac:dyDescent="0.25">
      <c r="A175" s="81">
        <v>2746306.5552920001</v>
      </c>
    </row>
    <row r="176" spans="1:12" x14ac:dyDescent="0.25">
      <c r="A176" s="81">
        <v>0.16666666666666599</v>
      </c>
    </row>
    <row r="177" spans="1:3" s="39" customFormat="1" x14ac:dyDescent="0.25">
      <c r="A177" s="81">
        <v>90000</v>
      </c>
      <c r="C177" s="38"/>
    </row>
    <row r="178" spans="1:3" s="39" customFormat="1" x14ac:dyDescent="0.25">
      <c r="A178" s="81">
        <v>90000</v>
      </c>
      <c r="C178" s="38"/>
    </row>
    <row r="179" spans="1:3" s="39" customFormat="1" x14ac:dyDescent="0.25">
      <c r="A179" s="81">
        <v>40000</v>
      </c>
      <c r="C179" s="38"/>
    </row>
    <row r="180" spans="1:3" s="39" customFormat="1" x14ac:dyDescent="0.25">
      <c r="A180" s="81">
        <v>40000</v>
      </c>
      <c r="C180" s="38"/>
    </row>
    <row r="181" spans="1:3" s="39" customFormat="1" x14ac:dyDescent="0.25">
      <c r="A181" s="81">
        <v>40000</v>
      </c>
      <c r="C181" s="38"/>
    </row>
    <row r="182" spans="1:3" s="39" customFormat="1" x14ac:dyDescent="0.25">
      <c r="A182" s="81">
        <v>40000</v>
      </c>
      <c r="C182" s="38"/>
    </row>
    <row r="183" spans="1:3" s="39" customFormat="1" x14ac:dyDescent="0.25">
      <c r="A183" s="81">
        <v>70000</v>
      </c>
      <c r="C183" s="38"/>
    </row>
    <row r="184" spans="1:3" s="39" customFormat="1" x14ac:dyDescent="0.25">
      <c r="A184" s="81">
        <v>2590000</v>
      </c>
      <c r="C184" s="38"/>
    </row>
    <row r="185" spans="1:3" s="39" customFormat="1" x14ac:dyDescent="0.25">
      <c r="A185" s="81">
        <v>0</v>
      </c>
      <c r="C185" s="38"/>
    </row>
    <row r="186" spans="1:3" s="39" customFormat="1" x14ac:dyDescent="0.25">
      <c r="A186" s="79" t="s">
        <v>271</v>
      </c>
      <c r="C186" s="38"/>
    </row>
    <row r="187" spans="1:3" s="39" customFormat="1" x14ac:dyDescent="0.25">
      <c r="A187" s="81">
        <v>-6454304.2549999999</v>
      </c>
      <c r="C187" s="38"/>
    </row>
    <row r="188" spans="1:3" s="39" customFormat="1" x14ac:dyDescent="0.25">
      <c r="A188" s="81">
        <v>-5140865.95</v>
      </c>
      <c r="C188" s="38"/>
    </row>
    <row r="189" spans="1:3" s="39" customFormat="1" x14ac:dyDescent="0.25">
      <c r="A189" s="81">
        <v>151815.67660000001</v>
      </c>
      <c r="C189" s="38"/>
    </row>
    <row r="190" spans="1:3" s="39" customFormat="1" x14ac:dyDescent="0.25">
      <c r="A190" s="81">
        <v>151873.06479999999</v>
      </c>
      <c r="C190" s="38"/>
    </row>
    <row r="191" spans="1:3" s="39" customFormat="1" x14ac:dyDescent="0.25">
      <c r="A191" s="81">
        <v>155825.0852</v>
      </c>
      <c r="C191" s="38"/>
    </row>
    <row r="192" spans="1:3" s="39" customFormat="1" x14ac:dyDescent="0.25">
      <c r="A192" s="81">
        <v>155830.7672</v>
      </c>
      <c r="C192" s="38"/>
    </row>
    <row r="193" spans="1:3" s="39" customFormat="1" x14ac:dyDescent="0.25">
      <c r="A193" s="81">
        <v>297873.29499999998</v>
      </c>
      <c r="C193" s="38"/>
    </row>
    <row r="194" spans="1:3" s="39" customFormat="1" x14ac:dyDescent="0.25">
      <c r="A194" s="81">
        <v>13659093.1712</v>
      </c>
      <c r="C194" s="38"/>
    </row>
    <row r="195" spans="1:3" s="39" customFormat="1" x14ac:dyDescent="0.25">
      <c r="A195" s="81">
        <v>0.5</v>
      </c>
      <c r="C195" s="38"/>
    </row>
    <row r="196" spans="1:3" s="39" customFormat="1" x14ac:dyDescent="0.25">
      <c r="A196" s="81">
        <v>-2052370.575</v>
      </c>
      <c r="C196" s="38"/>
    </row>
    <row r="197" spans="1:3" s="39" customFormat="1" x14ac:dyDescent="0.25">
      <c r="A197" s="81">
        <v>-2047776.25</v>
      </c>
      <c r="C197" s="38"/>
    </row>
    <row r="198" spans="1:3" s="39" customFormat="1" x14ac:dyDescent="0.25">
      <c r="A198" s="81">
        <v>150418.30112799999</v>
      </c>
      <c r="C198" s="38"/>
    </row>
    <row r="199" spans="1:3" s="39" customFormat="1" x14ac:dyDescent="0.25">
      <c r="A199" s="81">
        <v>150358.030554</v>
      </c>
      <c r="C199" s="38"/>
    </row>
    <row r="200" spans="1:3" s="39" customFormat="1" x14ac:dyDescent="0.25">
      <c r="A200" s="81">
        <v>154816.793018</v>
      </c>
      <c r="C200" s="38"/>
    </row>
    <row r="201" spans="1:3" s="39" customFormat="1" x14ac:dyDescent="0.25">
      <c r="A201" s="81">
        <v>154800.83286600001</v>
      </c>
      <c r="C201" s="38"/>
    </row>
    <row r="202" spans="1:3" s="39" customFormat="1" x14ac:dyDescent="0.25">
      <c r="A202" s="81">
        <v>180835.787434</v>
      </c>
      <c r="C202" s="38"/>
    </row>
    <row r="203" spans="1:3" s="39" customFormat="1" x14ac:dyDescent="0.25">
      <c r="A203" s="81">
        <v>6280158.5250000004</v>
      </c>
      <c r="C203" s="38"/>
    </row>
    <row r="204" spans="1:3" s="39" customFormat="1" x14ac:dyDescent="0.25">
      <c r="A204" s="81">
        <v>0.5</v>
      </c>
      <c r="C204" s="38"/>
    </row>
    <row r="205" spans="1:3" s="39" customFormat="1" x14ac:dyDescent="0.25">
      <c r="A205" s="81">
        <v>-2047966.36</v>
      </c>
      <c r="C205" s="38"/>
    </row>
    <row r="206" spans="1:3" s="39" customFormat="1" x14ac:dyDescent="0.25">
      <c r="A206" s="81">
        <v>-2067484.32</v>
      </c>
      <c r="C206" s="38"/>
    </row>
    <row r="207" spans="1:3" s="39" customFormat="1" x14ac:dyDescent="0.25">
      <c r="A207" s="81">
        <v>40000</v>
      </c>
      <c r="C207" s="38"/>
    </row>
    <row r="208" spans="1:3" s="39" customFormat="1" x14ac:dyDescent="0.25">
      <c r="A208" s="81">
        <v>40000</v>
      </c>
      <c r="C208" s="38"/>
    </row>
    <row r="209" spans="1:3" s="39" customFormat="1" x14ac:dyDescent="0.25">
      <c r="A209" s="81">
        <v>40000</v>
      </c>
      <c r="C209" s="38"/>
    </row>
    <row r="210" spans="1:3" s="39" customFormat="1" x14ac:dyDescent="0.25">
      <c r="A210" s="81">
        <v>40000</v>
      </c>
      <c r="C210" s="38"/>
    </row>
    <row r="211" spans="1:3" s="39" customFormat="1" x14ac:dyDescent="0.25">
      <c r="A211" s="81">
        <v>149029.6</v>
      </c>
      <c r="C211" s="38"/>
    </row>
    <row r="212" spans="1:3" s="39" customFormat="1" x14ac:dyDescent="0.25">
      <c r="A212" s="81">
        <v>6795201.5599999996</v>
      </c>
      <c r="C212" s="38"/>
    </row>
    <row r="213" spans="1:3" s="39" customFormat="1" x14ac:dyDescent="0.25">
      <c r="A213" s="81">
        <v>0.33333333333333298</v>
      </c>
      <c r="C213" s="38"/>
    </row>
    <row r="214" spans="1:3" s="39" customFormat="1" x14ac:dyDescent="0.25">
      <c r="A214" s="81">
        <v>90000</v>
      </c>
      <c r="C214" s="38"/>
    </row>
    <row r="215" spans="1:3" s="39" customFormat="1" x14ac:dyDescent="0.25">
      <c r="A215" s="81">
        <v>90000</v>
      </c>
      <c r="C215" s="38"/>
    </row>
    <row r="216" spans="1:3" s="39" customFormat="1" x14ac:dyDescent="0.25">
      <c r="A216" s="81">
        <v>160632.37840399999</v>
      </c>
      <c r="C216" s="38"/>
    </row>
    <row r="217" spans="1:3" s="39" customFormat="1" x14ac:dyDescent="0.25">
      <c r="A217" s="81">
        <v>160670.17876400001</v>
      </c>
      <c r="C217" s="38"/>
    </row>
    <row r="218" spans="1:3" s="39" customFormat="1" x14ac:dyDescent="0.25">
      <c r="A218" s="81">
        <v>156897.07282999999</v>
      </c>
      <c r="C218" s="38"/>
    </row>
    <row r="219" spans="1:3" s="39" customFormat="1" x14ac:dyDescent="0.25">
      <c r="A219" s="81">
        <v>157026.22406000001</v>
      </c>
      <c r="C219" s="38"/>
    </row>
    <row r="220" spans="1:3" s="39" customFormat="1" x14ac:dyDescent="0.25">
      <c r="A220" s="81">
        <v>84156.755942000003</v>
      </c>
      <c r="C220" s="38"/>
    </row>
    <row r="221" spans="1:3" s="39" customFormat="1" x14ac:dyDescent="0.25">
      <c r="A221" s="81">
        <v>2090000</v>
      </c>
      <c r="C221" s="38"/>
    </row>
    <row r="222" spans="1:3" s="39" customFormat="1" x14ac:dyDescent="0.25">
      <c r="A222" s="81">
        <v>0.16666666666666599</v>
      </c>
      <c r="C222" s="38"/>
    </row>
    <row r="223" spans="1:3" s="39" customFormat="1" x14ac:dyDescent="0.25">
      <c r="A223" s="81">
        <v>90000</v>
      </c>
      <c r="C223" s="38"/>
    </row>
    <row r="224" spans="1:3" s="39" customFormat="1" x14ac:dyDescent="0.25">
      <c r="A224" s="81">
        <v>90000</v>
      </c>
      <c r="C224" s="38"/>
    </row>
    <row r="225" spans="1:3" s="39" customFormat="1" x14ac:dyDescent="0.25">
      <c r="A225" s="81">
        <v>40000</v>
      </c>
      <c r="C225" s="38"/>
    </row>
    <row r="226" spans="1:3" s="39" customFormat="1" x14ac:dyDescent="0.25">
      <c r="A226" s="81">
        <v>40000</v>
      </c>
      <c r="C226" s="38"/>
    </row>
    <row r="227" spans="1:3" s="39" customFormat="1" x14ac:dyDescent="0.25">
      <c r="A227" s="81">
        <v>40000</v>
      </c>
      <c r="C227" s="38"/>
    </row>
    <row r="228" spans="1:3" s="39" customFormat="1" x14ac:dyDescent="0.25">
      <c r="A228" s="81">
        <v>40000</v>
      </c>
      <c r="C228" s="38"/>
    </row>
    <row r="229" spans="1:3" s="39" customFormat="1" x14ac:dyDescent="0.25">
      <c r="A229" s="81">
        <v>70000</v>
      </c>
      <c r="C229" s="38"/>
    </row>
    <row r="230" spans="1:3" s="39" customFormat="1" x14ac:dyDescent="0.25">
      <c r="A230" s="81">
        <v>2590000</v>
      </c>
      <c r="C230" s="38"/>
    </row>
    <row r="231" spans="1:3" s="39" customFormat="1" x14ac:dyDescent="0.25">
      <c r="A231" s="81">
        <v>0</v>
      </c>
      <c r="C231" s="38"/>
    </row>
    <row r="232" spans="1:3" s="39" customFormat="1" x14ac:dyDescent="0.25">
      <c r="A232" s="80" t="s">
        <v>272</v>
      </c>
      <c r="C232" s="38"/>
    </row>
    <row r="233" spans="1:3" s="39" customFormat="1" x14ac:dyDescent="0.25">
      <c r="A233" s="81">
        <v>-7765751.1900000004</v>
      </c>
      <c r="C233" s="38"/>
    </row>
    <row r="234" spans="1:3" s="39" customFormat="1" x14ac:dyDescent="0.25">
      <c r="A234" s="81">
        <v>-5291730.7300000004</v>
      </c>
      <c r="C234" s="38"/>
    </row>
    <row r="235" spans="1:3" s="39" customFormat="1" x14ac:dyDescent="0.25">
      <c r="A235" s="81">
        <v>151871.5496</v>
      </c>
      <c r="C235" s="38"/>
    </row>
    <row r="236" spans="1:3" s="39" customFormat="1" x14ac:dyDescent="0.25">
      <c r="A236" s="81">
        <v>151843.13959999999</v>
      </c>
      <c r="C236" s="38"/>
    </row>
    <row r="237" spans="1:3" s="39" customFormat="1" x14ac:dyDescent="0.25">
      <c r="A237" s="81">
        <v>155753.3026</v>
      </c>
      <c r="C237" s="38"/>
    </row>
    <row r="238" spans="1:3" s="39" customFormat="1" x14ac:dyDescent="0.25">
      <c r="A238" s="81">
        <v>155803.49359999999</v>
      </c>
      <c r="C238" s="38"/>
    </row>
    <row r="239" spans="1:3" s="39" customFormat="1" x14ac:dyDescent="0.25">
      <c r="A239" s="81">
        <v>297762.04343000002</v>
      </c>
      <c r="C239" s="38"/>
    </row>
    <row r="240" spans="1:3" s="39" customFormat="1" x14ac:dyDescent="0.25">
      <c r="A240" s="81">
        <v>15079917.464600001</v>
      </c>
      <c r="C240" s="38"/>
    </row>
    <row r="241" spans="1:3" s="39" customFormat="1" x14ac:dyDescent="0.25">
      <c r="A241" s="81">
        <v>0.5</v>
      </c>
      <c r="C241" s="38"/>
    </row>
    <row r="242" spans="1:3" s="39" customFormat="1" x14ac:dyDescent="0.25">
      <c r="A242" s="81">
        <v>524361.27</v>
      </c>
      <c r="C242" s="38"/>
    </row>
    <row r="243" spans="1:3" s="39" customFormat="1" x14ac:dyDescent="0.25">
      <c r="A243" s="81">
        <v>524439.48</v>
      </c>
      <c r="C243" s="38"/>
    </row>
    <row r="244" spans="1:3" s="39" customFormat="1" x14ac:dyDescent="0.25">
      <c r="A244" s="81">
        <v>150299.64999800001</v>
      </c>
      <c r="C244" s="38"/>
    </row>
    <row r="245" spans="1:3" s="39" customFormat="1" x14ac:dyDescent="0.25">
      <c r="A245" s="81">
        <v>150442.45135799999</v>
      </c>
      <c r="C245" s="38"/>
    </row>
    <row r="246" spans="1:3" s="39" customFormat="1" x14ac:dyDescent="0.25">
      <c r="A246" s="81">
        <v>154782.14268799999</v>
      </c>
      <c r="C246" s="38"/>
    </row>
    <row r="247" spans="1:3" s="39" customFormat="1" x14ac:dyDescent="0.25">
      <c r="A247" s="81">
        <v>154775.84262800001</v>
      </c>
      <c r="C247" s="38"/>
    </row>
    <row r="248" spans="1:3" s="39" customFormat="1" x14ac:dyDescent="0.25">
      <c r="A248" s="81">
        <v>180607.61047799999</v>
      </c>
      <c r="C248" s="38"/>
    </row>
    <row r="249" spans="1:3" s="39" customFormat="1" x14ac:dyDescent="0.25">
      <c r="A249" s="81">
        <v>1090000</v>
      </c>
      <c r="C249" s="38"/>
    </row>
    <row r="250" spans="1:3" s="39" customFormat="1" x14ac:dyDescent="0.25">
      <c r="A250" s="81">
        <v>0.5</v>
      </c>
      <c r="C250" s="38"/>
    </row>
    <row r="251" spans="1:3" s="39" customFormat="1" x14ac:dyDescent="0.25">
      <c r="A251" s="81">
        <v>524343.89</v>
      </c>
      <c r="C251" s="38"/>
    </row>
    <row r="252" spans="1:3" s="39" customFormat="1" x14ac:dyDescent="0.25">
      <c r="A252" s="81">
        <v>523958.37</v>
      </c>
      <c r="C252" s="38"/>
    </row>
    <row r="253" spans="1:3" s="39" customFormat="1" x14ac:dyDescent="0.25">
      <c r="A253" s="81">
        <v>40000</v>
      </c>
      <c r="C253" s="38"/>
    </row>
    <row r="254" spans="1:3" s="39" customFormat="1" x14ac:dyDescent="0.25">
      <c r="A254" s="81">
        <v>40000</v>
      </c>
      <c r="C254" s="38"/>
    </row>
    <row r="255" spans="1:3" s="39" customFormat="1" x14ac:dyDescent="0.25">
      <c r="A255" s="81">
        <v>40000</v>
      </c>
      <c r="C255" s="38"/>
    </row>
    <row r="256" spans="1:3" s="39" customFormat="1" x14ac:dyDescent="0.25">
      <c r="A256" s="81">
        <v>40000</v>
      </c>
      <c r="C256" s="38"/>
    </row>
    <row r="257" spans="1:3" s="39" customFormat="1" x14ac:dyDescent="0.25">
      <c r="A257" s="81">
        <v>148826.423412</v>
      </c>
      <c r="C257" s="38"/>
    </row>
    <row r="258" spans="1:3" s="39" customFormat="1" x14ac:dyDescent="0.25">
      <c r="A258" s="81">
        <v>1590000</v>
      </c>
      <c r="C258" s="38"/>
    </row>
    <row r="259" spans="1:3" s="39" customFormat="1" x14ac:dyDescent="0.25">
      <c r="A259" s="81">
        <v>0.33333333333333298</v>
      </c>
      <c r="C259" s="38"/>
    </row>
    <row r="260" spans="1:3" s="39" customFormat="1" x14ac:dyDescent="0.25">
      <c r="A260" s="81">
        <v>90000</v>
      </c>
      <c r="C260" s="38"/>
    </row>
    <row r="261" spans="1:3" s="39" customFormat="1" x14ac:dyDescent="0.25">
      <c r="A261" s="81">
        <v>90000</v>
      </c>
      <c r="C261" s="38"/>
    </row>
    <row r="262" spans="1:3" s="39" customFormat="1" x14ac:dyDescent="0.25">
      <c r="A262" s="81">
        <v>160651.90859000001</v>
      </c>
      <c r="C262" s="38"/>
    </row>
    <row r="263" spans="1:3" s="39" customFormat="1" x14ac:dyDescent="0.25">
      <c r="A263" s="81">
        <v>160676.05882000001</v>
      </c>
      <c r="C263" s="38"/>
    </row>
    <row r="264" spans="1:3" s="39" customFormat="1" x14ac:dyDescent="0.25">
      <c r="A264" s="81">
        <v>156936.343204</v>
      </c>
      <c r="C264" s="38"/>
    </row>
    <row r="265" spans="1:3" s="39" customFormat="1" x14ac:dyDescent="0.25">
      <c r="A265" s="81">
        <v>156982.963648</v>
      </c>
      <c r="C265" s="38"/>
    </row>
    <row r="266" spans="1:3" s="39" customFormat="1" x14ac:dyDescent="0.25">
      <c r="A266" s="81">
        <v>84144.515738000002</v>
      </c>
      <c r="C266" s="38"/>
    </row>
    <row r="267" spans="1:3" s="39" customFormat="1" x14ac:dyDescent="0.25">
      <c r="A267" s="81">
        <v>2090000</v>
      </c>
      <c r="C267" s="38"/>
    </row>
    <row r="268" spans="1:3" s="39" customFormat="1" x14ac:dyDescent="0.25">
      <c r="A268" s="81">
        <v>0.16666666666666599</v>
      </c>
      <c r="C268" s="38"/>
    </row>
    <row r="269" spans="1:3" s="39" customFormat="1" x14ac:dyDescent="0.25">
      <c r="A269" s="81">
        <v>90000</v>
      </c>
      <c r="C269" s="38"/>
    </row>
    <row r="270" spans="1:3" s="39" customFormat="1" x14ac:dyDescent="0.25">
      <c r="A270" s="81">
        <v>90000</v>
      </c>
      <c r="C270" s="38"/>
    </row>
    <row r="271" spans="1:3" s="39" customFormat="1" x14ac:dyDescent="0.25">
      <c r="A271" s="81">
        <v>40000</v>
      </c>
      <c r="C271" s="38"/>
    </row>
    <row r="272" spans="1:3" s="39" customFormat="1" x14ac:dyDescent="0.25">
      <c r="A272" s="81">
        <v>40000</v>
      </c>
      <c r="C272" s="38"/>
    </row>
    <row r="273" spans="1:3" s="39" customFormat="1" x14ac:dyDescent="0.25">
      <c r="A273" s="81">
        <v>40000</v>
      </c>
      <c r="C273" s="38"/>
    </row>
    <row r="274" spans="1:3" s="39" customFormat="1" x14ac:dyDescent="0.25">
      <c r="A274" s="81">
        <v>40000</v>
      </c>
      <c r="C274" s="38"/>
    </row>
    <row r="275" spans="1:3" s="39" customFormat="1" x14ac:dyDescent="0.25">
      <c r="A275" s="81">
        <v>70000</v>
      </c>
      <c r="C275" s="38"/>
    </row>
    <row r="276" spans="1:3" s="39" customFormat="1" x14ac:dyDescent="0.25">
      <c r="A276" s="81">
        <v>2590000</v>
      </c>
      <c r="C276" s="38"/>
    </row>
    <row r="277" spans="1:3" s="39" customFormat="1" x14ac:dyDescent="0.25">
      <c r="A277" s="81">
        <v>0</v>
      </c>
      <c r="C277" s="38"/>
    </row>
    <row r="278" spans="1:3" s="39" customFormat="1" x14ac:dyDescent="0.25">
      <c r="A278" s="79" t="s">
        <v>273</v>
      </c>
      <c r="C278" s="38"/>
    </row>
    <row r="279" spans="1:3" s="39" customFormat="1" x14ac:dyDescent="0.25">
      <c r="A279" s="81">
        <v>-8812375.4600000009</v>
      </c>
      <c r="C279" s="38"/>
    </row>
    <row r="280" spans="1:3" s="39" customFormat="1" x14ac:dyDescent="0.25">
      <c r="A280" s="81">
        <v>-6012792.8600000003</v>
      </c>
      <c r="C280" s="38"/>
    </row>
    <row r="281" spans="1:3" s="39" customFormat="1" x14ac:dyDescent="0.25">
      <c r="A281" s="81">
        <v>151797.49419999999</v>
      </c>
      <c r="C281" s="38"/>
    </row>
    <row r="282" spans="1:3" s="39" customFormat="1" x14ac:dyDescent="0.25">
      <c r="A282" s="81">
        <v>151906.96739999999</v>
      </c>
      <c r="C282" s="38"/>
    </row>
    <row r="283" spans="1:3" s="39" customFormat="1" x14ac:dyDescent="0.25">
      <c r="A283" s="81">
        <v>155797.24340000001</v>
      </c>
      <c r="C283" s="38"/>
    </row>
    <row r="284" spans="1:3" s="39" customFormat="1" x14ac:dyDescent="0.25">
      <c r="A284" s="81">
        <v>155798.7586</v>
      </c>
      <c r="C284" s="38"/>
    </row>
    <row r="285" spans="1:3" s="39" customFormat="1" x14ac:dyDescent="0.25">
      <c r="A285" s="81">
        <v>315102.82319600001</v>
      </c>
      <c r="C285" s="38"/>
    </row>
    <row r="286" spans="1:3" s="39" customFormat="1" x14ac:dyDescent="0.25">
      <c r="A286" s="81">
        <v>16830278.566399999</v>
      </c>
      <c r="C286" s="38"/>
    </row>
    <row r="287" spans="1:3" s="39" customFormat="1" x14ac:dyDescent="0.25">
      <c r="A287" s="81">
        <v>0.5</v>
      </c>
      <c r="C287" s="38"/>
    </row>
    <row r="288" spans="1:3" s="39" customFormat="1" x14ac:dyDescent="0.25">
      <c r="A288" s="81">
        <v>515263.92</v>
      </c>
      <c r="C288" s="38"/>
    </row>
    <row r="289" spans="1:3" s="39" customFormat="1" x14ac:dyDescent="0.25">
      <c r="A289" s="81">
        <v>515375.79499999998</v>
      </c>
      <c r="C289" s="38"/>
    </row>
    <row r="290" spans="1:3" s="39" customFormat="1" x14ac:dyDescent="0.25">
      <c r="A290" s="81">
        <v>150430.90124800001</v>
      </c>
      <c r="C290" s="38"/>
    </row>
    <row r="291" spans="1:3" s="39" customFormat="1" x14ac:dyDescent="0.25">
      <c r="A291" s="81">
        <v>150441.19134600001</v>
      </c>
      <c r="C291" s="38"/>
    </row>
    <row r="292" spans="1:3" s="39" customFormat="1" x14ac:dyDescent="0.25">
      <c r="A292" s="81">
        <v>154785.082716</v>
      </c>
      <c r="C292" s="38"/>
    </row>
    <row r="293" spans="1:3" s="39" customFormat="1" x14ac:dyDescent="0.25">
      <c r="A293" s="81">
        <v>154801.67287400001</v>
      </c>
      <c r="C293" s="38"/>
    </row>
    <row r="294" spans="1:3" s="39" customFormat="1" x14ac:dyDescent="0.25">
      <c r="A294" s="81">
        <v>198439.56558200001</v>
      </c>
      <c r="C294" s="38"/>
    </row>
    <row r="295" spans="1:3" s="39" customFormat="1" x14ac:dyDescent="0.25">
      <c r="A295" s="81">
        <v>1090000</v>
      </c>
      <c r="C295" s="38"/>
    </row>
    <row r="296" spans="1:3" s="39" customFormat="1" x14ac:dyDescent="0.25">
      <c r="A296" s="81">
        <v>0.5</v>
      </c>
      <c r="C296" s="38"/>
    </row>
    <row r="297" spans="1:3" s="39" customFormat="1" x14ac:dyDescent="0.25">
      <c r="A297" s="81">
        <v>515501.09499999997</v>
      </c>
      <c r="C297" s="38"/>
    </row>
    <row r="298" spans="1:3" s="39" customFormat="1" x14ac:dyDescent="0.25">
      <c r="A298" s="81">
        <v>515297.93</v>
      </c>
      <c r="C298" s="38"/>
    </row>
    <row r="299" spans="1:3" s="39" customFormat="1" x14ac:dyDescent="0.25">
      <c r="A299" s="81">
        <v>40000</v>
      </c>
      <c r="C299" s="38"/>
    </row>
    <row r="300" spans="1:3" s="39" customFormat="1" x14ac:dyDescent="0.25">
      <c r="A300" s="81">
        <v>40000</v>
      </c>
      <c r="C300" s="38"/>
    </row>
    <row r="301" spans="1:3" s="39" customFormat="1" x14ac:dyDescent="0.25">
      <c r="A301" s="81">
        <v>40000</v>
      </c>
      <c r="C301" s="38"/>
    </row>
    <row r="302" spans="1:3" s="39" customFormat="1" x14ac:dyDescent="0.25">
      <c r="A302" s="81">
        <v>40000</v>
      </c>
      <c r="C302" s="38"/>
    </row>
    <row r="303" spans="1:3" s="39" customFormat="1" x14ac:dyDescent="0.25">
      <c r="A303" s="81">
        <v>166315.13341000001</v>
      </c>
      <c r="C303" s="38"/>
    </row>
    <row r="304" spans="1:3" s="39" customFormat="1" x14ac:dyDescent="0.25">
      <c r="A304" s="81">
        <v>1590000</v>
      </c>
      <c r="C304" s="38"/>
    </row>
    <row r="305" spans="1:3" s="39" customFormat="1" x14ac:dyDescent="0.25">
      <c r="A305" s="81">
        <v>0.33333333333333298</v>
      </c>
      <c r="C305" s="38"/>
    </row>
    <row r="306" spans="1:3" s="39" customFormat="1" x14ac:dyDescent="0.25">
      <c r="A306" s="81">
        <v>90000</v>
      </c>
      <c r="C306" s="38"/>
    </row>
    <row r="307" spans="1:3" s="39" customFormat="1" x14ac:dyDescent="0.25">
      <c r="A307" s="81">
        <v>90000</v>
      </c>
      <c r="C307" s="38"/>
    </row>
    <row r="308" spans="1:3" s="39" customFormat="1" x14ac:dyDescent="0.25">
      <c r="A308" s="81">
        <v>160600.24809800001</v>
      </c>
      <c r="C308" s="38"/>
    </row>
    <row r="309" spans="1:3" s="39" customFormat="1" x14ac:dyDescent="0.25">
      <c r="A309" s="81">
        <v>160630.278384</v>
      </c>
      <c r="C309" s="38"/>
    </row>
    <row r="310" spans="1:3" s="39" customFormat="1" x14ac:dyDescent="0.25">
      <c r="A310" s="81">
        <v>157019.50399600001</v>
      </c>
      <c r="C310" s="38"/>
    </row>
    <row r="311" spans="1:3" s="39" customFormat="1" x14ac:dyDescent="0.25">
      <c r="A311" s="81">
        <v>157009.21389799999</v>
      </c>
      <c r="C311" s="38"/>
    </row>
    <row r="312" spans="1:3" s="39" customFormat="1" x14ac:dyDescent="0.25">
      <c r="A312" s="81">
        <v>84137.675623999996</v>
      </c>
      <c r="C312" s="38"/>
    </row>
    <row r="313" spans="1:3" s="39" customFormat="1" x14ac:dyDescent="0.25">
      <c r="A313" s="81">
        <v>2090000</v>
      </c>
      <c r="C313" s="38"/>
    </row>
    <row r="314" spans="1:3" s="39" customFormat="1" x14ac:dyDescent="0.25">
      <c r="A314" s="81">
        <v>0.16666666666666599</v>
      </c>
      <c r="C314" s="38"/>
    </row>
    <row r="315" spans="1:3" s="39" customFormat="1" x14ac:dyDescent="0.25">
      <c r="A315" s="81">
        <v>90000</v>
      </c>
      <c r="C315" s="38"/>
    </row>
    <row r="316" spans="1:3" s="39" customFormat="1" x14ac:dyDescent="0.25">
      <c r="A316" s="81">
        <v>90000</v>
      </c>
      <c r="C316" s="38"/>
    </row>
    <row r="317" spans="1:3" s="39" customFormat="1" x14ac:dyDescent="0.25">
      <c r="A317" s="81">
        <v>40000</v>
      </c>
      <c r="C317" s="38"/>
    </row>
    <row r="318" spans="1:3" s="39" customFormat="1" x14ac:dyDescent="0.25">
      <c r="A318" s="81">
        <v>40000</v>
      </c>
      <c r="C318" s="38"/>
    </row>
    <row r="319" spans="1:3" s="39" customFormat="1" x14ac:dyDescent="0.25">
      <c r="A319" s="81">
        <v>40000</v>
      </c>
      <c r="C319" s="38"/>
    </row>
    <row r="320" spans="1:3" s="39" customFormat="1" x14ac:dyDescent="0.25">
      <c r="A320" s="81">
        <v>40000</v>
      </c>
      <c r="C320" s="38"/>
    </row>
    <row r="321" spans="1:3" s="39" customFormat="1" x14ac:dyDescent="0.25">
      <c r="A321" s="81">
        <v>70000</v>
      </c>
      <c r="C321" s="38"/>
    </row>
    <row r="322" spans="1:3" s="39" customFormat="1" x14ac:dyDescent="0.25">
      <c r="A322" s="81">
        <v>2590000</v>
      </c>
      <c r="C322" s="38"/>
    </row>
    <row r="323" spans="1:3" s="39" customFormat="1" x14ac:dyDescent="0.25">
      <c r="A323" s="81">
        <v>0</v>
      </c>
      <c r="C323" s="38"/>
    </row>
    <row r="324" spans="1:3" s="39" customFormat="1" x14ac:dyDescent="0.25">
      <c r="A324" s="80" t="s">
        <v>274</v>
      </c>
      <c r="C324" s="38"/>
    </row>
    <row r="325" spans="1:3" s="39" customFormat="1" x14ac:dyDescent="0.25">
      <c r="A325" s="81">
        <v>368009</v>
      </c>
      <c r="C325" s="38"/>
    </row>
    <row r="326" spans="1:3" s="39" customFormat="1" x14ac:dyDescent="0.25">
      <c r="A326" s="81">
        <v>409387</v>
      </c>
      <c r="C326" s="38"/>
    </row>
    <row r="327" spans="1:3" s="39" customFormat="1" x14ac:dyDescent="0.25">
      <c r="A327" s="81">
        <v>165000</v>
      </c>
      <c r="C327" s="38"/>
    </row>
    <row r="328" spans="1:3" s="39" customFormat="1" x14ac:dyDescent="0.25">
      <c r="A328" s="81">
        <v>165000</v>
      </c>
      <c r="C328" s="38"/>
    </row>
    <row r="329" spans="1:3" s="39" customFormat="1" x14ac:dyDescent="0.25">
      <c r="A329" s="81">
        <v>165000</v>
      </c>
      <c r="C329" s="38"/>
    </row>
    <row r="330" spans="1:3" s="39" customFormat="1" x14ac:dyDescent="0.25">
      <c r="A330" s="81">
        <v>165000</v>
      </c>
      <c r="C330" s="38"/>
    </row>
    <row r="331" spans="1:3" s="39" customFormat="1" x14ac:dyDescent="0.25">
      <c r="A331" s="81">
        <v>332590.59520799998</v>
      </c>
      <c r="C331" s="38"/>
    </row>
    <row r="332" spans="1:3" s="39" customFormat="1" x14ac:dyDescent="0.25">
      <c r="A332" s="81">
        <v>1090000</v>
      </c>
      <c r="C332" s="38"/>
    </row>
    <row r="333" spans="1:3" s="39" customFormat="1" x14ac:dyDescent="0.25">
      <c r="A333" s="81">
        <v>0.5</v>
      </c>
      <c r="C333" s="38"/>
    </row>
    <row r="334" spans="1:3" s="39" customFormat="1" x14ac:dyDescent="0.25">
      <c r="A334" s="81">
        <v>507415</v>
      </c>
      <c r="C334" s="38"/>
    </row>
    <row r="335" spans="1:3" s="39" customFormat="1" x14ac:dyDescent="0.25">
      <c r="A335" s="81">
        <v>506573</v>
      </c>
      <c r="C335" s="38"/>
    </row>
    <row r="336" spans="1:3" s="39" customFormat="1" x14ac:dyDescent="0.25">
      <c r="A336" s="81">
        <v>150488.441796</v>
      </c>
      <c r="C336" s="38"/>
    </row>
    <row r="337" spans="1:3" s="39" customFormat="1" x14ac:dyDescent="0.25">
      <c r="A337" s="81">
        <v>150356.77054200001</v>
      </c>
      <c r="C337" s="38"/>
    </row>
    <row r="338" spans="1:3" s="39" customFormat="1" x14ac:dyDescent="0.25">
      <c r="A338" s="81">
        <v>154766.812542</v>
      </c>
      <c r="C338" s="38"/>
    </row>
    <row r="339" spans="1:3" s="39" customFormat="1" x14ac:dyDescent="0.25">
      <c r="A339" s="81">
        <v>154763.66251200001</v>
      </c>
      <c r="C339" s="38"/>
    </row>
    <row r="340" spans="1:3" s="39" customFormat="1" x14ac:dyDescent="0.25">
      <c r="A340" s="81">
        <v>215395.74463199999</v>
      </c>
      <c r="C340" s="38"/>
    </row>
    <row r="341" spans="1:3" s="39" customFormat="1" x14ac:dyDescent="0.25">
      <c r="A341" s="81">
        <v>1090000</v>
      </c>
      <c r="C341" s="38"/>
    </row>
    <row r="342" spans="1:3" s="39" customFormat="1" x14ac:dyDescent="0.25">
      <c r="A342" s="81">
        <v>0.5</v>
      </c>
      <c r="C342" s="38"/>
    </row>
    <row r="343" spans="1:3" s="39" customFormat="1" x14ac:dyDescent="0.25">
      <c r="A343" s="81">
        <v>506794</v>
      </c>
      <c r="C343" s="38"/>
    </row>
    <row r="344" spans="1:3" s="39" customFormat="1" x14ac:dyDescent="0.25">
      <c r="A344" s="81">
        <v>506169</v>
      </c>
      <c r="C344" s="38"/>
    </row>
    <row r="345" spans="1:3" s="39" customFormat="1" x14ac:dyDescent="0.25">
      <c r="A345" s="81">
        <v>40000</v>
      </c>
      <c r="C345" s="38"/>
    </row>
    <row r="346" spans="1:3" s="39" customFormat="1" x14ac:dyDescent="0.25">
      <c r="A346" s="81">
        <v>40000</v>
      </c>
      <c r="C346" s="38"/>
    </row>
    <row r="347" spans="1:3" s="39" customFormat="1" x14ac:dyDescent="0.25">
      <c r="A347" s="81">
        <v>40000</v>
      </c>
      <c r="C347" s="38"/>
    </row>
    <row r="348" spans="1:3" s="39" customFormat="1" x14ac:dyDescent="0.25">
      <c r="A348" s="81">
        <v>40000</v>
      </c>
      <c r="C348" s="38"/>
    </row>
    <row r="349" spans="1:3" s="39" customFormat="1" x14ac:dyDescent="0.25">
      <c r="A349" s="81">
        <v>184063.45907400001</v>
      </c>
      <c r="C349" s="38"/>
    </row>
    <row r="350" spans="1:3" s="39" customFormat="1" x14ac:dyDescent="0.25">
      <c r="A350" s="81">
        <v>1590000</v>
      </c>
      <c r="C350" s="38"/>
    </row>
    <row r="351" spans="1:3" s="39" customFormat="1" x14ac:dyDescent="0.25">
      <c r="A351" s="81">
        <v>0.33333333333333298</v>
      </c>
      <c r="C351" s="38"/>
    </row>
    <row r="352" spans="1:3" s="39" customFormat="1" x14ac:dyDescent="0.25">
      <c r="A352" s="81">
        <v>90000</v>
      </c>
      <c r="C352" s="38"/>
    </row>
    <row r="353" spans="1:3" s="39" customFormat="1" x14ac:dyDescent="0.25">
      <c r="A353" s="81">
        <v>90000</v>
      </c>
      <c r="C353" s="38"/>
    </row>
    <row r="354" spans="1:3" s="39" customFormat="1" x14ac:dyDescent="0.25">
      <c r="A354" s="81">
        <v>160584.07794399999</v>
      </c>
      <c r="C354" s="38"/>
    </row>
    <row r="355" spans="1:3" s="39" customFormat="1" x14ac:dyDescent="0.25">
      <c r="A355" s="81">
        <v>160609.278184</v>
      </c>
      <c r="C355" s="38"/>
    </row>
    <row r="356" spans="1:3" s="39" customFormat="1" x14ac:dyDescent="0.25">
      <c r="A356" s="81">
        <v>157052.26430800001</v>
      </c>
      <c r="C356" s="38"/>
    </row>
    <row r="357" spans="1:3" s="39" customFormat="1" x14ac:dyDescent="0.25">
      <c r="A357" s="81">
        <v>156994.30375600001</v>
      </c>
      <c r="C357" s="38"/>
    </row>
    <row r="358" spans="1:3" s="39" customFormat="1" x14ac:dyDescent="0.25">
      <c r="A358" s="81">
        <v>84148.715807999994</v>
      </c>
      <c r="C358" s="38"/>
    </row>
    <row r="359" spans="1:3" s="39" customFormat="1" x14ac:dyDescent="0.25">
      <c r="A359" s="81">
        <v>2090000</v>
      </c>
      <c r="C359" s="38"/>
    </row>
    <row r="360" spans="1:3" s="39" customFormat="1" x14ac:dyDescent="0.25">
      <c r="A360" s="81">
        <v>0.16666666666666599</v>
      </c>
      <c r="C360" s="38"/>
    </row>
    <row r="361" spans="1:3" s="39" customFormat="1" x14ac:dyDescent="0.25">
      <c r="A361" s="81">
        <v>90000</v>
      </c>
      <c r="C361" s="38"/>
    </row>
    <row r="362" spans="1:3" s="39" customFormat="1" x14ac:dyDescent="0.25">
      <c r="A362" s="81">
        <v>90000</v>
      </c>
      <c r="C362" s="38"/>
    </row>
    <row r="363" spans="1:3" s="39" customFormat="1" x14ac:dyDescent="0.25">
      <c r="A363" s="81">
        <v>40000</v>
      </c>
      <c r="C363" s="38"/>
    </row>
    <row r="364" spans="1:3" s="39" customFormat="1" x14ac:dyDescent="0.25">
      <c r="A364" s="81">
        <v>40000</v>
      </c>
      <c r="C364" s="38"/>
    </row>
    <row r="365" spans="1:3" s="39" customFormat="1" x14ac:dyDescent="0.25">
      <c r="A365" s="81">
        <v>40000</v>
      </c>
      <c r="C365" s="38"/>
    </row>
    <row r="366" spans="1:3" s="39" customFormat="1" x14ac:dyDescent="0.25">
      <c r="A366" s="81">
        <v>40000</v>
      </c>
      <c r="C366" s="38"/>
    </row>
    <row r="367" spans="1:3" s="39" customFormat="1" x14ac:dyDescent="0.25">
      <c r="A367" s="81">
        <v>70000</v>
      </c>
      <c r="C367" s="38"/>
    </row>
    <row r="368" spans="1:3" s="39" customFormat="1" x14ac:dyDescent="0.25">
      <c r="A368" s="81">
        <v>2590000</v>
      </c>
      <c r="C368" s="38"/>
    </row>
    <row r="369" spans="1:3" s="39" customFormat="1" x14ac:dyDescent="0.25">
      <c r="A369" s="81">
        <v>0</v>
      </c>
      <c r="C369" s="38"/>
    </row>
    <row r="370" spans="1:3" s="39" customFormat="1" x14ac:dyDescent="0.25">
      <c r="A370" s="81"/>
      <c r="C370" s="38"/>
    </row>
    <row r="371" spans="1:3" s="39" customFormat="1" x14ac:dyDescent="0.25">
      <c r="A371" s="81" t="s">
        <v>28</v>
      </c>
      <c r="C371" s="38"/>
    </row>
    <row r="372" spans="1:3" s="39" customFormat="1" x14ac:dyDescent="0.25">
      <c r="A372" s="81"/>
      <c r="C372" s="38"/>
    </row>
    <row r="373" spans="1:3" s="39" customFormat="1" x14ac:dyDescent="0.25">
      <c r="A373" s="81"/>
      <c r="C373" s="38"/>
    </row>
    <row r="374" spans="1:3" s="39" customFormat="1" x14ac:dyDescent="0.25">
      <c r="A374" s="81"/>
      <c r="C374" s="38"/>
    </row>
    <row r="375" spans="1:3" s="39" customFormat="1" x14ac:dyDescent="0.25">
      <c r="A375" s="81"/>
      <c r="C375" s="38"/>
    </row>
    <row r="376" spans="1:3" s="39" customFormat="1" x14ac:dyDescent="0.25">
      <c r="A376" s="81"/>
      <c r="C376" s="38"/>
    </row>
    <row r="377" spans="1:3" s="39" customFormat="1" x14ac:dyDescent="0.25">
      <c r="A377" s="81"/>
      <c r="C377" s="38"/>
    </row>
    <row r="378" spans="1:3" s="39" customFormat="1" x14ac:dyDescent="0.25">
      <c r="A378" s="81"/>
      <c r="C378" s="38"/>
    </row>
    <row r="379" spans="1:3" s="39" customFormat="1" x14ac:dyDescent="0.25">
      <c r="A379" s="81"/>
      <c r="C379" s="38"/>
    </row>
    <row r="380" spans="1:3" s="39" customFormat="1" x14ac:dyDescent="0.25">
      <c r="A380" s="81"/>
      <c r="C380" s="38"/>
    </row>
    <row r="381" spans="1:3" s="39" customFormat="1" x14ac:dyDescent="0.25">
      <c r="A381" s="81"/>
      <c r="C381" s="38"/>
    </row>
    <row r="382" spans="1:3" s="39" customFormat="1" x14ac:dyDescent="0.25">
      <c r="A382" s="81"/>
      <c r="C382" s="38"/>
    </row>
    <row r="383" spans="1:3" s="39" customFormat="1" x14ac:dyDescent="0.25">
      <c r="A383" s="81"/>
      <c r="C383" s="38"/>
    </row>
    <row r="384" spans="1:3" s="39" customFormat="1" x14ac:dyDescent="0.25">
      <c r="A384" s="81"/>
      <c r="C384" s="38"/>
    </row>
    <row r="385" spans="1:3" s="39" customFormat="1" x14ac:dyDescent="0.25">
      <c r="A385" s="81"/>
      <c r="C385" s="38"/>
    </row>
    <row r="386" spans="1:3" s="39" customFormat="1" x14ac:dyDescent="0.25">
      <c r="A386" s="81"/>
      <c r="C386" s="38"/>
    </row>
    <row r="387" spans="1:3" s="39" customFormat="1" x14ac:dyDescent="0.25">
      <c r="A387" s="81"/>
      <c r="C387" s="38"/>
    </row>
    <row r="388" spans="1:3" s="39" customFormat="1" x14ac:dyDescent="0.25">
      <c r="A388" s="81"/>
      <c r="C388" s="38"/>
    </row>
    <row r="389" spans="1:3" s="39" customFormat="1" x14ac:dyDescent="0.25">
      <c r="A389" s="81"/>
      <c r="C389" s="38"/>
    </row>
    <row r="390" spans="1:3" s="39" customFormat="1" x14ac:dyDescent="0.25">
      <c r="A390" s="81"/>
      <c r="C390" s="38"/>
    </row>
    <row r="391" spans="1:3" s="39" customFormat="1" x14ac:dyDescent="0.25">
      <c r="A391" s="81"/>
      <c r="C391" s="38"/>
    </row>
    <row r="392" spans="1:3" s="39" customFormat="1" x14ac:dyDescent="0.25">
      <c r="A392" s="81"/>
      <c r="C392" s="38"/>
    </row>
    <row r="393" spans="1:3" s="39" customFormat="1" x14ac:dyDescent="0.25">
      <c r="A393" s="81"/>
      <c r="C393" s="38"/>
    </row>
    <row r="394" spans="1:3" s="39" customFormat="1" x14ac:dyDescent="0.25">
      <c r="A394" s="81"/>
      <c r="C394" s="38"/>
    </row>
    <row r="395" spans="1:3" s="39" customFormat="1" x14ac:dyDescent="0.25">
      <c r="A395" s="81"/>
      <c r="C395" s="38"/>
    </row>
    <row r="396" spans="1:3" s="39" customFormat="1" x14ac:dyDescent="0.25">
      <c r="A396" s="81"/>
      <c r="C396" s="38"/>
    </row>
    <row r="397" spans="1:3" s="39" customFormat="1" x14ac:dyDescent="0.25">
      <c r="A397" s="81"/>
      <c r="C397" s="38"/>
    </row>
    <row r="398" spans="1:3" s="39" customFormat="1" x14ac:dyDescent="0.25">
      <c r="A398" s="81"/>
      <c r="C398" s="38"/>
    </row>
    <row r="399" spans="1:3" s="39" customFormat="1" x14ac:dyDescent="0.25">
      <c r="A399" s="81"/>
      <c r="C399" s="38"/>
    </row>
    <row r="400" spans="1:3" s="39" customFormat="1" x14ac:dyDescent="0.25">
      <c r="A400" s="81"/>
      <c r="C400" s="38"/>
    </row>
    <row r="401" spans="1:3" s="39" customFormat="1" x14ac:dyDescent="0.25">
      <c r="A401" s="81"/>
      <c r="C401" s="38"/>
    </row>
    <row r="402" spans="1:3" s="39" customFormat="1" x14ac:dyDescent="0.25">
      <c r="A402" s="81"/>
      <c r="C402" s="38"/>
    </row>
    <row r="403" spans="1:3" s="39" customFormat="1" x14ac:dyDescent="0.25">
      <c r="A403" s="81"/>
      <c r="C403" s="38"/>
    </row>
    <row r="404" spans="1:3" s="39" customFormat="1" x14ac:dyDescent="0.25">
      <c r="A404" s="81"/>
      <c r="C404" s="38"/>
    </row>
    <row r="405" spans="1:3" s="39" customFormat="1" x14ac:dyDescent="0.25">
      <c r="A405" s="81"/>
      <c r="C405" s="38"/>
    </row>
    <row r="406" spans="1:3" s="39" customFormat="1" x14ac:dyDescent="0.25">
      <c r="A406" s="81"/>
      <c r="C406" s="38"/>
    </row>
    <row r="407" spans="1:3" s="39" customFormat="1" x14ac:dyDescent="0.25">
      <c r="A407" s="81"/>
      <c r="C407" s="38"/>
    </row>
    <row r="408" spans="1:3" s="39" customFormat="1" x14ac:dyDescent="0.25">
      <c r="A408" s="81"/>
      <c r="C408" s="38"/>
    </row>
    <row r="409" spans="1:3" s="39" customFormat="1" x14ac:dyDescent="0.25">
      <c r="A409" s="81"/>
      <c r="C409" s="38"/>
    </row>
    <row r="410" spans="1:3" s="39" customFormat="1" x14ac:dyDescent="0.25">
      <c r="A410" s="81"/>
      <c r="C410" s="38"/>
    </row>
    <row r="411" spans="1:3" s="39" customFormat="1" x14ac:dyDescent="0.25">
      <c r="A411" s="81"/>
      <c r="C411" s="38"/>
    </row>
    <row r="412" spans="1:3" s="39" customFormat="1" x14ac:dyDescent="0.25">
      <c r="A412" s="81"/>
      <c r="C412" s="38"/>
    </row>
    <row r="413" spans="1:3" s="39" customFormat="1" x14ac:dyDescent="0.25">
      <c r="A413" s="81"/>
      <c r="C413" s="38"/>
    </row>
    <row r="414" spans="1:3" s="39" customFormat="1" x14ac:dyDescent="0.25">
      <c r="A414" s="81"/>
      <c r="C414" s="38"/>
    </row>
    <row r="415" spans="1:3" s="39" customFormat="1" x14ac:dyDescent="0.25">
      <c r="A415" s="81"/>
      <c r="C415" s="38"/>
    </row>
    <row r="416" spans="1:3" s="39" customFormat="1" x14ac:dyDescent="0.25">
      <c r="A416" s="81"/>
      <c r="C416" s="38"/>
    </row>
    <row r="417" spans="1:3" s="39" customFormat="1" x14ac:dyDescent="0.25">
      <c r="A417" s="81"/>
      <c r="C417" s="38"/>
    </row>
    <row r="418" spans="1:3" s="39" customFormat="1" x14ac:dyDescent="0.25">
      <c r="A418" s="81"/>
      <c r="C418" s="38"/>
    </row>
    <row r="419" spans="1:3" s="39" customFormat="1" x14ac:dyDescent="0.25">
      <c r="A419" s="81"/>
      <c r="C419" s="38"/>
    </row>
    <row r="420" spans="1:3" s="39" customFormat="1" x14ac:dyDescent="0.25">
      <c r="A420" s="81"/>
      <c r="C420" s="38"/>
    </row>
    <row r="421" spans="1:3" s="39" customFormat="1" x14ac:dyDescent="0.25">
      <c r="A421" s="81"/>
      <c r="C421" s="38"/>
    </row>
    <row r="422" spans="1:3" s="39" customFormat="1" x14ac:dyDescent="0.25">
      <c r="A422" s="81"/>
      <c r="C422" s="38"/>
    </row>
    <row r="423" spans="1:3" s="39" customFormat="1" x14ac:dyDescent="0.25">
      <c r="A423" s="81"/>
      <c r="C423" s="38"/>
    </row>
    <row r="424" spans="1:3" s="39" customFormat="1" x14ac:dyDescent="0.25">
      <c r="A424" s="81"/>
      <c r="C424" s="38"/>
    </row>
    <row r="425" spans="1:3" s="39" customFormat="1" x14ac:dyDescent="0.25">
      <c r="A425" s="81"/>
      <c r="C425" s="38"/>
    </row>
    <row r="426" spans="1:3" s="39" customFormat="1" x14ac:dyDescent="0.25">
      <c r="A426" s="81"/>
      <c r="C426" s="38"/>
    </row>
    <row r="427" spans="1:3" s="39" customFormat="1" x14ac:dyDescent="0.25">
      <c r="A427" s="81"/>
      <c r="C427" s="38"/>
    </row>
    <row r="428" spans="1:3" s="39" customFormat="1" x14ac:dyDescent="0.25">
      <c r="A428" s="81"/>
      <c r="C428" s="38"/>
    </row>
    <row r="429" spans="1:3" s="39" customFormat="1" x14ac:dyDescent="0.25">
      <c r="A429" s="81"/>
      <c r="C429" s="38"/>
    </row>
    <row r="430" spans="1:3" s="39" customFormat="1" x14ac:dyDescent="0.25">
      <c r="A430" s="81"/>
      <c r="C430" s="38"/>
    </row>
    <row r="431" spans="1:3" s="39" customFormat="1" x14ac:dyDescent="0.25">
      <c r="A431" s="81"/>
      <c r="C431" s="38"/>
    </row>
    <row r="432" spans="1:3" s="39" customFormat="1" x14ac:dyDescent="0.25">
      <c r="A432" s="81"/>
      <c r="C432" s="38"/>
    </row>
    <row r="433" spans="1:3" s="39" customFormat="1" x14ac:dyDescent="0.25">
      <c r="A433" s="81"/>
      <c r="C433" s="38"/>
    </row>
    <row r="434" spans="1:3" s="39" customFormat="1" x14ac:dyDescent="0.25">
      <c r="A434" s="81"/>
      <c r="C434" s="38"/>
    </row>
    <row r="435" spans="1:3" s="39" customFormat="1" x14ac:dyDescent="0.25">
      <c r="A435" s="81"/>
      <c r="C435" s="38"/>
    </row>
    <row r="436" spans="1:3" s="39" customFormat="1" x14ac:dyDescent="0.25">
      <c r="A436" s="81"/>
      <c r="C436" s="38"/>
    </row>
    <row r="437" spans="1:3" s="39" customFormat="1" x14ac:dyDescent="0.25">
      <c r="A437" s="81"/>
      <c r="C437" s="38"/>
    </row>
    <row r="438" spans="1:3" s="39" customFormat="1" x14ac:dyDescent="0.25">
      <c r="A438" s="81"/>
      <c r="C438" s="38"/>
    </row>
    <row r="439" spans="1:3" s="39" customFormat="1" x14ac:dyDescent="0.25">
      <c r="A439" s="81"/>
      <c r="C439" s="38"/>
    </row>
    <row r="440" spans="1:3" s="39" customFormat="1" x14ac:dyDescent="0.25">
      <c r="A440" s="81"/>
      <c r="C440" s="38"/>
    </row>
    <row r="441" spans="1:3" s="39" customFormat="1" x14ac:dyDescent="0.25">
      <c r="A441" s="81"/>
      <c r="C441" s="38"/>
    </row>
    <row r="442" spans="1:3" s="39" customFormat="1" x14ac:dyDescent="0.25">
      <c r="A442" s="81"/>
      <c r="C442" s="38"/>
    </row>
    <row r="443" spans="1:3" s="39" customFormat="1" x14ac:dyDescent="0.25">
      <c r="A443" s="81"/>
      <c r="C443" s="38"/>
    </row>
    <row r="444" spans="1:3" s="39" customFormat="1" x14ac:dyDescent="0.25">
      <c r="A444" s="81"/>
      <c r="C444" s="38"/>
    </row>
    <row r="445" spans="1:3" s="39" customFormat="1" x14ac:dyDescent="0.25">
      <c r="A445" s="81"/>
      <c r="C445" s="38"/>
    </row>
    <row r="446" spans="1:3" s="39" customFormat="1" x14ac:dyDescent="0.25">
      <c r="A446" s="81"/>
      <c r="C446" s="38"/>
    </row>
    <row r="447" spans="1:3" s="39" customFormat="1" x14ac:dyDescent="0.25">
      <c r="A447" s="81"/>
      <c r="C447" s="38"/>
    </row>
    <row r="448" spans="1:3" s="39" customFormat="1" x14ac:dyDescent="0.25">
      <c r="A448" s="81"/>
      <c r="C448" s="38"/>
    </row>
    <row r="449" spans="1:3" s="39" customFormat="1" x14ac:dyDescent="0.25">
      <c r="A449" s="81"/>
      <c r="C449" s="38"/>
    </row>
    <row r="450" spans="1:3" s="39" customFormat="1" x14ac:dyDescent="0.25">
      <c r="A450" s="81"/>
      <c r="C450" s="38"/>
    </row>
    <row r="451" spans="1:3" s="39" customFormat="1" x14ac:dyDescent="0.25">
      <c r="A451" s="81"/>
      <c r="C451" s="38"/>
    </row>
    <row r="452" spans="1:3" s="39" customFormat="1" x14ac:dyDescent="0.25">
      <c r="A452" s="81"/>
      <c r="C452" s="38"/>
    </row>
    <row r="453" spans="1:3" s="39" customFormat="1" x14ac:dyDescent="0.25">
      <c r="A453" s="81"/>
      <c r="C453" s="38"/>
    </row>
    <row r="454" spans="1:3" s="39" customFormat="1" x14ac:dyDescent="0.25">
      <c r="A454" s="81"/>
      <c r="C454" s="38"/>
    </row>
    <row r="455" spans="1:3" s="39" customFormat="1" x14ac:dyDescent="0.25">
      <c r="A455" s="81"/>
      <c r="C455" s="38"/>
    </row>
    <row r="456" spans="1:3" s="39" customFormat="1" x14ac:dyDescent="0.25">
      <c r="A456" s="81"/>
      <c r="C456" s="38"/>
    </row>
    <row r="457" spans="1:3" s="39" customFormat="1" x14ac:dyDescent="0.25">
      <c r="A457" s="81"/>
      <c r="C457" s="38"/>
    </row>
    <row r="458" spans="1:3" s="39" customFormat="1" x14ac:dyDescent="0.25">
      <c r="A458" s="81"/>
      <c r="C458" s="38"/>
    </row>
    <row r="459" spans="1:3" s="39" customFormat="1" x14ac:dyDescent="0.25">
      <c r="A459" s="81"/>
      <c r="C459" s="38"/>
    </row>
    <row r="460" spans="1:3" s="39" customFormat="1" x14ac:dyDescent="0.25">
      <c r="A460" s="81"/>
      <c r="C460" s="38"/>
    </row>
    <row r="461" spans="1:3" s="39" customFormat="1" x14ac:dyDescent="0.25">
      <c r="A461" s="81"/>
      <c r="C461" s="38"/>
    </row>
    <row r="463" spans="1:3" s="39" customFormat="1" x14ac:dyDescent="0.25">
      <c r="A463" s="81" t="s">
        <v>28</v>
      </c>
      <c r="C463" s="3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opLeftCell="T1" zoomScale="130" zoomScaleNormal="130" workbookViewId="0">
      <selection activeCell="AG24" sqref="AG24"/>
    </sheetView>
  </sheetViews>
  <sheetFormatPr defaultRowHeight="12" x14ac:dyDescent="0.25"/>
  <cols>
    <col min="1" max="1" width="30.5703125" style="34" bestFit="1" customWidth="1"/>
    <col min="2" max="2" width="27" style="39" bestFit="1" customWidth="1"/>
    <col min="3" max="3" width="14.285156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7.5703125" style="34" bestFit="1" customWidth="1"/>
    <col min="15" max="18" width="26.140625" style="34" bestFit="1" customWidth="1"/>
    <col min="19" max="20" width="12.5703125" style="34" bestFit="1" customWidth="1"/>
    <col min="21" max="29" width="10.5703125" style="34" customWidth="1"/>
    <col min="30" max="33" width="10.42578125" style="34" bestFit="1" customWidth="1"/>
    <col min="34" max="35" width="12.5703125" style="34" bestFit="1" customWidth="1"/>
    <col min="36" max="36" width="8.42578125" style="34" bestFit="1" customWidth="1"/>
    <col min="37" max="16384" width="9.140625" style="34"/>
  </cols>
  <sheetData>
    <row r="1" spans="1:19" x14ac:dyDescent="0.25">
      <c r="A1" s="34" t="s">
        <v>47</v>
      </c>
      <c r="B1" s="39">
        <v>1</v>
      </c>
      <c r="C1" s="36" t="str">
        <f>A2</f>
        <v>(62500, 187500.5)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38" t="s">
        <v>19</v>
      </c>
      <c r="K1" s="38"/>
      <c r="L1" s="38" t="s">
        <v>20</v>
      </c>
    </row>
    <row r="2" spans="1:19" x14ac:dyDescent="0.25">
      <c r="A2" s="34" t="s">
        <v>259</v>
      </c>
      <c r="B2" s="45" t="s">
        <v>10</v>
      </c>
      <c r="C2" s="36" t="s">
        <v>44</v>
      </c>
      <c r="D2" s="59">
        <f t="shared" ref="D2:D10" si="0">A3</f>
        <v>-6143342.731009</v>
      </c>
      <c r="E2" s="59">
        <f t="shared" ref="E2:E10" si="1">A12</f>
        <v>-1931201.474584</v>
      </c>
      <c r="F2" s="59">
        <f t="shared" ref="F2:F10" si="2">A21</f>
        <v>-1923090.4355560001</v>
      </c>
      <c r="G2" s="59">
        <f t="shared" ref="G2:G10" si="3">A30</f>
        <v>90000</v>
      </c>
      <c r="H2" s="59">
        <f t="shared" ref="H2:H10" si="4">A39</f>
        <v>90000</v>
      </c>
      <c r="J2" s="34">
        <f>MAX(D2:H2)</f>
        <v>90000</v>
      </c>
      <c r="L2" s="34" t="str">
        <f>HLOOKUP(J2,D2:$H$12,N2,FALSE)</f>
        <v>OptNone_BNB</v>
      </c>
      <c r="N2" s="34">
        <v>11</v>
      </c>
    </row>
    <row r="3" spans="1:19" x14ac:dyDescent="0.25">
      <c r="A3" s="34">
        <v>-6143342.731009</v>
      </c>
      <c r="C3" s="36" t="s">
        <v>45</v>
      </c>
      <c r="D3" s="59">
        <f t="shared" si="0"/>
        <v>-4874358.56905</v>
      </c>
      <c r="E3" s="59">
        <f t="shared" si="1"/>
        <v>-1933410.824767</v>
      </c>
      <c r="F3" s="59">
        <f t="shared" si="2"/>
        <v>-1935287.259169</v>
      </c>
      <c r="G3" s="59">
        <f t="shared" si="3"/>
        <v>90000</v>
      </c>
      <c r="H3" s="59">
        <f t="shared" si="4"/>
        <v>90000</v>
      </c>
      <c r="J3" s="34">
        <f t="shared" ref="J3:J9" si="5">MAX(D3:H3)</f>
        <v>90000</v>
      </c>
      <c r="L3" s="34" t="str">
        <f>HLOOKUP(J3,D3:$H$12,N3,FALSE)</f>
        <v>OptNone_BNB</v>
      </c>
      <c r="N3" s="34">
        <v>10</v>
      </c>
    </row>
    <row r="4" spans="1:19" x14ac:dyDescent="0.25">
      <c r="A4" s="34">
        <v>-4874358.56905</v>
      </c>
      <c r="C4" s="36" t="s">
        <v>0</v>
      </c>
      <c r="D4" s="59">
        <f t="shared" si="0"/>
        <v>151861.13260000001</v>
      </c>
      <c r="E4" s="59">
        <f t="shared" si="1"/>
        <v>-172295.315</v>
      </c>
      <c r="F4" s="59">
        <f t="shared" si="2"/>
        <v>40000</v>
      </c>
      <c r="G4" s="59">
        <f t="shared" si="3"/>
        <v>64299.364999999998</v>
      </c>
      <c r="H4" s="59">
        <f t="shared" si="4"/>
        <v>40000</v>
      </c>
      <c r="J4" s="34">
        <f t="shared" si="5"/>
        <v>151861.13260000001</v>
      </c>
      <c r="L4" s="34" t="str">
        <f>HLOOKUP(J4,D4:$H$12,N4,FALSE)</f>
        <v>OptOpt_EB</v>
      </c>
      <c r="N4" s="34">
        <v>9</v>
      </c>
    </row>
    <row r="5" spans="1:19" x14ac:dyDescent="0.25">
      <c r="A5" s="34">
        <v>151861.13260000001</v>
      </c>
      <c r="C5" s="36" t="s">
        <v>1</v>
      </c>
      <c r="D5" s="59">
        <f t="shared" si="0"/>
        <v>151826.6618</v>
      </c>
      <c r="E5" s="59">
        <f t="shared" si="1"/>
        <v>-173282.91</v>
      </c>
      <c r="F5" s="59">
        <f t="shared" si="2"/>
        <v>40000</v>
      </c>
      <c r="G5" s="59">
        <f t="shared" si="3"/>
        <v>63044.195</v>
      </c>
      <c r="H5" s="59">
        <f t="shared" si="4"/>
        <v>40000</v>
      </c>
      <c r="J5" s="34">
        <f t="shared" si="5"/>
        <v>151826.6618</v>
      </c>
      <c r="L5" s="34" t="str">
        <f>HLOOKUP(J5,D5:$H$12,N5,FALSE)</f>
        <v>OptOpt_EB</v>
      </c>
      <c r="N5" s="34">
        <v>8</v>
      </c>
    </row>
    <row r="6" spans="1:19" x14ac:dyDescent="0.25">
      <c r="A6" s="34">
        <v>151826.6618</v>
      </c>
      <c r="C6" s="36" t="s">
        <v>2</v>
      </c>
      <c r="D6" s="59">
        <f t="shared" si="0"/>
        <v>155817.88800000001</v>
      </c>
      <c r="E6" s="59">
        <f t="shared" si="1"/>
        <v>-72441.19</v>
      </c>
      <c r="F6" s="59">
        <f t="shared" si="2"/>
        <v>40000</v>
      </c>
      <c r="G6" s="59">
        <f t="shared" si="3"/>
        <v>-22818.19</v>
      </c>
      <c r="H6" s="59">
        <f t="shared" si="4"/>
        <v>40000</v>
      </c>
      <c r="J6" s="34">
        <f t="shared" si="5"/>
        <v>155817.88800000001</v>
      </c>
      <c r="L6" s="34" t="str">
        <f>HLOOKUP(J6,D6:$H$12,N6,FALSE)</f>
        <v>OptOpt_EB</v>
      </c>
      <c r="N6" s="34">
        <v>7</v>
      </c>
    </row>
    <row r="7" spans="1:19" x14ac:dyDescent="0.25">
      <c r="A7" s="34">
        <v>155817.88800000001</v>
      </c>
      <c r="C7" s="36" t="s">
        <v>3</v>
      </c>
      <c r="D7" s="59">
        <f t="shared" si="0"/>
        <v>155746.1054</v>
      </c>
      <c r="E7" s="59">
        <f t="shared" si="1"/>
        <v>-71166.559999999998</v>
      </c>
      <c r="F7" s="59">
        <f t="shared" si="2"/>
        <v>40000</v>
      </c>
      <c r="G7" s="59">
        <f t="shared" si="3"/>
        <v>-21066.79</v>
      </c>
      <c r="H7" s="59">
        <f t="shared" si="4"/>
        <v>40000</v>
      </c>
      <c r="J7" s="34">
        <f t="shared" si="5"/>
        <v>155746.1054</v>
      </c>
      <c r="L7" s="34" t="str">
        <f>HLOOKUP(J7,D7:$H$12,N7,FALSE)</f>
        <v>OptOpt_EB</v>
      </c>
      <c r="N7" s="34">
        <v>6</v>
      </c>
    </row>
    <row r="8" spans="1:19" x14ac:dyDescent="0.25">
      <c r="A8" s="34">
        <v>155746.1054</v>
      </c>
      <c r="C8" s="36" t="s">
        <v>6</v>
      </c>
      <c r="D8" s="59">
        <f t="shared" si="0"/>
        <v>288817.64500000002</v>
      </c>
      <c r="E8" s="59">
        <f t="shared" si="1"/>
        <v>181272.10500000001</v>
      </c>
      <c r="F8" s="59">
        <f t="shared" si="2"/>
        <v>142031.905</v>
      </c>
      <c r="G8" s="59">
        <f t="shared" si="3"/>
        <v>87776.2</v>
      </c>
      <c r="H8" s="59">
        <f t="shared" si="4"/>
        <v>70000</v>
      </c>
      <c r="J8" s="34">
        <f t="shared" si="5"/>
        <v>288817.64500000002</v>
      </c>
      <c r="L8" s="34" t="str">
        <f>HLOOKUP(J8,D8:$H$12,N8,FALSE)</f>
        <v>OptOpt_EB</v>
      </c>
      <c r="N8" s="34">
        <v>5</v>
      </c>
    </row>
    <row r="9" spans="1:19" x14ac:dyDescent="0.25">
      <c r="A9" s="34">
        <v>288817.64500000002</v>
      </c>
      <c r="C9" s="37" t="s">
        <v>23</v>
      </c>
      <c r="D9" s="59">
        <f t="shared" si="0"/>
        <v>13090770.302259</v>
      </c>
      <c r="E9" s="59">
        <f t="shared" si="1"/>
        <v>7160301.224351</v>
      </c>
      <c r="F9" s="59">
        <f t="shared" si="2"/>
        <v>6545140.1947250003</v>
      </c>
      <c r="G9" s="59">
        <f t="shared" si="3"/>
        <v>2646395.06</v>
      </c>
      <c r="H9" s="59">
        <f t="shared" si="4"/>
        <v>2590000</v>
      </c>
      <c r="J9" s="34">
        <f t="shared" si="5"/>
        <v>13090770.302259</v>
      </c>
      <c r="L9" s="34" t="str">
        <f>HLOOKUP(J9,D9:$H$12,N9,FALSE)</f>
        <v>OptOpt_EB</v>
      </c>
      <c r="N9" s="34">
        <v>4</v>
      </c>
    </row>
    <row r="10" spans="1:19" x14ac:dyDescent="0.25">
      <c r="A10" s="34">
        <v>13090770.302259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38"/>
      <c r="K10" s="38"/>
    </row>
    <row r="11" spans="1:19" x14ac:dyDescent="0.25">
      <c r="A11" s="34">
        <v>0.5</v>
      </c>
      <c r="D11" s="60"/>
      <c r="E11" s="60"/>
      <c r="F11" s="60"/>
      <c r="G11" s="60"/>
      <c r="H11" s="60"/>
    </row>
    <row r="12" spans="1:19" ht="15" x14ac:dyDescent="0.25">
      <c r="A12" s="34">
        <v>-1931201.474584</v>
      </c>
      <c r="B12" s="39">
        <v>2</v>
      </c>
      <c r="C12" s="36" t="str">
        <f>A48</f>
        <v>(62500, 375001)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38" t="s">
        <v>19</v>
      </c>
      <c r="K12" s="38"/>
      <c r="L12" s="38" t="s">
        <v>20</v>
      </c>
      <c r="N12" s="3" t="str">
        <f>settings_top1!M16</f>
        <v>B12\B3</v>
      </c>
      <c r="O12" s="3">
        <f>settings_top1!N16</f>
        <v>187500.5</v>
      </c>
      <c r="P12" s="3">
        <f>settings_top1!O16</f>
        <v>375001</v>
      </c>
      <c r="Q12" s="3">
        <f>settings_top1!P16</f>
        <v>437500.5</v>
      </c>
      <c r="R12" s="3">
        <f>settings_top1!Q16</f>
        <v>500000</v>
      </c>
      <c r="S12" s="42"/>
    </row>
    <row r="13" spans="1:19" ht="15" x14ac:dyDescent="0.25">
      <c r="A13" s="34">
        <v>-1933410.824767</v>
      </c>
      <c r="B13" s="35" t="s">
        <v>10</v>
      </c>
      <c r="C13" s="36" t="str">
        <f t="shared" ref="C13:C21" si="7">C2</f>
        <v>(3, 0)</v>
      </c>
      <c r="D13" s="59">
        <f t="shared" ref="D13:D21" si="8">A49</f>
        <v>-7382078.4192660004</v>
      </c>
      <c r="E13" s="59">
        <f t="shared" ref="E13:E21" si="9">A58</f>
        <v>527734.08395799994</v>
      </c>
      <c r="F13" s="59">
        <f t="shared" ref="F13:F21" si="10">A67</f>
        <v>527636.58369799994</v>
      </c>
      <c r="G13" s="59">
        <f t="shared" ref="G13:G21" si="11">A76</f>
        <v>90000</v>
      </c>
      <c r="H13" s="59">
        <f t="shared" ref="H13:H21" si="12">A85</f>
        <v>90000</v>
      </c>
      <c r="J13" s="34">
        <f>MAX(D13:H13)</f>
        <v>527734.08395799994</v>
      </c>
      <c r="L13" s="34" t="str">
        <f>HLOOKUP(J13,D13:$H$23,N2,FALSE)</f>
        <v>OptOpt_BB</v>
      </c>
      <c r="N13" s="3">
        <f>settings_top1!M17</f>
        <v>62500</v>
      </c>
      <c r="O13" s="13">
        <v>1</v>
      </c>
      <c r="P13" s="13">
        <v>2</v>
      </c>
      <c r="Q13" s="13">
        <v>3</v>
      </c>
      <c r="R13" s="13">
        <v>4</v>
      </c>
      <c r="S13" s="44"/>
    </row>
    <row r="14" spans="1:19" ht="15" x14ac:dyDescent="0.25">
      <c r="A14" s="34">
        <v>-172295.315</v>
      </c>
      <c r="C14" s="36" t="str">
        <f t="shared" si="7"/>
        <v>(3, 1)</v>
      </c>
      <c r="D14" s="59">
        <f t="shared" si="8"/>
        <v>-5013020.3460179996</v>
      </c>
      <c r="E14" s="59">
        <f t="shared" si="9"/>
        <v>527131.08235000004</v>
      </c>
      <c r="F14" s="59">
        <f t="shared" si="10"/>
        <v>527752.83400799998</v>
      </c>
      <c r="G14" s="59">
        <f t="shared" si="11"/>
        <v>90000</v>
      </c>
      <c r="H14" s="59">
        <f t="shared" si="12"/>
        <v>90000</v>
      </c>
      <c r="J14" s="34">
        <f t="shared" ref="J14:J20" si="13">MAX(D14:H14)</f>
        <v>527752.83400799998</v>
      </c>
      <c r="L14" s="34" t="str">
        <f>HLOOKUP(J14,D14:$H$23,N3,FALSE)</f>
        <v>NoneOpt_NBB</v>
      </c>
      <c r="N14" s="3">
        <f>settings_top1!M18</f>
        <v>125000</v>
      </c>
      <c r="O14" s="13">
        <v>5</v>
      </c>
      <c r="P14" s="13">
        <v>6</v>
      </c>
      <c r="Q14" s="13">
        <v>7</v>
      </c>
      <c r="R14" s="13">
        <v>8</v>
      </c>
      <c r="S14" s="44"/>
    </row>
    <row r="15" spans="1:19" x14ac:dyDescent="0.25">
      <c r="A15" s="34">
        <v>-173282.91</v>
      </c>
      <c r="C15" s="36" t="str">
        <f t="shared" si="7"/>
        <v>(2, 0)</v>
      </c>
      <c r="D15" s="59">
        <f t="shared" si="8"/>
        <v>151868.1404</v>
      </c>
      <c r="E15" s="59">
        <f t="shared" si="9"/>
        <v>-174036.98499999999</v>
      </c>
      <c r="F15" s="59">
        <f t="shared" si="10"/>
        <v>40000</v>
      </c>
      <c r="G15" s="59">
        <f t="shared" si="11"/>
        <v>63418.8</v>
      </c>
      <c r="H15" s="59">
        <f t="shared" si="12"/>
        <v>40000</v>
      </c>
      <c r="J15" s="34">
        <f t="shared" si="13"/>
        <v>151868.1404</v>
      </c>
      <c r="L15" s="34" t="str">
        <f>HLOOKUP(J15,D15:$H$23,N4,FALSE)</f>
        <v>OptOpt_EB</v>
      </c>
      <c r="N15" s="36"/>
      <c r="O15" s="35"/>
      <c r="P15" s="35"/>
      <c r="Q15" s="35"/>
      <c r="R15" s="35"/>
      <c r="S15" s="44"/>
    </row>
    <row r="16" spans="1:19" x14ac:dyDescent="0.25">
      <c r="A16" s="34">
        <v>-72441.19</v>
      </c>
      <c r="C16" s="36" t="str">
        <f t="shared" si="7"/>
        <v>(2, 1)</v>
      </c>
      <c r="D16" s="59">
        <f t="shared" si="8"/>
        <v>151798.82</v>
      </c>
      <c r="E16" s="59">
        <f t="shared" si="9"/>
        <v>-171915.845</v>
      </c>
      <c r="F16" s="59">
        <f t="shared" si="10"/>
        <v>40000</v>
      </c>
      <c r="G16" s="59">
        <f t="shared" si="11"/>
        <v>63545.29</v>
      </c>
      <c r="H16" s="59">
        <f t="shared" si="12"/>
        <v>40000</v>
      </c>
      <c r="J16" s="34">
        <f t="shared" si="13"/>
        <v>151798.82</v>
      </c>
      <c r="L16" s="34" t="str">
        <f>HLOOKUP(J16,D16:$H$23,N5,FALSE)</f>
        <v>OptOpt_EB</v>
      </c>
      <c r="N16" s="44"/>
      <c r="O16" s="44"/>
      <c r="P16" s="44"/>
      <c r="Q16" s="44"/>
      <c r="R16" s="44"/>
      <c r="S16" s="44"/>
    </row>
    <row r="17" spans="1:40" x14ac:dyDescent="0.25">
      <c r="A17" s="34">
        <v>-71166.559999999998</v>
      </c>
      <c r="C17" s="36" t="str">
        <f t="shared" si="7"/>
        <v>(1, 0)</v>
      </c>
      <c r="D17" s="59">
        <f t="shared" si="8"/>
        <v>155751.02979999999</v>
      </c>
      <c r="E17" s="59">
        <f t="shared" si="9"/>
        <v>-70796.820000000007</v>
      </c>
      <c r="F17" s="59">
        <f t="shared" si="10"/>
        <v>40000</v>
      </c>
      <c r="G17" s="59">
        <f t="shared" si="11"/>
        <v>-20410.014999999999</v>
      </c>
      <c r="H17" s="59">
        <f t="shared" si="12"/>
        <v>40000</v>
      </c>
      <c r="J17" s="34">
        <f t="shared" si="13"/>
        <v>155751.02979999999</v>
      </c>
      <c r="L17" s="34" t="str">
        <f>HLOOKUP(J17,D17:$H$23,N6,FALSE)</f>
        <v>OptOpt_EB</v>
      </c>
      <c r="N17" s="36" t="str">
        <f>N12</f>
        <v>B12\B3</v>
      </c>
      <c r="O17" s="36">
        <f t="shared" ref="O17:R17" si="14">O12</f>
        <v>187500.5</v>
      </c>
      <c r="P17" s="36">
        <f t="shared" si="14"/>
        <v>375001</v>
      </c>
      <c r="Q17" s="36">
        <f t="shared" si="14"/>
        <v>437500.5</v>
      </c>
      <c r="R17" s="36">
        <f t="shared" si="14"/>
        <v>500000</v>
      </c>
      <c r="S17" s="42"/>
    </row>
    <row r="18" spans="1:40" x14ac:dyDescent="0.25">
      <c r="A18" s="34">
        <v>181272.10500000001</v>
      </c>
      <c r="C18" s="36" t="str">
        <f t="shared" si="7"/>
        <v>(1, 1)</v>
      </c>
      <c r="D18" s="59">
        <f t="shared" si="8"/>
        <v>155803.30420000001</v>
      </c>
      <c r="E18" s="59">
        <f t="shared" si="9"/>
        <v>-72314.7</v>
      </c>
      <c r="F18" s="59">
        <f t="shared" si="10"/>
        <v>40000</v>
      </c>
      <c r="G18" s="59">
        <f t="shared" si="11"/>
        <v>-21348.959999999999</v>
      </c>
      <c r="H18" s="59">
        <f t="shared" si="12"/>
        <v>40000</v>
      </c>
      <c r="J18" s="34">
        <f t="shared" si="13"/>
        <v>155803.30420000001</v>
      </c>
      <c r="L18" s="34" t="str">
        <f>HLOOKUP(J18,D18:$H$23,N7,FALSE)</f>
        <v>OptOpt_EB</v>
      </c>
      <c r="N18" s="36">
        <f t="shared" ref="N18:N19" si="15">N13</f>
        <v>62500</v>
      </c>
      <c r="O18" s="35" t="str">
        <f>B2</f>
        <v>NoneNone_NBNB</v>
      </c>
      <c r="P18" s="35" t="str">
        <f>B13</f>
        <v>NoneNone_NBNB</v>
      </c>
      <c r="Q18" s="35" t="str">
        <f>B24</f>
        <v>NoneNone_NBNB</v>
      </c>
      <c r="R18" s="35" t="str">
        <f>B35</f>
        <v>OptOpt_EB</v>
      </c>
      <c r="S18" s="44"/>
    </row>
    <row r="19" spans="1:40" x14ac:dyDescent="0.25">
      <c r="A19" s="34">
        <v>7160301.224351</v>
      </c>
      <c r="C19" s="36" t="str">
        <f t="shared" si="7"/>
        <v>Inspector</v>
      </c>
      <c r="D19" s="59">
        <f t="shared" si="8"/>
        <v>288811.64307599998</v>
      </c>
      <c r="E19" s="59">
        <f t="shared" si="9"/>
        <v>181343.76369200001</v>
      </c>
      <c r="F19" s="59">
        <f t="shared" si="10"/>
        <v>141889.23729399999</v>
      </c>
      <c r="G19" s="59">
        <f t="shared" si="11"/>
        <v>87722.35</v>
      </c>
      <c r="H19" s="59">
        <f t="shared" si="12"/>
        <v>70000</v>
      </c>
      <c r="J19" s="34">
        <f t="shared" si="13"/>
        <v>288811.64307599998</v>
      </c>
      <c r="L19" s="34" t="str">
        <f>HLOOKUP(J19,D19:$H$23,N8,FALSE)</f>
        <v>OptOpt_EB</v>
      </c>
      <c r="N19" s="36">
        <f t="shared" si="15"/>
        <v>125000</v>
      </c>
      <c r="O19" s="35" t="str">
        <f>B46</f>
        <v>OptNone_BNB</v>
      </c>
      <c r="P19" s="35" t="str">
        <f>B57</f>
        <v>OptNone_BNB</v>
      </c>
      <c r="Q19" s="35" t="str">
        <f>B68</f>
        <v>OptNone_BNB</v>
      </c>
      <c r="R19" s="35" t="str">
        <f>B79</f>
        <v>OptOpt_EB</v>
      </c>
      <c r="S19" s="44"/>
    </row>
    <row r="20" spans="1:40" x14ac:dyDescent="0.25">
      <c r="A20" s="34">
        <v>0.5</v>
      </c>
      <c r="C20" s="36" t="str">
        <f t="shared" si="7"/>
        <v>State</v>
      </c>
      <c r="D20" s="59">
        <f t="shared" si="8"/>
        <v>14426569.557808001</v>
      </c>
      <c r="E20" s="59">
        <f t="shared" si="9"/>
        <v>2198912.0499999998</v>
      </c>
      <c r="F20" s="59">
        <f t="shared" si="10"/>
        <v>1590000</v>
      </c>
      <c r="G20" s="59">
        <f t="shared" si="11"/>
        <v>2644709.5550000002</v>
      </c>
      <c r="H20" s="59">
        <f t="shared" si="12"/>
        <v>2590000</v>
      </c>
      <c r="J20" s="34">
        <f t="shared" si="13"/>
        <v>14426569.557808001</v>
      </c>
      <c r="L20" s="34" t="str">
        <f>HLOOKUP(J20,D20:$H$23,N9,FALSE)</f>
        <v>OptOpt_EB</v>
      </c>
      <c r="N20" s="36"/>
      <c r="O20" s="35"/>
      <c r="P20" s="35"/>
      <c r="Q20" s="35"/>
      <c r="R20" s="35"/>
      <c r="S20" s="44"/>
    </row>
    <row r="21" spans="1:40" x14ac:dyDescent="0.25">
      <c r="A21" s="34">
        <v>-1923090.4355560001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  <c r="N21" s="44"/>
      <c r="O21" s="44"/>
      <c r="P21" s="44"/>
      <c r="Q21" s="44"/>
      <c r="R21" s="44"/>
    </row>
    <row r="22" spans="1:40" x14ac:dyDescent="0.25">
      <c r="A22" s="34">
        <v>-1935287.259169</v>
      </c>
      <c r="D22" s="60"/>
      <c r="E22" s="60"/>
      <c r="F22" s="60"/>
      <c r="G22" s="60"/>
      <c r="H22" s="60"/>
      <c r="U22" s="36" t="s">
        <v>104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36">
        <v>8</v>
      </c>
      <c r="AH22" s="36"/>
      <c r="AI22" s="36"/>
      <c r="AJ22" s="36"/>
      <c r="AK22" s="36"/>
      <c r="AL22" s="42"/>
      <c r="AM22" s="42"/>
      <c r="AN22" s="42"/>
    </row>
    <row r="23" spans="1:40" x14ac:dyDescent="0.25">
      <c r="A23" s="34">
        <v>40000</v>
      </c>
      <c r="B23" s="39">
        <v>3</v>
      </c>
      <c r="C23" s="36" t="str">
        <f>A94</f>
        <v>(62500, 437500.5)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38" t="s">
        <v>19</v>
      </c>
      <c r="K23" s="38"/>
      <c r="L23" s="38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367202</v>
      </c>
      <c r="Z23" s="35">
        <f t="shared" ref="Z23:Z31" si="17">HLOOKUP($O$19,$D$45:$H$54,S23,FALSE)</f>
        <v>90000</v>
      </c>
      <c r="AA23" s="35">
        <f t="shared" ref="AA23:AA31" si="18">HLOOKUP($P$19,$D$56:$H$65,S23,FALSE)</f>
        <v>90000</v>
      </c>
      <c r="AB23" s="35">
        <f t="shared" ref="AB23:AB31" si="19">HLOOKUP($Q$19,$D$67:$H$76,S23,FALSE)</f>
        <v>90000</v>
      </c>
      <c r="AC23" s="35">
        <f t="shared" ref="AC23:AC31" si="20">HLOOKUP($R$19,$D$78:$H$87,S23,FALSE)</f>
        <v>367255</v>
      </c>
      <c r="AE23" s="34">
        <f t="shared" ref="AE23:AE31" si="21">AVERAGE(V23:AC23)</f>
        <v>159307.125</v>
      </c>
      <c r="AG23" s="34">
        <f>AVERAGE(Y23,AC23)</f>
        <v>367228.5</v>
      </c>
      <c r="AH23" s="35"/>
      <c r="AI23" s="35"/>
      <c r="AJ23" s="35"/>
      <c r="AK23" s="35"/>
      <c r="AL23" s="44"/>
      <c r="AN23" s="44"/>
    </row>
    <row r="24" spans="1:40" x14ac:dyDescent="0.25">
      <c r="A24" s="34">
        <v>40000</v>
      </c>
      <c r="B24" s="39" t="s">
        <v>10</v>
      </c>
      <c r="C24" s="36" t="str">
        <f t="shared" ref="C24:C32" si="22">C2</f>
        <v>(3, 0)</v>
      </c>
      <c r="D24" s="59">
        <f t="shared" ref="D24:D32" si="23">A95</f>
        <v>-8593529.5091619994</v>
      </c>
      <c r="E24" s="59">
        <f t="shared" ref="E24:E32" si="24">A104</f>
        <v>517555.16720600001</v>
      </c>
      <c r="F24" s="59">
        <f t="shared" ref="F24:F32" si="25">A113</f>
        <v>517108.91669599997</v>
      </c>
      <c r="G24" s="59">
        <f t="shared" ref="G24:G32" si="26">A122</f>
        <v>90000</v>
      </c>
      <c r="H24" s="59">
        <f t="shared" ref="H24:H32" si="27">A131</f>
        <v>90000</v>
      </c>
      <c r="J24" s="34">
        <f>MAX(D24:H24)</f>
        <v>517555.16720600001</v>
      </c>
      <c r="L24" s="34" t="str">
        <f>HLOOKUP(J24,D24:$H$34,N2,FALSE)</f>
        <v>OptOpt_BB</v>
      </c>
      <c r="S24" s="34">
        <v>3</v>
      </c>
      <c r="U24" s="36" t="s">
        <v>45</v>
      </c>
      <c r="V24" s="35">
        <f t="shared" ref="V24:V31" si="28">HLOOKUP($O$18,$D$1:$H$10,S24,FALSE)</f>
        <v>90000</v>
      </c>
      <c r="W24" s="35">
        <f t="shared" ref="W24:W31" si="29">HLOOKUP($P$18,$D$12:$H$21,S24,FALSE)</f>
        <v>90000</v>
      </c>
      <c r="X24" s="35">
        <f t="shared" ref="X24:X31" si="30">HLOOKUP($Q$18,$D$23:$H$32,S24,FALSE)</f>
        <v>90000</v>
      </c>
      <c r="Y24" s="35">
        <f t="shared" ref="Y24:Y31" si="31">HLOOKUP($R$18,$D$34:$H$43,S24,FALSE)</f>
        <v>409506</v>
      </c>
      <c r="Z24" s="35">
        <f t="shared" si="17"/>
        <v>90000</v>
      </c>
      <c r="AA24" s="35">
        <f t="shared" si="18"/>
        <v>90000</v>
      </c>
      <c r="AB24" s="35">
        <f t="shared" si="19"/>
        <v>90000</v>
      </c>
      <c r="AC24" s="35">
        <f t="shared" si="20"/>
        <v>409408</v>
      </c>
      <c r="AE24" s="34">
        <f t="shared" si="21"/>
        <v>169864.25</v>
      </c>
      <c r="AG24" s="34">
        <f t="shared" ref="AG24:AG28" si="32">AVERAGE(Y24,AC24)</f>
        <v>409457</v>
      </c>
      <c r="AH24" s="35"/>
      <c r="AI24" s="35"/>
      <c r="AJ24" s="35"/>
      <c r="AK24" s="35"/>
      <c r="AL24" s="44"/>
      <c r="AN24" s="44"/>
    </row>
    <row r="25" spans="1:40" x14ac:dyDescent="0.25">
      <c r="A25" s="34">
        <v>40000</v>
      </c>
      <c r="C25" s="36" t="str">
        <f t="shared" si="22"/>
        <v>(3, 1)</v>
      </c>
      <c r="D25" s="59">
        <f t="shared" si="23"/>
        <v>-5906239.3479500003</v>
      </c>
      <c r="E25" s="59">
        <f t="shared" si="24"/>
        <v>516809.66635399999</v>
      </c>
      <c r="F25" s="59">
        <f t="shared" si="25"/>
        <v>516884.04143899999</v>
      </c>
      <c r="G25" s="59">
        <f t="shared" si="26"/>
        <v>90000</v>
      </c>
      <c r="H25" s="59">
        <f t="shared" si="27"/>
        <v>90000</v>
      </c>
      <c r="J25" s="34">
        <f t="shared" ref="J25:J31" si="33">MAX(D25:H25)</f>
        <v>516884.04143899999</v>
      </c>
      <c r="L25" s="34" t="str">
        <f>HLOOKUP(J25,D25:$H$34,N3,FALSE)</f>
        <v>NoneOpt_NBB</v>
      </c>
      <c r="O25" s="42"/>
      <c r="P25" s="42"/>
      <c r="Q25" s="42"/>
      <c r="R25" s="42"/>
      <c r="S25" s="34">
        <v>4</v>
      </c>
      <c r="U25" s="36" t="s">
        <v>0</v>
      </c>
      <c r="V25" s="35">
        <f t="shared" si="28"/>
        <v>40000</v>
      </c>
      <c r="W25" s="35">
        <f t="shared" si="29"/>
        <v>40000</v>
      </c>
      <c r="X25" s="35">
        <f t="shared" si="30"/>
        <v>40000</v>
      </c>
      <c r="Y25" s="35">
        <f t="shared" si="31"/>
        <v>165000</v>
      </c>
      <c r="Z25" s="35">
        <f t="shared" si="17"/>
        <v>159769.75</v>
      </c>
      <c r="AA25" s="35">
        <f t="shared" si="18"/>
        <v>159748</v>
      </c>
      <c r="AB25" s="35">
        <f t="shared" si="19"/>
        <v>159829.25</v>
      </c>
      <c r="AC25" s="35">
        <f t="shared" si="20"/>
        <v>165000</v>
      </c>
      <c r="AE25" s="34">
        <f t="shared" si="21"/>
        <v>116168.375</v>
      </c>
      <c r="AG25" s="34">
        <f t="shared" si="32"/>
        <v>165000</v>
      </c>
      <c r="AH25" s="35"/>
      <c r="AI25" s="35"/>
      <c r="AJ25" s="35"/>
      <c r="AK25" s="35"/>
      <c r="AL25" s="44"/>
      <c r="AN25" s="44"/>
    </row>
    <row r="26" spans="1:40" x14ac:dyDescent="0.25">
      <c r="A26" s="34">
        <v>40000</v>
      </c>
      <c r="C26" s="36" t="str">
        <f t="shared" si="22"/>
        <v>(2, 0)</v>
      </c>
      <c r="D26" s="59">
        <f t="shared" si="23"/>
        <v>151915.30100000001</v>
      </c>
      <c r="E26" s="59">
        <f t="shared" si="24"/>
        <v>-169682.81</v>
      </c>
      <c r="F26" s="59">
        <f t="shared" si="25"/>
        <v>40000</v>
      </c>
      <c r="G26" s="59">
        <f t="shared" si="26"/>
        <v>64382.07</v>
      </c>
      <c r="H26" s="59">
        <f t="shared" si="27"/>
        <v>40000</v>
      </c>
      <c r="J26" s="34">
        <f t="shared" si="33"/>
        <v>151915.30100000001</v>
      </c>
      <c r="L26" s="34" t="str">
        <f>HLOOKUP(J26,D26:$H$34,N4,FALSE)</f>
        <v>OptOpt_EB</v>
      </c>
      <c r="O26" s="44"/>
      <c r="P26" s="44"/>
      <c r="Q26" s="44"/>
      <c r="R26" s="44"/>
      <c r="S26" s="34">
        <v>5</v>
      </c>
      <c r="U26" s="36" t="s">
        <v>1</v>
      </c>
      <c r="V26" s="35">
        <f>HLOOKUP($O$18,$D$1:$H$10,S26,FALSE)</f>
        <v>40000</v>
      </c>
      <c r="W26" s="35">
        <f t="shared" si="29"/>
        <v>40000</v>
      </c>
      <c r="X26" s="35">
        <f t="shared" si="30"/>
        <v>40000</v>
      </c>
      <c r="Y26" s="35">
        <f t="shared" si="31"/>
        <v>165000</v>
      </c>
      <c r="Z26" s="35">
        <f t="shared" si="17"/>
        <v>159784.25</v>
      </c>
      <c r="AA26" s="35">
        <f t="shared" si="18"/>
        <v>159740.75</v>
      </c>
      <c r="AB26" s="35">
        <f t="shared" si="19"/>
        <v>159781.25</v>
      </c>
      <c r="AC26" s="35">
        <f t="shared" si="20"/>
        <v>165000</v>
      </c>
      <c r="AE26" s="34">
        <f t="shared" si="21"/>
        <v>116163.28125</v>
      </c>
      <c r="AG26" s="34">
        <f t="shared" si="32"/>
        <v>165000</v>
      </c>
      <c r="AH26" s="35"/>
      <c r="AI26" s="35"/>
      <c r="AJ26" s="35"/>
      <c r="AK26" s="35"/>
      <c r="AL26" s="44"/>
      <c r="AN26" s="44"/>
    </row>
    <row r="27" spans="1:40" x14ac:dyDescent="0.25">
      <c r="A27" s="34">
        <v>142031.905</v>
      </c>
      <c r="C27" s="36" t="str">
        <f t="shared" si="22"/>
        <v>(2, 1)</v>
      </c>
      <c r="D27" s="59">
        <f t="shared" si="23"/>
        <v>151846.9276</v>
      </c>
      <c r="E27" s="59">
        <f t="shared" si="24"/>
        <v>-174216.99</v>
      </c>
      <c r="F27" s="59">
        <f t="shared" si="25"/>
        <v>40000</v>
      </c>
      <c r="G27" s="59">
        <f t="shared" si="26"/>
        <v>63058.79</v>
      </c>
      <c r="H27" s="59">
        <f t="shared" si="27"/>
        <v>40000</v>
      </c>
      <c r="J27" s="34">
        <f t="shared" si="33"/>
        <v>151846.9276</v>
      </c>
      <c r="L27" s="34" t="str">
        <f>HLOOKUP(J27,D27:$H$34,N5,FALSE)</f>
        <v>OptOpt_EB</v>
      </c>
      <c r="O27" s="44"/>
      <c r="P27" s="44"/>
      <c r="Q27" s="44"/>
      <c r="R27" s="44"/>
      <c r="S27" s="34">
        <v>6</v>
      </c>
      <c r="U27" s="36" t="s">
        <v>2</v>
      </c>
      <c r="V27" s="35">
        <f t="shared" si="28"/>
        <v>40000</v>
      </c>
      <c r="W27" s="35">
        <f t="shared" si="29"/>
        <v>40000</v>
      </c>
      <c r="X27" s="35">
        <f t="shared" si="30"/>
        <v>40000</v>
      </c>
      <c r="Y27" s="35">
        <f t="shared" si="31"/>
        <v>165000</v>
      </c>
      <c r="Z27" s="35">
        <f t="shared" si="17"/>
        <v>155459.5</v>
      </c>
      <c r="AA27" s="35">
        <f t="shared" si="18"/>
        <v>155542</v>
      </c>
      <c r="AB27" s="35">
        <f t="shared" si="19"/>
        <v>155335</v>
      </c>
      <c r="AC27" s="35">
        <f t="shared" si="20"/>
        <v>165000</v>
      </c>
      <c r="AE27" s="34">
        <f t="shared" si="21"/>
        <v>114542.0625</v>
      </c>
      <c r="AG27" s="34">
        <f t="shared" si="32"/>
        <v>165000</v>
      </c>
      <c r="AH27" s="35"/>
      <c r="AI27" s="35"/>
      <c r="AJ27" s="35"/>
      <c r="AK27" s="35"/>
      <c r="AL27" s="44"/>
      <c r="AN27" s="44"/>
    </row>
    <row r="28" spans="1:40" x14ac:dyDescent="0.25">
      <c r="A28" s="34">
        <v>6545140.1947250003</v>
      </c>
      <c r="C28" s="36" t="str">
        <f t="shared" si="22"/>
        <v>(1, 0)</v>
      </c>
      <c r="D28" s="59">
        <f t="shared" si="23"/>
        <v>155774.326</v>
      </c>
      <c r="E28" s="59">
        <f t="shared" si="24"/>
        <v>-71395.214999999997</v>
      </c>
      <c r="F28" s="59">
        <f t="shared" si="25"/>
        <v>40000</v>
      </c>
      <c r="G28" s="59">
        <f t="shared" si="26"/>
        <v>-20361.365000000002</v>
      </c>
      <c r="H28" s="59">
        <f t="shared" si="27"/>
        <v>40000</v>
      </c>
      <c r="J28" s="34">
        <f t="shared" si="33"/>
        <v>155774.326</v>
      </c>
      <c r="L28" s="34" t="str">
        <f>HLOOKUP(J28,D28:$H$34,N6,FALSE)</f>
        <v>OptOpt_EB</v>
      </c>
      <c r="O28" s="42"/>
      <c r="P28" s="42"/>
      <c r="Q28" s="42"/>
      <c r="R28" s="42"/>
      <c r="S28" s="34">
        <v>7</v>
      </c>
      <c r="U28" s="36" t="s">
        <v>3</v>
      </c>
      <c r="V28" s="35">
        <f t="shared" si="28"/>
        <v>40000</v>
      </c>
      <c r="W28" s="35">
        <f t="shared" si="29"/>
        <v>40000</v>
      </c>
      <c r="X28" s="35">
        <f t="shared" si="30"/>
        <v>40000</v>
      </c>
      <c r="Y28" s="35">
        <f t="shared" si="31"/>
        <v>165000</v>
      </c>
      <c r="Z28" s="35">
        <f t="shared" si="17"/>
        <v>155376.75</v>
      </c>
      <c r="AA28" s="35">
        <f t="shared" si="18"/>
        <v>155466.25</v>
      </c>
      <c r="AB28" s="35">
        <f t="shared" si="19"/>
        <v>155408.5</v>
      </c>
      <c r="AC28" s="35">
        <f t="shared" si="20"/>
        <v>165000</v>
      </c>
      <c r="AE28" s="34">
        <f t="shared" si="21"/>
        <v>114531.4375</v>
      </c>
      <c r="AG28" s="34">
        <f t="shared" si="32"/>
        <v>165000</v>
      </c>
      <c r="AH28" s="35"/>
      <c r="AI28" s="35"/>
      <c r="AJ28" s="35"/>
      <c r="AK28" s="35"/>
      <c r="AL28" s="44"/>
      <c r="AN28" s="44"/>
    </row>
    <row r="29" spans="1:40" x14ac:dyDescent="0.25">
      <c r="A29" s="34">
        <v>0.33333333333333298</v>
      </c>
      <c r="C29" s="36" t="str">
        <f t="shared" si="22"/>
        <v>(1, 1)</v>
      </c>
      <c r="D29" s="59">
        <f t="shared" si="23"/>
        <v>155726.59719999999</v>
      </c>
      <c r="E29" s="59">
        <f t="shared" si="24"/>
        <v>-72772.009999999995</v>
      </c>
      <c r="F29" s="59">
        <f t="shared" si="25"/>
        <v>40000</v>
      </c>
      <c r="G29" s="59">
        <f t="shared" si="26"/>
        <v>-21348.959999999999</v>
      </c>
      <c r="H29" s="59">
        <f t="shared" si="27"/>
        <v>40000</v>
      </c>
      <c r="J29" s="34">
        <f t="shared" si="33"/>
        <v>155726.59719999999</v>
      </c>
      <c r="L29" s="34" t="str">
        <f>HLOOKUP(J29,D29:$H$34,N7,FALSE)</f>
        <v>OptOpt_EB</v>
      </c>
      <c r="O29" s="44"/>
      <c r="P29" s="44"/>
      <c r="Q29" s="44"/>
      <c r="R29" s="44"/>
      <c r="S29" s="34">
        <v>8</v>
      </c>
      <c r="U29" s="36" t="s">
        <v>6</v>
      </c>
      <c r="V29" s="35">
        <f t="shared" si="28"/>
        <v>70000</v>
      </c>
      <c r="W29" s="35">
        <f t="shared" si="29"/>
        <v>70000</v>
      </c>
      <c r="X29" s="35">
        <f t="shared" si="30"/>
        <v>70000</v>
      </c>
      <c r="Y29" s="35">
        <f t="shared" si="31"/>
        <v>330619.13404400001</v>
      </c>
      <c r="Z29" s="35">
        <f t="shared" si="17"/>
        <v>87766.086878000002</v>
      </c>
      <c r="AA29" s="35">
        <f t="shared" si="18"/>
        <v>87702.036024000001</v>
      </c>
      <c r="AB29" s="35">
        <f t="shared" si="19"/>
        <v>87787.837167999998</v>
      </c>
      <c r="AC29" s="35">
        <f t="shared" si="20"/>
        <v>330702.05802</v>
      </c>
      <c r="AE29" s="34">
        <f t="shared" si="21"/>
        <v>141822.14401674998</v>
      </c>
      <c r="AG29" s="44"/>
      <c r="AH29" s="35"/>
      <c r="AI29" s="35"/>
      <c r="AJ29" s="35"/>
      <c r="AK29" s="35"/>
      <c r="AL29" s="44"/>
      <c r="AN29" s="44"/>
    </row>
    <row r="30" spans="1:40" x14ac:dyDescent="0.25">
      <c r="A30" s="34">
        <v>90000</v>
      </c>
      <c r="C30" s="36" t="str">
        <f t="shared" si="22"/>
        <v>Inspector</v>
      </c>
      <c r="D30" s="59">
        <f t="shared" si="23"/>
        <v>309588.40169899998</v>
      </c>
      <c r="E30" s="59">
        <f t="shared" si="24"/>
        <v>201933.11644000001</v>
      </c>
      <c r="F30" s="59">
        <f t="shared" si="25"/>
        <v>163085.506865</v>
      </c>
      <c r="G30" s="59">
        <f t="shared" si="26"/>
        <v>87706.15</v>
      </c>
      <c r="H30" s="59">
        <f t="shared" si="27"/>
        <v>70000</v>
      </c>
      <c r="J30" s="34">
        <f t="shared" si="33"/>
        <v>309588.40169899998</v>
      </c>
      <c r="L30" s="34" t="str">
        <f>HLOOKUP(J30,D30:$H$34,N8,FALSE)</f>
        <v>OptOpt_EB</v>
      </c>
      <c r="S30" s="34">
        <v>9</v>
      </c>
      <c r="U30" s="37" t="s">
        <v>23</v>
      </c>
      <c r="V30" s="35">
        <f t="shared" si="28"/>
        <v>2590000</v>
      </c>
      <c r="W30" s="35">
        <f t="shared" si="29"/>
        <v>2590000</v>
      </c>
      <c r="X30" s="35">
        <f t="shared" si="30"/>
        <v>2590000</v>
      </c>
      <c r="Y30" s="35">
        <f t="shared" si="31"/>
        <v>1090000</v>
      </c>
      <c r="Z30" s="35">
        <f t="shared" si="17"/>
        <v>2090000</v>
      </c>
      <c r="AA30" s="35">
        <f t="shared" si="18"/>
        <v>2090000</v>
      </c>
      <c r="AB30" s="35">
        <f t="shared" si="19"/>
        <v>2090000</v>
      </c>
      <c r="AC30" s="35">
        <f t="shared" si="20"/>
        <v>1090000</v>
      </c>
      <c r="AE30" s="34">
        <f t="shared" si="21"/>
        <v>2027500</v>
      </c>
      <c r="AG30" s="44"/>
      <c r="AH30" s="35"/>
      <c r="AI30" s="35"/>
      <c r="AJ30" s="35"/>
      <c r="AK30" s="35"/>
      <c r="AL30" s="44"/>
      <c r="AN30" s="44"/>
    </row>
    <row r="31" spans="1:40" x14ac:dyDescent="0.25">
      <c r="A31" s="34">
        <v>90000</v>
      </c>
      <c r="C31" s="36" t="str">
        <f t="shared" si="22"/>
        <v>State</v>
      </c>
      <c r="D31" s="59">
        <f t="shared" si="23"/>
        <v>16510387.903612999</v>
      </c>
      <c r="E31" s="59">
        <f t="shared" si="24"/>
        <v>2197949.5750000002</v>
      </c>
      <c r="F31" s="59">
        <f t="shared" si="25"/>
        <v>1590000</v>
      </c>
      <c r="G31" s="59">
        <f t="shared" si="26"/>
        <v>2644202.4950000001</v>
      </c>
      <c r="H31" s="59">
        <f t="shared" si="27"/>
        <v>2590000</v>
      </c>
      <c r="J31" s="34">
        <f t="shared" si="33"/>
        <v>16510387.903612999</v>
      </c>
      <c r="L31" s="34" t="str">
        <f>HLOOKUP(J31,D31:$H$34,N9,FALSE)</f>
        <v>OptOpt_EB</v>
      </c>
      <c r="S31" s="34">
        <v>10</v>
      </c>
      <c r="U31" s="37" t="s">
        <v>24</v>
      </c>
      <c r="V31" s="35">
        <f t="shared" si="28"/>
        <v>0</v>
      </c>
      <c r="W31" s="35">
        <f t="shared" si="29"/>
        <v>0</v>
      </c>
      <c r="X31" s="35">
        <f t="shared" si="30"/>
        <v>0</v>
      </c>
      <c r="Y31" s="35">
        <f t="shared" si="31"/>
        <v>0.5</v>
      </c>
      <c r="Z31" s="35">
        <f t="shared" si="17"/>
        <v>0.16666666666666599</v>
      </c>
      <c r="AA31" s="35">
        <f t="shared" si="18"/>
        <v>0.16666666666666599</v>
      </c>
      <c r="AB31" s="35">
        <f t="shared" si="19"/>
        <v>0.16666666666666599</v>
      </c>
      <c r="AC31" s="35">
        <f t="shared" si="20"/>
        <v>0.5</v>
      </c>
      <c r="AE31" s="34">
        <f t="shared" si="21"/>
        <v>0.18749999999999972</v>
      </c>
      <c r="AG31" s="44"/>
      <c r="AH31" s="35"/>
      <c r="AI31" s="35"/>
      <c r="AJ31" s="35"/>
      <c r="AK31" s="35"/>
      <c r="AL31" s="44"/>
      <c r="AN31" s="44"/>
    </row>
    <row r="32" spans="1:40" x14ac:dyDescent="0.25">
      <c r="A32" s="34">
        <v>64299.364999999998</v>
      </c>
      <c r="C32" s="36" t="str">
        <f t="shared" si="22"/>
        <v>LoC</v>
      </c>
      <c r="D32" s="59">
        <f t="shared" si="23"/>
        <v>0.5</v>
      </c>
      <c r="E32" s="59">
        <f t="shared" si="24"/>
        <v>0.5</v>
      </c>
      <c r="F32" s="59">
        <f t="shared" si="25"/>
        <v>0.33333333333333298</v>
      </c>
      <c r="G32" s="59">
        <f t="shared" si="26"/>
        <v>0.16666666666666599</v>
      </c>
      <c r="H32" s="59">
        <f t="shared" si="27"/>
        <v>0</v>
      </c>
    </row>
    <row r="33" spans="1:12" x14ac:dyDescent="0.25">
      <c r="A33" s="34">
        <v>63044.195</v>
      </c>
      <c r="D33" s="60"/>
      <c r="E33" s="60"/>
      <c r="F33" s="60"/>
      <c r="G33" s="60"/>
      <c r="H33" s="60"/>
    </row>
    <row r="34" spans="1:12" x14ac:dyDescent="0.25">
      <c r="A34" s="34">
        <v>-22818.19</v>
      </c>
      <c r="B34" s="39">
        <v>4</v>
      </c>
      <c r="C34" s="36" t="str">
        <f>A140</f>
        <v>(62500, 500000)</v>
      </c>
      <c r="D34" s="61" t="str">
        <f>D23</f>
        <v>OptOpt_EB</v>
      </c>
      <c r="E34" s="61" t="str">
        <f t="shared" ref="E34:H34" si="34">E23</f>
        <v>OptOpt_BB</v>
      </c>
      <c r="F34" s="61" t="str">
        <f t="shared" si="34"/>
        <v>NoneOpt_NBB</v>
      </c>
      <c r="G34" s="61" t="str">
        <f t="shared" si="34"/>
        <v>OptNone_BNB</v>
      </c>
      <c r="H34" s="61" t="str">
        <f t="shared" si="34"/>
        <v>NoneNone_NBNB</v>
      </c>
      <c r="J34" s="38" t="s">
        <v>19</v>
      </c>
      <c r="K34" s="38"/>
      <c r="L34" s="38" t="s">
        <v>20</v>
      </c>
    </row>
    <row r="35" spans="1:12" x14ac:dyDescent="0.25">
      <c r="A35" s="34">
        <v>-21066.79</v>
      </c>
      <c r="B35" s="39" t="s">
        <v>11</v>
      </c>
      <c r="C35" s="36" t="str">
        <f t="shared" ref="C35:C43" si="35">C2</f>
        <v>(3, 0)</v>
      </c>
      <c r="D35" s="59">
        <f t="shared" ref="D35:D43" si="36">A141</f>
        <v>367202</v>
      </c>
      <c r="E35" s="59">
        <f t="shared" ref="E35:E43" si="37">A150</f>
        <v>506614</v>
      </c>
      <c r="F35" s="59">
        <f t="shared" ref="F35:F43" si="38">A159</f>
        <v>507048</v>
      </c>
      <c r="G35" s="59">
        <f t="shared" ref="G35:G43" si="39">A168</f>
        <v>90000</v>
      </c>
      <c r="H35" s="59">
        <f t="shared" ref="H35:H43" si="40">A177</f>
        <v>90000</v>
      </c>
      <c r="J35" s="34">
        <f>MAX(D35:H35)</f>
        <v>507048</v>
      </c>
      <c r="L35" s="34" t="str">
        <f>HLOOKUP(J35,D35:$H$45,N2,FALSE)</f>
        <v>NoneOpt_NBB</v>
      </c>
    </row>
    <row r="36" spans="1:12" x14ac:dyDescent="0.25">
      <c r="A36" s="34">
        <v>87776.2</v>
      </c>
      <c r="C36" s="36" t="str">
        <f t="shared" si="35"/>
        <v>(3, 1)</v>
      </c>
      <c r="D36" s="59">
        <f t="shared" si="36"/>
        <v>409506</v>
      </c>
      <c r="E36" s="59">
        <f t="shared" si="37"/>
        <v>506281</v>
      </c>
      <c r="F36" s="59">
        <f t="shared" si="38"/>
        <v>506903</v>
      </c>
      <c r="G36" s="59">
        <f t="shared" si="39"/>
        <v>90000</v>
      </c>
      <c r="H36" s="59">
        <f t="shared" si="40"/>
        <v>90000</v>
      </c>
      <c r="J36" s="34">
        <f t="shared" ref="J36:J42" si="41">MAX(D36:H36)</f>
        <v>506903</v>
      </c>
      <c r="L36" s="34" t="str">
        <f>HLOOKUP(J36,D36:$H$45,N3,FALSE)</f>
        <v>NoneOpt_NBB</v>
      </c>
    </row>
    <row r="37" spans="1:12" x14ac:dyDescent="0.25">
      <c r="A37" s="34">
        <v>2646395.06</v>
      </c>
      <c r="C37" s="36" t="str">
        <f t="shared" si="35"/>
        <v>(2, 0)</v>
      </c>
      <c r="D37" s="59">
        <f t="shared" si="36"/>
        <v>165000</v>
      </c>
      <c r="E37" s="59">
        <f t="shared" si="37"/>
        <v>-173920.22500000001</v>
      </c>
      <c r="F37" s="59">
        <f t="shared" si="38"/>
        <v>40000</v>
      </c>
      <c r="G37" s="59">
        <f t="shared" si="39"/>
        <v>63384.745000000003</v>
      </c>
      <c r="H37" s="59">
        <f t="shared" si="40"/>
        <v>40000</v>
      </c>
      <c r="J37" s="34">
        <f t="shared" si="41"/>
        <v>165000</v>
      </c>
      <c r="L37" s="34" t="str">
        <f>HLOOKUP(J37,D37:$H$45,N4,FALSE)</f>
        <v>OptOpt_EB</v>
      </c>
    </row>
    <row r="38" spans="1:12" x14ac:dyDescent="0.25">
      <c r="A38" s="34">
        <v>0.16666666666666599</v>
      </c>
      <c r="C38" s="36" t="str">
        <f t="shared" si="35"/>
        <v>(2, 1)</v>
      </c>
      <c r="D38" s="59">
        <f t="shared" si="36"/>
        <v>165000</v>
      </c>
      <c r="E38" s="59">
        <f t="shared" si="37"/>
        <v>-171307.72</v>
      </c>
      <c r="F38" s="59">
        <f t="shared" si="38"/>
        <v>40000</v>
      </c>
      <c r="G38" s="59">
        <f t="shared" si="39"/>
        <v>63598.805</v>
      </c>
      <c r="H38" s="59">
        <f t="shared" si="40"/>
        <v>40000</v>
      </c>
      <c r="J38" s="34">
        <f t="shared" si="41"/>
        <v>165000</v>
      </c>
      <c r="L38" s="34" t="str">
        <f>HLOOKUP(J38,D38:$H$45,N5,FALSE)</f>
        <v>OptOpt_EB</v>
      </c>
    </row>
    <row r="39" spans="1:12" x14ac:dyDescent="0.25">
      <c r="A39" s="34">
        <v>90000</v>
      </c>
      <c r="C39" s="36" t="str">
        <f t="shared" si="35"/>
        <v>(1, 0)</v>
      </c>
      <c r="D39" s="59">
        <f t="shared" si="36"/>
        <v>165000</v>
      </c>
      <c r="E39" s="59">
        <f t="shared" si="37"/>
        <v>-72669.845000000001</v>
      </c>
      <c r="F39" s="59">
        <f t="shared" si="38"/>
        <v>40000</v>
      </c>
      <c r="G39" s="59">
        <f t="shared" si="39"/>
        <v>-21397.61</v>
      </c>
      <c r="H39" s="59">
        <f t="shared" si="40"/>
        <v>40000</v>
      </c>
      <c r="J39" s="34">
        <f t="shared" si="41"/>
        <v>165000</v>
      </c>
      <c r="L39" s="34" t="str">
        <f>HLOOKUP(J39,D39:$H$45,N6,FALSE)</f>
        <v>OptOpt_EB</v>
      </c>
    </row>
    <row r="40" spans="1:12" x14ac:dyDescent="0.25">
      <c r="A40" s="34">
        <v>90000</v>
      </c>
      <c r="C40" s="36" t="str">
        <f t="shared" si="35"/>
        <v>(1, 1)</v>
      </c>
      <c r="D40" s="59">
        <f t="shared" si="36"/>
        <v>165000</v>
      </c>
      <c r="E40" s="59">
        <f t="shared" si="37"/>
        <v>-71035.205000000002</v>
      </c>
      <c r="F40" s="59">
        <f t="shared" si="38"/>
        <v>40000</v>
      </c>
      <c r="G40" s="59">
        <f t="shared" si="39"/>
        <v>-19831.080000000002</v>
      </c>
      <c r="H40" s="59">
        <f t="shared" si="40"/>
        <v>40000</v>
      </c>
      <c r="J40" s="34">
        <f t="shared" si="41"/>
        <v>165000</v>
      </c>
      <c r="L40" s="34" t="str">
        <f>HLOOKUP(J40,D40:$H$45,N7,FALSE)</f>
        <v>OptOpt_EB</v>
      </c>
    </row>
    <row r="41" spans="1:12" x14ac:dyDescent="0.25">
      <c r="A41" s="34">
        <v>40000</v>
      </c>
      <c r="C41" s="36" t="str">
        <f t="shared" si="35"/>
        <v>Inspector</v>
      </c>
      <c r="D41" s="59">
        <f t="shared" si="36"/>
        <v>330619.13404400001</v>
      </c>
      <c r="E41" s="59">
        <f t="shared" si="37"/>
        <v>223233.47500000001</v>
      </c>
      <c r="F41" s="59">
        <f t="shared" si="38"/>
        <v>183354.94500000001</v>
      </c>
      <c r="G41" s="59">
        <f t="shared" si="39"/>
        <v>87705.4</v>
      </c>
      <c r="H41" s="59">
        <f t="shared" si="40"/>
        <v>70000</v>
      </c>
      <c r="J41" s="34">
        <f t="shared" si="41"/>
        <v>330619.13404400001</v>
      </c>
      <c r="L41" s="34" t="str">
        <f>HLOOKUP(J41,D41:$H$45,N8,FALSE)</f>
        <v>OptOpt_EB</v>
      </c>
    </row>
    <row r="42" spans="1:12" x14ac:dyDescent="0.25">
      <c r="A42" s="34">
        <v>40000</v>
      </c>
      <c r="C42" s="36" t="str">
        <f t="shared" si="35"/>
        <v>State</v>
      </c>
      <c r="D42" s="59">
        <f t="shared" si="36"/>
        <v>1090000</v>
      </c>
      <c r="E42" s="59">
        <f t="shared" si="37"/>
        <v>2198785.2850000001</v>
      </c>
      <c r="F42" s="59">
        <f t="shared" si="38"/>
        <v>1590000</v>
      </c>
      <c r="G42" s="59">
        <f t="shared" si="39"/>
        <v>2644179.02</v>
      </c>
      <c r="H42" s="59">
        <f t="shared" si="40"/>
        <v>2590000</v>
      </c>
      <c r="J42" s="34">
        <f t="shared" si="41"/>
        <v>2644179.02</v>
      </c>
      <c r="L42" s="34" t="str">
        <f>HLOOKUP(J42,D42:$H$45,N9,FALSE)</f>
        <v>OptNone_BNB</v>
      </c>
    </row>
    <row r="43" spans="1:12" x14ac:dyDescent="0.25">
      <c r="A43" s="34">
        <v>40000</v>
      </c>
      <c r="C43" s="36" t="str">
        <f t="shared" si="35"/>
        <v>LoC</v>
      </c>
      <c r="D43" s="59">
        <f t="shared" si="36"/>
        <v>0.5</v>
      </c>
      <c r="E43" s="59">
        <f t="shared" si="37"/>
        <v>0.5</v>
      </c>
      <c r="F43" s="59">
        <f t="shared" si="38"/>
        <v>0.33333333333333298</v>
      </c>
      <c r="G43" s="59">
        <f t="shared" si="39"/>
        <v>0.16666666666666599</v>
      </c>
      <c r="H43" s="59">
        <f t="shared" si="40"/>
        <v>0</v>
      </c>
    </row>
    <row r="44" spans="1:12" x14ac:dyDescent="0.25">
      <c r="A44" s="34">
        <v>40000</v>
      </c>
      <c r="D44" s="60"/>
      <c r="E44" s="60"/>
      <c r="F44" s="60"/>
      <c r="G44" s="60"/>
      <c r="H44" s="60"/>
    </row>
    <row r="45" spans="1:12" x14ac:dyDescent="0.25">
      <c r="A45" s="34">
        <v>70000</v>
      </c>
      <c r="B45" s="39">
        <v>5</v>
      </c>
      <c r="C45" s="36" t="str">
        <f>A186</f>
        <v>(125000, 187500.5)</v>
      </c>
      <c r="D45" s="61" t="str">
        <f>D34</f>
        <v>OptOpt_EB</v>
      </c>
      <c r="E45" s="61" t="str">
        <f t="shared" ref="E45:H45" si="42">E34</f>
        <v>OptOpt_BB</v>
      </c>
      <c r="F45" s="61" t="str">
        <f t="shared" si="42"/>
        <v>NoneOpt_NBB</v>
      </c>
      <c r="G45" s="61" t="str">
        <f t="shared" si="42"/>
        <v>OptNone_BNB</v>
      </c>
      <c r="H45" s="61" t="str">
        <f t="shared" si="42"/>
        <v>NoneNone_NBNB</v>
      </c>
      <c r="J45" s="38" t="s">
        <v>19</v>
      </c>
      <c r="K45" s="38"/>
      <c r="L45" s="38" t="s">
        <v>20</v>
      </c>
    </row>
    <row r="46" spans="1:12" x14ac:dyDescent="0.25">
      <c r="A46" s="34">
        <v>2590000</v>
      </c>
      <c r="B46" s="39" t="s">
        <v>9</v>
      </c>
      <c r="C46" s="36" t="str">
        <f t="shared" ref="C46:C54" si="43">C2</f>
        <v>(3, 0)</v>
      </c>
      <c r="D46" s="59">
        <f t="shared" ref="D46:D54" si="44">A187</f>
        <v>-6156840.9526749998</v>
      </c>
      <c r="E46" s="59">
        <f t="shared" ref="E46:E54" si="45">A196</f>
        <v>-1915160.9869540001</v>
      </c>
      <c r="F46" s="59">
        <f t="shared" ref="F46:F54" si="46">A205</f>
        <v>-1924301.0383959999</v>
      </c>
      <c r="G46" s="59">
        <f t="shared" ref="G46:G54" si="47">A214</f>
        <v>90000</v>
      </c>
      <c r="H46" s="59">
        <f t="shared" ref="H46:H54" si="48">A223</f>
        <v>90000</v>
      </c>
      <c r="J46" s="34">
        <f>MAX(D46:H46)</f>
        <v>90000</v>
      </c>
      <c r="L46" s="34" t="str">
        <f>HLOOKUP(J46,D46:$H$56,N2,FALSE)</f>
        <v>OptNone_BNB</v>
      </c>
    </row>
    <row r="47" spans="1:12" x14ac:dyDescent="0.25">
      <c r="A47" s="34">
        <v>0</v>
      </c>
      <c r="C47" s="36" t="str">
        <f t="shared" si="43"/>
        <v>(3, 1)</v>
      </c>
      <c r="D47" s="59">
        <f t="shared" si="44"/>
        <v>-4862131.480366</v>
      </c>
      <c r="E47" s="59">
        <f t="shared" si="45"/>
        <v>-1938495.3566950001</v>
      </c>
      <c r="F47" s="59">
        <f t="shared" si="46"/>
        <v>-1933683.210406</v>
      </c>
      <c r="G47" s="59">
        <f t="shared" si="47"/>
        <v>90000</v>
      </c>
      <c r="H47" s="59">
        <f t="shared" si="48"/>
        <v>90000</v>
      </c>
      <c r="J47" s="34">
        <f t="shared" ref="J47:J53" si="49">MAX(D47:H47)</f>
        <v>90000</v>
      </c>
      <c r="L47" s="34" t="str">
        <f>HLOOKUP(J47,D47:$H$56,N3,FALSE)</f>
        <v>OptNone_BNB</v>
      </c>
    </row>
    <row r="48" spans="1:12" x14ac:dyDescent="0.25">
      <c r="A48" s="34" t="s">
        <v>260</v>
      </c>
      <c r="C48" s="36" t="str">
        <f t="shared" si="43"/>
        <v>(2, 0)</v>
      </c>
      <c r="D48" s="59">
        <f t="shared" si="44"/>
        <v>151805.6384</v>
      </c>
      <c r="E48" s="59">
        <f t="shared" si="45"/>
        <v>147643</v>
      </c>
      <c r="F48" s="59">
        <f t="shared" si="46"/>
        <v>40000</v>
      </c>
      <c r="G48" s="59">
        <f t="shared" si="47"/>
        <v>159769.75</v>
      </c>
      <c r="H48" s="59">
        <f t="shared" si="48"/>
        <v>40000</v>
      </c>
      <c r="J48" s="34">
        <f t="shared" si="49"/>
        <v>159769.75</v>
      </c>
      <c r="L48" s="34" t="str">
        <f>HLOOKUP(J48,D48:$H$56,N4,FALSE)</f>
        <v>OptNone_BNB</v>
      </c>
    </row>
    <row r="49" spans="1:12" x14ac:dyDescent="0.25">
      <c r="A49" s="34">
        <v>-7382078.4192660004</v>
      </c>
      <c r="C49" s="36" t="str">
        <f t="shared" si="43"/>
        <v>(2, 1)</v>
      </c>
      <c r="D49" s="59">
        <f t="shared" si="44"/>
        <v>151770.78880000001</v>
      </c>
      <c r="E49" s="59">
        <f t="shared" si="45"/>
        <v>147601.75</v>
      </c>
      <c r="F49" s="59">
        <f t="shared" si="46"/>
        <v>40000</v>
      </c>
      <c r="G49" s="59">
        <f t="shared" si="47"/>
        <v>159784.25</v>
      </c>
      <c r="H49" s="59">
        <f t="shared" si="48"/>
        <v>40000</v>
      </c>
      <c r="J49" s="34">
        <f t="shared" si="49"/>
        <v>159784.25</v>
      </c>
      <c r="L49" s="34" t="str">
        <f>HLOOKUP(J49,D49:$H$56,N5,FALSE)</f>
        <v>OptNone_BNB</v>
      </c>
    </row>
    <row r="50" spans="1:12" x14ac:dyDescent="0.25">
      <c r="A50" s="34">
        <v>-5013020.3460179996</v>
      </c>
      <c r="C50" s="36" t="str">
        <f t="shared" si="43"/>
        <v>(1, 0)</v>
      </c>
      <c r="D50" s="59">
        <f t="shared" si="44"/>
        <v>155775.46239999999</v>
      </c>
      <c r="E50" s="59">
        <f t="shared" si="45"/>
        <v>152810.5</v>
      </c>
      <c r="F50" s="59">
        <f t="shared" si="46"/>
        <v>40000</v>
      </c>
      <c r="G50" s="59">
        <f t="shared" si="47"/>
        <v>155459.5</v>
      </c>
      <c r="H50" s="59">
        <f t="shared" si="48"/>
        <v>40000</v>
      </c>
      <c r="J50" s="34">
        <f t="shared" si="49"/>
        <v>155775.46239999999</v>
      </c>
      <c r="L50" s="34" t="str">
        <f>HLOOKUP(J50,D50:$H$56,N6,FALSE)</f>
        <v>OptOpt_EB</v>
      </c>
    </row>
    <row r="51" spans="1:12" x14ac:dyDescent="0.25">
      <c r="A51" s="34">
        <v>151868.1404</v>
      </c>
      <c r="C51" s="36" t="str">
        <f t="shared" si="43"/>
        <v>(1, 1)</v>
      </c>
      <c r="D51" s="59">
        <f t="shared" si="44"/>
        <v>155853.68460000001</v>
      </c>
      <c r="E51" s="59">
        <f t="shared" si="45"/>
        <v>152846</v>
      </c>
      <c r="F51" s="59">
        <f t="shared" si="46"/>
        <v>40000</v>
      </c>
      <c r="G51" s="59">
        <f t="shared" si="47"/>
        <v>155376.75</v>
      </c>
      <c r="H51" s="59">
        <f t="shared" si="48"/>
        <v>40000</v>
      </c>
      <c r="J51" s="34">
        <f t="shared" si="49"/>
        <v>155853.68460000001</v>
      </c>
      <c r="L51" s="34" t="str">
        <f>HLOOKUP(J51,D51:$H$56,N7,FALSE)</f>
        <v>OptOpt_EB</v>
      </c>
    </row>
    <row r="52" spans="1:12" x14ac:dyDescent="0.25">
      <c r="A52" s="34">
        <v>151798.82</v>
      </c>
      <c r="C52" s="36" t="str">
        <f t="shared" si="43"/>
        <v>Inspector</v>
      </c>
      <c r="D52" s="59">
        <f t="shared" si="44"/>
        <v>288873.35499999998</v>
      </c>
      <c r="E52" s="59">
        <f t="shared" si="45"/>
        <v>181134.86778999999</v>
      </c>
      <c r="F52" s="59">
        <f t="shared" si="46"/>
        <v>142040.89000000001</v>
      </c>
      <c r="G52" s="59">
        <f t="shared" si="47"/>
        <v>87766.086878000002</v>
      </c>
      <c r="H52" s="59">
        <f t="shared" si="48"/>
        <v>70000</v>
      </c>
      <c r="J52" s="34">
        <f t="shared" si="49"/>
        <v>288873.35499999998</v>
      </c>
      <c r="L52" s="34" t="str">
        <f>HLOOKUP(J52,D52:$H$56,N8,FALSE)</f>
        <v>OptOpt_EB</v>
      </c>
    </row>
    <row r="53" spans="1:12" x14ac:dyDescent="0.25">
      <c r="A53" s="34">
        <v>155751.02979999999</v>
      </c>
      <c r="C53" s="36" t="str">
        <f t="shared" si="43"/>
        <v>State</v>
      </c>
      <c r="D53" s="59">
        <f t="shared" si="44"/>
        <v>13092025.168841001</v>
      </c>
      <c r="E53" s="59">
        <f t="shared" si="45"/>
        <v>6040496.8436489999</v>
      </c>
      <c r="F53" s="59">
        <f t="shared" si="46"/>
        <v>6544753.2488019997</v>
      </c>
      <c r="G53" s="59">
        <f t="shared" si="47"/>
        <v>2090000</v>
      </c>
      <c r="H53" s="59">
        <f t="shared" si="48"/>
        <v>2590000</v>
      </c>
      <c r="J53" s="34">
        <f t="shared" si="49"/>
        <v>13092025.168841001</v>
      </c>
      <c r="L53" s="34" t="str">
        <f>HLOOKUP(J53,D53:$H$56,N9,FALSE)</f>
        <v>OptOpt_EB</v>
      </c>
    </row>
    <row r="54" spans="1:12" x14ac:dyDescent="0.25">
      <c r="A54" s="34">
        <v>155803.30420000001</v>
      </c>
      <c r="C54" s="36" t="str">
        <f t="shared" si="43"/>
        <v>LoC</v>
      </c>
      <c r="D54" s="59">
        <f t="shared" si="44"/>
        <v>0.5</v>
      </c>
      <c r="E54" s="59">
        <f t="shared" si="45"/>
        <v>0.5</v>
      </c>
      <c r="F54" s="59">
        <f t="shared" si="46"/>
        <v>0.33333333333333298</v>
      </c>
      <c r="G54" s="59">
        <f t="shared" si="47"/>
        <v>0.16666666666666599</v>
      </c>
      <c r="H54" s="59">
        <f t="shared" si="48"/>
        <v>0</v>
      </c>
    </row>
    <row r="55" spans="1:12" x14ac:dyDescent="0.25">
      <c r="A55" s="34">
        <v>288811.64307599998</v>
      </c>
      <c r="D55" s="60"/>
      <c r="E55" s="60"/>
      <c r="F55" s="60"/>
      <c r="G55" s="60"/>
      <c r="H55" s="60"/>
    </row>
    <row r="56" spans="1:12" x14ac:dyDescent="0.25">
      <c r="A56" s="34">
        <v>14426569.557808001</v>
      </c>
      <c r="B56" s="39">
        <v>6</v>
      </c>
      <c r="C56" s="36" t="str">
        <f>A232</f>
        <v>(125000, 375001)</v>
      </c>
      <c r="D56" s="61" t="str">
        <f>D45</f>
        <v>OptOpt_EB</v>
      </c>
      <c r="E56" s="61" t="str">
        <f t="shared" ref="E56:H56" si="50">E45</f>
        <v>OptOpt_BB</v>
      </c>
      <c r="F56" s="61" t="str">
        <f t="shared" si="50"/>
        <v>NoneOpt_NBB</v>
      </c>
      <c r="G56" s="61" t="str">
        <f t="shared" si="50"/>
        <v>OptNone_BNB</v>
      </c>
      <c r="H56" s="61" t="str">
        <f t="shared" si="50"/>
        <v>NoneNone_NBNB</v>
      </c>
      <c r="J56" s="38" t="s">
        <v>19</v>
      </c>
      <c r="K56" s="38"/>
      <c r="L56" s="38" t="s">
        <v>20</v>
      </c>
    </row>
    <row r="57" spans="1:12" x14ac:dyDescent="0.25">
      <c r="A57" s="34">
        <v>0.5</v>
      </c>
      <c r="B57" s="39" t="s">
        <v>9</v>
      </c>
      <c r="C57" s="36" t="str">
        <f t="shared" ref="C57:C65" si="51">C2</f>
        <v>(3, 0)</v>
      </c>
      <c r="D57" s="59">
        <f>A233</f>
        <v>-7381851.4986899998</v>
      </c>
      <c r="E57" s="59">
        <f>A242</f>
        <v>527761.08403000003</v>
      </c>
      <c r="F57" s="59">
        <f>A251</f>
        <v>527581.08354999998</v>
      </c>
      <c r="G57" s="59">
        <f>A260</f>
        <v>90000</v>
      </c>
      <c r="H57" s="59">
        <f>A269</f>
        <v>90000</v>
      </c>
      <c r="J57" s="34">
        <f>MAX(D57:H57)</f>
        <v>527761.08403000003</v>
      </c>
      <c r="L57" s="34" t="str">
        <f>HLOOKUP(J57,D57:$H$67,N2,FALSE)</f>
        <v>OptOpt_BB</v>
      </c>
    </row>
    <row r="58" spans="1:12" x14ac:dyDescent="0.25">
      <c r="A58" s="34">
        <v>527734.08395799994</v>
      </c>
      <c r="C58" s="36" t="str">
        <f t="shared" si="51"/>
        <v>(3, 1)</v>
      </c>
      <c r="D58" s="59">
        <f t="shared" ref="D58:D65" si="52">A234</f>
        <v>-4990368.8494579997</v>
      </c>
      <c r="E58" s="59">
        <f t="shared" ref="E58:E65" si="53">A243</f>
        <v>527617.08364600001</v>
      </c>
      <c r="F58" s="59">
        <f t="shared" ref="F58:F65" si="54">A252</f>
        <v>527287.83276799996</v>
      </c>
      <c r="G58" s="59">
        <f t="shared" ref="G58:G65" si="55">A261</f>
        <v>90000</v>
      </c>
      <c r="H58" s="59">
        <f t="shared" ref="H58:H65" si="56">A270</f>
        <v>90000</v>
      </c>
      <c r="J58" s="34">
        <f t="shared" ref="J58:J64" si="57">MAX(D58:H58)</f>
        <v>527617.08364600001</v>
      </c>
      <c r="L58" s="34" t="str">
        <f>HLOOKUP(J58,D58:$H$67,N3,FALSE)</f>
        <v>OptOpt_BB</v>
      </c>
    </row>
    <row r="59" spans="1:12" x14ac:dyDescent="0.25">
      <c r="A59" s="34">
        <v>527131.08235000004</v>
      </c>
      <c r="C59" s="36" t="str">
        <f t="shared" si="51"/>
        <v>(2, 0)</v>
      </c>
      <c r="D59" s="59">
        <f t="shared" si="52"/>
        <v>151812.26740000001</v>
      </c>
      <c r="E59" s="59">
        <f t="shared" si="53"/>
        <v>147573.75</v>
      </c>
      <c r="F59" s="59">
        <f t="shared" si="54"/>
        <v>40000</v>
      </c>
      <c r="G59" s="59">
        <f t="shared" si="55"/>
        <v>159748</v>
      </c>
      <c r="H59" s="59">
        <f t="shared" si="56"/>
        <v>40000</v>
      </c>
      <c r="J59" s="34">
        <f t="shared" si="57"/>
        <v>159748</v>
      </c>
      <c r="L59" s="34" t="str">
        <f>HLOOKUP(J59,D59:$H$67,N4,FALSE)</f>
        <v>OptNone_BNB</v>
      </c>
    </row>
    <row r="60" spans="1:12" x14ac:dyDescent="0.25">
      <c r="A60" s="34">
        <v>-174036.98499999999</v>
      </c>
      <c r="C60" s="36" t="str">
        <f t="shared" si="51"/>
        <v>(2, 1)</v>
      </c>
      <c r="D60" s="59">
        <f t="shared" si="52"/>
        <v>151855.26120000001</v>
      </c>
      <c r="E60" s="59">
        <f t="shared" si="53"/>
        <v>147548</v>
      </c>
      <c r="F60" s="59">
        <f t="shared" si="54"/>
        <v>40000</v>
      </c>
      <c r="G60" s="59">
        <f t="shared" si="55"/>
        <v>159740.75</v>
      </c>
      <c r="H60" s="59">
        <f t="shared" si="56"/>
        <v>40000</v>
      </c>
      <c r="J60" s="34">
        <f t="shared" si="57"/>
        <v>159740.75</v>
      </c>
      <c r="L60" s="34" t="str">
        <f>HLOOKUP(J60,D60:$H$67,N5,FALSE)</f>
        <v>OptNone_BNB</v>
      </c>
    </row>
    <row r="61" spans="1:12" x14ac:dyDescent="0.25">
      <c r="A61" s="34">
        <v>-171915.845</v>
      </c>
      <c r="C61" s="36" t="str">
        <f t="shared" si="51"/>
        <v>(1, 0)</v>
      </c>
      <c r="D61" s="59">
        <f t="shared" si="52"/>
        <v>155804.4406</v>
      </c>
      <c r="E61" s="59">
        <f t="shared" si="53"/>
        <v>152892.5</v>
      </c>
      <c r="F61" s="59">
        <f t="shared" si="54"/>
        <v>40000</v>
      </c>
      <c r="G61" s="59">
        <f t="shared" si="55"/>
        <v>155542</v>
      </c>
      <c r="H61" s="59">
        <f t="shared" si="56"/>
        <v>40000</v>
      </c>
      <c r="J61" s="34">
        <f t="shared" si="57"/>
        <v>155804.4406</v>
      </c>
      <c r="L61" s="34" t="str">
        <f>HLOOKUP(J61,D61:$H$67,N6,FALSE)</f>
        <v>OptOpt_EB</v>
      </c>
    </row>
    <row r="62" spans="1:12" x14ac:dyDescent="0.25">
      <c r="A62" s="34">
        <v>-70796.820000000007</v>
      </c>
      <c r="C62" s="36" t="str">
        <f t="shared" si="51"/>
        <v>(1, 1)</v>
      </c>
      <c r="D62" s="59">
        <f t="shared" si="52"/>
        <v>155824.8958</v>
      </c>
      <c r="E62" s="59">
        <f t="shared" si="53"/>
        <v>152859.5</v>
      </c>
      <c r="F62" s="59">
        <f t="shared" si="54"/>
        <v>40000</v>
      </c>
      <c r="G62" s="59">
        <f t="shared" si="55"/>
        <v>155466.25</v>
      </c>
      <c r="H62" s="59">
        <f t="shared" si="56"/>
        <v>40000</v>
      </c>
      <c r="J62" s="34">
        <f t="shared" si="57"/>
        <v>155824.8958</v>
      </c>
      <c r="L62" s="34" t="str">
        <f>HLOOKUP(J62,D62:$H$67,N7,FALSE)</f>
        <v>OptOpt_EB</v>
      </c>
    </row>
    <row r="63" spans="1:12" x14ac:dyDescent="0.25">
      <c r="A63" s="34">
        <v>-72314.7</v>
      </c>
      <c r="C63" s="36" t="str">
        <f t="shared" si="51"/>
        <v>Inspector</v>
      </c>
      <c r="D63" s="59">
        <f t="shared" si="52"/>
        <v>288461.50259799999</v>
      </c>
      <c r="E63" s="59">
        <f t="shared" si="53"/>
        <v>181080.265334</v>
      </c>
      <c r="F63" s="59">
        <f t="shared" si="54"/>
        <v>142209.028682</v>
      </c>
      <c r="G63" s="59">
        <f t="shared" si="55"/>
        <v>87702.036024000001</v>
      </c>
      <c r="H63" s="59">
        <f t="shared" si="56"/>
        <v>70000</v>
      </c>
      <c r="J63" s="34">
        <f t="shared" si="57"/>
        <v>288461.50259799999</v>
      </c>
      <c r="L63" s="34" t="str">
        <f>HLOOKUP(J63,D63:$H$67,N8,FALSE)</f>
        <v>OptOpt_EB</v>
      </c>
    </row>
    <row r="64" spans="1:12" x14ac:dyDescent="0.25">
      <c r="A64" s="34">
        <v>181343.76369200001</v>
      </c>
      <c r="C64" s="36" t="str">
        <f t="shared" si="51"/>
        <v>State</v>
      </c>
      <c r="D64" s="59">
        <f t="shared" si="52"/>
        <v>14404062.15055</v>
      </c>
      <c r="E64" s="59">
        <f t="shared" si="53"/>
        <v>1090000</v>
      </c>
      <c r="F64" s="59">
        <f t="shared" si="54"/>
        <v>1590000</v>
      </c>
      <c r="G64" s="59">
        <f t="shared" si="55"/>
        <v>2090000</v>
      </c>
      <c r="H64" s="59">
        <f t="shared" si="56"/>
        <v>2590000</v>
      </c>
      <c r="J64" s="34">
        <f t="shared" si="57"/>
        <v>14404062.15055</v>
      </c>
      <c r="L64" s="34" t="str">
        <f>HLOOKUP(J64,D64:$H$67,N9,FALSE)</f>
        <v>OptOpt_EB</v>
      </c>
    </row>
    <row r="65" spans="1:12" x14ac:dyDescent="0.25">
      <c r="A65" s="34">
        <v>2198912.0499999998</v>
      </c>
      <c r="C65" s="36" t="str">
        <f t="shared" si="51"/>
        <v>LoC</v>
      </c>
      <c r="D65" s="59">
        <f t="shared" si="52"/>
        <v>0.5</v>
      </c>
      <c r="E65" s="59">
        <f t="shared" si="53"/>
        <v>0.5</v>
      </c>
      <c r="F65" s="59">
        <f t="shared" si="54"/>
        <v>0.33333333333333298</v>
      </c>
      <c r="G65" s="59">
        <f t="shared" si="55"/>
        <v>0.16666666666666599</v>
      </c>
      <c r="H65" s="59">
        <f t="shared" si="56"/>
        <v>0</v>
      </c>
    </row>
    <row r="66" spans="1:12" x14ac:dyDescent="0.25">
      <c r="A66" s="34">
        <v>0.5</v>
      </c>
      <c r="D66" s="60"/>
      <c r="E66" s="60"/>
      <c r="F66" s="60"/>
      <c r="G66" s="60"/>
      <c r="H66" s="60"/>
    </row>
    <row r="67" spans="1:12" x14ac:dyDescent="0.25">
      <c r="A67" s="34">
        <v>527636.58369799994</v>
      </c>
      <c r="B67" s="39">
        <v>7</v>
      </c>
      <c r="C67" s="36" t="str">
        <f>A278</f>
        <v>(125000, 437500.5)</v>
      </c>
      <c r="D67" s="61" t="str">
        <f>D56</f>
        <v>OptOpt_EB</v>
      </c>
      <c r="E67" s="61" t="str">
        <f t="shared" ref="E67:H67" si="58">E56</f>
        <v>OptOpt_BB</v>
      </c>
      <c r="F67" s="61" t="str">
        <f t="shared" si="58"/>
        <v>NoneOpt_NBB</v>
      </c>
      <c r="G67" s="61" t="str">
        <f t="shared" si="58"/>
        <v>OptNone_BNB</v>
      </c>
      <c r="H67" s="61" t="str">
        <f t="shared" si="58"/>
        <v>NoneNone_NBNB</v>
      </c>
      <c r="J67" s="38" t="s">
        <v>19</v>
      </c>
      <c r="K67" s="38"/>
      <c r="L67" s="38" t="s">
        <v>20</v>
      </c>
    </row>
    <row r="68" spans="1:12" x14ac:dyDescent="0.25">
      <c r="A68" s="34">
        <v>527752.83400799998</v>
      </c>
      <c r="B68" s="39" t="s">
        <v>9</v>
      </c>
      <c r="C68" s="36" t="str">
        <f>C57</f>
        <v>(3, 0)</v>
      </c>
      <c r="D68" s="59">
        <f>A279</f>
        <v>-8630275.8388240002</v>
      </c>
      <c r="E68" s="59">
        <f>A288</f>
        <v>516794.79133699997</v>
      </c>
      <c r="F68" s="59">
        <f>A297</f>
        <v>517206.91680800001</v>
      </c>
      <c r="G68" s="59">
        <f>A306</f>
        <v>90000</v>
      </c>
      <c r="H68" s="59">
        <f>A315</f>
        <v>90000</v>
      </c>
      <c r="J68" s="34">
        <f>MAX(D68:H68)</f>
        <v>517206.91680800001</v>
      </c>
      <c r="L68" s="34" t="str">
        <f>HLOOKUP(J68,D68:$H$78,N2,FALSE)</f>
        <v>NoneOpt_NBB</v>
      </c>
    </row>
    <row r="69" spans="1:12" x14ac:dyDescent="0.25">
      <c r="A69" s="34">
        <v>40000</v>
      </c>
      <c r="C69" s="36" t="str">
        <f t="shared" ref="C69:C76" si="59">C58</f>
        <v>(3, 1)</v>
      </c>
      <c r="D69" s="59">
        <f t="shared" ref="D69:D76" si="60">A280</f>
        <v>-5875857.3551580003</v>
      </c>
      <c r="E69" s="59">
        <f t="shared" ref="E69:E76" si="61">A289</f>
        <v>517053.79163300002</v>
      </c>
      <c r="F69" s="59">
        <f t="shared" ref="F69:F76" si="62">A298</f>
        <v>517406.417036</v>
      </c>
      <c r="G69" s="59">
        <f t="shared" ref="G69:G76" si="63">A307</f>
        <v>90000</v>
      </c>
      <c r="H69" s="59">
        <f t="shared" ref="H69:H76" si="64">A316</f>
        <v>90000</v>
      </c>
      <c r="J69" s="34">
        <f t="shared" ref="J69:J75" si="65">MAX(D69:H69)</f>
        <v>517406.417036</v>
      </c>
      <c r="L69" s="34" t="str">
        <f>HLOOKUP(J69,D69:$H$78,N3,FALSE)</f>
        <v>NoneOpt_NBB</v>
      </c>
    </row>
    <row r="70" spans="1:12" x14ac:dyDescent="0.25">
      <c r="A70" s="34">
        <v>40000</v>
      </c>
      <c r="C70" s="36" t="str">
        <f t="shared" si="59"/>
        <v>(2, 0)</v>
      </c>
      <c r="D70" s="59">
        <f t="shared" si="60"/>
        <v>151825.71479999999</v>
      </c>
      <c r="E70" s="59">
        <f t="shared" si="61"/>
        <v>147563.75</v>
      </c>
      <c r="F70" s="59">
        <f t="shared" si="62"/>
        <v>40000</v>
      </c>
      <c r="G70" s="59">
        <f t="shared" si="63"/>
        <v>159829.25</v>
      </c>
      <c r="H70" s="59">
        <f t="shared" si="64"/>
        <v>40000</v>
      </c>
      <c r="J70" s="34">
        <f t="shared" si="65"/>
        <v>159829.25</v>
      </c>
      <c r="L70" s="34" t="str">
        <f>HLOOKUP(J70,D70:$H$78,N4,FALSE)</f>
        <v>OptNone_BNB</v>
      </c>
    </row>
    <row r="71" spans="1:12" x14ac:dyDescent="0.25">
      <c r="A71" s="34">
        <v>40000</v>
      </c>
      <c r="C71" s="36" t="str">
        <f t="shared" si="59"/>
        <v>(2, 1)</v>
      </c>
      <c r="D71" s="59">
        <f t="shared" si="60"/>
        <v>151830.2604</v>
      </c>
      <c r="E71" s="59">
        <f t="shared" si="61"/>
        <v>147691.75</v>
      </c>
      <c r="F71" s="59">
        <f t="shared" si="62"/>
        <v>40000</v>
      </c>
      <c r="G71" s="59">
        <f t="shared" si="63"/>
        <v>159781.25</v>
      </c>
      <c r="H71" s="59">
        <f t="shared" si="64"/>
        <v>40000</v>
      </c>
      <c r="J71" s="34">
        <f t="shared" si="65"/>
        <v>159781.25</v>
      </c>
      <c r="L71" s="34" t="str">
        <f>HLOOKUP(J71,D71:$H$78,N5,FALSE)</f>
        <v>OptNone_BNB</v>
      </c>
    </row>
    <row r="72" spans="1:12" x14ac:dyDescent="0.25">
      <c r="A72" s="34">
        <v>40000</v>
      </c>
      <c r="C72" s="36" t="str">
        <f t="shared" si="59"/>
        <v>(1, 0)</v>
      </c>
      <c r="D72" s="59">
        <f t="shared" si="60"/>
        <v>155793.64480000001</v>
      </c>
      <c r="E72" s="59">
        <f t="shared" si="61"/>
        <v>152826.25</v>
      </c>
      <c r="F72" s="59">
        <f t="shared" si="62"/>
        <v>40000</v>
      </c>
      <c r="G72" s="59">
        <f t="shared" si="63"/>
        <v>155335</v>
      </c>
      <c r="H72" s="59">
        <f t="shared" si="64"/>
        <v>40000</v>
      </c>
      <c r="J72" s="34">
        <f t="shared" si="65"/>
        <v>155793.64480000001</v>
      </c>
      <c r="L72" s="34" t="str">
        <f>HLOOKUP(J72,D72:$H$78,N6,FALSE)</f>
        <v>OptOpt_EB</v>
      </c>
    </row>
    <row r="73" spans="1:12" x14ac:dyDescent="0.25">
      <c r="A73" s="34">
        <v>141889.23729399999</v>
      </c>
      <c r="C73" s="36" t="str">
        <f t="shared" si="59"/>
        <v>(1, 1)</v>
      </c>
      <c r="D73" s="59">
        <f t="shared" si="60"/>
        <v>155795.16</v>
      </c>
      <c r="E73" s="59">
        <f t="shared" si="61"/>
        <v>152907.25</v>
      </c>
      <c r="F73" s="59">
        <f t="shared" si="62"/>
        <v>40000</v>
      </c>
      <c r="G73" s="59">
        <f t="shared" si="63"/>
        <v>155408.5</v>
      </c>
      <c r="H73" s="59">
        <f t="shared" si="64"/>
        <v>40000</v>
      </c>
      <c r="J73" s="34">
        <f t="shared" si="65"/>
        <v>155795.16</v>
      </c>
      <c r="L73" s="34" t="str">
        <f>HLOOKUP(J73,D73:$H$78,N7,FALSE)</f>
        <v>OptOpt_EB</v>
      </c>
    </row>
    <row r="74" spans="1:12" x14ac:dyDescent="0.25">
      <c r="A74" s="34">
        <v>1590000</v>
      </c>
      <c r="C74" s="36" t="str">
        <f t="shared" si="59"/>
        <v>Inspector</v>
      </c>
      <c r="D74" s="59">
        <f t="shared" si="60"/>
        <v>309637.22668199998</v>
      </c>
      <c r="E74" s="59">
        <f t="shared" si="61"/>
        <v>202284.63911799999</v>
      </c>
      <c r="F74" s="59">
        <f t="shared" si="62"/>
        <v>162653.68615600001</v>
      </c>
      <c r="G74" s="59">
        <f t="shared" si="63"/>
        <v>87787.837167999998</v>
      </c>
      <c r="H74" s="59">
        <f t="shared" si="64"/>
        <v>70000</v>
      </c>
      <c r="J74" s="34">
        <f t="shared" si="65"/>
        <v>309637.22668199998</v>
      </c>
      <c r="L74" s="34" t="str">
        <f>HLOOKUP(J74,D74:$H$78,N8,FALSE)</f>
        <v>OptOpt_EB</v>
      </c>
    </row>
    <row r="75" spans="1:12" x14ac:dyDescent="0.25">
      <c r="A75" s="34">
        <v>0.33333333333333298</v>
      </c>
      <c r="C75" s="36" t="str">
        <f t="shared" si="59"/>
        <v>State</v>
      </c>
      <c r="D75" s="59">
        <f t="shared" si="60"/>
        <v>16516720.497300001</v>
      </c>
      <c r="E75" s="59">
        <f t="shared" si="61"/>
        <v>1090000</v>
      </c>
      <c r="F75" s="59">
        <f t="shared" si="62"/>
        <v>1590000</v>
      </c>
      <c r="G75" s="59">
        <f t="shared" si="63"/>
        <v>2090000</v>
      </c>
      <c r="H75" s="59">
        <f t="shared" si="64"/>
        <v>2590000</v>
      </c>
      <c r="J75" s="34">
        <f t="shared" si="65"/>
        <v>16516720.497300001</v>
      </c>
      <c r="L75" s="34" t="str">
        <f>HLOOKUP(J75,D75:$H$78,N9,FALSE)</f>
        <v>OptOpt_EB</v>
      </c>
    </row>
    <row r="76" spans="1:12" x14ac:dyDescent="0.25">
      <c r="A76" s="34">
        <v>90000</v>
      </c>
      <c r="C76" s="36" t="str">
        <f t="shared" si="59"/>
        <v>LoC</v>
      </c>
      <c r="D76" s="59">
        <f t="shared" si="60"/>
        <v>0.5</v>
      </c>
      <c r="E76" s="59">
        <f t="shared" si="61"/>
        <v>0.5</v>
      </c>
      <c r="F76" s="59">
        <f t="shared" si="62"/>
        <v>0.33333333333333298</v>
      </c>
      <c r="G76" s="59">
        <f t="shared" si="63"/>
        <v>0.16666666666666599</v>
      </c>
      <c r="H76" s="59">
        <f t="shared" si="64"/>
        <v>0</v>
      </c>
    </row>
    <row r="77" spans="1:12" x14ac:dyDescent="0.25">
      <c r="A77" s="34">
        <v>90000</v>
      </c>
      <c r="D77" s="60"/>
      <c r="E77" s="60"/>
      <c r="F77" s="60"/>
      <c r="G77" s="60"/>
      <c r="H77" s="60"/>
    </row>
    <row r="78" spans="1:12" x14ac:dyDescent="0.25">
      <c r="A78" s="34">
        <v>63418.8</v>
      </c>
      <c r="B78" s="39">
        <v>8</v>
      </c>
      <c r="C78" s="36" t="str">
        <f>A324</f>
        <v>(125000, 500000)</v>
      </c>
      <c r="D78" s="61" t="str">
        <f>D67</f>
        <v>OptOpt_EB</v>
      </c>
      <c r="E78" s="61" t="str">
        <f t="shared" ref="E78:H78" si="66">E67</f>
        <v>OptOpt_BB</v>
      </c>
      <c r="F78" s="61" t="str">
        <f t="shared" si="66"/>
        <v>NoneOpt_NBB</v>
      </c>
      <c r="G78" s="61" t="str">
        <f t="shared" si="66"/>
        <v>OptNone_BNB</v>
      </c>
      <c r="H78" s="61" t="str">
        <f t="shared" si="66"/>
        <v>NoneNone_NBNB</v>
      </c>
      <c r="J78" s="38" t="s">
        <v>19</v>
      </c>
      <c r="K78" s="38"/>
      <c r="L78" s="38" t="s">
        <v>20</v>
      </c>
    </row>
    <row r="79" spans="1:12" x14ac:dyDescent="0.25">
      <c r="A79" s="34">
        <v>63545.29</v>
      </c>
      <c r="B79" s="39" t="s">
        <v>11</v>
      </c>
      <c r="C79" s="36" t="str">
        <f>C68</f>
        <v>(3, 0)</v>
      </c>
      <c r="D79" s="59">
        <f>A325</f>
        <v>367255</v>
      </c>
      <c r="E79" s="59">
        <f>A334</f>
        <v>506929</v>
      </c>
      <c r="F79" s="59">
        <f>A343</f>
        <v>506708</v>
      </c>
      <c r="G79" s="59">
        <f>A352</f>
        <v>90000</v>
      </c>
      <c r="H79" s="59">
        <f>A361</f>
        <v>90000</v>
      </c>
      <c r="J79" s="34">
        <f>MAX(D79:H79)</f>
        <v>506929</v>
      </c>
      <c r="L79" s="34" t="str">
        <f>HLOOKUP(J79,D79:$H$89,N2,FALSE)</f>
        <v>OptOpt_BB</v>
      </c>
    </row>
    <row r="80" spans="1:12" x14ac:dyDescent="0.25">
      <c r="A80" s="34">
        <v>-20410.014999999999</v>
      </c>
      <c r="C80" s="36" t="str">
        <f t="shared" ref="C80:C87" si="67">C69</f>
        <v>(3, 1)</v>
      </c>
      <c r="D80" s="59">
        <f t="shared" ref="D80:D87" si="68">A326</f>
        <v>409408</v>
      </c>
      <c r="E80" s="59">
        <f t="shared" ref="E80:E87" si="69">A335</f>
        <v>506717</v>
      </c>
      <c r="F80" s="59">
        <f t="shared" ref="F80:F87" si="70">A344</f>
        <v>506331</v>
      </c>
      <c r="G80" s="59">
        <f t="shared" ref="G80:G87" si="71">A353</f>
        <v>90000</v>
      </c>
      <c r="H80" s="59">
        <f t="shared" ref="H80:H87" si="72">A362</f>
        <v>90000</v>
      </c>
      <c r="J80" s="34">
        <f t="shared" ref="J80:J86" si="73">MAX(D80:H80)</f>
        <v>506717</v>
      </c>
      <c r="L80" s="34" t="str">
        <f>HLOOKUP(J80,D80:$H$89,N3,FALSE)</f>
        <v>OptOpt_BB</v>
      </c>
    </row>
    <row r="81" spans="1:12" x14ac:dyDescent="0.25">
      <c r="A81" s="34">
        <v>-21348.959999999999</v>
      </c>
      <c r="C81" s="36" t="str">
        <f t="shared" si="67"/>
        <v>(2, 0)</v>
      </c>
      <c r="D81" s="59">
        <f t="shared" si="68"/>
        <v>165000</v>
      </c>
      <c r="E81" s="59">
        <f t="shared" si="69"/>
        <v>147630</v>
      </c>
      <c r="F81" s="59">
        <f t="shared" si="70"/>
        <v>40000</v>
      </c>
      <c r="G81" s="59">
        <f t="shared" si="71"/>
        <v>159787.5</v>
      </c>
      <c r="H81" s="59">
        <f t="shared" si="72"/>
        <v>40000</v>
      </c>
      <c r="J81" s="34">
        <f t="shared" si="73"/>
        <v>165000</v>
      </c>
      <c r="L81" s="34" t="str">
        <f>HLOOKUP(J81,D81:$H$89,N4,FALSE)</f>
        <v>OptOpt_EB</v>
      </c>
    </row>
    <row r="82" spans="1:12" x14ac:dyDescent="0.25">
      <c r="A82" s="34">
        <v>87722.35</v>
      </c>
      <c r="C82" s="36" t="str">
        <f t="shared" si="67"/>
        <v>(2, 1)</v>
      </c>
      <c r="D82" s="59">
        <f t="shared" si="68"/>
        <v>165000</v>
      </c>
      <c r="E82" s="59">
        <f t="shared" si="69"/>
        <v>147594.75</v>
      </c>
      <c r="F82" s="59">
        <f t="shared" si="70"/>
        <v>40000</v>
      </c>
      <c r="G82" s="59">
        <f t="shared" si="71"/>
        <v>159792.5</v>
      </c>
      <c r="H82" s="59">
        <f t="shared" si="72"/>
        <v>40000</v>
      </c>
      <c r="J82" s="34">
        <f t="shared" si="73"/>
        <v>165000</v>
      </c>
      <c r="L82" s="34" t="str">
        <f>HLOOKUP(J82,D82:$H$89,N5,FALSE)</f>
        <v>OptOpt_EB</v>
      </c>
    </row>
    <row r="83" spans="1:12" x14ac:dyDescent="0.25">
      <c r="A83" s="34">
        <v>2644709.5550000002</v>
      </c>
      <c r="C83" s="36" t="str">
        <f t="shared" si="67"/>
        <v>(1, 0)</v>
      </c>
      <c r="D83" s="59">
        <f t="shared" si="68"/>
        <v>165000</v>
      </c>
      <c r="E83" s="59">
        <f t="shared" si="69"/>
        <v>152878.75</v>
      </c>
      <c r="F83" s="59">
        <f t="shared" si="70"/>
        <v>40000</v>
      </c>
      <c r="G83" s="59">
        <f t="shared" si="71"/>
        <v>155452</v>
      </c>
      <c r="H83" s="59">
        <f t="shared" si="72"/>
        <v>40000</v>
      </c>
      <c r="J83" s="34">
        <f t="shared" si="73"/>
        <v>165000</v>
      </c>
      <c r="L83" s="34" t="str">
        <f>HLOOKUP(J83,D83:$H$89,N6,FALSE)</f>
        <v>OptOpt_EB</v>
      </c>
    </row>
    <row r="84" spans="1:12" x14ac:dyDescent="0.25">
      <c r="A84" s="34">
        <v>0.16666666666666599</v>
      </c>
      <c r="C84" s="36" t="str">
        <f t="shared" si="67"/>
        <v>(1, 1)</v>
      </c>
      <c r="D84" s="59">
        <f t="shared" si="68"/>
        <v>165000</v>
      </c>
      <c r="E84" s="59">
        <f t="shared" si="69"/>
        <v>152852</v>
      </c>
      <c r="F84" s="59">
        <f t="shared" si="70"/>
        <v>40000</v>
      </c>
      <c r="G84" s="59">
        <f t="shared" si="71"/>
        <v>155365</v>
      </c>
      <c r="H84" s="59">
        <f t="shared" si="72"/>
        <v>40000</v>
      </c>
      <c r="J84" s="34">
        <f t="shared" si="73"/>
        <v>165000</v>
      </c>
      <c r="L84" s="34" t="str">
        <f>HLOOKUP(J84,D84:$H$89,N7,FALSE)</f>
        <v>OptOpt_EB</v>
      </c>
    </row>
    <row r="85" spans="1:12" x14ac:dyDescent="0.25">
      <c r="A85" s="34">
        <v>90000</v>
      </c>
      <c r="C85" s="36" t="str">
        <f t="shared" si="67"/>
        <v>Inspector</v>
      </c>
      <c r="D85" s="59">
        <f t="shared" si="68"/>
        <v>330702.05802</v>
      </c>
      <c r="E85" s="59">
        <f t="shared" si="69"/>
        <v>222706.742356</v>
      </c>
      <c r="F85" s="59">
        <f t="shared" si="70"/>
        <v>184009.405</v>
      </c>
      <c r="G85" s="59">
        <f t="shared" si="71"/>
        <v>87762.036823999995</v>
      </c>
      <c r="H85" s="59">
        <f t="shared" si="72"/>
        <v>70000</v>
      </c>
      <c r="J85" s="34">
        <f t="shared" si="73"/>
        <v>330702.05802</v>
      </c>
      <c r="L85" s="34" t="str">
        <f>HLOOKUP(J85,D85:$H$89,N8,FALSE)</f>
        <v>OptOpt_EB</v>
      </c>
    </row>
    <row r="86" spans="1:12" x14ac:dyDescent="0.25">
      <c r="A86" s="34">
        <v>90000</v>
      </c>
      <c r="C86" s="36" t="str">
        <f t="shared" si="67"/>
        <v>State</v>
      </c>
      <c r="D86" s="59">
        <f t="shared" si="68"/>
        <v>1090000</v>
      </c>
      <c r="E86" s="59">
        <f t="shared" si="69"/>
        <v>1090000</v>
      </c>
      <c r="F86" s="59">
        <f t="shared" si="70"/>
        <v>1590000</v>
      </c>
      <c r="G86" s="59">
        <f t="shared" si="71"/>
        <v>2090000</v>
      </c>
      <c r="H86" s="59">
        <f t="shared" si="72"/>
        <v>2590000</v>
      </c>
      <c r="J86" s="34">
        <f t="shared" si="73"/>
        <v>2590000</v>
      </c>
      <c r="L86" s="34" t="str">
        <f>HLOOKUP(J86,D86:$H$89,N9,FALSE)</f>
        <v>NoneNone_NBNB</v>
      </c>
    </row>
    <row r="87" spans="1:12" x14ac:dyDescent="0.25">
      <c r="A87" s="34">
        <v>40000</v>
      </c>
      <c r="C87" s="36" t="str">
        <f t="shared" si="67"/>
        <v>LoC</v>
      </c>
      <c r="D87" s="59">
        <f t="shared" si="68"/>
        <v>0.5</v>
      </c>
      <c r="E87" s="59">
        <f t="shared" si="69"/>
        <v>0.5</v>
      </c>
      <c r="F87" s="59">
        <f t="shared" si="70"/>
        <v>0.33333333333333298</v>
      </c>
      <c r="G87" s="59">
        <f t="shared" si="71"/>
        <v>0.16666666666666599</v>
      </c>
      <c r="H87" s="59">
        <f t="shared" si="72"/>
        <v>0</v>
      </c>
    </row>
    <row r="88" spans="1:12" x14ac:dyDescent="0.25">
      <c r="A88" s="34">
        <v>40000</v>
      </c>
      <c r="D88" s="60"/>
      <c r="E88" s="60"/>
      <c r="F88" s="60"/>
      <c r="G88" s="60"/>
      <c r="H88" s="60"/>
    </row>
    <row r="89" spans="1:12" x14ac:dyDescent="0.25">
      <c r="A89" s="34">
        <v>40000</v>
      </c>
      <c r="B89" s="39">
        <v>9</v>
      </c>
      <c r="C89" s="36">
        <f>A370</f>
        <v>0</v>
      </c>
      <c r="D89" s="61" t="str">
        <f>D78</f>
        <v>OptOpt_EB</v>
      </c>
      <c r="E89" s="61" t="str">
        <f t="shared" ref="E89:H89" si="74">E78</f>
        <v>OptOpt_BB</v>
      </c>
      <c r="F89" s="61" t="str">
        <f t="shared" si="74"/>
        <v>NoneOpt_NBB</v>
      </c>
      <c r="G89" s="61" t="str">
        <f t="shared" si="74"/>
        <v>OptNone_BNB</v>
      </c>
      <c r="H89" s="61" t="str">
        <f t="shared" si="74"/>
        <v>NoneNone_NBNB</v>
      </c>
      <c r="J89" s="38" t="s">
        <v>19</v>
      </c>
      <c r="K89" s="38"/>
      <c r="L89" s="38" t="s">
        <v>20</v>
      </c>
    </row>
    <row r="90" spans="1:12" x14ac:dyDescent="0.25">
      <c r="A90" s="34">
        <v>40000</v>
      </c>
      <c r="B90" s="39" t="s">
        <v>9</v>
      </c>
      <c r="C90" s="36" t="str">
        <f>C79</f>
        <v>(3, 0)</v>
      </c>
      <c r="D90" s="59" t="str">
        <f>A371</f>
        <v>Process finished with exit code 0</v>
      </c>
      <c r="E90" s="59">
        <f>A380</f>
        <v>0</v>
      </c>
      <c r="F90" s="59">
        <f>A389</f>
        <v>0</v>
      </c>
      <c r="G90" s="59">
        <f>A398</f>
        <v>0</v>
      </c>
      <c r="H90" s="59">
        <f>A407</f>
        <v>0</v>
      </c>
      <c r="J90" s="34">
        <f>MAX(D90:H90)</f>
        <v>0</v>
      </c>
      <c r="L90" s="34" t="str">
        <f>HLOOKUP(J90,D90:$H$100,N2,FALSE)</f>
        <v>OptOpt_BB</v>
      </c>
    </row>
    <row r="91" spans="1:12" x14ac:dyDescent="0.25">
      <c r="A91" s="34">
        <v>70000</v>
      </c>
      <c r="C91" s="36" t="str">
        <f t="shared" ref="C91:C98" si="75">C80</f>
        <v>(3, 1)</v>
      </c>
      <c r="D91" s="59">
        <f t="shared" ref="D91:D98" si="76">A372</f>
        <v>0</v>
      </c>
      <c r="E91" s="59">
        <f t="shared" ref="E91:E98" si="77">A381</f>
        <v>0</v>
      </c>
      <c r="F91" s="59">
        <f t="shared" ref="F91:F98" si="78">A390</f>
        <v>0</v>
      </c>
      <c r="G91" s="59">
        <f t="shared" ref="G91:G98" si="79">A399</f>
        <v>0</v>
      </c>
      <c r="H91" s="59">
        <f t="shared" ref="H91:H98" si="80">A408</f>
        <v>0</v>
      </c>
      <c r="J91" s="34">
        <f t="shared" ref="J91:J97" si="81">MAX(D91:H91)</f>
        <v>0</v>
      </c>
      <c r="L91" s="34" t="str">
        <f>HLOOKUP(J91,D91:$H$100,N3,FALSE)</f>
        <v>OptOpt_EB</v>
      </c>
    </row>
    <row r="92" spans="1:12" x14ac:dyDescent="0.25">
      <c r="A92" s="34">
        <v>2590000</v>
      </c>
      <c r="C92" s="36" t="str">
        <f t="shared" si="75"/>
        <v>(2, 0)</v>
      </c>
      <c r="D92" s="59">
        <f t="shared" si="76"/>
        <v>0</v>
      </c>
      <c r="E92" s="59">
        <f t="shared" si="77"/>
        <v>0</v>
      </c>
      <c r="F92" s="59">
        <f t="shared" si="78"/>
        <v>0</v>
      </c>
      <c r="G92" s="59">
        <f t="shared" si="79"/>
        <v>0</v>
      </c>
      <c r="H92" s="59">
        <f t="shared" si="80"/>
        <v>0</v>
      </c>
      <c r="J92" s="34">
        <f t="shared" si="81"/>
        <v>0</v>
      </c>
      <c r="L92" s="34" t="str">
        <f>HLOOKUP(J92,D92:$H$100,N4,FALSE)</f>
        <v>OptOpt_EB</v>
      </c>
    </row>
    <row r="93" spans="1:12" x14ac:dyDescent="0.25">
      <c r="A93" s="34">
        <v>0</v>
      </c>
      <c r="C93" s="36" t="str">
        <f t="shared" si="75"/>
        <v>(2, 1)</v>
      </c>
      <c r="D93" s="59">
        <f t="shared" si="76"/>
        <v>0</v>
      </c>
      <c r="E93" s="59">
        <f t="shared" si="77"/>
        <v>0</v>
      </c>
      <c r="F93" s="59">
        <f t="shared" si="78"/>
        <v>0</v>
      </c>
      <c r="G93" s="59">
        <f t="shared" si="79"/>
        <v>0</v>
      </c>
      <c r="H93" s="59">
        <f t="shared" si="80"/>
        <v>0</v>
      </c>
      <c r="J93" s="34">
        <f t="shared" si="81"/>
        <v>0</v>
      </c>
      <c r="L93" s="34" t="str">
        <f>HLOOKUP(J93,D93:$H$100,N5,FALSE)</f>
        <v>OptOpt_EB</v>
      </c>
    </row>
    <row r="94" spans="1:12" x14ac:dyDescent="0.25">
      <c r="A94" s="80" t="s">
        <v>261</v>
      </c>
      <c r="C94" s="36" t="str">
        <f t="shared" si="75"/>
        <v>(1, 0)</v>
      </c>
      <c r="D94" s="59">
        <f t="shared" si="76"/>
        <v>0</v>
      </c>
      <c r="E94" s="59">
        <f t="shared" si="77"/>
        <v>0</v>
      </c>
      <c r="F94" s="59">
        <f t="shared" si="78"/>
        <v>0</v>
      </c>
      <c r="G94" s="59">
        <f t="shared" si="79"/>
        <v>0</v>
      </c>
      <c r="H94" s="59">
        <f t="shared" si="80"/>
        <v>0</v>
      </c>
      <c r="J94" s="34">
        <f t="shared" si="81"/>
        <v>0</v>
      </c>
      <c r="L94" s="34" t="str">
        <f>HLOOKUP(J94,D94:$H$100,N6,FALSE)</f>
        <v>OptOpt_EB</v>
      </c>
    </row>
    <row r="95" spans="1:12" x14ac:dyDescent="0.25">
      <c r="A95" s="34">
        <v>-8593529.5091619994</v>
      </c>
      <c r="C95" s="36" t="str">
        <f t="shared" si="75"/>
        <v>(1, 1)</v>
      </c>
      <c r="D95" s="59">
        <f t="shared" si="76"/>
        <v>0</v>
      </c>
      <c r="E95" s="59">
        <f t="shared" si="77"/>
        <v>0</v>
      </c>
      <c r="F95" s="59">
        <f t="shared" si="78"/>
        <v>0</v>
      </c>
      <c r="G95" s="59">
        <f t="shared" si="79"/>
        <v>0</v>
      </c>
      <c r="H95" s="59">
        <f t="shared" si="80"/>
        <v>0</v>
      </c>
      <c r="J95" s="34">
        <f t="shared" si="81"/>
        <v>0</v>
      </c>
      <c r="L95" s="34" t="str">
        <f>HLOOKUP(J95,D95:$H$100,N7,FALSE)</f>
        <v>OptOpt_EB</v>
      </c>
    </row>
    <row r="96" spans="1:12" x14ac:dyDescent="0.25">
      <c r="A96" s="34">
        <v>-5906239.3479500003</v>
      </c>
      <c r="C96" s="36" t="str">
        <f t="shared" si="75"/>
        <v>Inspector</v>
      </c>
      <c r="D96" s="59">
        <f t="shared" si="76"/>
        <v>0</v>
      </c>
      <c r="E96" s="59">
        <f t="shared" si="77"/>
        <v>0</v>
      </c>
      <c r="F96" s="59">
        <f t="shared" si="78"/>
        <v>0</v>
      </c>
      <c r="G96" s="59">
        <f t="shared" si="79"/>
        <v>0</v>
      </c>
      <c r="H96" s="59">
        <f t="shared" si="80"/>
        <v>0</v>
      </c>
      <c r="J96" s="34">
        <f t="shared" si="81"/>
        <v>0</v>
      </c>
      <c r="L96" s="34" t="str">
        <f>HLOOKUP(J96,D96:$H$100,N8,FALSE)</f>
        <v>OptOpt_EB</v>
      </c>
    </row>
    <row r="97" spans="1:12" x14ac:dyDescent="0.25">
      <c r="A97" s="34">
        <v>151915.30100000001</v>
      </c>
      <c r="C97" s="36" t="str">
        <f t="shared" si="75"/>
        <v>State</v>
      </c>
      <c r="D97" s="59">
        <f t="shared" si="76"/>
        <v>0</v>
      </c>
      <c r="E97" s="59">
        <f t="shared" si="77"/>
        <v>0</v>
      </c>
      <c r="F97" s="59">
        <f t="shared" si="78"/>
        <v>0</v>
      </c>
      <c r="G97" s="59">
        <f t="shared" si="79"/>
        <v>0</v>
      </c>
      <c r="H97" s="59">
        <f t="shared" si="80"/>
        <v>0</v>
      </c>
      <c r="J97" s="34">
        <f t="shared" si="81"/>
        <v>0</v>
      </c>
      <c r="L97" s="34" t="str">
        <f>HLOOKUP(J97,D97:$H$100,N9,FALSE)</f>
        <v>OptOpt_EB</v>
      </c>
    </row>
    <row r="98" spans="1:12" x14ac:dyDescent="0.25">
      <c r="A98" s="34">
        <v>151846.9276</v>
      </c>
      <c r="C98" s="36" t="str">
        <f t="shared" si="75"/>
        <v>LoC</v>
      </c>
      <c r="D98" s="59">
        <f t="shared" si="76"/>
        <v>0</v>
      </c>
      <c r="E98" s="59">
        <f t="shared" si="77"/>
        <v>0</v>
      </c>
      <c r="F98" s="59">
        <f t="shared" si="78"/>
        <v>0</v>
      </c>
      <c r="G98" s="59">
        <f t="shared" si="79"/>
        <v>0</v>
      </c>
      <c r="H98" s="59">
        <f t="shared" si="80"/>
        <v>0</v>
      </c>
    </row>
    <row r="99" spans="1:12" x14ac:dyDescent="0.25">
      <c r="A99" s="34">
        <v>155774.326</v>
      </c>
      <c r="D99" s="60"/>
      <c r="E99" s="60"/>
      <c r="F99" s="60"/>
      <c r="G99" s="60"/>
      <c r="H99" s="60"/>
    </row>
    <row r="100" spans="1:12" x14ac:dyDescent="0.25">
      <c r="A100" s="34">
        <v>155726.59719999999</v>
      </c>
      <c r="B100" s="39">
        <v>10</v>
      </c>
      <c r="C100" s="36">
        <f>A416</f>
        <v>0</v>
      </c>
      <c r="D100" s="61" t="str">
        <f>D89</f>
        <v>OptOpt_EB</v>
      </c>
      <c r="E100" s="61" t="str">
        <f t="shared" ref="E100:H100" si="82">E89</f>
        <v>OptOpt_BB</v>
      </c>
      <c r="F100" s="61" t="str">
        <f t="shared" si="82"/>
        <v>NoneOpt_NBB</v>
      </c>
      <c r="G100" s="61" t="str">
        <f t="shared" si="82"/>
        <v>OptNone_BNB</v>
      </c>
      <c r="H100" s="61" t="str">
        <f t="shared" si="82"/>
        <v>NoneNone_NBNB</v>
      </c>
      <c r="J100" s="38" t="s">
        <v>19</v>
      </c>
      <c r="K100" s="38"/>
      <c r="L100" s="38" t="s">
        <v>20</v>
      </c>
    </row>
    <row r="101" spans="1:12" x14ac:dyDescent="0.25">
      <c r="A101" s="34">
        <v>309588.40169899998</v>
      </c>
      <c r="B101" s="39" t="s">
        <v>9</v>
      </c>
      <c r="C101" s="36" t="str">
        <f>C90</f>
        <v>(3, 0)</v>
      </c>
      <c r="D101" s="59">
        <f>A417</f>
        <v>0</v>
      </c>
      <c r="E101" s="59">
        <f>A426</f>
        <v>0</v>
      </c>
      <c r="F101" s="59">
        <f>A435</f>
        <v>0</v>
      </c>
      <c r="G101" s="59">
        <f>A444</f>
        <v>0</v>
      </c>
      <c r="H101" s="59">
        <f>A453</f>
        <v>0</v>
      </c>
      <c r="J101" s="34">
        <f>MAX(D101:H101)</f>
        <v>0</v>
      </c>
      <c r="L101" s="34" t="str">
        <f>HLOOKUP(J101,D101:$H$111,N2,FALSE)</f>
        <v>OptOpt_EB</v>
      </c>
    </row>
    <row r="102" spans="1:12" x14ac:dyDescent="0.25">
      <c r="A102" s="34">
        <v>16510387.903612999</v>
      </c>
      <c r="C102" s="36" t="str">
        <f t="shared" ref="C102:C109" si="83">C91</f>
        <v>(3, 1)</v>
      </c>
      <c r="D102" s="59">
        <f t="shared" ref="D102:D109" si="84">A418</f>
        <v>0</v>
      </c>
      <c r="E102" s="59">
        <f t="shared" ref="E102:E109" si="85">A427</f>
        <v>0</v>
      </c>
      <c r="F102" s="59">
        <f t="shared" ref="F102:F109" si="86">A436</f>
        <v>0</v>
      </c>
      <c r="G102" s="59">
        <f t="shared" ref="G102:G109" si="87">A445</f>
        <v>0</v>
      </c>
      <c r="H102" s="59">
        <f t="shared" ref="H102:H109" si="88">A454</f>
        <v>0</v>
      </c>
      <c r="J102" s="34">
        <f t="shared" ref="J102:J108" si="89">MAX(D102:H102)</f>
        <v>0</v>
      </c>
      <c r="L102" s="34" t="str">
        <f>HLOOKUP(J102,D102:$H$111,N3,FALSE)</f>
        <v>OptOpt_EB</v>
      </c>
    </row>
    <row r="103" spans="1:12" x14ac:dyDescent="0.25">
      <c r="A103" s="34">
        <v>0.5</v>
      </c>
      <c r="C103" s="36" t="str">
        <f t="shared" si="83"/>
        <v>(2, 0)</v>
      </c>
      <c r="D103" s="59">
        <f t="shared" si="84"/>
        <v>0</v>
      </c>
      <c r="E103" s="59">
        <f t="shared" si="85"/>
        <v>0</v>
      </c>
      <c r="F103" s="59">
        <f t="shared" si="86"/>
        <v>0</v>
      </c>
      <c r="G103" s="59">
        <f t="shared" si="87"/>
        <v>0</v>
      </c>
      <c r="H103" s="59">
        <f t="shared" si="88"/>
        <v>0</v>
      </c>
      <c r="J103" s="34">
        <f t="shared" si="89"/>
        <v>0</v>
      </c>
      <c r="L103" s="34" t="str">
        <f>HLOOKUP(J103,D103:$H$111,N4,FALSE)</f>
        <v>OptOpt_EB</v>
      </c>
    </row>
    <row r="104" spans="1:12" x14ac:dyDescent="0.25">
      <c r="A104" s="34">
        <v>517555.16720600001</v>
      </c>
      <c r="C104" s="36" t="str">
        <f t="shared" si="83"/>
        <v>(2, 1)</v>
      </c>
      <c r="D104" s="59">
        <f t="shared" si="84"/>
        <v>0</v>
      </c>
      <c r="E104" s="59">
        <f t="shared" si="85"/>
        <v>0</v>
      </c>
      <c r="F104" s="59">
        <f t="shared" si="86"/>
        <v>0</v>
      </c>
      <c r="G104" s="59">
        <f t="shared" si="87"/>
        <v>0</v>
      </c>
      <c r="H104" s="59">
        <f t="shared" si="88"/>
        <v>0</v>
      </c>
      <c r="J104" s="34">
        <f t="shared" si="89"/>
        <v>0</v>
      </c>
      <c r="L104" s="34" t="str">
        <f>HLOOKUP(J104,D104:$H$111,N5,FALSE)</f>
        <v>OptOpt_EB</v>
      </c>
    </row>
    <row r="105" spans="1:12" x14ac:dyDescent="0.25">
      <c r="A105" s="34">
        <v>516809.66635399999</v>
      </c>
      <c r="C105" s="36" t="str">
        <f t="shared" si="83"/>
        <v>(1, 0)</v>
      </c>
      <c r="D105" s="59">
        <f t="shared" si="84"/>
        <v>0</v>
      </c>
      <c r="E105" s="59">
        <f t="shared" si="85"/>
        <v>0</v>
      </c>
      <c r="F105" s="59">
        <f t="shared" si="86"/>
        <v>0</v>
      </c>
      <c r="G105" s="59">
        <f t="shared" si="87"/>
        <v>0</v>
      </c>
      <c r="H105" s="59">
        <f t="shared" si="88"/>
        <v>0</v>
      </c>
      <c r="J105" s="34">
        <f t="shared" si="89"/>
        <v>0</v>
      </c>
      <c r="L105" s="34" t="str">
        <f>HLOOKUP(J105,D105:$H$111,N6,FALSE)</f>
        <v>OptOpt_EB</v>
      </c>
    </row>
    <row r="106" spans="1:12" x14ac:dyDescent="0.25">
      <c r="A106" s="34">
        <v>-169682.81</v>
      </c>
      <c r="C106" s="36" t="str">
        <f t="shared" si="83"/>
        <v>(1, 1)</v>
      </c>
      <c r="D106" s="59">
        <f t="shared" si="84"/>
        <v>0</v>
      </c>
      <c r="E106" s="59">
        <f t="shared" si="85"/>
        <v>0</v>
      </c>
      <c r="F106" s="59">
        <f t="shared" si="86"/>
        <v>0</v>
      </c>
      <c r="G106" s="59">
        <f t="shared" si="87"/>
        <v>0</v>
      </c>
      <c r="H106" s="59">
        <f t="shared" si="88"/>
        <v>0</v>
      </c>
      <c r="J106" s="34">
        <f t="shared" si="89"/>
        <v>0</v>
      </c>
      <c r="L106" s="34" t="str">
        <f>HLOOKUP(J106,D106:$H$111,N7,FALSE)</f>
        <v>OptOpt_EB</v>
      </c>
    </row>
    <row r="107" spans="1:12" x14ac:dyDescent="0.25">
      <c r="A107" s="34">
        <v>-174216.99</v>
      </c>
      <c r="C107" s="36" t="str">
        <f t="shared" si="83"/>
        <v>Inspector</v>
      </c>
      <c r="D107" s="59">
        <f t="shared" si="84"/>
        <v>0</v>
      </c>
      <c r="E107" s="59">
        <f t="shared" si="85"/>
        <v>0</v>
      </c>
      <c r="F107" s="59">
        <f t="shared" si="86"/>
        <v>0</v>
      </c>
      <c r="G107" s="59">
        <f t="shared" si="87"/>
        <v>0</v>
      </c>
      <c r="H107" s="59">
        <f t="shared" si="88"/>
        <v>0</v>
      </c>
      <c r="J107" s="34">
        <f t="shared" si="89"/>
        <v>0</v>
      </c>
      <c r="L107" s="34" t="str">
        <f>HLOOKUP(J107,D107:$H$111,N8,FALSE)</f>
        <v>OptOpt_EB</v>
      </c>
    </row>
    <row r="108" spans="1:12" x14ac:dyDescent="0.25">
      <c r="A108" s="34">
        <v>-71395.214999999997</v>
      </c>
      <c r="C108" s="36" t="str">
        <f t="shared" si="83"/>
        <v>State</v>
      </c>
      <c r="D108" s="59">
        <f t="shared" si="84"/>
        <v>0</v>
      </c>
      <c r="E108" s="59">
        <f t="shared" si="85"/>
        <v>0</v>
      </c>
      <c r="F108" s="59">
        <f t="shared" si="86"/>
        <v>0</v>
      </c>
      <c r="G108" s="59">
        <f t="shared" si="87"/>
        <v>0</v>
      </c>
      <c r="H108" s="59">
        <f t="shared" si="88"/>
        <v>0</v>
      </c>
      <c r="J108" s="34">
        <f t="shared" si="89"/>
        <v>0</v>
      </c>
      <c r="L108" s="34" t="str">
        <f>HLOOKUP(J108,D108:$H$111,N9,FALSE)</f>
        <v>OptOpt_EB</v>
      </c>
    </row>
    <row r="109" spans="1:12" x14ac:dyDescent="0.25">
      <c r="A109" s="34">
        <v>-72772.009999999995</v>
      </c>
      <c r="C109" s="36" t="str">
        <f t="shared" si="83"/>
        <v>LoC</v>
      </c>
      <c r="D109" s="59">
        <f t="shared" si="84"/>
        <v>0</v>
      </c>
      <c r="E109" s="59">
        <f t="shared" si="85"/>
        <v>0</v>
      </c>
      <c r="F109" s="59">
        <f t="shared" si="86"/>
        <v>0</v>
      </c>
      <c r="G109" s="59">
        <f t="shared" si="87"/>
        <v>0</v>
      </c>
      <c r="H109" s="59">
        <f t="shared" si="88"/>
        <v>0</v>
      </c>
    </row>
    <row r="110" spans="1:12" x14ac:dyDescent="0.25">
      <c r="A110" s="34">
        <v>201933.11644000001</v>
      </c>
      <c r="D110" s="60"/>
      <c r="E110" s="60"/>
      <c r="F110" s="60"/>
      <c r="G110" s="60"/>
      <c r="H110" s="60"/>
    </row>
    <row r="111" spans="1:12" x14ac:dyDescent="0.25">
      <c r="A111" s="34">
        <v>2197949.5750000002</v>
      </c>
      <c r="B111" s="39">
        <v>11</v>
      </c>
      <c r="C111" s="36">
        <f>A462</f>
        <v>0</v>
      </c>
      <c r="D111" s="61" t="str">
        <f>D100</f>
        <v>OptOpt_EB</v>
      </c>
      <c r="E111" s="61" t="str">
        <f t="shared" ref="E111:H111" si="90">E100</f>
        <v>OptOpt_BB</v>
      </c>
      <c r="F111" s="61" t="str">
        <f t="shared" si="90"/>
        <v>NoneOpt_NBB</v>
      </c>
      <c r="G111" s="61" t="str">
        <f t="shared" si="90"/>
        <v>OptNone_BNB</v>
      </c>
      <c r="H111" s="61" t="str">
        <f t="shared" si="90"/>
        <v>NoneNone_NBNB</v>
      </c>
      <c r="J111" s="38" t="s">
        <v>19</v>
      </c>
      <c r="K111" s="38"/>
      <c r="L111" s="38" t="s">
        <v>20</v>
      </c>
    </row>
    <row r="112" spans="1:12" x14ac:dyDescent="0.25">
      <c r="A112" s="34">
        <v>0.5</v>
      </c>
      <c r="B112" s="39" t="s">
        <v>9</v>
      </c>
      <c r="C112" s="36" t="str">
        <f>C101</f>
        <v>(3, 0)</v>
      </c>
      <c r="D112" s="59" t="str">
        <f>A463</f>
        <v>Process finished with exit code 0</v>
      </c>
      <c r="E112" s="59">
        <f>A472</f>
        <v>0</v>
      </c>
      <c r="F112" s="59">
        <f>A481</f>
        <v>0</v>
      </c>
      <c r="G112" s="59">
        <f>A490</f>
        <v>0</v>
      </c>
      <c r="H112" s="59">
        <f>A499</f>
        <v>0</v>
      </c>
      <c r="J112" s="34">
        <f>MAX(D112:H112)</f>
        <v>0</v>
      </c>
      <c r="L112" s="34" t="str">
        <f>HLOOKUP(J112,D112:$H$122,N2,FALSE)</f>
        <v>OptOpt_BB</v>
      </c>
    </row>
    <row r="113" spans="1:12" x14ac:dyDescent="0.25">
      <c r="A113" s="34">
        <v>517108.91669599997</v>
      </c>
      <c r="C113" s="36" t="str">
        <f t="shared" ref="C113:C120" si="91">C102</f>
        <v>(3, 1)</v>
      </c>
      <c r="D113" s="59">
        <f t="shared" ref="D113:D120" si="92">A464</f>
        <v>0</v>
      </c>
      <c r="E113" s="59">
        <f t="shared" ref="E113:E120" si="93">A473</f>
        <v>0</v>
      </c>
      <c r="F113" s="59">
        <f t="shared" ref="F113:F120" si="94">A482</f>
        <v>0</v>
      </c>
      <c r="G113" s="59">
        <f t="shared" ref="G113:G120" si="95">A491</f>
        <v>0</v>
      </c>
      <c r="H113" s="59">
        <f t="shared" ref="H113:H120" si="96">A500</f>
        <v>0</v>
      </c>
      <c r="J113" s="34">
        <f t="shared" ref="J113:J119" si="97">MAX(D113:H113)</f>
        <v>0</v>
      </c>
      <c r="L113" s="34" t="str">
        <f>HLOOKUP(J113,D113:$H$122,N3,FALSE)</f>
        <v>OptOpt_EB</v>
      </c>
    </row>
    <row r="114" spans="1:12" x14ac:dyDescent="0.25">
      <c r="A114" s="34">
        <v>516884.04143899999</v>
      </c>
      <c r="C114" s="36" t="str">
        <f t="shared" si="91"/>
        <v>(2, 0)</v>
      </c>
      <c r="D114" s="59">
        <f t="shared" si="92"/>
        <v>0</v>
      </c>
      <c r="E114" s="59">
        <f t="shared" si="93"/>
        <v>0</v>
      </c>
      <c r="F114" s="59">
        <f t="shared" si="94"/>
        <v>0</v>
      </c>
      <c r="G114" s="59">
        <f t="shared" si="95"/>
        <v>0</v>
      </c>
      <c r="H114" s="59">
        <f t="shared" si="96"/>
        <v>0</v>
      </c>
      <c r="J114" s="34">
        <f t="shared" si="97"/>
        <v>0</v>
      </c>
      <c r="L114" s="34" t="str">
        <f>HLOOKUP(J114,D114:$H$122,N4,FALSE)</f>
        <v>OptOpt_EB</v>
      </c>
    </row>
    <row r="115" spans="1:12" x14ac:dyDescent="0.25">
      <c r="A115" s="34">
        <v>40000</v>
      </c>
      <c r="C115" s="36" t="str">
        <f t="shared" si="91"/>
        <v>(2, 1)</v>
      </c>
      <c r="D115" s="59">
        <f t="shared" si="92"/>
        <v>0</v>
      </c>
      <c r="E115" s="59">
        <f t="shared" si="93"/>
        <v>0</v>
      </c>
      <c r="F115" s="59">
        <f t="shared" si="94"/>
        <v>0</v>
      </c>
      <c r="G115" s="59">
        <f t="shared" si="95"/>
        <v>0</v>
      </c>
      <c r="H115" s="59">
        <f t="shared" si="96"/>
        <v>0</v>
      </c>
      <c r="J115" s="34">
        <f t="shared" si="97"/>
        <v>0</v>
      </c>
      <c r="L115" s="34" t="str">
        <f>HLOOKUP(J115,D115:$H$122,N5,FALSE)</f>
        <v>OptOpt_EB</v>
      </c>
    </row>
    <row r="116" spans="1:12" x14ac:dyDescent="0.25">
      <c r="A116" s="34">
        <v>40000</v>
      </c>
      <c r="C116" s="36" t="str">
        <f t="shared" si="91"/>
        <v>(1, 0)</v>
      </c>
      <c r="D116" s="59">
        <f t="shared" si="92"/>
        <v>0</v>
      </c>
      <c r="E116" s="59">
        <f t="shared" si="93"/>
        <v>0</v>
      </c>
      <c r="F116" s="59">
        <f t="shared" si="94"/>
        <v>0</v>
      </c>
      <c r="G116" s="59">
        <f t="shared" si="95"/>
        <v>0</v>
      </c>
      <c r="H116" s="59">
        <f t="shared" si="96"/>
        <v>0</v>
      </c>
      <c r="J116" s="34">
        <f t="shared" si="97"/>
        <v>0</v>
      </c>
      <c r="L116" s="34" t="str">
        <f>HLOOKUP(J116,D116:$H$122,N6,FALSE)</f>
        <v>OptOpt_EB</v>
      </c>
    </row>
    <row r="117" spans="1:12" x14ac:dyDescent="0.25">
      <c r="A117" s="34">
        <v>40000</v>
      </c>
      <c r="C117" s="36" t="str">
        <f t="shared" si="91"/>
        <v>(1, 1)</v>
      </c>
      <c r="D117" s="59">
        <f t="shared" si="92"/>
        <v>0</v>
      </c>
      <c r="E117" s="59">
        <f t="shared" si="93"/>
        <v>0</v>
      </c>
      <c r="F117" s="59">
        <f t="shared" si="94"/>
        <v>0</v>
      </c>
      <c r="G117" s="59">
        <f t="shared" si="95"/>
        <v>0</v>
      </c>
      <c r="H117" s="59">
        <f t="shared" si="96"/>
        <v>0</v>
      </c>
      <c r="J117" s="34">
        <f t="shared" si="97"/>
        <v>0</v>
      </c>
      <c r="L117" s="34" t="str">
        <f>HLOOKUP(J117,D117:$H$122,N7,FALSE)</f>
        <v>OptOpt_EB</v>
      </c>
    </row>
    <row r="118" spans="1:12" x14ac:dyDescent="0.25">
      <c r="A118" s="34">
        <v>40000</v>
      </c>
      <c r="C118" s="36" t="str">
        <f t="shared" si="91"/>
        <v>Inspector</v>
      </c>
      <c r="D118" s="59">
        <f t="shared" si="92"/>
        <v>0</v>
      </c>
      <c r="E118" s="59">
        <f t="shared" si="93"/>
        <v>0</v>
      </c>
      <c r="F118" s="59">
        <f t="shared" si="94"/>
        <v>0</v>
      </c>
      <c r="G118" s="59">
        <f t="shared" si="95"/>
        <v>0</v>
      </c>
      <c r="H118" s="59">
        <f t="shared" si="96"/>
        <v>0</v>
      </c>
      <c r="J118" s="34">
        <f t="shared" si="97"/>
        <v>0</v>
      </c>
      <c r="L118" s="34" t="str">
        <f>HLOOKUP(J118,D118:$H$122,N8,FALSE)</f>
        <v>OptOpt_EB</v>
      </c>
    </row>
    <row r="119" spans="1:12" x14ac:dyDescent="0.25">
      <c r="A119" s="34">
        <v>163085.506865</v>
      </c>
      <c r="C119" s="36" t="str">
        <f t="shared" si="91"/>
        <v>State</v>
      </c>
      <c r="D119" s="59">
        <f t="shared" si="92"/>
        <v>0</v>
      </c>
      <c r="E119" s="59">
        <f t="shared" si="93"/>
        <v>0</v>
      </c>
      <c r="F119" s="59">
        <f t="shared" si="94"/>
        <v>0</v>
      </c>
      <c r="G119" s="59">
        <f t="shared" si="95"/>
        <v>0</v>
      </c>
      <c r="H119" s="59">
        <f t="shared" si="96"/>
        <v>0</v>
      </c>
      <c r="J119" s="34">
        <f t="shared" si="97"/>
        <v>0</v>
      </c>
      <c r="L119" s="34" t="str">
        <f>HLOOKUP(J119,D119:$H$122,N9,FALSE)</f>
        <v>OptOpt_EB</v>
      </c>
    </row>
    <row r="120" spans="1:12" x14ac:dyDescent="0.25">
      <c r="A120" s="34">
        <v>1590000</v>
      </c>
      <c r="C120" s="36" t="str">
        <f t="shared" si="91"/>
        <v>LoC</v>
      </c>
      <c r="D120" s="59">
        <f t="shared" si="92"/>
        <v>0</v>
      </c>
      <c r="E120" s="59">
        <f t="shared" si="93"/>
        <v>0</v>
      </c>
      <c r="F120" s="59">
        <f t="shared" si="94"/>
        <v>0</v>
      </c>
      <c r="G120" s="59">
        <f t="shared" si="95"/>
        <v>0</v>
      </c>
      <c r="H120" s="59">
        <f t="shared" si="96"/>
        <v>0</v>
      </c>
    </row>
    <row r="121" spans="1:12" x14ac:dyDescent="0.25">
      <c r="A121" s="34">
        <v>0.33333333333333298</v>
      </c>
      <c r="D121" s="60"/>
      <c r="E121" s="60"/>
      <c r="F121" s="60"/>
      <c r="G121" s="60"/>
      <c r="H121" s="60"/>
    </row>
    <row r="122" spans="1:12" x14ac:dyDescent="0.25">
      <c r="A122" s="34">
        <v>90000</v>
      </c>
      <c r="B122" s="39">
        <v>12</v>
      </c>
      <c r="C122" s="36">
        <f>A508</f>
        <v>0</v>
      </c>
      <c r="D122" s="61" t="str">
        <f>D111</f>
        <v>OptOpt_EB</v>
      </c>
      <c r="E122" s="61" t="str">
        <f t="shared" ref="E122:H122" si="98">E111</f>
        <v>OptOpt_BB</v>
      </c>
      <c r="F122" s="61" t="str">
        <f t="shared" si="98"/>
        <v>NoneOpt_NBB</v>
      </c>
      <c r="G122" s="61" t="str">
        <f t="shared" si="98"/>
        <v>OptNone_BNB</v>
      </c>
      <c r="H122" s="61" t="str">
        <f t="shared" si="98"/>
        <v>NoneNone_NBNB</v>
      </c>
      <c r="J122" s="38" t="s">
        <v>19</v>
      </c>
      <c r="K122" s="38"/>
      <c r="L122" s="38" t="s">
        <v>20</v>
      </c>
    </row>
    <row r="123" spans="1:12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0</v>
      </c>
      <c r="E123" s="59">
        <f>A518</f>
        <v>0</v>
      </c>
      <c r="F123" s="59">
        <f>A527</f>
        <v>0</v>
      </c>
      <c r="G123" s="59">
        <f>A536</f>
        <v>0</v>
      </c>
      <c r="H123" s="59">
        <f>A545</f>
        <v>0</v>
      </c>
      <c r="J123" s="34">
        <f>MAX(D123:H123)</f>
        <v>0</v>
      </c>
      <c r="L123" s="34" t="str">
        <f>HLOOKUP(J123,D123:$H$133,N2,FALSE)</f>
        <v>OptOpt_EB</v>
      </c>
    </row>
    <row r="124" spans="1:12" x14ac:dyDescent="0.25">
      <c r="A124" s="34">
        <v>64382.07</v>
      </c>
      <c r="C124" s="36" t="str">
        <f t="shared" ref="C124:C131" si="99">C113</f>
        <v>(3, 1)</v>
      </c>
      <c r="D124" s="59">
        <f t="shared" ref="D124:D131" si="100">A510</f>
        <v>0</v>
      </c>
      <c r="E124" s="59">
        <f t="shared" ref="E124:E131" si="101">A519</f>
        <v>0</v>
      </c>
      <c r="F124" s="59">
        <f t="shared" ref="F124:F131" si="102">A528</f>
        <v>0</v>
      </c>
      <c r="G124" s="59">
        <f t="shared" ref="G124:G131" si="103">A537</f>
        <v>0</v>
      </c>
      <c r="H124" s="59">
        <f t="shared" ref="H124:H131" si="104">A546</f>
        <v>0</v>
      </c>
      <c r="J124" s="34">
        <f t="shared" ref="J124:J130" si="105">MAX(D124:H124)</f>
        <v>0</v>
      </c>
      <c r="L124" s="34" t="str">
        <f>HLOOKUP(J124,D124:$H$133,N3,FALSE)</f>
        <v>OptOpt_EB</v>
      </c>
    </row>
    <row r="125" spans="1:12" x14ac:dyDescent="0.25">
      <c r="A125" s="34">
        <v>63058.79</v>
      </c>
      <c r="C125" s="36" t="str">
        <f t="shared" si="99"/>
        <v>(2, 0)</v>
      </c>
      <c r="D125" s="59">
        <f t="shared" si="100"/>
        <v>0</v>
      </c>
      <c r="E125" s="59">
        <f t="shared" si="101"/>
        <v>0</v>
      </c>
      <c r="F125" s="59">
        <f t="shared" si="102"/>
        <v>0</v>
      </c>
      <c r="G125" s="59">
        <f t="shared" si="103"/>
        <v>0</v>
      </c>
      <c r="H125" s="59">
        <f t="shared" si="104"/>
        <v>0</v>
      </c>
      <c r="J125" s="34">
        <f t="shared" si="105"/>
        <v>0</v>
      </c>
      <c r="L125" s="34" t="str">
        <f>HLOOKUP(J125,D125:$H$133,N4,FALSE)</f>
        <v>OptOpt_EB</v>
      </c>
    </row>
    <row r="126" spans="1:12" x14ac:dyDescent="0.25">
      <c r="A126" s="34">
        <v>-20361.365000000002</v>
      </c>
      <c r="C126" s="36" t="str">
        <f t="shared" si="99"/>
        <v>(2, 1)</v>
      </c>
      <c r="D126" s="59">
        <f t="shared" si="100"/>
        <v>0</v>
      </c>
      <c r="E126" s="59">
        <f t="shared" si="101"/>
        <v>0</v>
      </c>
      <c r="F126" s="59">
        <f t="shared" si="102"/>
        <v>0</v>
      </c>
      <c r="G126" s="59">
        <f t="shared" si="103"/>
        <v>0</v>
      </c>
      <c r="H126" s="59">
        <f t="shared" si="104"/>
        <v>0</v>
      </c>
      <c r="J126" s="34">
        <f t="shared" si="105"/>
        <v>0</v>
      </c>
      <c r="L126" s="34" t="str">
        <f>HLOOKUP(J126,D126:$H$133,N5,FALSE)</f>
        <v>OptOpt_EB</v>
      </c>
    </row>
    <row r="127" spans="1:12" x14ac:dyDescent="0.25">
      <c r="A127" s="34">
        <v>-21348.959999999999</v>
      </c>
      <c r="C127" s="36" t="str">
        <f t="shared" si="99"/>
        <v>(1, 0)</v>
      </c>
      <c r="D127" s="59">
        <f t="shared" si="100"/>
        <v>0</v>
      </c>
      <c r="E127" s="59">
        <f t="shared" si="101"/>
        <v>0</v>
      </c>
      <c r="F127" s="59">
        <f t="shared" si="102"/>
        <v>0</v>
      </c>
      <c r="G127" s="59">
        <f t="shared" si="103"/>
        <v>0</v>
      </c>
      <c r="H127" s="59">
        <f t="shared" si="104"/>
        <v>0</v>
      </c>
      <c r="J127" s="34">
        <f t="shared" si="105"/>
        <v>0</v>
      </c>
      <c r="L127" s="34" t="str">
        <f>HLOOKUP(J127,D127:$H$133,N6,FALSE)</f>
        <v>OptOpt_EB</v>
      </c>
    </row>
    <row r="128" spans="1:12" x14ac:dyDescent="0.25">
      <c r="A128" s="34">
        <v>87706.15</v>
      </c>
      <c r="C128" s="36" t="str">
        <f t="shared" si="99"/>
        <v>(1, 1)</v>
      </c>
      <c r="D128" s="59">
        <f t="shared" si="100"/>
        <v>0</v>
      </c>
      <c r="E128" s="59">
        <f t="shared" si="101"/>
        <v>0</v>
      </c>
      <c r="F128" s="59">
        <f t="shared" si="102"/>
        <v>0</v>
      </c>
      <c r="G128" s="59">
        <f t="shared" si="103"/>
        <v>0</v>
      </c>
      <c r="H128" s="59">
        <f t="shared" si="104"/>
        <v>0</v>
      </c>
      <c r="J128" s="34">
        <f t="shared" si="105"/>
        <v>0</v>
      </c>
      <c r="L128" s="34" t="str">
        <f>HLOOKUP(J128,D128:$H$133,N7,FALSE)</f>
        <v>OptOpt_EB</v>
      </c>
    </row>
    <row r="129" spans="1:12" x14ac:dyDescent="0.25">
      <c r="A129" s="34">
        <v>2644202.4950000001</v>
      </c>
      <c r="C129" s="36" t="str">
        <f t="shared" si="99"/>
        <v>Inspector</v>
      </c>
      <c r="D129" s="59">
        <f t="shared" si="100"/>
        <v>0</v>
      </c>
      <c r="E129" s="59">
        <f t="shared" si="101"/>
        <v>0</v>
      </c>
      <c r="F129" s="59">
        <f t="shared" si="102"/>
        <v>0</v>
      </c>
      <c r="G129" s="59">
        <f t="shared" si="103"/>
        <v>0</v>
      </c>
      <c r="H129" s="59">
        <f t="shared" si="104"/>
        <v>0</v>
      </c>
      <c r="J129" s="34">
        <f t="shared" si="105"/>
        <v>0</v>
      </c>
      <c r="L129" s="34" t="str">
        <f>HLOOKUP(J129,D129:$H$133,N8,FALSE)</f>
        <v>OptOpt_EB</v>
      </c>
    </row>
    <row r="130" spans="1:12" x14ac:dyDescent="0.25">
      <c r="A130" s="34">
        <v>0.16666666666666599</v>
      </c>
      <c r="C130" s="36" t="str">
        <f t="shared" si="99"/>
        <v>State</v>
      </c>
      <c r="D130" s="59">
        <f t="shared" si="100"/>
        <v>0</v>
      </c>
      <c r="E130" s="59">
        <f t="shared" si="101"/>
        <v>0</v>
      </c>
      <c r="F130" s="59">
        <f t="shared" si="102"/>
        <v>0</v>
      </c>
      <c r="G130" s="59">
        <f t="shared" si="103"/>
        <v>0</v>
      </c>
      <c r="H130" s="59">
        <f t="shared" si="104"/>
        <v>0</v>
      </c>
      <c r="J130" s="34">
        <f t="shared" si="105"/>
        <v>0</v>
      </c>
      <c r="L130" s="34" t="str">
        <f>HLOOKUP(J130,D130:$H$133,N9,FALSE)</f>
        <v>OptOpt_EB</v>
      </c>
    </row>
    <row r="131" spans="1:12" x14ac:dyDescent="0.25">
      <c r="A131" s="34">
        <v>90000</v>
      </c>
      <c r="C131" s="36" t="str">
        <f t="shared" si="99"/>
        <v>LoC</v>
      </c>
      <c r="D131" s="59">
        <f t="shared" si="100"/>
        <v>0</v>
      </c>
      <c r="E131" s="59">
        <f t="shared" si="101"/>
        <v>0</v>
      </c>
      <c r="F131" s="59">
        <f t="shared" si="102"/>
        <v>0</v>
      </c>
      <c r="G131" s="59">
        <f t="shared" si="103"/>
        <v>0</v>
      </c>
      <c r="H131" s="59">
        <f t="shared" si="104"/>
        <v>0</v>
      </c>
    </row>
    <row r="132" spans="1:12" x14ac:dyDescent="0.25">
      <c r="A132" s="34">
        <v>90000</v>
      </c>
      <c r="D132" s="60"/>
      <c r="E132" s="60"/>
      <c r="F132" s="60"/>
      <c r="G132" s="60"/>
      <c r="H132" s="60"/>
    </row>
    <row r="133" spans="1:12" x14ac:dyDescent="0.25">
      <c r="A133" s="34">
        <v>40000</v>
      </c>
      <c r="B133" s="39">
        <v>13</v>
      </c>
      <c r="C133" s="36">
        <f>A554</f>
        <v>0</v>
      </c>
      <c r="D133" s="61" t="str">
        <f>D122</f>
        <v>OptOpt_EB</v>
      </c>
      <c r="E133" s="61" t="str">
        <f t="shared" ref="E133:H133" si="106">E122</f>
        <v>OptOpt_BB</v>
      </c>
      <c r="F133" s="61" t="str">
        <f t="shared" si="106"/>
        <v>NoneOpt_NBB</v>
      </c>
      <c r="G133" s="61" t="str">
        <f t="shared" si="106"/>
        <v>OptNone_BNB</v>
      </c>
      <c r="H133" s="61" t="str">
        <f t="shared" si="106"/>
        <v>NoneNone_NBNB</v>
      </c>
      <c r="J133" s="38" t="s">
        <v>19</v>
      </c>
      <c r="K133" s="38"/>
      <c r="L133" s="38" t="s">
        <v>20</v>
      </c>
    </row>
    <row r="134" spans="1:12" x14ac:dyDescent="0.25">
      <c r="A134" s="34">
        <v>40000</v>
      </c>
      <c r="C134" s="36" t="str">
        <f>C123</f>
        <v>(3, 0)</v>
      </c>
      <c r="D134" s="59">
        <f>A555</f>
        <v>0</v>
      </c>
      <c r="E134" s="59">
        <f>A564</f>
        <v>0</v>
      </c>
      <c r="F134" s="59">
        <f>A573</f>
        <v>0</v>
      </c>
      <c r="G134" s="59">
        <f>A582</f>
        <v>0</v>
      </c>
      <c r="H134" s="59">
        <f>A591</f>
        <v>0</v>
      </c>
      <c r="J134" s="34">
        <f>MAX(D134:H134)</f>
        <v>0</v>
      </c>
      <c r="L134" s="34" t="str">
        <f>HLOOKUP(J134,D134:$H$144,N2,FALSE)</f>
        <v>OptOpt_EB</v>
      </c>
    </row>
    <row r="135" spans="1:12" x14ac:dyDescent="0.25">
      <c r="A135" s="34">
        <v>40000</v>
      </c>
      <c r="C135" s="36" t="str">
        <f t="shared" ref="C135:C142" si="107">C124</f>
        <v>(3, 1)</v>
      </c>
      <c r="D135" s="59">
        <f t="shared" ref="D135:D142" si="108">A556</f>
        <v>0</v>
      </c>
      <c r="E135" s="59">
        <f t="shared" ref="E135:E142" si="109">A565</f>
        <v>0</v>
      </c>
      <c r="F135" s="59">
        <f t="shared" ref="F135:F142" si="110">A574</f>
        <v>0</v>
      </c>
      <c r="G135" s="59">
        <f t="shared" ref="G135:G142" si="111">A583</f>
        <v>0</v>
      </c>
      <c r="H135" s="59">
        <f t="shared" ref="H135:H142" si="112">A592</f>
        <v>0</v>
      </c>
      <c r="J135" s="34">
        <f t="shared" ref="J135:J141" si="113">MAX(D135:H135)</f>
        <v>0</v>
      </c>
      <c r="L135" s="34" t="str">
        <f>HLOOKUP(J135,D135:$H$144,N3,FALSE)</f>
        <v>OptOpt_EB</v>
      </c>
    </row>
    <row r="136" spans="1:12" x14ac:dyDescent="0.25">
      <c r="A136" s="34">
        <v>40000</v>
      </c>
      <c r="C136" s="36" t="str">
        <f t="shared" si="107"/>
        <v>(2, 0)</v>
      </c>
      <c r="D136" s="59">
        <f t="shared" si="108"/>
        <v>0</v>
      </c>
      <c r="E136" s="59">
        <f t="shared" si="109"/>
        <v>0</v>
      </c>
      <c r="F136" s="59">
        <f t="shared" si="110"/>
        <v>0</v>
      </c>
      <c r="G136" s="59">
        <f t="shared" si="111"/>
        <v>0</v>
      </c>
      <c r="H136" s="59">
        <f t="shared" si="112"/>
        <v>0</v>
      </c>
      <c r="J136" s="34">
        <f t="shared" si="113"/>
        <v>0</v>
      </c>
      <c r="L136" s="34" t="str">
        <f>HLOOKUP(J136,D136:$H$144,N4,FALSE)</f>
        <v>OptOpt_EB</v>
      </c>
    </row>
    <row r="137" spans="1:12" x14ac:dyDescent="0.25">
      <c r="A137" s="34">
        <v>70000</v>
      </c>
      <c r="C137" s="36" t="str">
        <f t="shared" si="107"/>
        <v>(2, 1)</v>
      </c>
      <c r="D137" s="59">
        <f t="shared" si="108"/>
        <v>0</v>
      </c>
      <c r="E137" s="59">
        <f t="shared" si="109"/>
        <v>0</v>
      </c>
      <c r="F137" s="59">
        <f t="shared" si="110"/>
        <v>0</v>
      </c>
      <c r="G137" s="59">
        <f t="shared" si="111"/>
        <v>0</v>
      </c>
      <c r="H137" s="59">
        <f t="shared" si="112"/>
        <v>0</v>
      </c>
      <c r="J137" s="34">
        <f t="shared" si="113"/>
        <v>0</v>
      </c>
      <c r="L137" s="34" t="str">
        <f>HLOOKUP(J137,D137:$H$144,N5,FALSE)</f>
        <v>OptOpt_EB</v>
      </c>
    </row>
    <row r="138" spans="1:12" x14ac:dyDescent="0.25">
      <c r="A138" s="34">
        <v>2590000</v>
      </c>
      <c r="C138" s="36" t="str">
        <f t="shared" si="107"/>
        <v>(1, 0)</v>
      </c>
      <c r="D138" s="59">
        <f t="shared" si="108"/>
        <v>0</v>
      </c>
      <c r="E138" s="59">
        <f t="shared" si="109"/>
        <v>0</v>
      </c>
      <c r="F138" s="59">
        <f t="shared" si="110"/>
        <v>0</v>
      </c>
      <c r="G138" s="59">
        <f t="shared" si="111"/>
        <v>0</v>
      </c>
      <c r="H138" s="59">
        <f t="shared" si="112"/>
        <v>0</v>
      </c>
      <c r="J138" s="34">
        <f t="shared" si="113"/>
        <v>0</v>
      </c>
      <c r="L138" s="34" t="str">
        <f>HLOOKUP(J138,D138:$H$144,N6,FALSE)</f>
        <v>OptOpt_EB</v>
      </c>
    </row>
    <row r="139" spans="1:12" x14ac:dyDescent="0.25">
      <c r="A139" s="34">
        <v>0</v>
      </c>
      <c r="C139" s="36" t="str">
        <f t="shared" si="107"/>
        <v>(1, 1)</v>
      </c>
      <c r="D139" s="59">
        <f t="shared" si="108"/>
        <v>0</v>
      </c>
      <c r="E139" s="59">
        <f t="shared" si="109"/>
        <v>0</v>
      </c>
      <c r="F139" s="59">
        <f t="shared" si="110"/>
        <v>0</v>
      </c>
      <c r="G139" s="59">
        <f t="shared" si="111"/>
        <v>0</v>
      </c>
      <c r="H139" s="59">
        <f t="shared" si="112"/>
        <v>0</v>
      </c>
      <c r="J139" s="34">
        <f t="shared" si="113"/>
        <v>0</v>
      </c>
      <c r="L139" s="34" t="str">
        <f>HLOOKUP(J139,D139:$H$144,N7,FALSE)</f>
        <v>OptOpt_EB</v>
      </c>
    </row>
    <row r="140" spans="1:12" x14ac:dyDescent="0.25">
      <c r="A140" s="80" t="s">
        <v>262</v>
      </c>
      <c r="C140" s="36" t="str">
        <f t="shared" si="107"/>
        <v>Inspector</v>
      </c>
      <c r="D140" s="59">
        <f t="shared" si="108"/>
        <v>0</v>
      </c>
      <c r="E140" s="59">
        <f t="shared" si="109"/>
        <v>0</v>
      </c>
      <c r="F140" s="59">
        <f t="shared" si="110"/>
        <v>0</v>
      </c>
      <c r="G140" s="59">
        <f t="shared" si="111"/>
        <v>0</v>
      </c>
      <c r="H140" s="59">
        <f t="shared" si="112"/>
        <v>0</v>
      </c>
      <c r="J140" s="34">
        <f t="shared" si="113"/>
        <v>0</v>
      </c>
      <c r="L140" s="34" t="str">
        <f>HLOOKUP(J140,D140:$H$144,N8,FALSE)</f>
        <v>OptOpt_EB</v>
      </c>
    </row>
    <row r="141" spans="1:12" x14ac:dyDescent="0.25">
      <c r="A141" s="34">
        <v>367202</v>
      </c>
      <c r="C141" s="36" t="str">
        <f t="shared" si="107"/>
        <v>State</v>
      </c>
      <c r="D141" s="59">
        <f t="shared" si="108"/>
        <v>0</v>
      </c>
      <c r="E141" s="59">
        <f t="shared" si="109"/>
        <v>0</v>
      </c>
      <c r="F141" s="59">
        <f t="shared" si="110"/>
        <v>0</v>
      </c>
      <c r="G141" s="59">
        <f t="shared" si="111"/>
        <v>0</v>
      </c>
      <c r="H141" s="59">
        <f t="shared" si="112"/>
        <v>0</v>
      </c>
      <c r="J141" s="34">
        <f t="shared" si="113"/>
        <v>0</v>
      </c>
      <c r="L141" s="34" t="str">
        <f>HLOOKUP(J141,D141:$H$144,N9,FALSE)</f>
        <v>OptOpt_EB</v>
      </c>
    </row>
    <row r="142" spans="1:12" x14ac:dyDescent="0.25">
      <c r="A142" s="34">
        <v>409506</v>
      </c>
      <c r="C142" s="36" t="str">
        <f t="shared" si="107"/>
        <v>LoC</v>
      </c>
      <c r="D142" s="59">
        <f t="shared" si="108"/>
        <v>0</v>
      </c>
      <c r="E142" s="59">
        <f t="shared" si="109"/>
        <v>0</v>
      </c>
      <c r="F142" s="59">
        <f t="shared" si="110"/>
        <v>0</v>
      </c>
      <c r="G142" s="59">
        <f t="shared" si="111"/>
        <v>0</v>
      </c>
      <c r="H142" s="59">
        <f t="shared" si="112"/>
        <v>0</v>
      </c>
    </row>
    <row r="143" spans="1:12" x14ac:dyDescent="0.25">
      <c r="A143" s="34">
        <v>165000</v>
      </c>
      <c r="D143" s="60"/>
      <c r="E143" s="60"/>
      <c r="F143" s="60"/>
      <c r="G143" s="60"/>
      <c r="H143" s="60"/>
    </row>
    <row r="144" spans="1:12" x14ac:dyDescent="0.25">
      <c r="A144" s="34">
        <v>165000</v>
      </c>
      <c r="B144" s="39">
        <v>14</v>
      </c>
      <c r="C144" s="36">
        <f>A600</f>
        <v>0</v>
      </c>
      <c r="D144" s="61" t="str">
        <f>D133</f>
        <v>OptOpt_EB</v>
      </c>
      <c r="E144" s="61" t="str">
        <f t="shared" ref="E144:H144" si="114">E133</f>
        <v>OptOpt_BB</v>
      </c>
      <c r="F144" s="61" t="str">
        <f t="shared" si="114"/>
        <v>NoneOpt_NBB</v>
      </c>
      <c r="G144" s="61" t="str">
        <f t="shared" si="114"/>
        <v>OptNone_BNB</v>
      </c>
      <c r="H144" s="61" t="str">
        <f t="shared" si="114"/>
        <v>NoneNone_NBNB</v>
      </c>
      <c r="J144" s="38" t="s">
        <v>19</v>
      </c>
      <c r="K144" s="38"/>
      <c r="L144" s="38" t="s">
        <v>20</v>
      </c>
    </row>
    <row r="145" spans="1:12" x14ac:dyDescent="0.25">
      <c r="A145" s="34">
        <v>165000</v>
      </c>
      <c r="C145" s="36" t="str">
        <f>C134</f>
        <v>(3, 0)</v>
      </c>
      <c r="D145" s="59">
        <f>A601</f>
        <v>0</v>
      </c>
      <c r="E145" s="59">
        <f>A610</f>
        <v>0</v>
      </c>
      <c r="F145" s="59">
        <f>A619</f>
        <v>0</v>
      </c>
      <c r="G145" s="59">
        <f>A628</f>
        <v>0</v>
      </c>
      <c r="H145" s="59">
        <f>A637</f>
        <v>0</v>
      </c>
      <c r="J145" s="34">
        <f>MAX(D145:H145)</f>
        <v>0</v>
      </c>
      <c r="L145" s="34" t="str">
        <f>HLOOKUP(J145,D145:$H$155,N2,FALSE)</f>
        <v>OptOpt_EB</v>
      </c>
    </row>
    <row r="146" spans="1:12" x14ac:dyDescent="0.25">
      <c r="A146" s="34">
        <v>165000</v>
      </c>
      <c r="C146" s="36" t="str">
        <f t="shared" ref="C146:C153" si="115">C135</f>
        <v>(3, 1)</v>
      </c>
      <c r="D146" s="59">
        <f t="shared" ref="D146:D153" si="116">A602</f>
        <v>0</v>
      </c>
      <c r="E146" s="59">
        <f t="shared" ref="E146:E153" si="117">A611</f>
        <v>0</v>
      </c>
      <c r="F146" s="59">
        <f t="shared" ref="F146:F153" si="118">A620</f>
        <v>0</v>
      </c>
      <c r="G146" s="59">
        <f t="shared" ref="G146:G153" si="119">A629</f>
        <v>0</v>
      </c>
      <c r="H146" s="59">
        <f t="shared" ref="H146:H153" si="120">A638</f>
        <v>0</v>
      </c>
      <c r="J146" s="34">
        <f t="shared" ref="J146:J152" si="121">MAX(D146:H146)</f>
        <v>0</v>
      </c>
      <c r="L146" s="34" t="str">
        <f>HLOOKUP(J146,D146:$H$155,N3,FALSE)</f>
        <v>OptOpt_EB</v>
      </c>
    </row>
    <row r="147" spans="1:12" x14ac:dyDescent="0.25">
      <c r="A147" s="34">
        <v>330619.13404400001</v>
      </c>
      <c r="C147" s="36" t="str">
        <f t="shared" si="115"/>
        <v>(2, 0)</v>
      </c>
      <c r="D147" s="59">
        <f t="shared" si="116"/>
        <v>0</v>
      </c>
      <c r="E147" s="59">
        <f t="shared" si="117"/>
        <v>0</v>
      </c>
      <c r="F147" s="59">
        <f t="shared" si="118"/>
        <v>0</v>
      </c>
      <c r="G147" s="59">
        <f t="shared" si="119"/>
        <v>0</v>
      </c>
      <c r="H147" s="59">
        <f t="shared" si="120"/>
        <v>0</v>
      </c>
      <c r="J147" s="34">
        <f t="shared" si="121"/>
        <v>0</v>
      </c>
      <c r="L147" s="34" t="str">
        <f>HLOOKUP(J147,D147:$H$155,N4,FALSE)</f>
        <v>OptOpt_EB</v>
      </c>
    </row>
    <row r="148" spans="1:12" x14ac:dyDescent="0.25">
      <c r="A148" s="34">
        <v>1090000</v>
      </c>
      <c r="C148" s="36" t="str">
        <f t="shared" si="115"/>
        <v>(2, 1)</v>
      </c>
      <c r="D148" s="59">
        <f t="shared" si="116"/>
        <v>0</v>
      </c>
      <c r="E148" s="59">
        <f t="shared" si="117"/>
        <v>0</v>
      </c>
      <c r="F148" s="59">
        <f t="shared" si="118"/>
        <v>0</v>
      </c>
      <c r="G148" s="59">
        <f t="shared" si="119"/>
        <v>0</v>
      </c>
      <c r="H148" s="59">
        <f t="shared" si="120"/>
        <v>0</v>
      </c>
      <c r="J148" s="34">
        <f t="shared" si="121"/>
        <v>0</v>
      </c>
      <c r="L148" s="34" t="str">
        <f>HLOOKUP(J148,D148:$H$155,N5,FALSE)</f>
        <v>OptOpt_EB</v>
      </c>
    </row>
    <row r="149" spans="1:12" x14ac:dyDescent="0.25">
      <c r="A149" s="34">
        <v>0.5</v>
      </c>
      <c r="C149" s="36" t="str">
        <f t="shared" si="115"/>
        <v>(1, 0)</v>
      </c>
      <c r="D149" s="59">
        <f t="shared" si="116"/>
        <v>0</v>
      </c>
      <c r="E149" s="59">
        <f t="shared" si="117"/>
        <v>0</v>
      </c>
      <c r="F149" s="59">
        <f t="shared" si="118"/>
        <v>0</v>
      </c>
      <c r="G149" s="59">
        <f t="shared" si="119"/>
        <v>0</v>
      </c>
      <c r="H149" s="59">
        <f t="shared" si="120"/>
        <v>0</v>
      </c>
      <c r="J149" s="34">
        <f t="shared" si="121"/>
        <v>0</v>
      </c>
      <c r="L149" s="34" t="str">
        <f>HLOOKUP(J149,D149:$H$155,N6,FALSE)</f>
        <v>OptOpt_EB</v>
      </c>
    </row>
    <row r="150" spans="1:12" x14ac:dyDescent="0.25">
      <c r="A150" s="34">
        <v>506614</v>
      </c>
      <c r="C150" s="36" t="str">
        <f t="shared" si="115"/>
        <v>(1, 1)</v>
      </c>
      <c r="D150" s="59">
        <f t="shared" si="116"/>
        <v>0</v>
      </c>
      <c r="E150" s="59">
        <f t="shared" si="117"/>
        <v>0</v>
      </c>
      <c r="F150" s="59">
        <f t="shared" si="118"/>
        <v>0</v>
      </c>
      <c r="G150" s="59">
        <f t="shared" si="119"/>
        <v>0</v>
      </c>
      <c r="H150" s="59">
        <f t="shared" si="120"/>
        <v>0</v>
      </c>
      <c r="J150" s="34">
        <f t="shared" si="121"/>
        <v>0</v>
      </c>
      <c r="L150" s="34" t="str">
        <f>HLOOKUP(J150,D150:$H$155,N7,FALSE)</f>
        <v>OptOpt_EB</v>
      </c>
    </row>
    <row r="151" spans="1:12" x14ac:dyDescent="0.25">
      <c r="A151" s="34">
        <v>506281</v>
      </c>
      <c r="C151" s="36" t="str">
        <f t="shared" si="115"/>
        <v>Inspector</v>
      </c>
      <c r="D151" s="59">
        <f t="shared" si="116"/>
        <v>0</v>
      </c>
      <c r="E151" s="59">
        <f t="shared" si="117"/>
        <v>0</v>
      </c>
      <c r="F151" s="59">
        <f t="shared" si="118"/>
        <v>0</v>
      </c>
      <c r="G151" s="59">
        <f t="shared" si="119"/>
        <v>0</v>
      </c>
      <c r="H151" s="59">
        <f t="shared" si="120"/>
        <v>0</v>
      </c>
      <c r="J151" s="34">
        <f t="shared" si="121"/>
        <v>0</v>
      </c>
      <c r="L151" s="34" t="str">
        <f>HLOOKUP(J151,D151:$H$155,N8,FALSE)</f>
        <v>OptOpt_EB</v>
      </c>
    </row>
    <row r="152" spans="1:12" x14ac:dyDescent="0.25">
      <c r="A152" s="34">
        <v>-173920.22500000001</v>
      </c>
      <c r="C152" s="36" t="str">
        <f t="shared" si="115"/>
        <v>State</v>
      </c>
      <c r="D152" s="59">
        <f t="shared" si="116"/>
        <v>0</v>
      </c>
      <c r="E152" s="59">
        <f t="shared" si="117"/>
        <v>0</v>
      </c>
      <c r="F152" s="59">
        <f t="shared" si="118"/>
        <v>0</v>
      </c>
      <c r="G152" s="59">
        <f t="shared" si="119"/>
        <v>0</v>
      </c>
      <c r="H152" s="59">
        <f t="shared" si="120"/>
        <v>0</v>
      </c>
      <c r="J152" s="34">
        <f t="shared" si="121"/>
        <v>0</v>
      </c>
      <c r="L152" s="34" t="str">
        <f>HLOOKUP(J152,D152:$H$155,N9,FALSE)</f>
        <v>OptOpt_EB</v>
      </c>
    </row>
    <row r="153" spans="1:12" x14ac:dyDescent="0.25">
      <c r="A153" s="34">
        <v>-171307.72</v>
      </c>
      <c r="C153" s="36" t="str">
        <f t="shared" si="115"/>
        <v>LoC</v>
      </c>
      <c r="D153" s="59">
        <f t="shared" si="116"/>
        <v>0</v>
      </c>
      <c r="E153" s="59">
        <f t="shared" si="117"/>
        <v>0</v>
      </c>
      <c r="F153" s="59">
        <f t="shared" si="118"/>
        <v>0</v>
      </c>
      <c r="G153" s="59">
        <f t="shared" si="119"/>
        <v>0</v>
      </c>
      <c r="H153" s="59">
        <f t="shared" si="120"/>
        <v>0</v>
      </c>
    </row>
    <row r="154" spans="1:12" x14ac:dyDescent="0.25">
      <c r="A154" s="34">
        <v>-72669.845000000001</v>
      </c>
    </row>
    <row r="155" spans="1:12" x14ac:dyDescent="0.25">
      <c r="A155" s="34">
        <v>-71035.205000000002</v>
      </c>
      <c r="B155" s="39">
        <v>15</v>
      </c>
      <c r="C155" s="36">
        <f>A646</f>
        <v>0</v>
      </c>
      <c r="D155" s="36" t="str">
        <f>D144</f>
        <v>OptOpt_EB</v>
      </c>
      <c r="E155" s="36" t="str">
        <f t="shared" ref="E155:H155" si="122">E144</f>
        <v>OptOpt_BB</v>
      </c>
      <c r="F155" s="36" t="str">
        <f t="shared" si="122"/>
        <v>NoneOpt_NBB</v>
      </c>
      <c r="G155" s="36" t="str">
        <f t="shared" si="122"/>
        <v>OptNone_BNB</v>
      </c>
      <c r="H155" s="36" t="str">
        <f t="shared" si="122"/>
        <v>NoneNone_NBNB</v>
      </c>
      <c r="J155" s="38" t="s">
        <v>19</v>
      </c>
      <c r="K155" s="38"/>
      <c r="L155" s="38" t="s">
        <v>20</v>
      </c>
    </row>
    <row r="156" spans="1:12" x14ac:dyDescent="0.25">
      <c r="A156" s="34">
        <v>223233.47500000001</v>
      </c>
      <c r="C156" s="36" t="str">
        <f>C145</f>
        <v>(3, 0)</v>
      </c>
      <c r="D156" s="35">
        <f>A647</f>
        <v>0</v>
      </c>
      <c r="E156" s="35">
        <f>A656</f>
        <v>0</v>
      </c>
      <c r="F156" s="35">
        <f>A665</f>
        <v>0</v>
      </c>
      <c r="G156" s="35">
        <f>A674</f>
        <v>0</v>
      </c>
      <c r="H156" s="35">
        <f>A683</f>
        <v>0</v>
      </c>
      <c r="J156" s="34">
        <f>MAX(D156:H156)</f>
        <v>0</v>
      </c>
      <c r="L156" s="34" t="str">
        <f>HLOOKUP(J156,D156:$H$166,N2,FALSE)</f>
        <v>OptOpt_EB</v>
      </c>
    </row>
    <row r="157" spans="1:12" x14ac:dyDescent="0.25">
      <c r="A157" s="34">
        <v>2198785.2850000001</v>
      </c>
      <c r="C157" s="36" t="str">
        <f t="shared" ref="C157:C164" si="123">C146</f>
        <v>(3, 1)</v>
      </c>
      <c r="D157" s="35">
        <f t="shared" ref="D157:D162" si="124">A648</f>
        <v>0</v>
      </c>
      <c r="E157" s="35">
        <f t="shared" ref="E157:E162" si="125">A657</f>
        <v>0</v>
      </c>
      <c r="F157" s="35">
        <f t="shared" ref="F157:F162" si="126">A666</f>
        <v>0</v>
      </c>
      <c r="G157" s="35">
        <f t="shared" ref="G157:G162" si="127">A675</f>
        <v>0</v>
      </c>
      <c r="H157" s="35">
        <f t="shared" ref="H157:H162" si="128">A684</f>
        <v>0</v>
      </c>
      <c r="J157" s="34">
        <f t="shared" ref="J157:J163" si="129">MAX(D157:H157)</f>
        <v>0</v>
      </c>
      <c r="L157" s="34" t="str">
        <f>HLOOKUP(J157,D157:$H$166,N3,FALSE)</f>
        <v>OptOpt_EB</v>
      </c>
    </row>
    <row r="158" spans="1:12" x14ac:dyDescent="0.25">
      <c r="A158" s="34">
        <v>0.5</v>
      </c>
      <c r="C158" s="36" t="str">
        <f t="shared" si="123"/>
        <v>(2, 0)</v>
      </c>
      <c r="D158" s="35">
        <f t="shared" si="124"/>
        <v>0</v>
      </c>
      <c r="E158" s="35">
        <f t="shared" si="125"/>
        <v>0</v>
      </c>
      <c r="F158" s="35">
        <f t="shared" si="126"/>
        <v>0</v>
      </c>
      <c r="G158" s="35">
        <f t="shared" si="127"/>
        <v>0</v>
      </c>
      <c r="H158" s="35">
        <f t="shared" si="128"/>
        <v>0</v>
      </c>
      <c r="J158" s="34">
        <f t="shared" si="129"/>
        <v>0</v>
      </c>
      <c r="L158" s="34" t="str">
        <f>HLOOKUP(J158,D158:$H$166,N4,FALSE)</f>
        <v>OptOpt_EB</v>
      </c>
    </row>
    <row r="159" spans="1:12" x14ac:dyDescent="0.25">
      <c r="A159" s="34">
        <v>507048</v>
      </c>
      <c r="C159" s="36" t="str">
        <f t="shared" si="123"/>
        <v>(2, 1)</v>
      </c>
      <c r="D159" s="35">
        <f t="shared" si="124"/>
        <v>0</v>
      </c>
      <c r="E159" s="35">
        <f t="shared" si="125"/>
        <v>0</v>
      </c>
      <c r="F159" s="35">
        <f t="shared" si="126"/>
        <v>0</v>
      </c>
      <c r="G159" s="35">
        <f t="shared" si="127"/>
        <v>0</v>
      </c>
      <c r="H159" s="35">
        <f t="shared" si="128"/>
        <v>0</v>
      </c>
      <c r="J159" s="34">
        <f t="shared" si="129"/>
        <v>0</v>
      </c>
      <c r="L159" s="34" t="str">
        <f>HLOOKUP(J159,D159:$H$166,N5,FALSE)</f>
        <v>OptOpt_EB</v>
      </c>
    </row>
    <row r="160" spans="1:12" x14ac:dyDescent="0.25">
      <c r="A160" s="34">
        <v>506903</v>
      </c>
      <c r="C160" s="36" t="str">
        <f t="shared" si="123"/>
        <v>(1, 0)</v>
      </c>
      <c r="D160" s="35">
        <f t="shared" si="124"/>
        <v>0</v>
      </c>
      <c r="E160" s="35">
        <f t="shared" si="125"/>
        <v>0</v>
      </c>
      <c r="F160" s="35">
        <f t="shared" si="126"/>
        <v>0</v>
      </c>
      <c r="G160" s="35">
        <f t="shared" si="127"/>
        <v>0</v>
      </c>
      <c r="H160" s="35">
        <f t="shared" si="128"/>
        <v>0</v>
      </c>
      <c r="J160" s="34">
        <f t="shared" si="129"/>
        <v>0</v>
      </c>
      <c r="L160" s="34" t="str">
        <f>HLOOKUP(J160,D160:$H$166,N6,FALSE)</f>
        <v>OptOpt_EB</v>
      </c>
    </row>
    <row r="161" spans="1:12" x14ac:dyDescent="0.25">
      <c r="A161" s="34">
        <v>40000</v>
      </c>
      <c r="C161" s="36" t="str">
        <f t="shared" si="123"/>
        <v>(1, 1)</v>
      </c>
      <c r="D161" s="35">
        <f t="shared" si="124"/>
        <v>0</v>
      </c>
      <c r="E161" s="35">
        <f t="shared" si="125"/>
        <v>0</v>
      </c>
      <c r="F161" s="35">
        <f t="shared" si="126"/>
        <v>0</v>
      </c>
      <c r="G161" s="35">
        <f t="shared" si="127"/>
        <v>0</v>
      </c>
      <c r="H161" s="35">
        <f t="shared" si="128"/>
        <v>0</v>
      </c>
      <c r="J161" s="34">
        <f t="shared" si="129"/>
        <v>0</v>
      </c>
      <c r="L161" s="34" t="str">
        <f>HLOOKUP(J161,D161:$H$166,N7,FALSE)</f>
        <v>OptOpt_EB</v>
      </c>
    </row>
    <row r="162" spans="1:12" x14ac:dyDescent="0.25">
      <c r="A162" s="34">
        <v>40000</v>
      </c>
      <c r="C162" s="36" t="str">
        <f t="shared" si="123"/>
        <v>Inspector</v>
      </c>
      <c r="D162" s="35">
        <f t="shared" si="124"/>
        <v>0</v>
      </c>
      <c r="E162" s="35">
        <f t="shared" si="125"/>
        <v>0</v>
      </c>
      <c r="F162" s="35">
        <f t="shared" si="126"/>
        <v>0</v>
      </c>
      <c r="G162" s="35">
        <f t="shared" si="127"/>
        <v>0</v>
      </c>
      <c r="H162" s="35">
        <f t="shared" si="128"/>
        <v>0</v>
      </c>
      <c r="J162" s="34">
        <f t="shared" si="129"/>
        <v>0</v>
      </c>
      <c r="L162" s="34" t="str">
        <f>HLOOKUP(J162,D162:$H$166,N8,FALSE)</f>
        <v>OptOpt_EB</v>
      </c>
    </row>
    <row r="163" spans="1:12" x14ac:dyDescent="0.25">
      <c r="A163" s="34">
        <v>40000</v>
      </c>
      <c r="C163" s="36" t="str">
        <f>C152</f>
        <v>State</v>
      </c>
      <c r="D163" s="35">
        <f>A654</f>
        <v>0</v>
      </c>
      <c r="E163" s="35">
        <f>A663</f>
        <v>0</v>
      </c>
      <c r="F163" s="35">
        <f>A672</f>
        <v>0</v>
      </c>
      <c r="G163" s="35">
        <f>A681</f>
        <v>0</v>
      </c>
      <c r="H163" s="35">
        <f>A690</f>
        <v>0</v>
      </c>
      <c r="J163" s="34">
        <f t="shared" si="129"/>
        <v>0</v>
      </c>
      <c r="L163" s="34" t="str">
        <f>HLOOKUP(J163,D163:$H$166,N9,FALSE)</f>
        <v>OptOpt_EB</v>
      </c>
    </row>
    <row r="164" spans="1:12" x14ac:dyDescent="0.25">
      <c r="A164" s="34">
        <v>40000</v>
      </c>
      <c r="C164" s="36" t="str">
        <f t="shared" si="123"/>
        <v>LoC</v>
      </c>
      <c r="D164" s="35">
        <f t="shared" ref="D164" si="130">A655</f>
        <v>0</v>
      </c>
      <c r="E164" s="35">
        <f t="shared" ref="E164" si="131">A664</f>
        <v>0</v>
      </c>
      <c r="F164" s="35">
        <f t="shared" ref="F164" si="132">A673</f>
        <v>0</v>
      </c>
      <c r="G164" s="35">
        <f t="shared" ref="G164" si="133">A682</f>
        <v>0</v>
      </c>
      <c r="H164" s="35">
        <f t="shared" ref="H164" si="134">A691</f>
        <v>0</v>
      </c>
    </row>
    <row r="165" spans="1:12" x14ac:dyDescent="0.25">
      <c r="A165" s="34">
        <v>183354.94500000001</v>
      </c>
    </row>
    <row r="166" spans="1:12" x14ac:dyDescent="0.25">
      <c r="A166" s="34">
        <v>1590000</v>
      </c>
      <c r="D166" s="34" t="str">
        <f>D155</f>
        <v>OptOpt_EB</v>
      </c>
      <c r="E166" s="34" t="str">
        <f t="shared" ref="E166:H166" si="135">E155</f>
        <v>OptOpt_BB</v>
      </c>
      <c r="F166" s="34" t="str">
        <f t="shared" si="135"/>
        <v>NoneOpt_NBB</v>
      </c>
      <c r="G166" s="34" t="str">
        <f t="shared" si="135"/>
        <v>OptNone_BNB</v>
      </c>
      <c r="H166" s="34" t="str">
        <f t="shared" si="135"/>
        <v>NoneNone_NBNB</v>
      </c>
    </row>
    <row r="167" spans="1:12" x14ac:dyDescent="0.25">
      <c r="A167" s="34">
        <v>0.33333333333333298</v>
      </c>
    </row>
    <row r="168" spans="1:12" x14ac:dyDescent="0.25">
      <c r="A168" s="34">
        <v>90000</v>
      </c>
    </row>
    <row r="169" spans="1:12" x14ac:dyDescent="0.25">
      <c r="A169" s="34">
        <v>90000</v>
      </c>
    </row>
    <row r="170" spans="1:12" x14ac:dyDescent="0.25">
      <c r="A170" s="34">
        <v>63384.745000000003</v>
      </c>
    </row>
    <row r="171" spans="1:12" x14ac:dyDescent="0.25">
      <c r="A171" s="34">
        <v>63598.805</v>
      </c>
    </row>
    <row r="172" spans="1:12" x14ac:dyDescent="0.25">
      <c r="A172" s="34">
        <v>-21397.61</v>
      </c>
    </row>
    <row r="173" spans="1:12" x14ac:dyDescent="0.25">
      <c r="A173" s="34">
        <v>-19831.080000000002</v>
      </c>
    </row>
    <row r="174" spans="1:12" x14ac:dyDescent="0.25">
      <c r="A174" s="34">
        <v>87705.4</v>
      </c>
    </row>
    <row r="175" spans="1:12" x14ac:dyDescent="0.25">
      <c r="A175" s="34">
        <v>2644179.02</v>
      </c>
    </row>
    <row r="176" spans="1:12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263</v>
      </c>
    </row>
    <row r="187" spans="1:1" x14ac:dyDescent="0.25">
      <c r="A187" s="34">
        <v>-6156840.9526749998</v>
      </c>
    </row>
    <row r="188" spans="1:1" x14ac:dyDescent="0.25">
      <c r="A188" s="34">
        <v>-4862131.480366</v>
      </c>
    </row>
    <row r="189" spans="1:1" x14ac:dyDescent="0.25">
      <c r="A189" s="34">
        <v>151805.6384</v>
      </c>
    </row>
    <row r="190" spans="1:1" x14ac:dyDescent="0.25">
      <c r="A190" s="34">
        <v>151770.78880000001</v>
      </c>
    </row>
    <row r="191" spans="1:1" x14ac:dyDescent="0.25">
      <c r="A191" s="34">
        <v>155775.46239999999</v>
      </c>
    </row>
    <row r="192" spans="1:1" x14ac:dyDescent="0.25">
      <c r="A192" s="34">
        <v>155853.68460000001</v>
      </c>
    </row>
    <row r="193" spans="1:1" x14ac:dyDescent="0.25">
      <c r="A193" s="34">
        <v>288873.35499999998</v>
      </c>
    </row>
    <row r="194" spans="1:1" x14ac:dyDescent="0.25">
      <c r="A194" s="34">
        <v>13092025.168841001</v>
      </c>
    </row>
    <row r="195" spans="1:1" x14ac:dyDescent="0.25">
      <c r="A195" s="34">
        <v>0.5</v>
      </c>
    </row>
    <row r="196" spans="1:1" x14ac:dyDescent="0.25">
      <c r="A196" s="34">
        <v>-1915160.9869540001</v>
      </c>
    </row>
    <row r="197" spans="1:1" x14ac:dyDescent="0.25">
      <c r="A197" s="34">
        <v>-1938495.3566950001</v>
      </c>
    </row>
    <row r="198" spans="1:1" x14ac:dyDescent="0.25">
      <c r="A198" s="34">
        <v>147643</v>
      </c>
    </row>
    <row r="199" spans="1:1" x14ac:dyDescent="0.25">
      <c r="A199" s="34">
        <v>147601.75</v>
      </c>
    </row>
    <row r="200" spans="1:1" x14ac:dyDescent="0.25">
      <c r="A200" s="34">
        <v>152810.5</v>
      </c>
    </row>
    <row r="201" spans="1:1" x14ac:dyDescent="0.25">
      <c r="A201" s="34">
        <v>152846</v>
      </c>
    </row>
    <row r="202" spans="1:1" x14ac:dyDescent="0.25">
      <c r="A202" s="34">
        <v>181134.86778999999</v>
      </c>
    </row>
    <row r="203" spans="1:1" x14ac:dyDescent="0.25">
      <c r="A203" s="34">
        <v>6040496.8436489999</v>
      </c>
    </row>
    <row r="204" spans="1:1" x14ac:dyDescent="0.25">
      <c r="A204" s="34">
        <v>0.5</v>
      </c>
    </row>
    <row r="205" spans="1:1" x14ac:dyDescent="0.25">
      <c r="A205" s="34">
        <v>-1924301.0383959999</v>
      </c>
    </row>
    <row r="206" spans="1:1" x14ac:dyDescent="0.25">
      <c r="A206" s="34">
        <v>-1933683.210406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142040.89000000001</v>
      </c>
    </row>
    <row r="212" spans="1:1" x14ac:dyDescent="0.25">
      <c r="A212" s="34">
        <v>6544753.2488019997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159769.75</v>
      </c>
    </row>
    <row r="217" spans="1:1" x14ac:dyDescent="0.25">
      <c r="A217" s="34">
        <v>159784.25</v>
      </c>
    </row>
    <row r="218" spans="1:1" x14ac:dyDescent="0.25">
      <c r="A218" s="34">
        <v>155459.5</v>
      </c>
    </row>
    <row r="219" spans="1:1" x14ac:dyDescent="0.25">
      <c r="A219" s="34">
        <v>155376.75</v>
      </c>
    </row>
    <row r="220" spans="1:1" x14ac:dyDescent="0.25">
      <c r="A220" s="34">
        <v>87766.086878000002</v>
      </c>
    </row>
    <row r="221" spans="1:1" x14ac:dyDescent="0.25">
      <c r="A221" s="34">
        <v>2090000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264</v>
      </c>
    </row>
    <row r="233" spans="1:1" x14ac:dyDescent="0.25">
      <c r="A233" s="34">
        <v>-7381851.4986899998</v>
      </c>
    </row>
    <row r="234" spans="1:1" x14ac:dyDescent="0.25">
      <c r="A234" s="34">
        <v>-4990368.8494579997</v>
      </c>
    </row>
    <row r="235" spans="1:1" x14ac:dyDescent="0.25">
      <c r="A235" s="34">
        <v>151812.26740000001</v>
      </c>
    </row>
    <row r="236" spans="1:1" x14ac:dyDescent="0.25">
      <c r="A236" s="34">
        <v>151855.26120000001</v>
      </c>
    </row>
    <row r="237" spans="1:1" x14ac:dyDescent="0.25">
      <c r="A237" s="34">
        <v>155804.4406</v>
      </c>
    </row>
    <row r="238" spans="1:1" x14ac:dyDescent="0.25">
      <c r="A238" s="34">
        <v>155824.8958</v>
      </c>
    </row>
    <row r="239" spans="1:1" x14ac:dyDescent="0.25">
      <c r="A239" s="34">
        <v>288461.50259799999</v>
      </c>
    </row>
    <row r="240" spans="1:1" x14ac:dyDescent="0.25">
      <c r="A240" s="34">
        <v>14404062.15055</v>
      </c>
    </row>
    <row r="241" spans="1:1" x14ac:dyDescent="0.25">
      <c r="A241" s="34">
        <v>0.5</v>
      </c>
    </row>
    <row r="242" spans="1:1" x14ac:dyDescent="0.25">
      <c r="A242" s="34">
        <v>527761.08403000003</v>
      </c>
    </row>
    <row r="243" spans="1:1" x14ac:dyDescent="0.25">
      <c r="A243" s="34">
        <v>527617.08364600001</v>
      </c>
    </row>
    <row r="244" spans="1:1" x14ac:dyDescent="0.25">
      <c r="A244" s="34">
        <v>147573.75</v>
      </c>
    </row>
    <row r="245" spans="1:1" x14ac:dyDescent="0.25">
      <c r="A245" s="34">
        <v>147548</v>
      </c>
    </row>
    <row r="246" spans="1:1" x14ac:dyDescent="0.25">
      <c r="A246" s="34">
        <v>152892.5</v>
      </c>
    </row>
    <row r="247" spans="1:1" x14ac:dyDescent="0.25">
      <c r="A247" s="34">
        <v>152859.5</v>
      </c>
    </row>
    <row r="248" spans="1:1" x14ac:dyDescent="0.25">
      <c r="A248" s="34">
        <v>181080.265334</v>
      </c>
    </row>
    <row r="249" spans="1:1" x14ac:dyDescent="0.25">
      <c r="A249" s="34">
        <v>1090000</v>
      </c>
    </row>
    <row r="250" spans="1:1" x14ac:dyDescent="0.25">
      <c r="A250" s="34">
        <v>0.5</v>
      </c>
    </row>
    <row r="251" spans="1:1" x14ac:dyDescent="0.25">
      <c r="A251" s="34">
        <v>527581.08354999998</v>
      </c>
    </row>
    <row r="252" spans="1:1" x14ac:dyDescent="0.25">
      <c r="A252" s="34">
        <v>527287.83276799996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142209.028682</v>
      </c>
    </row>
    <row r="258" spans="1:1" x14ac:dyDescent="0.25">
      <c r="A258" s="34">
        <v>1590000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159748</v>
      </c>
    </row>
    <row r="263" spans="1:1" x14ac:dyDescent="0.25">
      <c r="A263" s="34">
        <v>159740.75</v>
      </c>
    </row>
    <row r="264" spans="1:1" x14ac:dyDescent="0.25">
      <c r="A264" s="34">
        <v>155542</v>
      </c>
    </row>
    <row r="265" spans="1:1" x14ac:dyDescent="0.25">
      <c r="A265" s="34">
        <v>155466.25</v>
      </c>
    </row>
    <row r="266" spans="1:1" x14ac:dyDescent="0.25">
      <c r="A266" s="34">
        <v>87702.036024000001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80" t="s">
        <v>265</v>
      </c>
    </row>
    <row r="279" spans="1:1" x14ac:dyDescent="0.25">
      <c r="A279" s="34">
        <v>-8630275.8388240002</v>
      </c>
    </row>
    <row r="280" spans="1:1" x14ac:dyDescent="0.25">
      <c r="A280" s="34">
        <v>-5875857.3551580003</v>
      </c>
    </row>
    <row r="281" spans="1:1" x14ac:dyDescent="0.25">
      <c r="A281" s="34">
        <v>151825.71479999999</v>
      </c>
    </row>
    <row r="282" spans="1:1" x14ac:dyDescent="0.25">
      <c r="A282" s="34">
        <v>151830.2604</v>
      </c>
    </row>
    <row r="283" spans="1:1" x14ac:dyDescent="0.25">
      <c r="A283" s="34">
        <v>155793.64480000001</v>
      </c>
    </row>
    <row r="284" spans="1:1" x14ac:dyDescent="0.25">
      <c r="A284" s="34">
        <v>155795.16</v>
      </c>
    </row>
    <row r="285" spans="1:1" x14ac:dyDescent="0.25">
      <c r="A285" s="34">
        <v>309637.22668199998</v>
      </c>
    </row>
    <row r="286" spans="1:1" x14ac:dyDescent="0.25">
      <c r="A286" s="34">
        <v>16516720.497300001</v>
      </c>
    </row>
    <row r="287" spans="1:1" x14ac:dyDescent="0.25">
      <c r="A287" s="34">
        <v>0.5</v>
      </c>
    </row>
    <row r="288" spans="1:1" x14ac:dyDescent="0.25">
      <c r="A288" s="34">
        <v>516794.79133699997</v>
      </c>
    </row>
    <row r="289" spans="1:1" x14ac:dyDescent="0.25">
      <c r="A289" s="34">
        <v>517053.79163300002</v>
      </c>
    </row>
    <row r="290" spans="1:1" x14ac:dyDescent="0.25">
      <c r="A290" s="34">
        <v>147563.75</v>
      </c>
    </row>
    <row r="291" spans="1:1" x14ac:dyDescent="0.25">
      <c r="A291" s="34">
        <v>147691.75</v>
      </c>
    </row>
    <row r="292" spans="1:1" x14ac:dyDescent="0.25">
      <c r="A292" s="34">
        <v>152826.25</v>
      </c>
    </row>
    <row r="293" spans="1:1" x14ac:dyDescent="0.25">
      <c r="A293" s="34">
        <v>152907.25</v>
      </c>
    </row>
    <row r="294" spans="1:1" x14ac:dyDescent="0.25">
      <c r="A294" s="34">
        <v>202284.63911799999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517206.91680800001</v>
      </c>
    </row>
    <row r="298" spans="1:1" x14ac:dyDescent="0.25">
      <c r="A298" s="34">
        <v>517406.417036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162653.68615600001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159829.25</v>
      </c>
    </row>
    <row r="309" spans="1:1" x14ac:dyDescent="0.25">
      <c r="A309" s="34">
        <v>159781.25</v>
      </c>
    </row>
    <row r="310" spans="1:1" x14ac:dyDescent="0.25">
      <c r="A310" s="34">
        <v>155335</v>
      </c>
    </row>
    <row r="311" spans="1:1" x14ac:dyDescent="0.25">
      <c r="A311" s="34">
        <v>155408.5</v>
      </c>
    </row>
    <row r="312" spans="1:1" x14ac:dyDescent="0.25">
      <c r="A312" s="34">
        <v>87787.837167999998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80" t="s">
        <v>266</v>
      </c>
    </row>
    <row r="325" spans="1:1" x14ac:dyDescent="0.25">
      <c r="A325" s="34">
        <v>367255</v>
      </c>
    </row>
    <row r="326" spans="1:1" x14ac:dyDescent="0.25">
      <c r="A326" s="34">
        <v>409408</v>
      </c>
    </row>
    <row r="327" spans="1:1" x14ac:dyDescent="0.25">
      <c r="A327" s="34">
        <v>165000</v>
      </c>
    </row>
    <row r="328" spans="1:1" x14ac:dyDescent="0.25">
      <c r="A328" s="34">
        <v>165000</v>
      </c>
    </row>
    <row r="329" spans="1:1" x14ac:dyDescent="0.25">
      <c r="A329" s="34">
        <v>165000</v>
      </c>
    </row>
    <row r="330" spans="1:1" x14ac:dyDescent="0.25">
      <c r="A330" s="34">
        <v>165000</v>
      </c>
    </row>
    <row r="331" spans="1:1" x14ac:dyDescent="0.25">
      <c r="A331" s="34">
        <v>330702.05802</v>
      </c>
    </row>
    <row r="332" spans="1:1" x14ac:dyDescent="0.25">
      <c r="A332" s="34">
        <v>1090000</v>
      </c>
    </row>
    <row r="333" spans="1:1" x14ac:dyDescent="0.25">
      <c r="A333" s="34">
        <v>0.5</v>
      </c>
    </row>
    <row r="334" spans="1:1" x14ac:dyDescent="0.25">
      <c r="A334" s="34">
        <v>506929</v>
      </c>
    </row>
    <row r="335" spans="1:1" x14ac:dyDescent="0.25">
      <c r="A335" s="34">
        <v>506717</v>
      </c>
    </row>
    <row r="336" spans="1:1" x14ac:dyDescent="0.25">
      <c r="A336" s="34">
        <v>147630</v>
      </c>
    </row>
    <row r="337" spans="1:1" x14ac:dyDescent="0.25">
      <c r="A337" s="34">
        <v>147594.75</v>
      </c>
    </row>
    <row r="338" spans="1:1" x14ac:dyDescent="0.25">
      <c r="A338" s="34">
        <v>152878.75</v>
      </c>
    </row>
    <row r="339" spans="1:1" x14ac:dyDescent="0.25">
      <c r="A339" s="34">
        <v>152852</v>
      </c>
    </row>
    <row r="340" spans="1:1" x14ac:dyDescent="0.25">
      <c r="A340" s="34">
        <v>222706.742356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506708</v>
      </c>
    </row>
    <row r="344" spans="1:1" x14ac:dyDescent="0.25">
      <c r="A344" s="34">
        <v>506331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184009.405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159787.5</v>
      </c>
    </row>
    <row r="355" spans="1:1" x14ac:dyDescent="0.25">
      <c r="A355" s="34">
        <v>159792.5</v>
      </c>
    </row>
    <row r="356" spans="1:1" x14ac:dyDescent="0.25">
      <c r="A356" s="34">
        <v>155452</v>
      </c>
    </row>
    <row r="357" spans="1:1" x14ac:dyDescent="0.25">
      <c r="A357" s="34">
        <v>155365</v>
      </c>
    </row>
    <row r="358" spans="1:1" x14ac:dyDescent="0.25">
      <c r="A358" s="34">
        <v>87762.036823999995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1" spans="1:1" x14ac:dyDescent="0.25">
      <c r="A371" s="34" t="s">
        <v>28</v>
      </c>
    </row>
    <row r="463" spans="1:1" x14ac:dyDescent="0.25">
      <c r="A463" s="34" t="s">
        <v>28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H10" sqref="A1:H10"/>
    </sheetView>
  </sheetViews>
  <sheetFormatPr defaultRowHeight="15" x14ac:dyDescent="0.25"/>
  <cols>
    <col min="1" max="1" width="10" bestFit="1" customWidth="1"/>
    <col min="2" max="4" width="10.42578125" bestFit="1" customWidth="1"/>
    <col min="11" max="11" width="10.7109375" customWidth="1"/>
    <col min="12" max="12" width="14.85546875" bestFit="1" customWidth="1"/>
    <col min="13" max="15" width="12" bestFit="1" customWidth="1"/>
  </cols>
  <sheetData>
    <row r="1" spans="1:17" x14ac:dyDescent="0.25">
      <c r="A1" s="36" t="s">
        <v>29</v>
      </c>
      <c r="B1" s="36" t="s">
        <v>101</v>
      </c>
      <c r="C1" s="36" t="s">
        <v>182</v>
      </c>
      <c r="D1" s="36" t="s">
        <v>181</v>
      </c>
      <c r="E1" s="42"/>
      <c r="F1" s="3" t="s">
        <v>276</v>
      </c>
      <c r="G1" s="3" t="s">
        <v>277</v>
      </c>
      <c r="H1" s="3" t="s">
        <v>278</v>
      </c>
      <c r="L1" s="10" t="s">
        <v>114</v>
      </c>
      <c r="M1" s="36" t="s">
        <v>101</v>
      </c>
      <c r="N1" s="36" t="s">
        <v>182</v>
      </c>
      <c r="O1" s="36" t="s">
        <v>181</v>
      </c>
      <c r="P1" s="36"/>
      <c r="Q1" s="36"/>
    </row>
    <row r="2" spans="1:17" x14ac:dyDescent="0.25">
      <c r="A2" s="36" t="s">
        <v>44</v>
      </c>
      <c r="B2" s="35">
        <f>def_a!AL23</f>
        <v>233336.68766580004</v>
      </c>
      <c r="C2" s="35">
        <f>'z1'!AE23</f>
        <v>159432.375</v>
      </c>
      <c r="D2" s="35">
        <f>'z3'!AE23</f>
        <v>159307.125</v>
      </c>
      <c r="E2" s="44"/>
      <c r="F2" s="17">
        <f>-(B2-C2)/B2</f>
        <v>-0.31672821537456036</v>
      </c>
      <c r="G2" s="17">
        <f>-(B2-D2)/B2</f>
        <v>-0.31726499337228098</v>
      </c>
      <c r="H2" s="17">
        <f>-(C2-D2)/C2</f>
        <v>-7.8559953710781764E-4</v>
      </c>
      <c r="J2">
        <v>90000</v>
      </c>
      <c r="L2" s="6">
        <v>3</v>
      </c>
      <c r="M2" s="6">
        <f>AVERAGE(B2:B3)-90000</f>
        <v>145514.02362990001</v>
      </c>
      <c r="N2" s="6">
        <f>AVERAGE(C2:C3)-90000</f>
        <v>74644.6875</v>
      </c>
      <c r="O2" s="6">
        <f>AVERAGE(D2:D3)-90000</f>
        <v>74585.6875</v>
      </c>
      <c r="P2" s="6"/>
      <c r="Q2" s="6"/>
    </row>
    <row r="3" spans="1:17" x14ac:dyDescent="0.25">
      <c r="A3" s="36" t="s">
        <v>45</v>
      </c>
      <c r="B3" s="35">
        <f>def_a!AL24</f>
        <v>237691.35959400001</v>
      </c>
      <c r="C3" s="35">
        <f>'z1'!AE24</f>
        <v>169857</v>
      </c>
      <c r="D3" s="35">
        <f>'z3'!AE24</f>
        <v>169864.25</v>
      </c>
      <c r="E3" s="44"/>
      <c r="F3" s="17">
        <f t="shared" ref="F3:F10" si="0">-(B3-C3)/B3</f>
        <v>-0.28538841171958335</v>
      </c>
      <c r="G3" s="17">
        <f t="shared" ref="G3:G9" si="1">-(B3-D3)/B3</f>
        <v>-0.28535790997979615</v>
      </c>
      <c r="H3" s="17">
        <f t="shared" ref="H3:H9" si="2">-(C3-D3)/C3</f>
        <v>4.2682962727470757E-5</v>
      </c>
      <c r="J3">
        <v>40000</v>
      </c>
      <c r="L3" s="6">
        <v>2</v>
      </c>
      <c r="M3" s="6">
        <f>AVERAGE(B4:B5)-40000</f>
        <v>109291.28929709998</v>
      </c>
      <c r="N3" s="6">
        <f>AVERAGE(C4:C5)-40000</f>
        <v>76491.315691249998</v>
      </c>
      <c r="O3" s="6">
        <f>AVERAGE(D4:D5)-40000</f>
        <v>76165.828125</v>
      </c>
      <c r="P3" s="6"/>
      <c r="Q3" s="6"/>
    </row>
    <row r="4" spans="1:17" x14ac:dyDescent="0.25">
      <c r="A4" s="36" t="s">
        <v>0</v>
      </c>
      <c r="B4" s="35">
        <f>def_a!AL25</f>
        <v>149345.65062006668</v>
      </c>
      <c r="C4" s="35">
        <f>'z1'!AE25</f>
        <v>116485.56688649999</v>
      </c>
      <c r="D4" s="35">
        <f>'z3'!AE25</f>
        <v>116168.375</v>
      </c>
      <c r="E4" s="44"/>
      <c r="F4" s="17">
        <f t="shared" si="0"/>
        <v>-0.22002705533864053</v>
      </c>
      <c r="G4" s="17">
        <f t="shared" si="1"/>
        <v>-0.22215093296870908</v>
      </c>
      <c r="H4" s="17">
        <f t="shared" si="2"/>
        <v>-2.7230144899329199E-3</v>
      </c>
      <c r="J4">
        <v>70000</v>
      </c>
      <c r="L4" s="6">
        <v>1</v>
      </c>
      <c r="M4" s="6">
        <f>AVERAGE(B6:B7)-40000</f>
        <v>96175.799115499976</v>
      </c>
      <c r="N4" s="6">
        <f>AVERAGE(C6:C7)-40000</f>
        <v>75116.957602250011</v>
      </c>
      <c r="O4" s="6">
        <f>AVERAGE(D6:D7)-40000</f>
        <v>74536.75</v>
      </c>
      <c r="P4" s="6"/>
      <c r="Q4" s="6"/>
    </row>
    <row r="5" spans="1:17" x14ac:dyDescent="0.25">
      <c r="A5" s="36" t="s">
        <v>1</v>
      </c>
      <c r="B5" s="35">
        <f>def_a!AL26</f>
        <v>149236.92797413332</v>
      </c>
      <c r="C5" s="35">
        <f>'z1'!AE26</f>
        <v>116497.06449600001</v>
      </c>
      <c r="D5" s="35">
        <f>'z3'!AE26</f>
        <v>116163.28125</v>
      </c>
      <c r="E5" s="44"/>
      <c r="F5" s="17">
        <f t="shared" si="0"/>
        <v>-0.2193817838692578</v>
      </c>
      <c r="G5" s="17">
        <f t="shared" si="1"/>
        <v>-0.22161838341959067</v>
      </c>
      <c r="H5" s="17">
        <f t="shared" si="2"/>
        <v>-2.8651644352074381E-3</v>
      </c>
      <c r="L5" s="56" t="s">
        <v>113</v>
      </c>
      <c r="M5" s="6">
        <f>B8-70000</f>
        <v>36663.687094933324</v>
      </c>
      <c r="N5" s="6">
        <f>C8-70000</f>
        <v>70989.220459250006</v>
      </c>
      <c r="O5" s="6">
        <f>D8-70000</f>
        <v>71822.144016749982</v>
      </c>
      <c r="P5" s="6"/>
      <c r="Q5" s="6"/>
    </row>
    <row r="6" spans="1:17" x14ac:dyDescent="0.25">
      <c r="A6" s="36" t="s">
        <v>2</v>
      </c>
      <c r="B6" s="35">
        <f>def_a!AL27</f>
        <v>136252.4627501333</v>
      </c>
      <c r="C6" s="35">
        <f>'z1'!AE27</f>
        <v>115106.61500375</v>
      </c>
      <c r="D6" s="35">
        <f>'z3'!AE27</f>
        <v>114542.0625</v>
      </c>
      <c r="E6" s="44"/>
      <c r="F6" s="17">
        <f t="shared" si="0"/>
        <v>-0.15519607733741758</v>
      </c>
      <c r="G6" s="17">
        <f t="shared" si="1"/>
        <v>-0.15933950705864994</v>
      </c>
      <c r="H6" s="17">
        <f t="shared" si="2"/>
        <v>-4.9046052108439849E-3</v>
      </c>
    </row>
    <row r="7" spans="1:17" x14ac:dyDescent="0.25">
      <c r="A7" s="36" t="s">
        <v>3</v>
      </c>
      <c r="B7" s="35">
        <f>def_a!AL28</f>
        <v>136099.13548086665</v>
      </c>
      <c r="C7" s="35">
        <f>'z1'!AE28</f>
        <v>115127.30020075</v>
      </c>
      <c r="D7" s="35">
        <f>'z3'!AE28</f>
        <v>114531.4375</v>
      </c>
      <c r="E7" s="44"/>
      <c r="F7" s="17">
        <f t="shared" si="0"/>
        <v>-0.15409234750844505</v>
      </c>
      <c r="G7" s="17">
        <f t="shared" si="1"/>
        <v>-0.15847049949776296</v>
      </c>
      <c r="H7" s="17">
        <f t="shared" si="2"/>
        <v>-5.1756855212532968E-3</v>
      </c>
    </row>
    <row r="8" spans="1:17" x14ac:dyDescent="0.25">
      <c r="A8" s="36" t="s">
        <v>6</v>
      </c>
      <c r="B8" s="35">
        <f>def_a!AL29</f>
        <v>106663.68709493332</v>
      </c>
      <c r="C8" s="35">
        <f>'z1'!AE29</f>
        <v>140989.22045925001</v>
      </c>
      <c r="D8" s="35">
        <f>'z3'!AE29</f>
        <v>141822.14401674998</v>
      </c>
      <c r="E8" s="44"/>
      <c r="F8" s="17">
        <f t="shared" si="0"/>
        <v>0.32181086458942776</v>
      </c>
      <c r="G8" s="17">
        <f t="shared" si="1"/>
        <v>0.32961974107012409</v>
      </c>
      <c r="H8" s="17">
        <f t="shared" si="2"/>
        <v>5.9077109213517198E-3</v>
      </c>
    </row>
    <row r="9" spans="1:17" x14ac:dyDescent="0.25">
      <c r="A9" s="37" t="s">
        <v>23</v>
      </c>
      <c r="B9" s="35">
        <f>def_a!AL30</f>
        <v>1837902.4701534</v>
      </c>
      <c r="C9" s="35">
        <f>'z1'!AE30</f>
        <v>2027500</v>
      </c>
      <c r="D9" s="35">
        <f>'z3'!AE30</f>
        <v>2027500</v>
      </c>
      <c r="E9" s="44"/>
      <c r="F9" s="17">
        <f t="shared" si="0"/>
        <v>0.1031597339497429</v>
      </c>
      <c r="G9" s="17">
        <f t="shared" si="1"/>
        <v>0.1031597339497429</v>
      </c>
      <c r="H9" s="17">
        <f t="shared" si="2"/>
        <v>0</v>
      </c>
    </row>
    <row r="10" spans="1:17" x14ac:dyDescent="0.25">
      <c r="A10" s="37" t="s">
        <v>24</v>
      </c>
      <c r="B10" s="35">
        <f>def_a!AL31</f>
        <v>0.2777777777777774</v>
      </c>
      <c r="C10" s="35">
        <f>'z1'!AE31</f>
        <v>0.18749999999999972</v>
      </c>
      <c r="D10" s="35">
        <f>'z3'!AE31</f>
        <v>0.18749999999999972</v>
      </c>
      <c r="E10" s="44"/>
      <c r="F10" s="17">
        <f t="shared" si="0"/>
        <v>-0.32500000000000007</v>
      </c>
      <c r="G10" s="17">
        <f>-(B10-D10)/B10</f>
        <v>-0.32500000000000007</v>
      </c>
      <c r="H10" s="17">
        <f>-(C10-D10)/C10</f>
        <v>0</v>
      </c>
    </row>
    <row r="12" spans="1:17" x14ac:dyDescent="0.25">
      <c r="A12" s="83" t="str">
        <f>A1</f>
        <v>AVG</v>
      </c>
      <c r="B12" s="83" t="str">
        <f t="shared" ref="B12:E12" si="3">B1</f>
        <v>def</v>
      </c>
      <c r="C12" s="83" t="str">
        <f t="shared" si="3"/>
        <v>z1</v>
      </c>
      <c r="D12" s="83" t="str">
        <f t="shared" si="3"/>
        <v>z3</v>
      </c>
      <c r="E12" s="83"/>
      <c r="F12" s="83" t="str">
        <f>F1</f>
        <v>def-&gt;z1</v>
      </c>
      <c r="G12" s="83" t="str">
        <f t="shared" ref="G12:H12" si="4">G1</f>
        <v>def-&gt;z3</v>
      </c>
      <c r="H12" s="83" t="str">
        <f t="shared" si="4"/>
        <v>z1-&gt;z3</v>
      </c>
      <c r="I12" s="84"/>
    </row>
    <row r="13" spans="1:17" x14ac:dyDescent="0.25">
      <c r="A13" s="83" t="str">
        <f>A2</f>
        <v>(3, 0)</v>
      </c>
      <c r="B13" s="115">
        <f>B2-$J$2</f>
        <v>143336.68766580004</v>
      </c>
      <c r="C13" s="115">
        <f t="shared" ref="C13:D14" si="5">C2-$J$2</f>
        <v>69432.375</v>
      </c>
      <c r="D13" s="115">
        <f t="shared" si="5"/>
        <v>69307.125</v>
      </c>
      <c r="E13" s="110"/>
      <c r="F13" s="86">
        <f>-($B13-C13)/$B13</f>
        <v>-0.51559941749256366</v>
      </c>
      <c r="G13" s="86">
        <f>-($B13-D13)/$B13</f>
        <v>-0.516473234252527</v>
      </c>
      <c r="H13" s="17">
        <f>-(C13-D13)/C13</f>
        <v>-1.8039135201698055E-3</v>
      </c>
      <c r="I13" s="88"/>
    </row>
    <row r="14" spans="1:17" x14ac:dyDescent="0.25">
      <c r="A14" s="83" t="str">
        <f>A3</f>
        <v>(3, 1)</v>
      </c>
      <c r="B14" s="115">
        <f>B3-$J$2</f>
        <v>147691.35959400001</v>
      </c>
      <c r="C14" s="115">
        <f t="shared" si="5"/>
        <v>79857</v>
      </c>
      <c r="D14" s="115">
        <f t="shared" si="5"/>
        <v>79864.25</v>
      </c>
      <c r="E14" s="110"/>
      <c r="F14" s="86">
        <f>-($B14-C14)/$B14</f>
        <v>-0.45929809150972017</v>
      </c>
      <c r="G14" s="86">
        <f>-($B14-D14)/$B14</f>
        <v>-0.45924900265293178</v>
      </c>
      <c r="H14" s="17">
        <f t="shared" ref="H14:H19" si="6">-(C14-D14)/C14</f>
        <v>9.0787282267052353E-5</v>
      </c>
      <c r="I14" s="88"/>
    </row>
    <row r="15" spans="1:17" x14ac:dyDescent="0.25">
      <c r="A15" s="83" t="str">
        <f>A4</f>
        <v>(2, 0)</v>
      </c>
      <c r="B15" s="115">
        <f>B4-$J$3</f>
        <v>109345.65062006668</v>
      </c>
      <c r="C15" s="115">
        <f t="shared" ref="C15:D15" si="7">C4-$J$3</f>
        <v>76485.56688649999</v>
      </c>
      <c r="D15" s="115">
        <f t="shared" si="7"/>
        <v>76168.375</v>
      </c>
      <c r="E15" s="110"/>
      <c r="F15" s="86">
        <f>-($B15-C15)/$B15</f>
        <v>-0.30051569081373536</v>
      </c>
      <c r="G15" s="86">
        <f>-($B15-D15)/$B15</f>
        <v>-0.30341650931635789</v>
      </c>
      <c r="H15" s="17">
        <f t="shared" si="6"/>
        <v>-4.1470815921477522E-3</v>
      </c>
      <c r="I15" s="88"/>
    </row>
    <row r="16" spans="1:17" x14ac:dyDescent="0.25">
      <c r="A16" s="83" t="str">
        <f>A5</f>
        <v>(2, 1)</v>
      </c>
      <c r="B16" s="115">
        <f t="shared" ref="B16:D16" si="8">B5-$J$3</f>
        <v>109236.92797413332</v>
      </c>
      <c r="C16" s="115">
        <f t="shared" si="8"/>
        <v>76497.064496000006</v>
      </c>
      <c r="D16" s="115">
        <f t="shared" si="8"/>
        <v>76163.28125</v>
      </c>
      <c r="E16" s="110"/>
      <c r="F16" s="86">
        <f>-($B16-C16)/$B16</f>
        <v>-0.29971424577122785</v>
      </c>
      <c r="G16" s="86">
        <f>-($B16-D16)/$B16</f>
        <v>-0.30276983559959658</v>
      </c>
      <c r="H16" s="17">
        <f t="shared" si="6"/>
        <v>-4.3633471192539644E-3</v>
      </c>
      <c r="I16" s="88"/>
    </row>
    <row r="17" spans="1:10" x14ac:dyDescent="0.25">
      <c r="A17" s="83" t="str">
        <f>A6</f>
        <v>(1, 0)</v>
      </c>
      <c r="B17" s="115">
        <f t="shared" ref="B17:D17" si="9">B6-$J$3</f>
        <v>96252.462750133302</v>
      </c>
      <c r="C17" s="115">
        <f t="shared" si="9"/>
        <v>75106.615003750005</v>
      </c>
      <c r="D17" s="115">
        <f t="shared" si="9"/>
        <v>74542.0625</v>
      </c>
      <c r="E17" s="110"/>
      <c r="F17" s="86">
        <f>-($B17-C17)/$B17</f>
        <v>-0.21969149819342168</v>
      </c>
      <c r="G17" s="86">
        <f>-($B17-D17)/$B17</f>
        <v>-0.22555682867556792</v>
      </c>
      <c r="H17" s="17">
        <f t="shared" si="6"/>
        <v>-7.5166815029783611E-3</v>
      </c>
      <c r="I17" s="88"/>
    </row>
    <row r="18" spans="1:10" x14ac:dyDescent="0.25">
      <c r="A18" s="83" t="str">
        <f>A7</f>
        <v>(1, 1)</v>
      </c>
      <c r="B18" s="115">
        <f t="shared" ref="B18:D18" si="10">B7-$J$3</f>
        <v>96099.135480866651</v>
      </c>
      <c r="C18" s="115">
        <f t="shared" si="10"/>
        <v>75127.300200750004</v>
      </c>
      <c r="D18" s="115">
        <f t="shared" si="10"/>
        <v>74531.4375</v>
      </c>
      <c r="E18" s="110"/>
      <c r="F18" s="86">
        <f>-($B18-C18)/$B18</f>
        <v>-0.21823125853501713</v>
      </c>
      <c r="G18" s="86">
        <f>-($B18-D18)/$B18</f>
        <v>-0.22443175865157269</v>
      </c>
      <c r="H18" s="17">
        <f t="shared" si="6"/>
        <v>-7.9313738036343676E-3</v>
      </c>
      <c r="I18" s="88"/>
    </row>
    <row r="19" spans="1:10" x14ac:dyDescent="0.25">
      <c r="A19" s="83" t="str">
        <f>A8</f>
        <v>Inspector</v>
      </c>
      <c r="B19" s="115">
        <f>B8-$J$4</f>
        <v>36663.687094933324</v>
      </c>
      <c r="C19" s="115">
        <f t="shared" ref="C19:D19" si="11">C8-$J$4</f>
        <v>70989.220459250006</v>
      </c>
      <c r="D19" s="115">
        <f t="shared" si="11"/>
        <v>71822.144016749982</v>
      </c>
      <c r="E19" s="110"/>
      <c r="F19" s="86">
        <f>-($B19-C19)/$B19</f>
        <v>0.93622698872149823</v>
      </c>
      <c r="G19" s="86">
        <f>-($B19-D19)/$B19</f>
        <v>0.95894493182807361</v>
      </c>
      <c r="H19" s="17">
        <f t="shared" si="6"/>
        <v>1.1733099083375628E-2</v>
      </c>
      <c r="I19" s="88"/>
    </row>
    <row r="21" spans="1:10" x14ac:dyDescent="0.25">
      <c r="I21" s="7"/>
      <c r="J21" s="72"/>
    </row>
    <row r="22" spans="1:10" x14ac:dyDescent="0.25">
      <c r="I22" s="46"/>
      <c r="J22" s="72"/>
    </row>
    <row r="23" spans="1:10" x14ac:dyDescent="0.25">
      <c r="I23" s="46"/>
      <c r="J23" s="72"/>
    </row>
    <row r="24" spans="1:10" x14ac:dyDescent="0.25">
      <c r="I24" s="46"/>
      <c r="J24" s="72"/>
    </row>
    <row r="25" spans="1:10" x14ac:dyDescent="0.25">
      <c r="A25" s="36" t="s">
        <v>163</v>
      </c>
      <c r="B25" s="36" t="s">
        <v>101</v>
      </c>
      <c r="C25" s="36" t="s">
        <v>182</v>
      </c>
      <c r="D25" s="36" t="s">
        <v>181</v>
      </c>
      <c r="E25" s="42"/>
      <c r="F25" s="3" t="s">
        <v>276</v>
      </c>
      <c r="G25" s="3" t="s">
        <v>277</v>
      </c>
      <c r="H25" s="3" t="s">
        <v>278</v>
      </c>
      <c r="I25" s="46"/>
      <c r="J25" s="72"/>
    </row>
    <row r="26" spans="1:10" x14ac:dyDescent="0.25">
      <c r="A26" s="36" t="s">
        <v>44</v>
      </c>
      <c r="B26" s="71">
        <f>def_a!AN23</f>
        <v>531644.58039066673</v>
      </c>
      <c r="C26" s="35">
        <f>'z1'!AG23</f>
        <v>367729.5</v>
      </c>
      <c r="D26" s="35">
        <f>'z3'!AG23</f>
        <v>367228.5</v>
      </c>
      <c r="E26" s="44"/>
      <c r="F26" s="17">
        <f>-(B26-C26)/B26</f>
        <v>-0.30831703441840319</v>
      </c>
      <c r="G26" s="17">
        <f>-(B26-D26)/B26</f>
        <v>-0.30925939331470165</v>
      </c>
      <c r="H26" s="17">
        <f>-(C26-D26)/C26</f>
        <v>-1.3624144921742748E-3</v>
      </c>
      <c r="I26" s="46"/>
      <c r="J26" s="72"/>
    </row>
    <row r="27" spans="1:10" x14ac:dyDescent="0.25">
      <c r="A27" s="36" t="s">
        <v>45</v>
      </c>
      <c r="B27" s="71">
        <f>def_a!AN24</f>
        <v>542617.95149666665</v>
      </c>
      <c r="C27" s="35">
        <f>'z1'!AG24</f>
        <v>409428</v>
      </c>
      <c r="D27" s="35">
        <f>'z3'!AG24</f>
        <v>409457</v>
      </c>
      <c r="E27" s="44"/>
      <c r="F27" s="17">
        <f t="shared" ref="F27:F31" si="12">-(B27-C27)/B27</f>
        <v>-0.24545806331931658</v>
      </c>
      <c r="G27" s="17">
        <f t="shared" ref="G27:G31" si="13">-(B27-D27)/B27</f>
        <v>-0.24540461871815655</v>
      </c>
      <c r="H27" s="17">
        <f t="shared" ref="H27:H31" si="14">-(C27-D27)/C27</f>
        <v>7.0830524536670675E-5</v>
      </c>
      <c r="I27" s="46"/>
      <c r="J27" s="72"/>
    </row>
    <row r="28" spans="1:10" x14ac:dyDescent="0.25">
      <c r="A28" s="36" t="s">
        <v>0</v>
      </c>
      <c r="B28" s="71">
        <f>def_a!AN25</f>
        <v>165000</v>
      </c>
      <c r="C28" s="35">
        <f>'z1'!AG25</f>
        <v>165000</v>
      </c>
      <c r="D28" s="35">
        <f>'z3'!AG25</f>
        <v>165000</v>
      </c>
      <c r="E28" s="44"/>
      <c r="F28" s="17">
        <f t="shared" si="12"/>
        <v>0</v>
      </c>
      <c r="G28" s="17">
        <f t="shared" si="13"/>
        <v>0</v>
      </c>
      <c r="H28" s="17">
        <f t="shared" si="14"/>
        <v>0</v>
      </c>
      <c r="I28" s="72"/>
      <c r="J28" s="72"/>
    </row>
    <row r="29" spans="1:10" x14ac:dyDescent="0.25">
      <c r="A29" s="36" t="s">
        <v>1</v>
      </c>
      <c r="B29" s="71">
        <f>def_a!AN26</f>
        <v>165000</v>
      </c>
      <c r="C29" s="35">
        <f>'z1'!AG26</f>
        <v>165000</v>
      </c>
      <c r="D29" s="35">
        <f>'z3'!AG26</f>
        <v>165000</v>
      </c>
      <c r="E29" s="44"/>
      <c r="F29" s="17">
        <f t="shared" si="12"/>
        <v>0</v>
      </c>
      <c r="G29" s="17">
        <f t="shared" si="13"/>
        <v>0</v>
      </c>
      <c r="H29" s="17">
        <f t="shared" si="14"/>
        <v>0</v>
      </c>
    </row>
    <row r="30" spans="1:10" x14ac:dyDescent="0.25">
      <c r="A30" s="36" t="s">
        <v>2</v>
      </c>
      <c r="B30" s="71">
        <f>def_a!AN27</f>
        <v>165000</v>
      </c>
      <c r="C30" s="35">
        <f>'z1'!AG27</f>
        <v>165000</v>
      </c>
      <c r="D30" s="35">
        <f>'z3'!AG27</f>
        <v>165000</v>
      </c>
      <c r="E30" s="44"/>
      <c r="F30" s="17">
        <f t="shared" si="12"/>
        <v>0</v>
      </c>
      <c r="G30" s="17">
        <f t="shared" si="13"/>
        <v>0</v>
      </c>
      <c r="H30" s="17">
        <f t="shared" si="14"/>
        <v>0</v>
      </c>
    </row>
    <row r="31" spans="1:10" x14ac:dyDescent="0.25">
      <c r="A31" s="36" t="s">
        <v>3</v>
      </c>
      <c r="B31" s="71">
        <f>def_a!AN28</f>
        <v>165000</v>
      </c>
      <c r="C31" s="35">
        <f>'z1'!AG28</f>
        <v>165000</v>
      </c>
      <c r="D31" s="35">
        <f>'z3'!AG28</f>
        <v>165000</v>
      </c>
      <c r="E31" s="44"/>
      <c r="F31" s="17">
        <f t="shared" si="12"/>
        <v>0</v>
      </c>
      <c r="G31" s="17">
        <f t="shared" si="13"/>
        <v>0</v>
      </c>
      <c r="H31" s="17">
        <f t="shared" si="14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X30" sqref="X30"/>
    </sheetView>
  </sheetViews>
  <sheetFormatPr defaultRowHeight="12" x14ac:dyDescent="0.2"/>
  <cols>
    <col min="1" max="1" width="7.85546875" style="64" bestFit="1" customWidth="1"/>
    <col min="2" max="2" width="9.85546875" style="64" bestFit="1" customWidth="1"/>
    <col min="3" max="3" width="11" style="64" bestFit="1" customWidth="1"/>
    <col min="4" max="4" width="7.140625" style="64" bestFit="1" customWidth="1"/>
    <col min="5" max="10" width="10.42578125" style="64" bestFit="1" customWidth="1"/>
    <col min="11" max="12" width="9.140625" style="64"/>
    <col min="13" max="13" width="7.85546875" style="64" bestFit="1" customWidth="1"/>
    <col min="14" max="14" width="9.85546875" style="64" bestFit="1" customWidth="1"/>
    <col min="15" max="15" width="11" style="64" bestFit="1" customWidth="1"/>
    <col min="16" max="16" width="7.140625" style="64" bestFit="1" customWidth="1"/>
    <col min="17" max="17" width="8.28515625" style="64" bestFit="1" customWidth="1"/>
    <col min="18" max="18" width="6.85546875" style="64" bestFit="1" customWidth="1"/>
    <col min="19" max="19" width="9.7109375" style="64" bestFit="1" customWidth="1"/>
    <col min="20" max="20" width="10.85546875" style="64" bestFit="1" customWidth="1"/>
    <col min="21" max="21" width="6.42578125" style="64" bestFit="1" customWidth="1"/>
    <col min="22" max="22" width="6.140625" style="64" bestFit="1" customWidth="1"/>
    <col min="23" max="16384" width="9.140625" style="64"/>
  </cols>
  <sheetData>
    <row r="1" spans="1:22" ht="12.75" thickBot="1" x14ac:dyDescent="0.25">
      <c r="A1" s="34" t="s">
        <v>27</v>
      </c>
      <c r="B1" s="34" t="s">
        <v>133</v>
      </c>
      <c r="C1" s="34" t="s">
        <v>48</v>
      </c>
      <c r="D1" s="34" t="s">
        <v>13</v>
      </c>
      <c r="E1" s="34"/>
      <c r="F1" s="34" t="s">
        <v>14</v>
      </c>
      <c r="G1" s="34" t="s">
        <v>18</v>
      </c>
      <c r="H1" s="34" t="s">
        <v>110</v>
      </c>
      <c r="I1" s="34"/>
      <c r="L1" s="34"/>
      <c r="M1" s="36" t="s">
        <v>27</v>
      </c>
      <c r="N1" s="47" t="s">
        <v>134</v>
      </c>
      <c r="O1" s="47" t="s">
        <v>135</v>
      </c>
      <c r="P1" s="47" t="s">
        <v>13</v>
      </c>
      <c r="Q1" s="48"/>
      <c r="R1" s="36" t="s">
        <v>14</v>
      </c>
      <c r="S1" s="47" t="s">
        <v>18</v>
      </c>
      <c r="T1" s="65" t="s">
        <v>110</v>
      </c>
      <c r="V1" s="34"/>
    </row>
    <row r="2" spans="1:22" ht="12.75" thickBot="1" x14ac:dyDescent="0.25">
      <c r="A2" s="34" t="s">
        <v>49</v>
      </c>
      <c r="B2" s="34">
        <v>40000</v>
      </c>
      <c r="C2" s="34">
        <v>5000</v>
      </c>
      <c r="D2" s="34">
        <v>125000</v>
      </c>
      <c r="E2" s="34"/>
      <c r="F2" s="34" t="s">
        <v>130</v>
      </c>
      <c r="G2" s="34">
        <v>45000</v>
      </c>
      <c r="H2" s="34">
        <v>0.36099999999999999</v>
      </c>
      <c r="I2" s="34"/>
      <c r="L2" s="34"/>
      <c r="M2" s="35" t="s">
        <v>49</v>
      </c>
      <c r="N2" s="50">
        <v>40000</v>
      </c>
      <c r="O2" s="35">
        <v>5000</v>
      </c>
      <c r="P2" s="35">
        <v>125000</v>
      </c>
      <c r="Q2" s="48"/>
      <c r="R2" s="35" t="s">
        <v>130</v>
      </c>
      <c r="S2" s="35">
        <f>SUM(N2:O2)</f>
        <v>45000</v>
      </c>
      <c r="T2" s="63">
        <f>S2/P2+0.001</f>
        <v>0.36099999999999999</v>
      </c>
      <c r="U2" s="44"/>
      <c r="V2" s="34"/>
    </row>
    <row r="3" spans="1:22" x14ac:dyDescent="0.2">
      <c r="A3" s="34" t="s">
        <v>109</v>
      </c>
      <c r="B3" s="34">
        <v>75000</v>
      </c>
      <c r="C3" s="34">
        <v>11250</v>
      </c>
      <c r="D3" s="34">
        <v>500000</v>
      </c>
      <c r="E3" s="34"/>
      <c r="F3" s="34" t="s">
        <v>63</v>
      </c>
      <c r="G3" s="34">
        <v>86250</v>
      </c>
      <c r="H3" s="34">
        <v>0.17349999999999999</v>
      </c>
      <c r="I3" s="34"/>
      <c r="L3" s="34"/>
      <c r="M3" s="35" t="s">
        <v>109</v>
      </c>
      <c r="N3" s="50">
        <v>75000</v>
      </c>
      <c r="O3" s="35">
        <v>11250</v>
      </c>
      <c r="P3" s="35">
        <v>500000</v>
      </c>
      <c r="Q3" s="52"/>
      <c r="R3" s="35" t="s">
        <v>63</v>
      </c>
      <c r="S3" s="35">
        <f>SUM(N3:O3)</f>
        <v>86250</v>
      </c>
      <c r="T3" s="63">
        <f>S3/P3+0.001</f>
        <v>0.17349999999999999</v>
      </c>
      <c r="U3" s="44"/>
      <c r="V3" s="34"/>
    </row>
    <row r="4" spans="1:22" x14ac:dyDescent="0.2">
      <c r="A4" s="34"/>
      <c r="B4" s="34"/>
      <c r="C4" s="34"/>
      <c r="D4" s="34"/>
      <c r="E4" s="34"/>
      <c r="F4" s="34" t="s">
        <v>131</v>
      </c>
      <c r="G4" s="34">
        <v>131250</v>
      </c>
      <c r="H4" s="34">
        <v>0.26350000000000001</v>
      </c>
      <c r="I4" s="34"/>
      <c r="L4" s="34"/>
      <c r="M4" s="44"/>
      <c r="N4" s="44"/>
      <c r="O4" s="44"/>
      <c r="P4" s="44"/>
      <c r="Q4" s="44"/>
      <c r="R4" s="35" t="s">
        <v>131</v>
      </c>
      <c r="S4" s="35">
        <f>SUM(N2:O3)</f>
        <v>131250</v>
      </c>
      <c r="T4" s="63">
        <f>S4/P3+0.001</f>
        <v>0.26350000000000001</v>
      </c>
      <c r="U4" s="44"/>
      <c r="V4" s="34"/>
    </row>
    <row r="5" spans="1:22" ht="12.75" thickBot="1" x14ac:dyDescent="0.25">
      <c r="A5" s="34"/>
      <c r="B5" s="34"/>
      <c r="C5" s="34"/>
      <c r="D5" s="34"/>
      <c r="E5" s="34"/>
      <c r="F5" s="34"/>
      <c r="G5" s="34"/>
      <c r="H5" s="34"/>
      <c r="I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2.75" thickBot="1" x14ac:dyDescent="0.25">
      <c r="A6" s="34" t="s">
        <v>12</v>
      </c>
      <c r="B6" s="34" t="s">
        <v>133</v>
      </c>
      <c r="C6" s="34" t="s">
        <v>48</v>
      </c>
      <c r="D6" s="34" t="s">
        <v>13</v>
      </c>
      <c r="E6" s="34"/>
      <c r="F6" s="34" t="s">
        <v>14</v>
      </c>
      <c r="G6" s="34" t="s">
        <v>18</v>
      </c>
      <c r="H6" s="34" t="s">
        <v>110</v>
      </c>
      <c r="I6" s="34" t="s">
        <v>132</v>
      </c>
      <c r="L6" s="34"/>
      <c r="M6" s="36" t="s">
        <v>12</v>
      </c>
      <c r="N6" s="47" t="str">
        <f>N1</f>
        <v>R(S_n,j)</v>
      </c>
      <c r="O6" s="47" t="s">
        <v>17</v>
      </c>
      <c r="P6" s="47" t="s">
        <v>13</v>
      </c>
      <c r="Q6" s="48"/>
      <c r="R6" s="36" t="s">
        <v>14</v>
      </c>
      <c r="S6" s="47" t="s">
        <v>18</v>
      </c>
      <c r="T6" s="47" t="str">
        <f>T1</f>
        <v>b=B/S+0.001</v>
      </c>
      <c r="U6" s="54" t="s">
        <v>132</v>
      </c>
      <c r="V6" s="34"/>
    </row>
    <row r="7" spans="1:22" ht="12.75" thickBot="1" x14ac:dyDescent="0.25">
      <c r="A7" s="34" t="s">
        <v>49</v>
      </c>
      <c r="B7" s="34">
        <v>90000</v>
      </c>
      <c r="C7" s="34">
        <v>25000</v>
      </c>
      <c r="D7" s="34">
        <v>125000</v>
      </c>
      <c r="E7" s="34"/>
      <c r="F7" s="34" t="s">
        <v>130</v>
      </c>
      <c r="G7" s="34">
        <v>115000</v>
      </c>
      <c r="H7" s="34">
        <v>0.92100000000000004</v>
      </c>
      <c r="I7" s="34"/>
      <c r="L7" s="34"/>
      <c r="M7" s="35" t="s">
        <v>49</v>
      </c>
      <c r="N7" s="50">
        <v>70000</v>
      </c>
      <c r="O7" s="35">
        <v>35000</v>
      </c>
      <c r="P7" s="35">
        <v>125000</v>
      </c>
      <c r="Q7" s="48"/>
      <c r="R7" s="35" t="str">
        <f>R2</f>
        <v>s</v>
      </c>
      <c r="S7" s="35">
        <f>SUM(N7:O7)</f>
        <v>105000</v>
      </c>
      <c r="T7" s="35">
        <f>S7/P7+0.001</f>
        <v>0.84099999999999997</v>
      </c>
      <c r="U7" s="35"/>
      <c r="V7" s="34"/>
    </row>
    <row r="8" spans="1:22" x14ac:dyDescent="0.2">
      <c r="A8" s="34" t="s">
        <v>109</v>
      </c>
      <c r="B8" s="34">
        <v>600000</v>
      </c>
      <c r="C8" s="34">
        <v>141642.85714285716</v>
      </c>
      <c r="D8" s="34">
        <v>500000</v>
      </c>
      <c r="E8" s="34"/>
      <c r="F8" s="34" t="s">
        <v>63</v>
      </c>
      <c r="G8" s="34">
        <v>741642.85714285716</v>
      </c>
      <c r="H8" s="34">
        <v>1.4842857142857142</v>
      </c>
      <c r="I8" s="34"/>
      <c r="L8" s="34"/>
      <c r="M8" s="35" t="str">
        <f>M3</f>
        <v>O_3,i</v>
      </c>
      <c r="N8" s="50">
        <v>270000</v>
      </c>
      <c r="O8" s="35">
        <v>124500</v>
      </c>
      <c r="P8" s="35">
        <v>500000</v>
      </c>
      <c r="Q8" s="52"/>
      <c r="R8" s="35" t="str">
        <f t="shared" ref="R8:R9" si="0">R3</f>
        <v>b</v>
      </c>
      <c r="S8" s="35">
        <f>SUM(N8:O8)</f>
        <v>394500</v>
      </c>
      <c r="T8" s="35">
        <f>S8/P8+0.001</f>
        <v>0.79</v>
      </c>
      <c r="U8" s="35"/>
      <c r="V8" s="34"/>
    </row>
    <row r="9" spans="1:22" x14ac:dyDescent="0.2">
      <c r="A9" s="34"/>
      <c r="B9" s="34"/>
      <c r="C9" s="34"/>
      <c r="D9" s="34"/>
      <c r="E9" s="34"/>
      <c r="F9" s="34" t="s">
        <v>131</v>
      </c>
      <c r="G9" s="34">
        <v>856642.85714285716</v>
      </c>
      <c r="H9" s="34">
        <v>1.7142857142857142</v>
      </c>
      <c r="I9" s="34">
        <v>1.7142857142857142</v>
      </c>
      <c r="L9" s="34"/>
      <c r="M9" s="44"/>
      <c r="N9" s="44"/>
      <c r="O9" s="44"/>
      <c r="P9" s="44"/>
      <c r="Q9" s="44"/>
      <c r="R9" s="35" t="str">
        <f t="shared" si="0"/>
        <v>ch</v>
      </c>
      <c r="S9" s="35">
        <f>SUM(N7:O8)</f>
        <v>499500</v>
      </c>
      <c r="T9" s="35">
        <f>S9/P8+0.001</f>
        <v>1</v>
      </c>
      <c r="U9" s="35">
        <v>1</v>
      </c>
      <c r="V9" s="34"/>
    </row>
    <row r="10" spans="1:22" x14ac:dyDescent="0.2">
      <c r="A10" s="34"/>
      <c r="B10" s="34"/>
      <c r="C10" s="34"/>
      <c r="D10" s="34"/>
      <c r="E10" s="34"/>
      <c r="F10" s="34"/>
      <c r="G10" s="34"/>
      <c r="H10" s="34"/>
      <c r="I10" s="34"/>
      <c r="L10" s="34"/>
      <c r="M10" s="53"/>
      <c r="N10" s="53"/>
      <c r="O10" s="53"/>
      <c r="P10" s="53"/>
      <c r="Q10" s="53"/>
      <c r="R10" s="53"/>
      <c r="S10" s="53"/>
      <c r="T10" s="34"/>
      <c r="U10" s="53"/>
      <c r="V10" s="34"/>
    </row>
    <row r="11" spans="1:22" ht="12.75" thickBot="1" x14ac:dyDescent="0.25">
      <c r="A11" s="34" t="s">
        <v>15</v>
      </c>
      <c r="B11" s="34" t="s">
        <v>133</v>
      </c>
      <c r="C11" s="34" t="s">
        <v>48</v>
      </c>
      <c r="D11" s="34" t="s">
        <v>13</v>
      </c>
      <c r="E11" s="34"/>
      <c r="F11" s="34" t="s">
        <v>14</v>
      </c>
      <c r="G11" s="34" t="s">
        <v>18</v>
      </c>
      <c r="H11" s="34" t="s">
        <v>110</v>
      </c>
      <c r="I11" s="34" t="s">
        <v>132</v>
      </c>
      <c r="L11" s="34"/>
      <c r="M11" s="36" t="s">
        <v>15</v>
      </c>
      <c r="N11" s="47" t="str">
        <f>N6</f>
        <v>R(S_n,j)</v>
      </c>
      <c r="O11" s="47" t="s">
        <v>17</v>
      </c>
      <c r="P11" s="47" t="s">
        <v>13</v>
      </c>
      <c r="Q11" s="58"/>
      <c r="R11" s="36" t="s">
        <v>14</v>
      </c>
      <c r="S11" s="47" t="s">
        <v>18</v>
      </c>
      <c r="T11" s="47" t="str">
        <f>T6</f>
        <v>b=B/S+0.001</v>
      </c>
      <c r="U11" s="47" t="str">
        <f>U6</f>
        <v>b_optT</v>
      </c>
      <c r="V11" s="34"/>
    </row>
    <row r="12" spans="1:22" ht="12.75" thickBot="1" x14ac:dyDescent="0.25">
      <c r="A12" s="34" t="s">
        <v>49</v>
      </c>
      <c r="B12" s="34">
        <v>90000</v>
      </c>
      <c r="C12" s="34">
        <v>25000</v>
      </c>
      <c r="D12" s="34">
        <v>125000</v>
      </c>
      <c r="E12" s="34"/>
      <c r="F12" s="34" t="s">
        <v>130</v>
      </c>
      <c r="G12" s="34">
        <v>115000</v>
      </c>
      <c r="H12" s="34">
        <v>0.92100000000000004</v>
      </c>
      <c r="I12" s="34"/>
      <c r="L12" s="34"/>
      <c r="M12" s="35" t="s">
        <v>49</v>
      </c>
      <c r="N12" s="50">
        <v>0</v>
      </c>
      <c r="O12" s="35">
        <v>0</v>
      </c>
      <c r="P12" s="35">
        <v>125000</v>
      </c>
      <c r="Q12" s="48"/>
      <c r="R12" s="35" t="str">
        <f>R7</f>
        <v>s</v>
      </c>
      <c r="S12" s="35">
        <f>SUM(N12:O12)</f>
        <v>0</v>
      </c>
      <c r="T12" s="35">
        <f>S12/P12+0.001</f>
        <v>1E-3</v>
      </c>
      <c r="U12" s="35"/>
      <c r="V12" s="34"/>
    </row>
    <row r="13" spans="1:22" x14ac:dyDescent="0.2">
      <c r="A13" s="34" t="s">
        <v>109</v>
      </c>
      <c r="B13" s="34">
        <v>2000000</v>
      </c>
      <c r="C13" s="34">
        <v>999500</v>
      </c>
      <c r="D13" s="34">
        <v>500000</v>
      </c>
      <c r="E13" s="34"/>
      <c r="F13" s="34" t="s">
        <v>63</v>
      </c>
      <c r="G13" s="34">
        <v>2999500</v>
      </c>
      <c r="H13" s="34">
        <v>6</v>
      </c>
      <c r="I13" s="34">
        <v>6</v>
      </c>
      <c r="L13" s="34"/>
      <c r="M13" s="35" t="str">
        <f>M3</f>
        <v>O_3,i</v>
      </c>
      <c r="N13" s="50">
        <v>300000</v>
      </c>
      <c r="O13" s="35">
        <v>199500</v>
      </c>
      <c r="P13" s="35">
        <v>500000</v>
      </c>
      <c r="Q13" s="52"/>
      <c r="R13" s="35" t="str">
        <f t="shared" ref="R13:R14" si="1">R8</f>
        <v>b</v>
      </c>
      <c r="S13" s="35">
        <f>SUM(N13:O13)</f>
        <v>499500</v>
      </c>
      <c r="T13" s="35">
        <f>S13/P13+0.001</f>
        <v>1</v>
      </c>
      <c r="U13" s="35">
        <v>1</v>
      </c>
      <c r="V13" s="34"/>
    </row>
    <row r="14" spans="1:22" x14ac:dyDescent="0.2">
      <c r="A14" s="34"/>
      <c r="B14" s="34"/>
      <c r="C14" s="34"/>
      <c r="D14" s="34"/>
      <c r="E14" s="34"/>
      <c r="F14" s="34" t="s">
        <v>131</v>
      </c>
      <c r="G14" s="34">
        <v>3114500</v>
      </c>
      <c r="H14" s="34">
        <v>6.23</v>
      </c>
      <c r="I14" s="34"/>
      <c r="K14" s="64" t="s">
        <v>136</v>
      </c>
      <c r="L14" s="34"/>
      <c r="M14" s="44"/>
      <c r="N14" s="44"/>
      <c r="O14" s="44"/>
      <c r="P14" s="44"/>
      <c r="Q14" s="44"/>
      <c r="R14" s="35" t="str">
        <f t="shared" si="1"/>
        <v>ch</v>
      </c>
      <c r="S14" s="35">
        <f>SUM(N12:O13)</f>
        <v>499500</v>
      </c>
      <c r="T14" s="35">
        <f>S14/P13+0.001</f>
        <v>1</v>
      </c>
      <c r="U14" s="35"/>
      <c r="V14" s="34"/>
    </row>
    <row r="15" spans="1:22" x14ac:dyDescent="0.2">
      <c r="A15" s="34"/>
      <c r="B15" s="34"/>
      <c r="C15" s="34"/>
      <c r="D15" s="34"/>
      <c r="E15" s="34"/>
      <c r="F15" s="34"/>
      <c r="G15" s="34"/>
      <c r="H15" s="34"/>
      <c r="I15" s="34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34"/>
    </row>
    <row r="16" spans="1:22" ht="12.75" thickBot="1" x14ac:dyDescent="0.25">
      <c r="A16" s="34" t="s">
        <v>16</v>
      </c>
      <c r="B16" s="34" t="s">
        <v>133</v>
      </c>
      <c r="C16" s="34" t="s">
        <v>48</v>
      </c>
      <c r="D16" s="34" t="s">
        <v>13</v>
      </c>
      <c r="E16" s="34"/>
      <c r="F16" s="34" t="s">
        <v>14</v>
      </c>
      <c r="G16" s="34" t="s">
        <v>18</v>
      </c>
      <c r="H16" s="34" t="s">
        <v>110</v>
      </c>
      <c r="I16" s="34" t="s">
        <v>132</v>
      </c>
      <c r="L16" s="34"/>
      <c r="M16" s="36" t="s">
        <v>16</v>
      </c>
      <c r="N16" s="47" t="str">
        <f>N11</f>
        <v>R(S_n,j)</v>
      </c>
      <c r="O16" s="47" t="s">
        <v>17</v>
      </c>
      <c r="P16" s="47" t="s">
        <v>13</v>
      </c>
      <c r="Q16" s="58"/>
      <c r="R16" s="36" t="s">
        <v>14</v>
      </c>
      <c r="S16" s="47" t="s">
        <v>18</v>
      </c>
      <c r="T16" s="47" t="str">
        <f>T11</f>
        <v>b=B/S+0.001</v>
      </c>
      <c r="U16" s="47" t="str">
        <f>U6</f>
        <v>b_optT</v>
      </c>
      <c r="V16" s="34"/>
    </row>
    <row r="17" spans="1:22" ht="12.75" thickBot="1" x14ac:dyDescent="0.25">
      <c r="A17" s="34" t="s">
        <v>49</v>
      </c>
      <c r="B17" s="34">
        <v>2000000</v>
      </c>
      <c r="C17" s="34">
        <v>999874.97600000026</v>
      </c>
      <c r="D17" s="34">
        <v>125000</v>
      </c>
      <c r="E17" s="34"/>
      <c r="F17" s="34" t="s">
        <v>130</v>
      </c>
      <c r="G17" s="34">
        <v>2999874.9760000003</v>
      </c>
      <c r="H17" s="34">
        <v>23.999999808000002</v>
      </c>
      <c r="I17" s="34">
        <v>23.999999808000002</v>
      </c>
      <c r="L17" s="34"/>
      <c r="M17" s="35" t="s">
        <v>49</v>
      </c>
      <c r="N17" s="50">
        <v>84750</v>
      </c>
      <c r="O17" s="35">
        <v>40125</v>
      </c>
      <c r="P17" s="35">
        <v>125000</v>
      </c>
      <c r="Q17" s="48"/>
      <c r="R17" s="35" t="str">
        <f>R12</f>
        <v>s</v>
      </c>
      <c r="S17" s="35">
        <f>SUM(N17:O17)</f>
        <v>124875</v>
      </c>
      <c r="T17" s="35">
        <f>S17/P17+0.001</f>
        <v>1</v>
      </c>
      <c r="U17" s="35">
        <v>1</v>
      </c>
      <c r="V17" s="34"/>
    </row>
    <row r="18" spans="1:22" ht="12.75" thickBot="1" x14ac:dyDescent="0.25">
      <c r="A18" s="34" t="s">
        <v>109</v>
      </c>
      <c r="B18" s="34">
        <v>3250000</v>
      </c>
      <c r="C18" s="34">
        <v>2500000</v>
      </c>
      <c r="D18" s="34">
        <v>500000</v>
      </c>
      <c r="E18" s="34"/>
      <c r="F18" s="34" t="s">
        <v>63</v>
      </c>
      <c r="G18" s="34">
        <v>5750000</v>
      </c>
      <c r="H18" s="34">
        <v>11.500999999999999</v>
      </c>
      <c r="I18" s="34"/>
      <c r="L18" s="34"/>
      <c r="M18" s="35" t="str">
        <f>M3</f>
        <v>O_3,i</v>
      </c>
      <c r="N18" s="50">
        <v>250000</v>
      </c>
      <c r="O18" s="35">
        <v>124625</v>
      </c>
      <c r="P18" s="35">
        <v>500000</v>
      </c>
      <c r="Q18" s="48"/>
      <c r="R18" s="35" t="str">
        <f t="shared" ref="R18:R19" si="2">R13</f>
        <v>b</v>
      </c>
      <c r="S18" s="35">
        <f>SUM(N18:O18)</f>
        <v>374625</v>
      </c>
      <c r="T18" s="35">
        <f>S18/P18+0.001</f>
        <v>0.75024999999999997</v>
      </c>
      <c r="U18" s="35"/>
      <c r="V18" s="34"/>
    </row>
    <row r="19" spans="1:22" x14ac:dyDescent="0.2">
      <c r="A19" s="34"/>
      <c r="B19" s="34"/>
      <c r="C19" s="34"/>
      <c r="D19" s="34"/>
      <c r="E19" s="34"/>
      <c r="F19" s="34" t="s">
        <v>131</v>
      </c>
      <c r="G19" s="34">
        <v>8749874.9759999998</v>
      </c>
      <c r="H19" s="34">
        <v>17.500749952</v>
      </c>
      <c r="I19" s="34"/>
      <c r="L19" s="34"/>
      <c r="M19" s="34"/>
      <c r="N19" s="34"/>
      <c r="O19" s="34"/>
      <c r="P19" s="34"/>
      <c r="Q19" s="34"/>
      <c r="R19" s="35" t="str">
        <f t="shared" si="2"/>
        <v>ch</v>
      </c>
      <c r="S19" s="35">
        <f>SUM(N17:O18)</f>
        <v>499500</v>
      </c>
      <c r="T19" s="35">
        <f>S19/P18+0.001</f>
        <v>1</v>
      </c>
      <c r="U19" s="35">
        <v>1</v>
      </c>
      <c r="V19" s="34"/>
    </row>
    <row r="20" spans="1:22" x14ac:dyDescent="0.2"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x14ac:dyDescent="0.2"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x14ac:dyDescent="0.2"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x14ac:dyDescent="0.2"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x14ac:dyDescent="0.2">
      <c r="A24" s="36" t="s">
        <v>137</v>
      </c>
      <c r="B24" s="36" t="s">
        <v>138</v>
      </c>
      <c r="C24" s="36" t="s">
        <v>140</v>
      </c>
      <c r="D24" s="36" t="s">
        <v>139</v>
      </c>
      <c r="E24" s="36" t="s">
        <v>141</v>
      </c>
      <c r="F24" s="36" t="s">
        <v>143</v>
      </c>
      <c r="G24" s="36" t="s">
        <v>144</v>
      </c>
      <c r="H24" s="36" t="s">
        <v>142</v>
      </c>
      <c r="I24" s="36" t="s">
        <v>145</v>
      </c>
      <c r="J24" s="36" t="s">
        <v>132</v>
      </c>
      <c r="L24" s="34"/>
      <c r="M24" s="36" t="s">
        <v>137</v>
      </c>
      <c r="N24" s="36" t="s">
        <v>138</v>
      </c>
      <c r="O24" s="36" t="s">
        <v>140</v>
      </c>
      <c r="P24" s="36" t="s">
        <v>139</v>
      </c>
      <c r="Q24" s="36" t="s">
        <v>141</v>
      </c>
      <c r="R24" s="36" t="s">
        <v>143</v>
      </c>
      <c r="S24" s="36" t="s">
        <v>144</v>
      </c>
      <c r="T24" s="36" t="s">
        <v>142</v>
      </c>
      <c r="U24" s="36" t="s">
        <v>145</v>
      </c>
      <c r="V24" s="36" t="s">
        <v>132</v>
      </c>
    </row>
    <row r="25" spans="1:22" x14ac:dyDescent="0.2">
      <c r="A25" s="35" t="s">
        <v>27</v>
      </c>
      <c r="B25" s="35">
        <f>B2</f>
        <v>40000</v>
      </c>
      <c r="C25" s="35">
        <f>C2</f>
        <v>5000</v>
      </c>
      <c r="D25" s="35">
        <f>B3</f>
        <v>75000</v>
      </c>
      <c r="E25" s="67">
        <f>C3</f>
        <v>11250</v>
      </c>
      <c r="F25" s="66">
        <f>H2</f>
        <v>0.36099999999999999</v>
      </c>
      <c r="G25" s="66">
        <f>H3</f>
        <v>0.17349999999999999</v>
      </c>
      <c r="H25" s="66">
        <f>H4</f>
        <v>0.26350000000000001</v>
      </c>
      <c r="I25" s="66" t="s">
        <v>146</v>
      </c>
      <c r="J25" s="66" t="s">
        <v>146</v>
      </c>
      <c r="L25" s="34"/>
      <c r="M25" s="35" t="s">
        <v>27</v>
      </c>
      <c r="N25" s="35">
        <f>N2</f>
        <v>40000</v>
      </c>
      <c r="O25" s="35">
        <f>O2</f>
        <v>5000</v>
      </c>
      <c r="P25" s="35">
        <f>N3</f>
        <v>75000</v>
      </c>
      <c r="Q25" s="67">
        <f>O3</f>
        <v>11250</v>
      </c>
      <c r="R25" s="66">
        <f>T2</f>
        <v>0.36099999999999999</v>
      </c>
      <c r="S25" s="66">
        <f>T3</f>
        <v>0.17349999999999999</v>
      </c>
      <c r="T25" s="66">
        <f>T4</f>
        <v>0.26350000000000001</v>
      </c>
      <c r="U25" s="66" t="s">
        <v>146</v>
      </c>
      <c r="V25" s="66" t="s">
        <v>146</v>
      </c>
    </row>
    <row r="26" spans="1:22" x14ac:dyDescent="0.2">
      <c r="A26" s="35">
        <v>1</v>
      </c>
      <c r="B26" s="35">
        <f>B7</f>
        <v>90000</v>
      </c>
      <c r="C26" s="35">
        <f>C7</f>
        <v>25000</v>
      </c>
      <c r="D26" s="35">
        <f>B8</f>
        <v>600000</v>
      </c>
      <c r="E26" s="67">
        <f>C8</f>
        <v>141642.85714285716</v>
      </c>
      <c r="F26" s="66">
        <f>H7</f>
        <v>0.92100000000000004</v>
      </c>
      <c r="G26" s="66">
        <f>H8</f>
        <v>1.4842857142857142</v>
      </c>
      <c r="H26" s="66">
        <f>H9</f>
        <v>1.7142857142857142</v>
      </c>
      <c r="I26" s="66" t="str">
        <f>F9</f>
        <v>ch</v>
      </c>
      <c r="J26" s="66">
        <f>I9</f>
        <v>1.7142857142857142</v>
      </c>
      <c r="L26" s="34"/>
      <c r="M26" s="35">
        <v>1</v>
      </c>
      <c r="N26" s="35">
        <f>N7</f>
        <v>70000</v>
      </c>
      <c r="O26" s="35">
        <f>O7</f>
        <v>35000</v>
      </c>
      <c r="P26" s="35">
        <f>N8</f>
        <v>270000</v>
      </c>
      <c r="Q26" s="67">
        <f>O8</f>
        <v>124500</v>
      </c>
      <c r="R26" s="66">
        <f>T7</f>
        <v>0.84099999999999997</v>
      </c>
      <c r="S26" s="66">
        <f>T8</f>
        <v>0.79</v>
      </c>
      <c r="T26" s="66">
        <f>T9</f>
        <v>1</v>
      </c>
      <c r="U26" s="66" t="str">
        <f>R9</f>
        <v>ch</v>
      </c>
      <c r="V26" s="66">
        <f>U9</f>
        <v>1</v>
      </c>
    </row>
    <row r="27" spans="1:22" x14ac:dyDescent="0.2">
      <c r="A27" s="35">
        <v>2</v>
      </c>
      <c r="B27" s="35">
        <f>B12</f>
        <v>90000</v>
      </c>
      <c r="C27" s="35">
        <f>C12</f>
        <v>25000</v>
      </c>
      <c r="D27" s="35">
        <f>B13</f>
        <v>2000000</v>
      </c>
      <c r="E27" s="67">
        <f>C13</f>
        <v>999500</v>
      </c>
      <c r="F27" s="66">
        <f>H12</f>
        <v>0.92100000000000004</v>
      </c>
      <c r="G27" s="66">
        <f>H13</f>
        <v>6</v>
      </c>
      <c r="H27" s="66">
        <f>H14</f>
        <v>6.23</v>
      </c>
      <c r="I27" s="66" t="str">
        <f>F13</f>
        <v>b</v>
      </c>
      <c r="J27" s="66">
        <f>I13</f>
        <v>6</v>
      </c>
      <c r="L27" s="34"/>
      <c r="M27" s="35">
        <v>2</v>
      </c>
      <c r="N27" s="35">
        <f>N12</f>
        <v>0</v>
      </c>
      <c r="O27" s="35">
        <f>O12</f>
        <v>0</v>
      </c>
      <c r="P27" s="35">
        <f>N13</f>
        <v>300000</v>
      </c>
      <c r="Q27" s="67">
        <f>O13</f>
        <v>199500</v>
      </c>
      <c r="R27" s="66">
        <f>T12</f>
        <v>1E-3</v>
      </c>
      <c r="S27" s="66">
        <f>T13</f>
        <v>1</v>
      </c>
      <c r="T27" s="66">
        <f>T14</f>
        <v>1</v>
      </c>
      <c r="U27" s="66" t="str">
        <f>R13</f>
        <v>b</v>
      </c>
      <c r="V27" s="66">
        <f>U13</f>
        <v>1</v>
      </c>
    </row>
    <row r="28" spans="1:22" x14ac:dyDescent="0.2">
      <c r="A28" s="35">
        <v>3</v>
      </c>
      <c r="B28" s="35">
        <f>B17</f>
        <v>2000000</v>
      </c>
      <c r="C28" s="35">
        <f>C17</f>
        <v>999874.97600000026</v>
      </c>
      <c r="D28" s="35">
        <f>B18</f>
        <v>3250000</v>
      </c>
      <c r="E28" s="67">
        <f>C18</f>
        <v>2500000</v>
      </c>
      <c r="F28" s="66">
        <f>H17</f>
        <v>23.999999808000002</v>
      </c>
      <c r="G28" s="66">
        <f>H18</f>
        <v>11.500999999999999</v>
      </c>
      <c r="H28" s="66">
        <f>H19</f>
        <v>17.500749952</v>
      </c>
      <c r="I28" s="66" t="str">
        <f>F17</f>
        <v>s</v>
      </c>
      <c r="J28" s="66">
        <f>I17</f>
        <v>23.999999808000002</v>
      </c>
      <c r="M28" s="35">
        <v>3</v>
      </c>
      <c r="N28" s="35">
        <f>N17</f>
        <v>84750</v>
      </c>
      <c r="O28" s="35">
        <f>O17</f>
        <v>40125</v>
      </c>
      <c r="P28" s="35">
        <f>N18</f>
        <v>250000</v>
      </c>
      <c r="Q28" s="67">
        <f>O18</f>
        <v>124625</v>
      </c>
      <c r="R28" s="66">
        <f>T17</f>
        <v>1</v>
      </c>
      <c r="S28" s="66">
        <f>T18</f>
        <v>0.75024999999999997</v>
      </c>
      <c r="T28" s="66">
        <f>T19</f>
        <v>1</v>
      </c>
      <c r="U28" s="66" t="str">
        <f>R17</f>
        <v>s</v>
      </c>
      <c r="V28" s="66">
        <f>U17</f>
        <v>1</v>
      </c>
    </row>
    <row r="31" spans="1:22" x14ac:dyDescent="0.2">
      <c r="B31" s="44"/>
      <c r="C31" s="44"/>
      <c r="D31" s="44"/>
      <c r="E31" s="44"/>
      <c r="F31" s="44"/>
      <c r="G31" s="44"/>
      <c r="H31" s="44"/>
      <c r="M31" s="64" t="s">
        <v>137</v>
      </c>
      <c r="N31" s="64" t="s">
        <v>147</v>
      </c>
      <c r="O31" s="64" t="s">
        <v>148</v>
      </c>
      <c r="P31" s="64" t="s">
        <v>149</v>
      </c>
      <c r="Q31" s="64" t="s">
        <v>150</v>
      </c>
    </row>
    <row r="32" spans="1:22" x14ac:dyDescent="0.2">
      <c r="M32" s="64" t="s">
        <v>27</v>
      </c>
      <c r="N32" s="64">
        <v>40000</v>
      </c>
      <c r="O32" s="64">
        <v>5000</v>
      </c>
      <c r="P32" s="64">
        <v>75000</v>
      </c>
      <c r="Q32" s="64">
        <v>11250</v>
      </c>
    </row>
    <row r="33" spans="13:18" x14ac:dyDescent="0.2">
      <c r="M33" s="64">
        <v>1</v>
      </c>
      <c r="N33" s="64">
        <v>90000</v>
      </c>
      <c r="O33" s="64">
        <v>25000</v>
      </c>
      <c r="P33" s="64">
        <v>600000</v>
      </c>
      <c r="Q33" s="64">
        <v>141643</v>
      </c>
    </row>
    <row r="34" spans="13:18" x14ac:dyDescent="0.2">
      <c r="M34" s="64">
        <v>2</v>
      </c>
      <c r="N34" s="64">
        <v>90000</v>
      </c>
      <c r="O34" s="64">
        <v>25000</v>
      </c>
      <c r="P34" s="64">
        <v>2000000</v>
      </c>
      <c r="Q34" s="64">
        <v>999500</v>
      </c>
    </row>
    <row r="35" spans="13:18" x14ac:dyDescent="0.2">
      <c r="M35" s="64">
        <v>3</v>
      </c>
      <c r="N35" s="64">
        <v>2000000</v>
      </c>
      <c r="O35" s="64">
        <v>999874.97600000002</v>
      </c>
      <c r="P35" s="64">
        <v>3250000</v>
      </c>
      <c r="Q35" s="64">
        <v>2500000</v>
      </c>
    </row>
    <row r="36" spans="13:18" x14ac:dyDescent="0.2">
      <c r="M36" s="64" t="s">
        <v>160</v>
      </c>
    </row>
    <row r="38" spans="13:18" x14ac:dyDescent="0.2">
      <c r="M38" s="64" t="s">
        <v>137</v>
      </c>
      <c r="N38" s="64" t="s">
        <v>151</v>
      </c>
      <c r="O38" s="64" t="s">
        <v>152</v>
      </c>
      <c r="P38" s="64" t="s">
        <v>153</v>
      </c>
      <c r="Q38" s="64" t="s">
        <v>145</v>
      </c>
      <c r="R38" s="64" t="s">
        <v>154</v>
      </c>
    </row>
    <row r="39" spans="13:18" x14ac:dyDescent="0.2">
      <c r="M39" s="64" t="s">
        <v>27</v>
      </c>
      <c r="N39" s="64">
        <v>0.36099999999999999</v>
      </c>
      <c r="O39" s="64">
        <v>0.17399999999999999</v>
      </c>
      <c r="P39" s="64">
        <v>0.26400000000000001</v>
      </c>
      <c r="Q39" s="64" t="s">
        <v>155</v>
      </c>
      <c r="R39" s="64" t="s">
        <v>156</v>
      </c>
    </row>
    <row r="40" spans="13:18" x14ac:dyDescent="0.2">
      <c r="M40" s="64">
        <v>1</v>
      </c>
      <c r="N40" s="64">
        <v>0.92100000000000004</v>
      </c>
      <c r="O40" s="64">
        <v>1.484</v>
      </c>
      <c r="P40" s="64">
        <v>1.714</v>
      </c>
      <c r="Q40" s="64" t="s">
        <v>131</v>
      </c>
      <c r="R40" s="64" t="s">
        <v>157</v>
      </c>
    </row>
    <row r="41" spans="13:18" x14ac:dyDescent="0.2">
      <c r="M41" s="64">
        <v>2</v>
      </c>
      <c r="N41" s="64">
        <v>0.92100000000000004</v>
      </c>
      <c r="O41" s="64">
        <v>6</v>
      </c>
      <c r="P41" s="64">
        <v>6.23</v>
      </c>
      <c r="Q41" s="64" t="s">
        <v>63</v>
      </c>
      <c r="R41" s="64" t="s">
        <v>158</v>
      </c>
    </row>
    <row r="42" spans="13:18" x14ac:dyDescent="0.2">
      <c r="M42" s="64">
        <v>3</v>
      </c>
      <c r="N42" s="64">
        <v>24</v>
      </c>
      <c r="O42" s="64">
        <v>11.500999999999999</v>
      </c>
      <c r="P42" s="64">
        <v>17.501000000000001</v>
      </c>
      <c r="Q42" s="64" t="s">
        <v>130</v>
      </c>
      <c r="R42" s="64" t="s">
        <v>159</v>
      </c>
    </row>
    <row r="43" spans="13:18" x14ac:dyDescent="0.2">
      <c r="M43" s="64" t="s">
        <v>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3"/>
  <sheetViews>
    <sheetView zoomScale="70" zoomScaleNormal="70" workbookViewId="0">
      <selection activeCell="C1" sqref="C1:H10"/>
    </sheetView>
  </sheetViews>
  <sheetFormatPr defaultRowHeight="12" x14ac:dyDescent="0.25"/>
  <cols>
    <col min="1" max="1" width="30.5703125" style="34" bestFit="1" customWidth="1"/>
    <col min="2" max="2" width="9.140625" style="39"/>
    <col min="3" max="3" width="16.42578125" style="38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4" width="12.5703125" style="34" bestFit="1" customWidth="1"/>
    <col min="15" max="15" width="8.42578125" style="34" bestFit="1" customWidth="1"/>
    <col min="16" max="16" width="9.140625" style="34"/>
    <col min="17" max="17" width="19.5703125" style="34" bestFit="1" customWidth="1"/>
    <col min="18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4" ht="12.75" x14ac:dyDescent="0.25">
      <c r="A1" s="34" t="s">
        <v>47</v>
      </c>
      <c r="B1" s="39">
        <v>1</v>
      </c>
      <c r="C1" s="36" t="str">
        <f>A2</f>
        <v>(62500, 150000)</v>
      </c>
      <c r="D1" s="36" t="s">
        <v>11</v>
      </c>
      <c r="E1" s="36" t="s">
        <v>7</v>
      </c>
      <c r="F1" s="36" t="s">
        <v>8</v>
      </c>
      <c r="G1" s="36" t="s">
        <v>9</v>
      </c>
      <c r="H1" s="36" t="s">
        <v>10</v>
      </c>
      <c r="J1" s="26" t="s">
        <v>19</v>
      </c>
      <c r="K1" s="26"/>
      <c r="L1" s="26" t="s">
        <v>20</v>
      </c>
    </row>
    <row r="2" spans="1:14" ht="12.75" x14ac:dyDescent="0.25">
      <c r="A2" s="34" t="s">
        <v>279</v>
      </c>
      <c r="C2" s="36" t="s">
        <v>44</v>
      </c>
      <c r="D2" s="35">
        <f t="shared" ref="D2:D10" si="0">A3</f>
        <v>523136</v>
      </c>
      <c r="E2" s="35">
        <f>A12</f>
        <v>564934.1</v>
      </c>
      <c r="F2" s="35">
        <f t="shared" ref="F2:F10" si="1">A21</f>
        <v>565054.69999999995</v>
      </c>
      <c r="G2" s="35">
        <f t="shared" ref="G2:G10" si="2">A30</f>
        <v>90000</v>
      </c>
      <c r="H2" s="35">
        <f t="shared" ref="H2:H10" si="3">A39</f>
        <v>90000</v>
      </c>
      <c r="J2" s="25">
        <f>MAX(D2:H2)</f>
        <v>565054.69999999995</v>
      </c>
      <c r="K2" s="25"/>
      <c r="L2" s="25" t="str">
        <f>HLOOKUP(J2,D2:$H$12,N2,FALSE)</f>
        <v>NoneOpt_NBB</v>
      </c>
      <c r="N2" s="25">
        <v>11</v>
      </c>
    </row>
    <row r="3" spans="1:14" ht="12.75" x14ac:dyDescent="0.25">
      <c r="A3" s="34">
        <v>523136</v>
      </c>
      <c r="C3" s="36" t="s">
        <v>45</v>
      </c>
      <c r="D3" s="35">
        <f t="shared" si="0"/>
        <v>535972.4</v>
      </c>
      <c r="E3" s="35">
        <f t="shared" ref="E2:E10" si="4">A13</f>
        <v>565004.30000000005</v>
      </c>
      <c r="F3" s="35">
        <f t="shared" si="1"/>
        <v>564835.4</v>
      </c>
      <c r="G3" s="35">
        <f t="shared" si="2"/>
        <v>90000</v>
      </c>
      <c r="H3" s="35">
        <f t="shared" si="3"/>
        <v>90000</v>
      </c>
      <c r="J3" s="25">
        <f t="shared" ref="J3:J9" si="5">MAX(D3:H3)</f>
        <v>565004.30000000005</v>
      </c>
      <c r="K3" s="25"/>
      <c r="L3" s="25" t="str">
        <f>HLOOKUP(J3,D3:$H$12,N3,FALSE)</f>
        <v>OptOpt_BB</v>
      </c>
      <c r="N3" s="25">
        <v>10</v>
      </c>
    </row>
    <row r="4" spans="1:14" ht="12.75" x14ac:dyDescent="0.25">
      <c r="A4" s="34">
        <v>535972.4</v>
      </c>
      <c r="C4" s="36" t="s">
        <v>0</v>
      </c>
      <c r="D4" s="35">
        <f t="shared" si="0"/>
        <v>165000</v>
      </c>
      <c r="E4" s="35">
        <f t="shared" si="4"/>
        <v>156277.25</v>
      </c>
      <c r="F4" s="35">
        <f t="shared" si="1"/>
        <v>40000</v>
      </c>
      <c r="G4" s="35">
        <f t="shared" si="2"/>
        <v>162407.125</v>
      </c>
      <c r="H4" s="35">
        <f t="shared" si="3"/>
        <v>40000</v>
      </c>
      <c r="J4" s="25">
        <f t="shared" si="5"/>
        <v>165000</v>
      </c>
      <c r="K4" s="25"/>
      <c r="L4" s="25" t="str">
        <f>HLOOKUP(J4,D4:$H$12,N4,FALSE)</f>
        <v>OptOpt_EB</v>
      </c>
      <c r="N4" s="25">
        <v>9</v>
      </c>
    </row>
    <row r="5" spans="1:14" ht="12.75" x14ac:dyDescent="0.25">
      <c r="A5" s="34">
        <v>165000</v>
      </c>
      <c r="C5" s="36" t="s">
        <v>1</v>
      </c>
      <c r="D5" s="35">
        <f t="shared" si="0"/>
        <v>165000</v>
      </c>
      <c r="E5" s="35">
        <f t="shared" si="4"/>
        <v>156294</v>
      </c>
      <c r="F5" s="35">
        <f t="shared" si="1"/>
        <v>40000</v>
      </c>
      <c r="G5" s="35">
        <f t="shared" si="2"/>
        <v>162405</v>
      </c>
      <c r="H5" s="35">
        <f t="shared" si="3"/>
        <v>40000</v>
      </c>
      <c r="J5" s="25">
        <f t="shared" si="5"/>
        <v>165000</v>
      </c>
      <c r="K5" s="25"/>
      <c r="L5" s="25" t="str">
        <f>HLOOKUP(J5,D5:$H$12,N5,FALSE)</f>
        <v>OptOpt_EB</v>
      </c>
      <c r="N5" s="25">
        <v>8</v>
      </c>
    </row>
    <row r="6" spans="1:14" ht="12.75" x14ac:dyDescent="0.25">
      <c r="A6" s="34">
        <v>165000</v>
      </c>
      <c r="C6" s="36" t="s">
        <v>2</v>
      </c>
      <c r="D6" s="35">
        <f t="shared" si="0"/>
        <v>165000</v>
      </c>
      <c r="E6" s="35">
        <f t="shared" si="4"/>
        <v>158934.5</v>
      </c>
      <c r="F6" s="35">
        <f t="shared" si="1"/>
        <v>40000</v>
      </c>
      <c r="G6" s="35">
        <f t="shared" si="2"/>
        <v>160186.625</v>
      </c>
      <c r="H6" s="35">
        <f t="shared" si="3"/>
        <v>40000</v>
      </c>
      <c r="J6" s="25">
        <f t="shared" si="5"/>
        <v>165000</v>
      </c>
      <c r="K6" s="25"/>
      <c r="L6" s="25" t="str">
        <f>HLOOKUP(J6,D6:$H$12,N6,FALSE)</f>
        <v>OptOpt_EB</v>
      </c>
      <c r="N6" s="25">
        <v>7</v>
      </c>
    </row>
    <row r="7" spans="1:14" ht="12.75" x14ac:dyDescent="0.25">
      <c r="A7" s="34">
        <v>165000</v>
      </c>
      <c r="C7" s="36" t="s">
        <v>3</v>
      </c>
      <c r="D7" s="35">
        <f t="shared" si="0"/>
        <v>165000</v>
      </c>
      <c r="E7" s="35">
        <f t="shared" si="4"/>
        <v>158974.625</v>
      </c>
      <c r="F7" s="35">
        <f t="shared" si="1"/>
        <v>40000</v>
      </c>
      <c r="G7" s="35">
        <f t="shared" si="2"/>
        <v>160240</v>
      </c>
      <c r="H7" s="35">
        <f t="shared" si="3"/>
        <v>40000</v>
      </c>
      <c r="J7" s="25">
        <f t="shared" si="5"/>
        <v>165000</v>
      </c>
      <c r="K7" s="25"/>
      <c r="L7" s="25" t="str">
        <f>HLOOKUP(J7,D7:$H$12,N7,FALSE)</f>
        <v>OptOpt_EB</v>
      </c>
      <c r="N7" s="25">
        <v>6</v>
      </c>
    </row>
    <row r="8" spans="1:14" ht="12.75" x14ac:dyDescent="0.25">
      <c r="A8" s="34">
        <v>165000</v>
      </c>
      <c r="C8" s="36" t="s">
        <v>6</v>
      </c>
      <c r="D8" s="35">
        <f t="shared" si="0"/>
        <v>156601.60000000001</v>
      </c>
      <c r="E8" s="35">
        <f t="shared" si="4"/>
        <v>131232.655</v>
      </c>
      <c r="F8" s="35">
        <f t="shared" si="1"/>
        <v>105137.0925</v>
      </c>
      <c r="G8" s="35">
        <f t="shared" si="2"/>
        <v>81218.55</v>
      </c>
      <c r="H8" s="35">
        <f t="shared" si="3"/>
        <v>70000</v>
      </c>
      <c r="J8" s="25">
        <f t="shared" si="5"/>
        <v>156601.60000000001</v>
      </c>
      <c r="K8" s="25"/>
      <c r="L8" s="25" t="str">
        <f>HLOOKUP(J8,D8:$H$12,N8,FALSE)</f>
        <v>OptOpt_EB</v>
      </c>
      <c r="N8" s="25">
        <v>5</v>
      </c>
    </row>
    <row r="9" spans="1:14" ht="12.75" x14ac:dyDescent="0.25">
      <c r="A9" s="34">
        <v>156601.60000000001</v>
      </c>
      <c r="C9" s="37" t="s">
        <v>23</v>
      </c>
      <c r="D9" s="35">
        <f t="shared" si="0"/>
        <v>1090000</v>
      </c>
      <c r="E9" s="35">
        <f t="shared" si="4"/>
        <v>1090000</v>
      </c>
      <c r="F9" s="35">
        <f t="shared" si="1"/>
        <v>1590000</v>
      </c>
      <c r="G9" s="35">
        <f t="shared" si="2"/>
        <v>2090000</v>
      </c>
      <c r="H9" s="35">
        <f t="shared" si="3"/>
        <v>2590000</v>
      </c>
      <c r="J9" s="25">
        <f t="shared" si="5"/>
        <v>2590000</v>
      </c>
      <c r="K9" s="25"/>
      <c r="L9" s="25" t="str">
        <f>HLOOKUP(J9,D9:$H$12,N9,FALSE)</f>
        <v>NoneNone_NBNB</v>
      </c>
      <c r="N9" s="25">
        <v>4</v>
      </c>
    </row>
    <row r="10" spans="1:14" ht="12.75" x14ac:dyDescent="0.25">
      <c r="A10" s="34">
        <v>1090000</v>
      </c>
      <c r="C10" s="37" t="s">
        <v>24</v>
      </c>
      <c r="D10" s="35">
        <f t="shared" si="0"/>
        <v>0.5</v>
      </c>
      <c r="E10" s="35">
        <f t="shared" si="4"/>
        <v>0.5</v>
      </c>
      <c r="F10" s="35">
        <f t="shared" si="1"/>
        <v>0.33333333333333298</v>
      </c>
      <c r="G10" s="35">
        <f t="shared" si="2"/>
        <v>0.16666666666666599</v>
      </c>
      <c r="H10" s="35">
        <f t="shared" si="3"/>
        <v>0</v>
      </c>
      <c r="J10" s="26"/>
      <c r="K10" s="26"/>
      <c r="L10" s="25"/>
      <c r="N10" s="25"/>
    </row>
    <row r="11" spans="1:14" ht="12.75" x14ac:dyDescent="0.25">
      <c r="A11" s="34">
        <v>0.5</v>
      </c>
      <c r="J11" s="25"/>
      <c r="K11" s="25"/>
      <c r="L11" s="25"/>
      <c r="N11" s="25"/>
    </row>
    <row r="12" spans="1:14" ht="12.75" x14ac:dyDescent="0.25">
      <c r="A12" s="34">
        <v>564934.1</v>
      </c>
      <c r="B12" s="39">
        <v>2</v>
      </c>
      <c r="C12" s="36">
        <f>A48</f>
        <v>0</v>
      </c>
      <c r="D12" s="36" t="str">
        <f>D1</f>
        <v>OptOpt_EB</v>
      </c>
      <c r="E12" s="36" t="str">
        <f t="shared" ref="E12:H12" si="6">E1</f>
        <v>OptOpt_BB</v>
      </c>
      <c r="F12" s="36" t="str">
        <f t="shared" si="6"/>
        <v>NoneOpt_NBB</v>
      </c>
      <c r="G12" s="36" t="str">
        <f t="shared" si="6"/>
        <v>OptNone_BNB</v>
      </c>
      <c r="H12" s="36" t="str">
        <f t="shared" si="6"/>
        <v>NoneNone_NBNB</v>
      </c>
      <c r="J12" s="26" t="s">
        <v>19</v>
      </c>
      <c r="K12" s="26"/>
      <c r="L12" s="26" t="s">
        <v>20</v>
      </c>
    </row>
    <row r="13" spans="1:14" ht="12.75" x14ac:dyDescent="0.25">
      <c r="A13" s="34">
        <v>565004.30000000005</v>
      </c>
      <c r="C13" s="36" t="str">
        <f t="shared" ref="C13:C21" si="7">C2</f>
        <v>(3, 0)</v>
      </c>
      <c r="D13" s="35" t="str">
        <f t="shared" ref="D13:D21" si="8">A49</f>
        <v>Process finished with exit code 0</v>
      </c>
      <c r="E13" s="35">
        <f t="shared" ref="E13:E21" si="9">A58</f>
        <v>562921</v>
      </c>
      <c r="F13" s="35">
        <f t="shared" ref="F13:F21" si="10">A67</f>
        <v>562860.875</v>
      </c>
      <c r="G13" s="35">
        <f t="shared" ref="G13:G21" si="11">A76</f>
        <v>90000</v>
      </c>
      <c r="H13" s="35">
        <f t="shared" ref="H13:H21" si="12">A85</f>
        <v>90000</v>
      </c>
      <c r="J13" s="25">
        <f>MAX(D13:H13)</f>
        <v>562921</v>
      </c>
      <c r="K13" s="25"/>
      <c r="L13" s="25" t="str">
        <f>HLOOKUP(J13,D13:$H$23,N2,FALSE)</f>
        <v>OptOpt_BB</v>
      </c>
      <c r="N13" s="25"/>
    </row>
    <row r="14" spans="1:14" ht="12.75" x14ac:dyDescent="0.25">
      <c r="A14" s="34">
        <v>156277.25</v>
      </c>
      <c r="C14" s="36" t="str">
        <f t="shared" si="7"/>
        <v>(3, 1)</v>
      </c>
      <c r="D14" s="35">
        <f t="shared" si="8"/>
        <v>531500</v>
      </c>
      <c r="E14" s="35">
        <f t="shared" si="9"/>
        <v>562782.875</v>
      </c>
      <c r="F14" s="35">
        <f t="shared" si="10"/>
        <v>563119.25</v>
      </c>
      <c r="G14" s="35">
        <f t="shared" si="11"/>
        <v>90000</v>
      </c>
      <c r="H14" s="35">
        <f t="shared" si="12"/>
        <v>90000</v>
      </c>
      <c r="J14" s="25">
        <f t="shared" ref="J14:J20" si="13">MAX(D14:H14)</f>
        <v>563119.25</v>
      </c>
      <c r="K14" s="25"/>
      <c r="L14" s="25" t="str">
        <f>HLOOKUP(J14,D14:$H$23,N3,FALSE)</f>
        <v>NoneOpt_NBB</v>
      </c>
      <c r="N14" s="25"/>
    </row>
    <row r="15" spans="1:14" ht="12.75" x14ac:dyDescent="0.25">
      <c r="A15" s="34">
        <v>156294</v>
      </c>
      <c r="C15" s="36" t="str">
        <f t="shared" si="7"/>
        <v>(2, 0)</v>
      </c>
      <c r="D15" s="35">
        <f t="shared" si="8"/>
        <v>165000</v>
      </c>
      <c r="E15" s="35">
        <f t="shared" si="9"/>
        <v>142573.79125000001</v>
      </c>
      <c r="F15" s="35">
        <f t="shared" si="10"/>
        <v>40000</v>
      </c>
      <c r="G15" s="35">
        <f t="shared" si="11"/>
        <v>158371.64374999999</v>
      </c>
      <c r="H15" s="35">
        <f t="shared" si="12"/>
        <v>40000</v>
      </c>
      <c r="J15" s="25">
        <f t="shared" si="13"/>
        <v>165000</v>
      </c>
      <c r="K15" s="25"/>
      <c r="L15" s="25" t="str">
        <f>HLOOKUP(J15,D15:$H$23,N4,FALSE)</f>
        <v>OptOpt_EB</v>
      </c>
      <c r="N15" s="25"/>
    </row>
    <row r="16" spans="1:14" ht="12.75" x14ac:dyDescent="0.25">
      <c r="A16" s="34">
        <v>158934.5</v>
      </c>
      <c r="C16" s="36" t="str">
        <f t="shared" si="7"/>
        <v>(2, 1)</v>
      </c>
      <c r="D16" s="35">
        <f t="shared" si="8"/>
        <v>165000</v>
      </c>
      <c r="E16" s="35">
        <f t="shared" si="9"/>
        <v>142633.75437499999</v>
      </c>
      <c r="F16" s="35">
        <f t="shared" si="10"/>
        <v>40000</v>
      </c>
      <c r="G16" s="35">
        <f t="shared" si="11"/>
        <v>158146.37687499999</v>
      </c>
      <c r="H16" s="35">
        <f t="shared" si="12"/>
        <v>40000</v>
      </c>
      <c r="J16" s="25">
        <f t="shared" si="13"/>
        <v>165000</v>
      </c>
      <c r="K16" s="25"/>
      <c r="L16" s="25" t="str">
        <f>HLOOKUP(J16,D16:$H$23,N5,FALSE)</f>
        <v>OptOpt_EB</v>
      </c>
      <c r="N16" s="25"/>
    </row>
    <row r="17" spans="1:14" ht="12.75" x14ac:dyDescent="0.25">
      <c r="A17" s="34">
        <v>158974.625</v>
      </c>
      <c r="C17" s="36" t="str">
        <f t="shared" si="7"/>
        <v>(1, 0)</v>
      </c>
      <c r="D17" s="35">
        <f t="shared" si="8"/>
        <v>165000</v>
      </c>
      <c r="E17" s="35">
        <f t="shared" si="9"/>
        <v>149075.73874999999</v>
      </c>
      <c r="F17" s="35">
        <f t="shared" si="10"/>
        <v>40000</v>
      </c>
      <c r="G17" s="35">
        <f t="shared" si="11"/>
        <v>152535.77312500001</v>
      </c>
      <c r="H17" s="35">
        <f t="shared" si="12"/>
        <v>40000</v>
      </c>
      <c r="J17" s="25">
        <f t="shared" si="13"/>
        <v>165000</v>
      </c>
      <c r="K17" s="25"/>
      <c r="L17" s="25" t="str">
        <f>HLOOKUP(J17,D17:$H$23,N6,FALSE)</f>
        <v>OptOpt_EB</v>
      </c>
      <c r="N17" s="25"/>
    </row>
    <row r="18" spans="1:14" ht="12.75" x14ac:dyDescent="0.25">
      <c r="A18" s="34">
        <v>131232.655</v>
      </c>
      <c r="C18" s="36" t="str">
        <f t="shared" si="7"/>
        <v>(1, 1)</v>
      </c>
      <c r="D18" s="35">
        <f t="shared" si="8"/>
        <v>165000</v>
      </c>
      <c r="E18" s="35">
        <f t="shared" si="9"/>
        <v>149205.38875000001</v>
      </c>
      <c r="F18" s="35">
        <f t="shared" si="10"/>
        <v>40000</v>
      </c>
      <c r="G18" s="35">
        <f t="shared" si="11"/>
        <v>152462.845</v>
      </c>
      <c r="H18" s="35">
        <f t="shared" si="12"/>
        <v>40000</v>
      </c>
      <c r="J18" s="25">
        <f t="shared" si="13"/>
        <v>165000</v>
      </c>
      <c r="K18" s="25"/>
      <c r="L18" s="25" t="str">
        <f>HLOOKUP(J18,D18:$H$23,N7,FALSE)</f>
        <v>OptOpt_EB</v>
      </c>
      <c r="N18" s="25"/>
    </row>
    <row r="19" spans="1:14" ht="12.75" x14ac:dyDescent="0.25">
      <c r="A19" s="34">
        <v>1090000</v>
      </c>
      <c r="C19" s="36" t="str">
        <f t="shared" si="7"/>
        <v>Inspector</v>
      </c>
      <c r="D19" s="35">
        <f t="shared" si="8"/>
        <v>163108.86249999999</v>
      </c>
      <c r="E19" s="35">
        <f t="shared" si="9"/>
        <v>178994.03937499999</v>
      </c>
      <c r="F19" s="35">
        <f t="shared" si="10"/>
        <v>106297.58749999999</v>
      </c>
      <c r="G19" s="35">
        <f t="shared" si="11"/>
        <v>103881.58624999999</v>
      </c>
      <c r="H19" s="35">
        <f t="shared" si="12"/>
        <v>70000</v>
      </c>
      <c r="J19" s="25">
        <f t="shared" si="13"/>
        <v>178994.03937499999</v>
      </c>
      <c r="K19" s="25"/>
      <c r="L19" s="25" t="str">
        <f>HLOOKUP(J19,D19:$H$23,N8,FALSE)</f>
        <v>OptOpt_BB</v>
      </c>
      <c r="N19" s="25"/>
    </row>
    <row r="20" spans="1:14" ht="12.75" x14ac:dyDescent="0.25">
      <c r="A20" s="34">
        <v>0.5</v>
      </c>
      <c r="C20" s="36" t="str">
        <f t="shared" si="7"/>
        <v>State</v>
      </c>
      <c r="D20" s="35">
        <f t="shared" si="8"/>
        <v>1090000</v>
      </c>
      <c r="E20" s="35">
        <f t="shared" si="9"/>
        <v>1090000</v>
      </c>
      <c r="F20" s="35">
        <f t="shared" si="10"/>
        <v>1590000</v>
      </c>
      <c r="G20" s="35">
        <f t="shared" si="11"/>
        <v>2090000</v>
      </c>
      <c r="H20" s="35">
        <f t="shared" si="12"/>
        <v>2590000</v>
      </c>
      <c r="J20" s="25">
        <f t="shared" si="13"/>
        <v>2590000</v>
      </c>
      <c r="K20" s="25"/>
      <c r="L20" s="25" t="str">
        <f>HLOOKUP(J20,D20:$H$23,N9,FALSE)</f>
        <v>NoneNone_NBNB</v>
      </c>
      <c r="N20" s="25"/>
    </row>
    <row r="21" spans="1:14" x14ac:dyDescent="0.25">
      <c r="A21" s="34">
        <v>565054.69999999995</v>
      </c>
      <c r="C21" s="36" t="str">
        <f t="shared" si="7"/>
        <v>LoC</v>
      </c>
      <c r="D21" s="35">
        <f t="shared" si="8"/>
        <v>0.5</v>
      </c>
      <c r="E21" s="35">
        <f t="shared" si="9"/>
        <v>0.5</v>
      </c>
      <c r="F21" s="35">
        <f t="shared" si="10"/>
        <v>0.33333333333333298</v>
      </c>
      <c r="G21" s="35">
        <f t="shared" si="11"/>
        <v>0.16666666666666599</v>
      </c>
      <c r="H21" s="35">
        <f t="shared" si="12"/>
        <v>0</v>
      </c>
    </row>
    <row r="22" spans="1:14" x14ac:dyDescent="0.25">
      <c r="A22" s="34">
        <v>564835.4</v>
      </c>
    </row>
    <row r="23" spans="1:14" ht="12.75" x14ac:dyDescent="0.25">
      <c r="A23" s="34">
        <v>40000</v>
      </c>
      <c r="B23" s="39">
        <v>3</v>
      </c>
      <c r="C23" s="36" t="str">
        <f>A94</f>
        <v>(1.2965,0.409521739)</v>
      </c>
      <c r="D23" s="36" t="str">
        <f>D12</f>
        <v>OptOpt_EB</v>
      </c>
      <c r="E23" s="36" t="str">
        <f t="shared" ref="E23:H23" si="14">E12</f>
        <v>OptOpt_BB</v>
      </c>
      <c r="F23" s="36" t="str">
        <f t="shared" si="14"/>
        <v>NoneOpt_NBB</v>
      </c>
      <c r="G23" s="36" t="str">
        <f t="shared" si="14"/>
        <v>OptNone_BNB</v>
      </c>
      <c r="H23" s="36" t="str">
        <f t="shared" si="14"/>
        <v>NoneNone_NBNB</v>
      </c>
      <c r="J23" s="26" t="s">
        <v>19</v>
      </c>
      <c r="K23" s="26"/>
      <c r="L23" s="26" t="s">
        <v>20</v>
      </c>
    </row>
    <row r="24" spans="1:14" ht="12.75" x14ac:dyDescent="0.25">
      <c r="A24" s="34">
        <v>40000</v>
      </c>
      <c r="C24" s="36" t="str">
        <f t="shared" ref="C24:C32" si="15">C2</f>
        <v>(3, 0)</v>
      </c>
      <c r="D24" s="35">
        <f t="shared" ref="D24:D32" si="16">A95</f>
        <v>499424.02937695797</v>
      </c>
      <c r="E24" s="35">
        <f t="shared" ref="E24:E32" si="17">A104</f>
        <v>555540.79327195405</v>
      </c>
      <c r="F24" s="35">
        <f t="shared" ref="F24:F32" si="18">A113</f>
        <v>555495.74588066398</v>
      </c>
      <c r="G24" s="35">
        <f t="shared" ref="G24:G32" si="19">A122</f>
        <v>90000</v>
      </c>
      <c r="H24" s="35">
        <f t="shared" ref="H24:H32" si="20">A131</f>
        <v>90000</v>
      </c>
      <c r="J24" s="25">
        <f>MAX(D24:H24)</f>
        <v>555540.79327195405</v>
      </c>
      <c r="K24" s="25"/>
      <c r="L24" s="25" t="str">
        <f>HLOOKUP(J24,D24:$H$34,N2,FALSE)</f>
        <v>OptOpt_BB</v>
      </c>
      <c r="N24" s="25"/>
    </row>
    <row r="25" spans="1:14" ht="12.75" x14ac:dyDescent="0.25">
      <c r="A25" s="34">
        <v>40000</v>
      </c>
      <c r="C25" s="36" t="str">
        <f t="shared" si="15"/>
        <v>(3, 1)</v>
      </c>
      <c r="D25" s="35">
        <f t="shared" si="16"/>
        <v>515962.564806421</v>
      </c>
      <c r="E25" s="35">
        <f t="shared" si="17"/>
        <v>555751.69696753798</v>
      </c>
      <c r="F25" s="35">
        <f t="shared" si="18"/>
        <v>556060.88588048297</v>
      </c>
      <c r="G25" s="35">
        <f t="shared" si="19"/>
        <v>90000</v>
      </c>
      <c r="H25" s="35">
        <f t="shared" si="20"/>
        <v>90000</v>
      </c>
      <c r="J25" s="25">
        <f t="shared" ref="J25:J31" si="21">MAX(D25:H25)</f>
        <v>556060.88588048297</v>
      </c>
      <c r="K25" s="25"/>
      <c r="L25" s="25" t="str">
        <f>HLOOKUP(J25,D25:$H$34,N3,FALSE)</f>
        <v>NoneOpt_NBB</v>
      </c>
      <c r="N25" s="25"/>
    </row>
    <row r="26" spans="1:14" ht="12.75" x14ac:dyDescent="0.25">
      <c r="A26" s="34">
        <v>40000</v>
      </c>
      <c r="C26" s="36" t="str">
        <f t="shared" si="15"/>
        <v>(2, 0)</v>
      </c>
      <c r="D26" s="35">
        <f t="shared" si="16"/>
        <v>165000</v>
      </c>
      <c r="E26" s="35">
        <f t="shared" si="17"/>
        <v>142730.99187500001</v>
      </c>
      <c r="F26" s="35">
        <f t="shared" si="18"/>
        <v>40000</v>
      </c>
      <c r="G26" s="35">
        <f t="shared" si="19"/>
        <v>158295.47437499999</v>
      </c>
      <c r="H26" s="35">
        <f t="shared" si="20"/>
        <v>40000</v>
      </c>
      <c r="J26" s="25">
        <f t="shared" si="21"/>
        <v>165000</v>
      </c>
      <c r="K26" s="25"/>
      <c r="L26" s="25" t="str">
        <f>HLOOKUP(J26,D26:$H$34,N4,FALSE)</f>
        <v>OptOpt_EB</v>
      </c>
      <c r="N26" s="25"/>
    </row>
    <row r="27" spans="1:14" ht="12.75" x14ac:dyDescent="0.25">
      <c r="A27" s="34">
        <v>105137.0925</v>
      </c>
      <c r="C27" s="36" t="str">
        <f t="shared" si="15"/>
        <v>(2, 1)</v>
      </c>
      <c r="D27" s="35">
        <f t="shared" si="16"/>
        <v>165000</v>
      </c>
      <c r="E27" s="35">
        <f t="shared" si="17"/>
        <v>142880.08937500001</v>
      </c>
      <c r="F27" s="35">
        <f t="shared" si="18"/>
        <v>40000</v>
      </c>
      <c r="G27" s="35">
        <f t="shared" si="19"/>
        <v>158329.50750000001</v>
      </c>
      <c r="H27" s="35">
        <f t="shared" si="20"/>
        <v>40000</v>
      </c>
      <c r="J27" s="25">
        <f t="shared" si="21"/>
        <v>165000</v>
      </c>
      <c r="K27" s="25"/>
      <c r="L27" s="25" t="str">
        <f>HLOOKUP(J27,D27:$H$34,N5,FALSE)</f>
        <v>OptOpt_EB</v>
      </c>
      <c r="N27" s="25"/>
    </row>
    <row r="28" spans="1:14" ht="12.75" x14ac:dyDescent="0.25">
      <c r="A28" s="34">
        <v>1590000</v>
      </c>
      <c r="C28" s="36" t="str">
        <f t="shared" si="15"/>
        <v>(1, 0)</v>
      </c>
      <c r="D28" s="35">
        <f t="shared" si="16"/>
        <v>165000</v>
      </c>
      <c r="E28" s="35">
        <f t="shared" si="17"/>
        <v>149241.04250000001</v>
      </c>
      <c r="F28" s="35">
        <f t="shared" si="18"/>
        <v>40000</v>
      </c>
      <c r="G28" s="35">
        <f t="shared" si="19"/>
        <v>152620.045625</v>
      </c>
      <c r="H28" s="35">
        <f t="shared" si="20"/>
        <v>40000</v>
      </c>
      <c r="J28" s="25">
        <f t="shared" si="21"/>
        <v>165000</v>
      </c>
      <c r="K28" s="25"/>
      <c r="L28" s="25" t="str">
        <f>HLOOKUP(J28,D28:$H$34,N6,FALSE)</f>
        <v>OptOpt_EB</v>
      </c>
      <c r="N28" s="25"/>
    </row>
    <row r="29" spans="1:14" ht="12.75" x14ac:dyDescent="0.25">
      <c r="A29" s="34">
        <v>0.33333333333333298</v>
      </c>
      <c r="C29" s="36" t="str">
        <f t="shared" si="15"/>
        <v>(1, 1)</v>
      </c>
      <c r="D29" s="35">
        <f t="shared" si="16"/>
        <v>165000</v>
      </c>
      <c r="E29" s="35">
        <f t="shared" si="17"/>
        <v>149106.53062500001</v>
      </c>
      <c r="F29" s="35">
        <f t="shared" si="18"/>
        <v>40000</v>
      </c>
      <c r="G29" s="35">
        <f t="shared" si="19"/>
        <v>152626.52812500001</v>
      </c>
      <c r="H29" s="35">
        <f t="shared" si="20"/>
        <v>40000</v>
      </c>
      <c r="J29" s="25">
        <f t="shared" si="21"/>
        <v>165000</v>
      </c>
      <c r="K29" s="25"/>
      <c r="L29" s="25" t="str">
        <f>HLOOKUP(J29,D29:$H$34,N7,FALSE)</f>
        <v>OptOpt_EB</v>
      </c>
      <c r="N29" s="25"/>
    </row>
    <row r="30" spans="1:14" ht="12.75" x14ac:dyDescent="0.25">
      <c r="A30" s="34">
        <v>90000</v>
      </c>
      <c r="C30" s="36" t="str">
        <f t="shared" si="15"/>
        <v>Inspector</v>
      </c>
      <c r="D30" s="35">
        <f t="shared" si="16"/>
        <v>196973.11831681401</v>
      </c>
      <c r="E30" s="35">
        <f t="shared" si="17"/>
        <v>192962.14288559399</v>
      </c>
      <c r="F30" s="35">
        <f t="shared" si="18"/>
        <v>120686.46823902</v>
      </c>
      <c r="G30" s="35">
        <f t="shared" si="19"/>
        <v>103567.769375</v>
      </c>
      <c r="H30" s="35">
        <f t="shared" si="20"/>
        <v>70000</v>
      </c>
      <c r="J30" s="25">
        <f t="shared" si="21"/>
        <v>196973.11831681401</v>
      </c>
      <c r="K30" s="25"/>
      <c r="L30" s="25" t="str">
        <f>HLOOKUP(J30,D30:$H$34,N8,FALSE)</f>
        <v>OptOpt_EB</v>
      </c>
      <c r="N30" s="25"/>
    </row>
    <row r="31" spans="1:14" ht="12.75" x14ac:dyDescent="0.25">
      <c r="A31" s="34">
        <v>90000</v>
      </c>
      <c r="C31" s="36" t="str">
        <f t="shared" si="15"/>
        <v>State</v>
      </c>
      <c r="D31" s="35">
        <f t="shared" si="16"/>
        <v>1090000</v>
      </c>
      <c r="E31" s="35">
        <f t="shared" si="17"/>
        <v>1090000</v>
      </c>
      <c r="F31" s="35">
        <f t="shared" si="18"/>
        <v>1590000</v>
      </c>
      <c r="G31" s="35">
        <f t="shared" si="19"/>
        <v>2090000</v>
      </c>
      <c r="H31" s="35">
        <f t="shared" si="20"/>
        <v>2590000</v>
      </c>
      <c r="J31" s="25">
        <f t="shared" si="21"/>
        <v>2590000</v>
      </c>
      <c r="K31" s="25"/>
      <c r="L31" s="25" t="str">
        <f>HLOOKUP(J31,D31:$H$34,N9,FALSE)</f>
        <v>NoneNone_NBNB</v>
      </c>
      <c r="N31" s="25"/>
    </row>
    <row r="32" spans="1:14" x14ac:dyDescent="0.25">
      <c r="A32" s="34">
        <v>162407.125</v>
      </c>
      <c r="C32" s="36" t="str">
        <f t="shared" si="15"/>
        <v>LoC</v>
      </c>
      <c r="D32" s="35">
        <f t="shared" si="16"/>
        <v>0.5</v>
      </c>
      <c r="E32" s="35">
        <f t="shared" si="17"/>
        <v>0.5</v>
      </c>
      <c r="F32" s="35">
        <f t="shared" si="18"/>
        <v>0.33333333333333298</v>
      </c>
      <c r="G32" s="35">
        <f t="shared" si="19"/>
        <v>0.16666666666666599</v>
      </c>
      <c r="H32" s="35">
        <f t="shared" si="20"/>
        <v>0</v>
      </c>
    </row>
    <row r="33" spans="1:14" x14ac:dyDescent="0.25">
      <c r="A33" s="34">
        <v>162405</v>
      </c>
    </row>
    <row r="34" spans="1:14" ht="12.75" x14ac:dyDescent="0.25">
      <c r="A34" s="34">
        <v>160186.625</v>
      </c>
      <c r="B34" s="39">
        <v>4</v>
      </c>
      <c r="C34" s="36" t="str">
        <f>A140</f>
        <v>(1.2965,0.494043478)</v>
      </c>
      <c r="D34" s="36" t="str">
        <f>D23</f>
        <v>OptOpt_EB</v>
      </c>
      <c r="E34" s="36" t="str">
        <f t="shared" ref="E34:H34" si="22">E23</f>
        <v>OptOpt_BB</v>
      </c>
      <c r="F34" s="36" t="str">
        <f t="shared" si="22"/>
        <v>NoneOpt_NBB</v>
      </c>
      <c r="G34" s="36" t="str">
        <f t="shared" si="22"/>
        <v>OptNone_BNB</v>
      </c>
      <c r="H34" s="36" t="str">
        <f t="shared" si="22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160240</v>
      </c>
      <c r="C35" s="36" t="str">
        <f t="shared" ref="C35:C43" si="23">C2</f>
        <v>(3, 0)</v>
      </c>
      <c r="D35" s="35">
        <f t="shared" ref="D35:D43" si="24">A141</f>
        <v>480270.47331922699</v>
      </c>
      <c r="E35" s="35">
        <f t="shared" ref="E35:E43" si="25">A150</f>
        <v>548278.02828307205</v>
      </c>
      <c r="F35" s="35">
        <f t="shared" ref="F35:F43" si="26">A159</f>
        <v>548804.18458714196</v>
      </c>
      <c r="G35" s="35">
        <f t="shared" ref="G35:G43" si="27">A168</f>
        <v>90000</v>
      </c>
      <c r="H35" s="35">
        <f t="shared" ref="H35:H43" si="28">A177</f>
        <v>90000</v>
      </c>
      <c r="J35" s="25">
        <f>MAX(D35:H35)</f>
        <v>548804.18458714196</v>
      </c>
      <c r="K35" s="25"/>
      <c r="L35" s="25" t="str">
        <f>HLOOKUP(J35,D35:$H$45,N2,FALSE)</f>
        <v>NoneOpt_NBB</v>
      </c>
      <c r="N35" s="25"/>
    </row>
    <row r="36" spans="1:14" ht="12.75" x14ac:dyDescent="0.25">
      <c r="A36" s="34">
        <v>81218.55</v>
      </c>
      <c r="C36" s="36" t="str">
        <f t="shared" si="23"/>
        <v>(3, 1)</v>
      </c>
      <c r="D36" s="35">
        <f t="shared" si="24"/>
        <v>500474.38135196798</v>
      </c>
      <c r="E36" s="35">
        <f t="shared" si="25"/>
        <v>548784.42284801998</v>
      </c>
      <c r="F36" s="35">
        <f t="shared" si="26"/>
        <v>548707.84610892902</v>
      </c>
      <c r="G36" s="35">
        <f t="shared" si="27"/>
        <v>90000</v>
      </c>
      <c r="H36" s="35">
        <f t="shared" si="28"/>
        <v>90000</v>
      </c>
      <c r="J36" s="25">
        <f t="shared" ref="J36:J42" si="29">MAX(D36:H36)</f>
        <v>548784.42284801998</v>
      </c>
      <c r="K36" s="25"/>
      <c r="L36" s="25" t="str">
        <f>HLOOKUP(J36,D36:$H$45,N3,FALSE)</f>
        <v>OptOpt_BB</v>
      </c>
      <c r="N36" s="25"/>
    </row>
    <row r="37" spans="1:14" ht="12.75" x14ac:dyDescent="0.25">
      <c r="A37" s="34">
        <v>2090000</v>
      </c>
      <c r="C37" s="36" t="str">
        <f t="shared" si="23"/>
        <v>(2, 0)</v>
      </c>
      <c r="D37" s="35">
        <f t="shared" si="24"/>
        <v>165000</v>
      </c>
      <c r="E37" s="35">
        <f t="shared" si="25"/>
        <v>142659.68437500001</v>
      </c>
      <c r="F37" s="35">
        <f t="shared" si="26"/>
        <v>40000</v>
      </c>
      <c r="G37" s="35">
        <f t="shared" si="27"/>
        <v>158366.78187499999</v>
      </c>
      <c r="H37" s="35">
        <f t="shared" si="28"/>
        <v>40000</v>
      </c>
      <c r="J37" s="25">
        <f t="shared" si="29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23"/>
        <v>(2, 1)</v>
      </c>
      <c r="D38" s="35">
        <f t="shared" si="24"/>
        <v>165000</v>
      </c>
      <c r="E38" s="35">
        <f t="shared" si="25"/>
        <v>142841.19437499999</v>
      </c>
      <c r="F38" s="35">
        <f t="shared" si="26"/>
        <v>40000</v>
      </c>
      <c r="G38" s="35">
        <f t="shared" si="27"/>
        <v>158154.48000000001</v>
      </c>
      <c r="H38" s="35">
        <f t="shared" si="28"/>
        <v>40000</v>
      </c>
      <c r="J38" s="25">
        <f t="shared" si="29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23"/>
        <v>(1, 0)</v>
      </c>
      <c r="D39" s="35">
        <f t="shared" si="24"/>
        <v>165000</v>
      </c>
      <c r="E39" s="35">
        <f t="shared" si="25"/>
        <v>149349.62437500001</v>
      </c>
      <c r="F39" s="35">
        <f t="shared" si="26"/>
        <v>40000</v>
      </c>
      <c r="G39" s="35">
        <f t="shared" si="27"/>
        <v>152534.1525</v>
      </c>
      <c r="H39" s="35">
        <f t="shared" si="28"/>
        <v>40000</v>
      </c>
      <c r="J39" s="25">
        <f t="shared" si="29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23"/>
        <v>(1, 1)</v>
      </c>
      <c r="D40" s="35">
        <f t="shared" si="24"/>
        <v>165000</v>
      </c>
      <c r="E40" s="35">
        <f t="shared" si="25"/>
        <v>149257.24875</v>
      </c>
      <c r="F40" s="35">
        <f t="shared" si="26"/>
        <v>40000</v>
      </c>
      <c r="G40" s="35">
        <f t="shared" si="27"/>
        <v>152620.045625</v>
      </c>
      <c r="H40" s="35">
        <f t="shared" si="28"/>
        <v>40000</v>
      </c>
      <c r="J40" s="25">
        <f t="shared" si="29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23"/>
        <v>Inspector</v>
      </c>
      <c r="D41" s="35">
        <f t="shared" si="24"/>
        <v>231444.08282937499</v>
      </c>
      <c r="E41" s="35">
        <f t="shared" si="25"/>
        <v>207041.634494222</v>
      </c>
      <c r="F41" s="35">
        <f t="shared" si="26"/>
        <v>134729.431804336</v>
      </c>
      <c r="G41" s="35">
        <f t="shared" si="27"/>
        <v>103737.715</v>
      </c>
      <c r="H41" s="35">
        <f t="shared" si="28"/>
        <v>70000</v>
      </c>
      <c r="J41" s="25">
        <f t="shared" si="29"/>
        <v>231444.08282937499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23"/>
        <v>State</v>
      </c>
      <c r="D42" s="35">
        <f t="shared" si="24"/>
        <v>1090000</v>
      </c>
      <c r="E42" s="35">
        <f t="shared" si="25"/>
        <v>1090000</v>
      </c>
      <c r="F42" s="35">
        <f t="shared" si="26"/>
        <v>1590000</v>
      </c>
      <c r="G42" s="35">
        <f t="shared" si="27"/>
        <v>2090000</v>
      </c>
      <c r="H42" s="35">
        <f t="shared" si="28"/>
        <v>2590000</v>
      </c>
      <c r="J42" s="25">
        <f t="shared" si="29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23"/>
        <v>LoC</v>
      </c>
      <c r="D43" s="35">
        <f t="shared" si="24"/>
        <v>0.5</v>
      </c>
      <c r="E43" s="35">
        <f t="shared" si="25"/>
        <v>0.5</v>
      </c>
      <c r="F43" s="35">
        <f t="shared" si="26"/>
        <v>0.33333333333333298</v>
      </c>
      <c r="G43" s="35">
        <f t="shared" si="27"/>
        <v>0.16666666666666599</v>
      </c>
      <c r="H43" s="35">
        <f t="shared" si="28"/>
        <v>0</v>
      </c>
    </row>
    <row r="44" spans="1:14" x14ac:dyDescent="0.25">
      <c r="A44" s="34">
        <v>40000</v>
      </c>
    </row>
    <row r="45" spans="1:14" ht="12.75" x14ac:dyDescent="0.25">
      <c r="A45" s="34">
        <v>70000</v>
      </c>
      <c r="B45" s="39">
        <v>5</v>
      </c>
      <c r="C45" s="36" t="str">
        <f>A186</f>
        <v>(1.2965,0.741065217)</v>
      </c>
      <c r="D45" s="36" t="str">
        <f>D34</f>
        <v>OptOpt_EB</v>
      </c>
      <c r="E45" s="36" t="str">
        <f t="shared" ref="E45:H45" si="30">E34</f>
        <v>OptOpt_BB</v>
      </c>
      <c r="F45" s="36" t="str">
        <f t="shared" si="30"/>
        <v>NoneOpt_NBB</v>
      </c>
      <c r="G45" s="36" t="str">
        <f t="shared" si="30"/>
        <v>OptNone_BNB</v>
      </c>
      <c r="H45" s="36" t="str">
        <f t="shared" si="30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C46" s="36" t="str">
        <f t="shared" ref="C46:C54" si="31">C2</f>
        <v>(3, 0)</v>
      </c>
      <c r="D46" s="35">
        <f t="shared" ref="D46:D54" si="32">A187</f>
        <v>424890.66965241201</v>
      </c>
      <c r="E46" s="35">
        <f t="shared" ref="E46:E54" si="33">A196</f>
        <v>528035.83188062406</v>
      </c>
      <c r="F46" s="35">
        <f t="shared" ref="F46:F54" si="34">A205</f>
        <v>527972.84133718605</v>
      </c>
      <c r="G46" s="35">
        <f t="shared" ref="G46:G54" si="35">A214</f>
        <v>90000</v>
      </c>
      <c r="H46" s="35">
        <f t="shared" ref="H46:H54" si="36">A223</f>
        <v>90000</v>
      </c>
      <c r="J46" s="25">
        <f>MAX(D46:H46)</f>
        <v>528035.83188062406</v>
      </c>
      <c r="K46" s="25"/>
      <c r="L46" s="25" t="str">
        <f>HLOOKUP(J46,D46:$H$56,N2,FALSE)</f>
        <v>OptOpt_BB</v>
      </c>
      <c r="N46" s="25"/>
    </row>
    <row r="47" spans="1:14" ht="12.75" x14ac:dyDescent="0.25">
      <c r="A47" s="34">
        <v>0</v>
      </c>
      <c r="C47" s="36" t="str">
        <f t="shared" si="31"/>
        <v>(3, 1)</v>
      </c>
      <c r="D47" s="35">
        <f t="shared" si="32"/>
        <v>457215.93441800401</v>
      </c>
      <c r="E47" s="35">
        <f t="shared" si="33"/>
        <v>528095.117097985</v>
      </c>
      <c r="F47" s="35">
        <f t="shared" si="34"/>
        <v>528632.38938030903</v>
      </c>
      <c r="G47" s="35">
        <f t="shared" si="35"/>
        <v>90000</v>
      </c>
      <c r="H47" s="35">
        <f t="shared" si="36"/>
        <v>90000</v>
      </c>
      <c r="J47" s="25">
        <f t="shared" ref="J47:J53" si="37">MAX(D47:H47)</f>
        <v>528632.38938030903</v>
      </c>
      <c r="K47" s="25"/>
      <c r="L47" s="25" t="str">
        <f>HLOOKUP(J47,D47:$H$56,N3,FALSE)</f>
        <v>NoneOpt_NBB</v>
      </c>
      <c r="N47" s="25"/>
    </row>
    <row r="48" spans="1:14" ht="12.75" x14ac:dyDescent="0.25">
      <c r="C48" s="36" t="str">
        <f t="shared" si="31"/>
        <v>(2, 0)</v>
      </c>
      <c r="D48" s="35">
        <f t="shared" si="32"/>
        <v>165000</v>
      </c>
      <c r="E48" s="35">
        <f t="shared" si="33"/>
        <v>142447.38250000001</v>
      </c>
      <c r="F48" s="35">
        <f t="shared" si="34"/>
        <v>40000</v>
      </c>
      <c r="G48" s="35">
        <f t="shared" si="35"/>
        <v>158384.60875000001</v>
      </c>
      <c r="H48" s="35">
        <f t="shared" si="36"/>
        <v>40000</v>
      </c>
      <c r="J48" s="25">
        <f t="shared" si="37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 t="s">
        <v>28</v>
      </c>
      <c r="C49" s="36" t="str">
        <f t="shared" si="31"/>
        <v>(2, 1)</v>
      </c>
      <c r="D49" s="35">
        <f t="shared" si="32"/>
        <v>165000</v>
      </c>
      <c r="E49" s="35">
        <f t="shared" si="33"/>
        <v>142418.21124999999</v>
      </c>
      <c r="F49" s="35">
        <f t="shared" si="34"/>
        <v>40000</v>
      </c>
      <c r="G49" s="35">
        <f t="shared" si="35"/>
        <v>158045.89812500001</v>
      </c>
      <c r="H49" s="35">
        <f t="shared" si="36"/>
        <v>40000</v>
      </c>
      <c r="J49" s="25">
        <f t="shared" si="37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531500</v>
      </c>
      <c r="C50" s="36" t="str">
        <f t="shared" si="31"/>
        <v>(1, 0)</v>
      </c>
      <c r="D50" s="35">
        <f t="shared" si="32"/>
        <v>165000</v>
      </c>
      <c r="E50" s="35">
        <f t="shared" si="33"/>
        <v>149422.55249999999</v>
      </c>
      <c r="F50" s="35">
        <f t="shared" si="34"/>
        <v>40000</v>
      </c>
      <c r="G50" s="35">
        <f t="shared" si="35"/>
        <v>152537.39374999999</v>
      </c>
      <c r="H50" s="35">
        <f t="shared" si="36"/>
        <v>40000</v>
      </c>
      <c r="J50" s="25">
        <f t="shared" si="37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165000</v>
      </c>
      <c r="C51" s="36" t="str">
        <f t="shared" si="31"/>
        <v>(1, 1)</v>
      </c>
      <c r="D51" s="35">
        <f t="shared" si="32"/>
        <v>165000</v>
      </c>
      <c r="E51" s="35">
        <f t="shared" si="33"/>
        <v>149085.46249999999</v>
      </c>
      <c r="F51" s="35">
        <f t="shared" si="34"/>
        <v>40000</v>
      </c>
      <c r="G51" s="35">
        <f t="shared" si="35"/>
        <v>152616.80437500001</v>
      </c>
      <c r="H51" s="35">
        <f t="shared" si="36"/>
        <v>40000</v>
      </c>
      <c r="J51" s="25">
        <f t="shared" si="37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165000</v>
      </c>
      <c r="C52" s="36" t="str">
        <f t="shared" si="31"/>
        <v>Inspector</v>
      </c>
      <c r="D52" s="35">
        <f t="shared" si="32"/>
        <v>330167.27093006502</v>
      </c>
      <c r="E52" s="35">
        <f t="shared" si="33"/>
        <v>248639.26727161699</v>
      </c>
      <c r="F52" s="35">
        <f t="shared" si="34"/>
        <v>175724.719282565</v>
      </c>
      <c r="G52" s="35">
        <f t="shared" si="35"/>
        <v>103813.07</v>
      </c>
      <c r="H52" s="35">
        <f t="shared" si="36"/>
        <v>70000</v>
      </c>
      <c r="J52" s="25">
        <f t="shared" si="37"/>
        <v>330167.27093006502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165000</v>
      </c>
      <c r="C53" s="36" t="str">
        <f t="shared" si="31"/>
        <v>State</v>
      </c>
      <c r="D53" s="35">
        <f t="shared" si="32"/>
        <v>1090000</v>
      </c>
      <c r="E53" s="35">
        <f t="shared" si="33"/>
        <v>1090000</v>
      </c>
      <c r="F53" s="35">
        <f t="shared" si="34"/>
        <v>1590000</v>
      </c>
      <c r="G53" s="35">
        <f t="shared" si="35"/>
        <v>2090000</v>
      </c>
      <c r="H53" s="35">
        <f t="shared" si="36"/>
        <v>2590000</v>
      </c>
      <c r="J53" s="25">
        <f t="shared" si="37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165000</v>
      </c>
      <c r="C54" s="36" t="str">
        <f t="shared" si="31"/>
        <v>LoC</v>
      </c>
      <c r="D54" s="35">
        <f t="shared" si="32"/>
        <v>0.5</v>
      </c>
      <c r="E54" s="35">
        <f t="shared" si="33"/>
        <v>0.5</v>
      </c>
      <c r="F54" s="35">
        <f t="shared" si="34"/>
        <v>0.33333333333333298</v>
      </c>
      <c r="G54" s="35">
        <f t="shared" si="35"/>
        <v>0.16666666666666599</v>
      </c>
      <c r="H54" s="35">
        <f t="shared" si="36"/>
        <v>0</v>
      </c>
    </row>
    <row r="55" spans="1:14" x14ac:dyDescent="0.25">
      <c r="A55" s="34">
        <v>163108.86249999999</v>
      </c>
    </row>
    <row r="56" spans="1:14" ht="12.75" x14ac:dyDescent="0.25">
      <c r="A56" s="34">
        <v>1090000</v>
      </c>
      <c r="B56" s="39">
        <v>6</v>
      </c>
      <c r="C56" s="36" t="str">
        <f>A232</f>
        <v>(2.593,0.1625)</v>
      </c>
      <c r="D56" s="36" t="str">
        <f>D45</f>
        <v>OptOpt_EB</v>
      </c>
      <c r="E56" s="36" t="str">
        <f t="shared" ref="E56:H56" si="38">E45</f>
        <v>OptOpt_BB</v>
      </c>
      <c r="F56" s="36" t="str">
        <f t="shared" si="38"/>
        <v>NoneOpt_NBB</v>
      </c>
      <c r="G56" s="36" t="str">
        <f t="shared" si="38"/>
        <v>OptNone_BNB</v>
      </c>
      <c r="H56" s="36" t="str">
        <f t="shared" si="38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C57" s="36" t="str">
        <f t="shared" ref="C57:C65" si="39">C2</f>
        <v>(3, 0)</v>
      </c>
      <c r="D57" s="35">
        <f>A233</f>
        <v>-1872305.95</v>
      </c>
      <c r="E57" s="35">
        <f>A242</f>
        <v>-336879.85</v>
      </c>
      <c r="F57" s="35">
        <f>A251</f>
        <v>-336324.1</v>
      </c>
      <c r="G57" s="35">
        <f>A260</f>
        <v>90000</v>
      </c>
      <c r="H57" s="35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562921</v>
      </c>
      <c r="C58" s="36" t="str">
        <f t="shared" si="39"/>
        <v>(3, 1)</v>
      </c>
      <c r="D58" s="35">
        <f t="shared" ref="D58:D65" si="40">A234</f>
        <v>-1428039.4</v>
      </c>
      <c r="E58" s="35">
        <f t="shared" ref="E58:E65" si="41">A243</f>
        <v>-337046.57500000001</v>
      </c>
      <c r="F58" s="35">
        <f t="shared" ref="F58:F65" si="42">A252</f>
        <v>-344049.02500000002</v>
      </c>
      <c r="G58" s="35">
        <f t="shared" ref="G58:G65" si="43">A261</f>
        <v>90000</v>
      </c>
      <c r="H58" s="35">
        <f t="shared" ref="H58:H65" si="44">A270</f>
        <v>90000</v>
      </c>
      <c r="J58" s="25">
        <f t="shared" ref="J58:J64" si="45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562782.875</v>
      </c>
      <c r="C59" s="36" t="str">
        <f t="shared" si="39"/>
        <v>(2, 0)</v>
      </c>
      <c r="D59" s="35">
        <f t="shared" si="40"/>
        <v>151876.47399999999</v>
      </c>
      <c r="E59" s="35">
        <f t="shared" si="41"/>
        <v>120082.75750000001</v>
      </c>
      <c r="F59" s="35">
        <f t="shared" si="42"/>
        <v>40000</v>
      </c>
      <c r="G59" s="35">
        <f t="shared" si="43"/>
        <v>151325.16625000001</v>
      </c>
      <c r="H59" s="35">
        <f t="shared" si="44"/>
        <v>40000</v>
      </c>
      <c r="J59" s="25">
        <f t="shared" si="45"/>
        <v>151876.47399999999</v>
      </c>
      <c r="K59" s="25"/>
      <c r="L59" s="25" t="str">
        <f>HLOOKUP(J59,D59:$H$67,N4,FALSE)</f>
        <v>OptOpt_EB</v>
      </c>
      <c r="N59" s="25"/>
    </row>
    <row r="60" spans="1:14" ht="12.75" x14ac:dyDescent="0.25">
      <c r="A60" s="34">
        <v>142573.79125000001</v>
      </c>
      <c r="C60" s="36" t="str">
        <f t="shared" si="39"/>
        <v>(2, 1)</v>
      </c>
      <c r="D60" s="35">
        <f t="shared" si="40"/>
        <v>151878.36799999999</v>
      </c>
      <c r="E60" s="35">
        <f t="shared" si="41"/>
        <v>119826.69875</v>
      </c>
      <c r="F60" s="35">
        <f t="shared" si="42"/>
        <v>40000</v>
      </c>
      <c r="G60" s="35">
        <f t="shared" si="43"/>
        <v>151662.25625000001</v>
      </c>
      <c r="H60" s="35">
        <f t="shared" si="44"/>
        <v>40000</v>
      </c>
      <c r="J60" s="25">
        <f t="shared" si="45"/>
        <v>151878.36799999999</v>
      </c>
      <c r="K60" s="25"/>
      <c r="L60" s="25" t="str">
        <f>HLOOKUP(J60,D60:$H$67,N5,FALSE)</f>
        <v>OptOpt_EB</v>
      </c>
      <c r="N60" s="25"/>
    </row>
    <row r="61" spans="1:14" ht="12.75" x14ac:dyDescent="0.25">
      <c r="A61" s="34">
        <v>142633.75437499999</v>
      </c>
      <c r="C61" s="36" t="str">
        <f t="shared" si="39"/>
        <v>(1, 0)</v>
      </c>
      <c r="D61" s="35">
        <f t="shared" si="40"/>
        <v>155797.054</v>
      </c>
      <c r="E61" s="35">
        <f t="shared" si="41"/>
        <v>133177.4075</v>
      </c>
      <c r="F61" s="35">
        <f t="shared" si="42"/>
        <v>40000</v>
      </c>
      <c r="G61" s="35">
        <f t="shared" si="43"/>
        <v>140120.16500000001</v>
      </c>
      <c r="H61" s="35">
        <f t="shared" si="44"/>
        <v>40000</v>
      </c>
      <c r="J61" s="25">
        <f t="shared" si="45"/>
        <v>155797.054</v>
      </c>
      <c r="K61" s="25"/>
      <c r="L61" s="25" t="str">
        <f>HLOOKUP(J61,D61:$H$67,N6,FALSE)</f>
        <v>OptOpt_EB</v>
      </c>
      <c r="N61" s="25"/>
    </row>
    <row r="62" spans="1:14" ht="12.75" x14ac:dyDescent="0.25">
      <c r="A62" s="34">
        <v>149075.73874999999</v>
      </c>
      <c r="C62" s="36" t="str">
        <f t="shared" si="39"/>
        <v>(1, 1)</v>
      </c>
      <c r="D62" s="35">
        <f t="shared" si="40"/>
        <v>155688.149</v>
      </c>
      <c r="E62" s="35">
        <f t="shared" si="41"/>
        <v>133867.79375000001</v>
      </c>
      <c r="F62" s="35">
        <f t="shared" si="42"/>
        <v>40000</v>
      </c>
      <c r="G62" s="35">
        <f t="shared" si="43"/>
        <v>140544.76874999999</v>
      </c>
      <c r="H62" s="35">
        <f t="shared" si="44"/>
        <v>40000</v>
      </c>
      <c r="J62" s="25">
        <f t="shared" si="45"/>
        <v>155688.149</v>
      </c>
      <c r="K62" s="25"/>
      <c r="L62" s="25" t="str">
        <f>HLOOKUP(J62,D62:$H$67,N7,FALSE)</f>
        <v>OptOpt_EB</v>
      </c>
      <c r="N62" s="25"/>
    </row>
    <row r="63" spans="1:14" ht="12.75" x14ac:dyDescent="0.25">
      <c r="A63" s="34">
        <v>149205.38875000001</v>
      </c>
      <c r="C63" s="36" t="str">
        <f t="shared" si="39"/>
        <v>Inspector</v>
      </c>
      <c r="D63" s="35">
        <f t="shared" si="40"/>
        <v>123039.7</v>
      </c>
      <c r="E63" s="35">
        <f t="shared" si="41"/>
        <v>230001.74249999999</v>
      </c>
      <c r="F63" s="35">
        <f t="shared" si="42"/>
        <v>81158.350000000006</v>
      </c>
      <c r="G63" s="35">
        <f t="shared" si="43"/>
        <v>141772.64374999999</v>
      </c>
      <c r="H63" s="35">
        <f t="shared" si="44"/>
        <v>70000</v>
      </c>
      <c r="J63" s="25">
        <f t="shared" si="45"/>
        <v>230001.74249999999</v>
      </c>
      <c r="K63" s="25"/>
      <c r="L63" s="25" t="str">
        <f>HLOOKUP(J63,D63:$H$67,N8,FALSE)</f>
        <v>OptOpt_BB</v>
      </c>
      <c r="N63" s="25"/>
    </row>
    <row r="64" spans="1:14" ht="12.75" x14ac:dyDescent="0.25">
      <c r="A64" s="34">
        <v>178994.03937499999</v>
      </c>
      <c r="C64" s="36" t="str">
        <f t="shared" si="39"/>
        <v>State</v>
      </c>
      <c r="D64" s="35">
        <f t="shared" si="40"/>
        <v>5535735.8049999997</v>
      </c>
      <c r="E64" s="35">
        <f t="shared" si="41"/>
        <v>2918907.1749999998</v>
      </c>
      <c r="F64" s="35">
        <f t="shared" si="42"/>
        <v>3425266.875</v>
      </c>
      <c r="G64" s="35">
        <f t="shared" si="43"/>
        <v>2090000</v>
      </c>
      <c r="H64" s="35">
        <f t="shared" si="44"/>
        <v>2590000</v>
      </c>
      <c r="J64" s="25">
        <f t="shared" si="45"/>
        <v>5535735.8049999997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1090000</v>
      </c>
      <c r="C65" s="36" t="str">
        <f t="shared" si="39"/>
        <v>LoC</v>
      </c>
      <c r="D65" s="35">
        <f t="shared" si="40"/>
        <v>0.5</v>
      </c>
      <c r="E65" s="35">
        <f t="shared" si="41"/>
        <v>0.5</v>
      </c>
      <c r="F65" s="35">
        <f t="shared" si="42"/>
        <v>0.33333333333333298</v>
      </c>
      <c r="G65" s="35">
        <f t="shared" si="43"/>
        <v>0.16666666666666599</v>
      </c>
      <c r="H65" s="35">
        <f t="shared" si="44"/>
        <v>0</v>
      </c>
    </row>
    <row r="66" spans="1:14" x14ac:dyDescent="0.25">
      <c r="A66" s="34">
        <v>0.5</v>
      </c>
    </row>
    <row r="67" spans="1:14" ht="12.75" x14ac:dyDescent="0.25">
      <c r="A67" s="34">
        <v>562860.875</v>
      </c>
      <c r="B67" s="39">
        <v>7</v>
      </c>
      <c r="C67" s="36" t="str">
        <f>A278</f>
        <v>(2.593,0.325)</v>
      </c>
      <c r="D67" s="36" t="str">
        <f>D56</f>
        <v>OptOpt_EB</v>
      </c>
      <c r="E67" s="36" t="str">
        <f t="shared" ref="E67:H67" si="46">E56</f>
        <v>OptOpt_BB</v>
      </c>
      <c r="F67" s="36" t="str">
        <f t="shared" si="46"/>
        <v>NoneOpt_NBB</v>
      </c>
      <c r="G67" s="36" t="str">
        <f t="shared" si="46"/>
        <v>OptNone_BNB</v>
      </c>
      <c r="H67" s="36" t="str">
        <f t="shared" si="46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563119.25</v>
      </c>
      <c r="C68" s="36" t="str">
        <f>C57</f>
        <v>(3, 0)</v>
      </c>
      <c r="D68" s="35">
        <f>A279</f>
        <v>517299.125</v>
      </c>
      <c r="E68" s="35">
        <f>A288</f>
        <v>563176.125</v>
      </c>
      <c r="F68" s="35">
        <f>A297</f>
        <v>562948.625</v>
      </c>
      <c r="G68" s="35">
        <f>A306</f>
        <v>90000</v>
      </c>
      <c r="H68" s="35">
        <f>A315</f>
        <v>90000</v>
      </c>
      <c r="J68" s="25">
        <f>MAX(D68:H68)</f>
        <v>563176.125</v>
      </c>
      <c r="K68" s="25"/>
      <c r="L68" s="25" t="str">
        <f>HLOOKUP(J68,D68:$H$78,N2,FALSE)</f>
        <v>OptOpt_BB</v>
      </c>
      <c r="N68" s="25"/>
    </row>
    <row r="69" spans="1:14" ht="12.75" x14ac:dyDescent="0.25">
      <c r="A69" s="34">
        <v>40000</v>
      </c>
      <c r="C69" s="36" t="str">
        <f t="shared" ref="C69:C76" si="47">C58</f>
        <v>(3, 1)</v>
      </c>
      <c r="D69" s="35">
        <f t="shared" ref="D69:D76" si="48">A280</f>
        <v>531529.25</v>
      </c>
      <c r="E69" s="35">
        <f t="shared" ref="E69:E76" si="49">A289</f>
        <v>563023.375</v>
      </c>
      <c r="F69" s="35">
        <f t="shared" ref="F69:F76" si="50">A298</f>
        <v>563046.125</v>
      </c>
      <c r="G69" s="35">
        <f t="shared" ref="G69:G76" si="51">A307</f>
        <v>90000</v>
      </c>
      <c r="H69" s="35">
        <f t="shared" ref="H69:H76" si="52">A316</f>
        <v>90000</v>
      </c>
      <c r="J69" s="25">
        <f t="shared" ref="J69:J75" si="53">MAX(D69:H69)</f>
        <v>563046.125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47"/>
        <v>(2, 0)</v>
      </c>
      <c r="D70" s="35">
        <f t="shared" si="48"/>
        <v>165000</v>
      </c>
      <c r="E70" s="35">
        <f t="shared" si="49"/>
        <v>119593.32875</v>
      </c>
      <c r="F70" s="35">
        <f t="shared" si="50"/>
        <v>40000</v>
      </c>
      <c r="G70" s="35">
        <f t="shared" si="51"/>
        <v>151568.26</v>
      </c>
      <c r="H70" s="35">
        <f t="shared" si="52"/>
        <v>40000</v>
      </c>
      <c r="J70" s="25">
        <f t="shared" si="53"/>
        <v>165000</v>
      </c>
      <c r="K70" s="25"/>
      <c r="L70" s="25" t="str">
        <f>HLOOKUP(J70,D70:$H$78,N4,FALSE)</f>
        <v>OptOpt_EB</v>
      </c>
      <c r="N70" s="25"/>
    </row>
    <row r="71" spans="1:14" ht="12.75" x14ac:dyDescent="0.25">
      <c r="A71" s="34">
        <v>40000</v>
      </c>
      <c r="C71" s="36" t="str">
        <f t="shared" si="47"/>
        <v>(2, 1)</v>
      </c>
      <c r="D71" s="35">
        <f t="shared" si="48"/>
        <v>165000</v>
      </c>
      <c r="E71" s="35">
        <f t="shared" si="49"/>
        <v>119735.94375000001</v>
      </c>
      <c r="F71" s="35">
        <f t="shared" si="50"/>
        <v>40000</v>
      </c>
      <c r="G71" s="35">
        <f t="shared" si="51"/>
        <v>151749.76999999999</v>
      </c>
      <c r="H71" s="35">
        <f t="shared" si="52"/>
        <v>40000</v>
      </c>
      <c r="J71" s="25">
        <f t="shared" si="53"/>
        <v>165000</v>
      </c>
      <c r="K71" s="25"/>
      <c r="L71" s="25" t="str">
        <f>HLOOKUP(J71,D71:$H$78,N5,FALSE)</f>
        <v>OptOpt_EB</v>
      </c>
      <c r="N71" s="25"/>
    </row>
    <row r="72" spans="1:14" ht="12.75" x14ac:dyDescent="0.25">
      <c r="A72" s="34">
        <v>40000</v>
      </c>
      <c r="C72" s="36" t="str">
        <f t="shared" si="47"/>
        <v>(1, 0)</v>
      </c>
      <c r="D72" s="35">
        <f t="shared" si="48"/>
        <v>165000</v>
      </c>
      <c r="E72" s="35">
        <f t="shared" si="49"/>
        <v>133375.12375</v>
      </c>
      <c r="F72" s="35">
        <f t="shared" si="50"/>
        <v>40000</v>
      </c>
      <c r="G72" s="35">
        <f t="shared" si="51"/>
        <v>140457.255</v>
      </c>
      <c r="H72" s="35">
        <f t="shared" si="52"/>
        <v>40000</v>
      </c>
      <c r="J72" s="25">
        <f t="shared" si="53"/>
        <v>165000</v>
      </c>
      <c r="K72" s="25"/>
      <c r="L72" s="25" t="str">
        <f>HLOOKUP(J72,D72:$H$78,N6,FALSE)</f>
        <v>OptOpt_EB</v>
      </c>
      <c r="N72" s="25"/>
    </row>
    <row r="73" spans="1:14" ht="12.75" x14ac:dyDescent="0.25">
      <c r="A73" s="34">
        <v>106297.58749999999</v>
      </c>
      <c r="C73" s="36" t="str">
        <f t="shared" si="47"/>
        <v>(1, 1)</v>
      </c>
      <c r="D73" s="35">
        <f t="shared" si="48"/>
        <v>165000</v>
      </c>
      <c r="E73" s="35">
        <f t="shared" si="49"/>
        <v>133595.52875</v>
      </c>
      <c r="F73" s="35">
        <f t="shared" si="50"/>
        <v>40000</v>
      </c>
      <c r="G73" s="35">
        <f t="shared" si="51"/>
        <v>140009.96249999999</v>
      </c>
      <c r="H73" s="35">
        <f t="shared" si="52"/>
        <v>40000</v>
      </c>
      <c r="J73" s="25">
        <f t="shared" si="53"/>
        <v>165000</v>
      </c>
      <c r="K73" s="25"/>
      <c r="L73" s="25" t="str">
        <f>HLOOKUP(J73,D73:$H$78,N7,FALSE)</f>
        <v>OptOpt_EB</v>
      </c>
      <c r="N73" s="25"/>
    </row>
    <row r="74" spans="1:14" ht="12.75" x14ac:dyDescent="0.25">
      <c r="A74" s="34">
        <v>1590000</v>
      </c>
      <c r="C74" s="36" t="str">
        <f t="shared" si="47"/>
        <v>Inspector</v>
      </c>
      <c r="D74" s="35">
        <f t="shared" si="48"/>
        <v>163369.53750000001</v>
      </c>
      <c r="E74" s="35">
        <f t="shared" si="49"/>
        <v>255716.875</v>
      </c>
      <c r="F74" s="35">
        <f t="shared" si="50"/>
        <v>106309.3</v>
      </c>
      <c r="G74" s="35">
        <f t="shared" si="51"/>
        <v>141658.6525</v>
      </c>
      <c r="H74" s="35">
        <f t="shared" si="52"/>
        <v>70000</v>
      </c>
      <c r="J74" s="25">
        <f t="shared" si="53"/>
        <v>255716.875</v>
      </c>
      <c r="K74" s="25"/>
      <c r="L74" s="25" t="str">
        <f>HLOOKUP(J74,D74:$H$78,N8,FALSE)</f>
        <v>OptOpt_BB</v>
      </c>
      <c r="N74" s="25"/>
    </row>
    <row r="75" spans="1:14" ht="12.75" x14ac:dyDescent="0.25">
      <c r="A75" s="34">
        <v>0.33333333333333298</v>
      </c>
      <c r="C75" s="36" t="str">
        <f t="shared" si="47"/>
        <v>State</v>
      </c>
      <c r="D75" s="35">
        <f t="shared" si="48"/>
        <v>1090000</v>
      </c>
      <c r="E75" s="35">
        <f t="shared" si="49"/>
        <v>1090000</v>
      </c>
      <c r="F75" s="35">
        <f t="shared" si="50"/>
        <v>1590000</v>
      </c>
      <c r="G75" s="35">
        <f t="shared" si="51"/>
        <v>2090000</v>
      </c>
      <c r="H75" s="35">
        <f t="shared" si="52"/>
        <v>2590000</v>
      </c>
      <c r="J75" s="25">
        <f t="shared" si="53"/>
        <v>2590000</v>
      </c>
      <c r="K75" s="25"/>
      <c r="L75" s="25" t="str">
        <f>HLOOKUP(J75,D75:$H$78,N9,FALSE)</f>
        <v>NoneNone_NBNB</v>
      </c>
      <c r="N75" s="25"/>
    </row>
    <row r="76" spans="1:14" ht="12.75" x14ac:dyDescent="0.25">
      <c r="A76" s="34">
        <v>90000</v>
      </c>
      <c r="C76" s="36" t="str">
        <f t="shared" si="47"/>
        <v>LoC</v>
      </c>
      <c r="D76" s="35">
        <f t="shared" si="48"/>
        <v>0.5</v>
      </c>
      <c r="E76" s="35">
        <f t="shared" si="49"/>
        <v>0.5</v>
      </c>
      <c r="F76" s="35">
        <f t="shared" si="50"/>
        <v>0.33333333333333298</v>
      </c>
      <c r="G76" s="35">
        <f t="shared" si="51"/>
        <v>0.16666666666666599</v>
      </c>
      <c r="H76" s="35">
        <f t="shared" si="52"/>
        <v>0</v>
      </c>
      <c r="L76" s="25"/>
    </row>
    <row r="77" spans="1:14" x14ac:dyDescent="0.25">
      <c r="A77" s="34">
        <v>90000</v>
      </c>
    </row>
    <row r="78" spans="1:14" ht="12.75" x14ac:dyDescent="0.25">
      <c r="A78" s="34">
        <v>158371.64374999999</v>
      </c>
      <c r="B78" s="39">
        <v>8</v>
      </c>
      <c r="C78" s="36" t="str">
        <f>A324</f>
        <v>(2.593,0.409521739)</v>
      </c>
      <c r="D78" s="36" t="str">
        <f>D67</f>
        <v>OptOpt_EB</v>
      </c>
      <c r="E78" s="36" t="str">
        <f t="shared" ref="E78:H78" si="54">E67</f>
        <v>OptOpt_BB</v>
      </c>
      <c r="F78" s="36" t="str">
        <f t="shared" si="54"/>
        <v>NoneOpt_NBB</v>
      </c>
      <c r="G78" s="36" t="str">
        <f t="shared" si="54"/>
        <v>OptNone_BNB</v>
      </c>
      <c r="H78" s="36" t="str">
        <f t="shared" si="54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158146.37687499999</v>
      </c>
      <c r="C79" s="36" t="str">
        <f>C68</f>
        <v>(3, 0)</v>
      </c>
      <c r="D79" s="35">
        <f>A325</f>
        <v>498776.98502933898</v>
      </c>
      <c r="E79" s="35">
        <f>A334</f>
        <v>555622.69761975401</v>
      </c>
      <c r="F79" s="35">
        <f>A343</f>
        <v>556200.12327174295</v>
      </c>
      <c r="G79" s="35">
        <f>A352</f>
        <v>90000</v>
      </c>
      <c r="H79" s="35">
        <f>A361</f>
        <v>90000</v>
      </c>
      <c r="J79" s="25">
        <f>MAX(D79:H79)</f>
        <v>556200.12327174295</v>
      </c>
      <c r="K79" s="25"/>
      <c r="L79" s="25" t="str">
        <f>HLOOKUP(J79,D79:$H$89,N2,FALSE)</f>
        <v>NoneOpt_NBB</v>
      </c>
      <c r="N79" s="25"/>
    </row>
    <row r="80" spans="1:14" ht="12.75" x14ac:dyDescent="0.25">
      <c r="A80" s="34">
        <v>152535.77312500001</v>
      </c>
      <c r="C80" s="36" t="str">
        <f t="shared" ref="C80:C87" si="55">C69</f>
        <v>(3, 1)</v>
      </c>
      <c r="D80" s="35">
        <f t="shared" ref="D80:D87" si="56">A326</f>
        <v>516052.65958900098</v>
      </c>
      <c r="E80" s="35">
        <f t="shared" ref="E80:E87" si="57">A335</f>
        <v>555919.60088052799</v>
      </c>
      <c r="F80" s="35">
        <f t="shared" ref="F80:F87" si="58">A344</f>
        <v>555622.69761975401</v>
      </c>
      <c r="G80" s="35">
        <f t="shared" ref="G80:G87" si="59">A353</f>
        <v>90000</v>
      </c>
      <c r="H80" s="35">
        <f t="shared" ref="H80:H87" si="60">A362</f>
        <v>90000</v>
      </c>
      <c r="J80" s="25">
        <f t="shared" ref="J80:J86" si="61">MAX(D80:H80)</f>
        <v>555919.60088052799</v>
      </c>
      <c r="K80" s="25"/>
      <c r="L80" s="25" t="str">
        <f>HLOOKUP(J80,D80:$H$89,N3,FALSE)</f>
        <v>OptOpt_BB</v>
      </c>
      <c r="N80" s="25"/>
    </row>
    <row r="81" spans="1:14" ht="12.75" x14ac:dyDescent="0.25">
      <c r="A81" s="34">
        <v>152462.845</v>
      </c>
      <c r="C81" s="36" t="str">
        <f t="shared" si="55"/>
        <v>(2, 0)</v>
      </c>
      <c r="D81" s="35">
        <f t="shared" si="56"/>
        <v>165000</v>
      </c>
      <c r="E81" s="35">
        <f t="shared" si="57"/>
        <v>119881.8</v>
      </c>
      <c r="F81" s="35">
        <f t="shared" si="58"/>
        <v>40000</v>
      </c>
      <c r="G81" s="35">
        <f t="shared" si="59"/>
        <v>151633.08499999999</v>
      </c>
      <c r="H81" s="35">
        <f t="shared" si="60"/>
        <v>40000</v>
      </c>
      <c r="J81" s="25">
        <f t="shared" si="61"/>
        <v>165000</v>
      </c>
      <c r="K81" s="25"/>
      <c r="L81" s="25" t="str">
        <f>HLOOKUP(J81,D81:$H$89,N4,FALSE)</f>
        <v>OptOpt_EB</v>
      </c>
      <c r="N81" s="25"/>
    </row>
    <row r="82" spans="1:14" ht="12.75" x14ac:dyDescent="0.25">
      <c r="A82" s="34">
        <v>103881.58624999999</v>
      </c>
      <c r="C82" s="36" t="str">
        <f t="shared" si="55"/>
        <v>(2, 1)</v>
      </c>
      <c r="D82" s="35">
        <f t="shared" si="56"/>
        <v>165000</v>
      </c>
      <c r="E82" s="35">
        <f t="shared" si="57"/>
        <v>119820.21625</v>
      </c>
      <c r="F82" s="35">
        <f t="shared" si="58"/>
        <v>40000</v>
      </c>
      <c r="G82" s="35">
        <f t="shared" si="59"/>
        <v>151487.22875000001</v>
      </c>
      <c r="H82" s="35">
        <f t="shared" si="60"/>
        <v>40000</v>
      </c>
      <c r="J82" s="25">
        <f t="shared" si="61"/>
        <v>165000</v>
      </c>
      <c r="K82" s="25"/>
      <c r="L82" s="25" t="str">
        <f>HLOOKUP(J82,D82:$H$89,N5,FALSE)</f>
        <v>OptOpt_EB</v>
      </c>
      <c r="N82" s="25"/>
    </row>
    <row r="83" spans="1:14" ht="12.75" x14ac:dyDescent="0.25">
      <c r="A83" s="34">
        <v>2090000</v>
      </c>
      <c r="C83" s="36" t="str">
        <f t="shared" si="55"/>
        <v>(1, 0)</v>
      </c>
      <c r="D83" s="35">
        <f t="shared" si="56"/>
        <v>165000</v>
      </c>
      <c r="E83" s="35">
        <f t="shared" si="57"/>
        <v>134010.40875</v>
      </c>
      <c r="F83" s="35">
        <f t="shared" si="58"/>
        <v>40000</v>
      </c>
      <c r="G83" s="35">
        <f t="shared" si="59"/>
        <v>139663.14874999999</v>
      </c>
      <c r="H83" s="35">
        <f t="shared" si="60"/>
        <v>40000</v>
      </c>
      <c r="J83" s="25">
        <f t="shared" si="61"/>
        <v>165000</v>
      </c>
      <c r="K83" s="25"/>
      <c r="L83" s="25" t="str">
        <f>HLOOKUP(J83,D83:$H$89,N6,FALSE)</f>
        <v>OptOpt_EB</v>
      </c>
      <c r="N83" s="25"/>
    </row>
    <row r="84" spans="1:14" ht="12.75" x14ac:dyDescent="0.25">
      <c r="A84" s="34">
        <v>0.16666666666666599</v>
      </c>
      <c r="C84" s="36" t="str">
        <f t="shared" si="55"/>
        <v>(1, 1)</v>
      </c>
      <c r="D84" s="35">
        <f t="shared" si="56"/>
        <v>165000</v>
      </c>
      <c r="E84" s="35">
        <f t="shared" si="57"/>
        <v>133378.36499999999</v>
      </c>
      <c r="F84" s="35">
        <f t="shared" si="58"/>
        <v>40000</v>
      </c>
      <c r="G84" s="35">
        <f t="shared" si="59"/>
        <v>140479.94375000001</v>
      </c>
      <c r="H84" s="35">
        <f t="shared" si="60"/>
        <v>40000</v>
      </c>
      <c r="J84" s="25">
        <f t="shared" si="61"/>
        <v>165000</v>
      </c>
      <c r="K84" s="25"/>
      <c r="L84" s="25" t="str">
        <f>HLOOKUP(J84,D84:$H$89,N7,FALSE)</f>
        <v>OptOpt_EB</v>
      </c>
      <c r="N84" s="25"/>
    </row>
    <row r="85" spans="1:14" ht="12.75" x14ac:dyDescent="0.25">
      <c r="A85" s="34">
        <v>90000</v>
      </c>
      <c r="C85" s="36" t="str">
        <f t="shared" si="55"/>
        <v>Inspector</v>
      </c>
      <c r="D85" s="35">
        <f t="shared" si="56"/>
        <v>197379.817881853</v>
      </c>
      <c r="E85" s="35">
        <f t="shared" si="57"/>
        <v>269524.49899976602</v>
      </c>
      <c r="F85" s="35">
        <f t="shared" si="58"/>
        <v>120442.75410866999</v>
      </c>
      <c r="G85" s="35">
        <f t="shared" si="59"/>
        <v>142148.71875</v>
      </c>
      <c r="H85" s="35">
        <f t="shared" si="60"/>
        <v>70000</v>
      </c>
      <c r="J85" s="25">
        <f t="shared" si="61"/>
        <v>269524.49899976602</v>
      </c>
      <c r="K85" s="25"/>
      <c r="L85" s="25" t="str">
        <f>HLOOKUP(J85,D85:$H$89,N8,FALSE)</f>
        <v>OptOpt_BB</v>
      </c>
      <c r="N85" s="25"/>
    </row>
    <row r="86" spans="1:14" ht="12.75" x14ac:dyDescent="0.25">
      <c r="A86" s="34">
        <v>90000</v>
      </c>
      <c r="C86" s="36" t="str">
        <f t="shared" si="55"/>
        <v>State</v>
      </c>
      <c r="D86" s="35">
        <f t="shared" si="56"/>
        <v>1090000</v>
      </c>
      <c r="E86" s="35">
        <f t="shared" si="57"/>
        <v>1090000</v>
      </c>
      <c r="F86" s="35">
        <f t="shared" si="58"/>
        <v>1590000</v>
      </c>
      <c r="G86" s="35">
        <f t="shared" si="59"/>
        <v>2090000</v>
      </c>
      <c r="H86" s="35">
        <f t="shared" si="60"/>
        <v>2590000</v>
      </c>
      <c r="J86" s="25">
        <f t="shared" si="61"/>
        <v>2590000</v>
      </c>
      <c r="K86" s="25"/>
      <c r="L86" s="25" t="str">
        <f>HLOOKUP(J86,D86:$H$89,N9,FALSE)</f>
        <v>NoneNone_NBNB</v>
      </c>
      <c r="N86" s="25"/>
    </row>
    <row r="87" spans="1:14" x14ac:dyDescent="0.25">
      <c r="A87" s="34">
        <v>40000</v>
      </c>
      <c r="C87" s="36" t="str">
        <f t="shared" si="55"/>
        <v>LoC</v>
      </c>
      <c r="D87" s="35">
        <f t="shared" si="56"/>
        <v>0.5</v>
      </c>
      <c r="E87" s="35">
        <f t="shared" si="57"/>
        <v>0.5</v>
      </c>
      <c r="F87" s="35">
        <f t="shared" si="58"/>
        <v>0.33333333333333298</v>
      </c>
      <c r="G87" s="35">
        <f t="shared" si="59"/>
        <v>0.16666666666666599</v>
      </c>
      <c r="H87" s="35">
        <f t="shared" si="60"/>
        <v>0</v>
      </c>
    </row>
    <row r="88" spans="1:14" x14ac:dyDescent="0.25">
      <c r="A88" s="34">
        <v>40000</v>
      </c>
    </row>
    <row r="89" spans="1:14" ht="12.75" x14ac:dyDescent="0.25">
      <c r="A89" s="34">
        <v>40000</v>
      </c>
      <c r="B89" s="39">
        <v>9</v>
      </c>
      <c r="C89" s="36" t="str">
        <f>A370</f>
        <v>(2.593,0.494043478)</v>
      </c>
      <c r="D89" s="36" t="str">
        <f>D78</f>
        <v>OptOpt_EB</v>
      </c>
      <c r="E89" s="36" t="str">
        <f t="shared" ref="E89:H89" si="62">E78</f>
        <v>OptOpt_BB</v>
      </c>
      <c r="F89" s="36" t="str">
        <f t="shared" si="62"/>
        <v>NoneOpt_NBB</v>
      </c>
      <c r="G89" s="36" t="str">
        <f t="shared" si="62"/>
        <v>OptNone_BNB</v>
      </c>
      <c r="H89" s="36" t="str">
        <f t="shared" si="62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C90" s="36" t="str">
        <f>C79</f>
        <v>(3, 0)</v>
      </c>
      <c r="D90" s="35">
        <f>A371</f>
        <v>480300.11592790397</v>
      </c>
      <c r="E90" s="35">
        <f>A380</f>
        <v>548426.24132647295</v>
      </c>
      <c r="F90" s="35">
        <f>A389</f>
        <v>548628.79915245005</v>
      </c>
      <c r="G90" s="35">
        <f>A398</f>
        <v>90000</v>
      </c>
      <c r="H90" s="35">
        <f>A407</f>
        <v>90000</v>
      </c>
      <c r="J90" s="25">
        <f>MAX(D90:H90)</f>
        <v>548628.79915245005</v>
      </c>
      <c r="K90" s="25"/>
      <c r="L90" s="25" t="str">
        <f>HLOOKUP(J90,D90:$H$100,N2,FALSE)</f>
        <v>NoneOpt_NBB</v>
      </c>
      <c r="N90" s="25"/>
    </row>
    <row r="91" spans="1:14" ht="12.75" x14ac:dyDescent="0.25">
      <c r="A91" s="34">
        <v>70000</v>
      </c>
      <c r="C91" s="36" t="str">
        <f t="shared" ref="C91:C98" si="63">C80</f>
        <v>(3, 1)</v>
      </c>
      <c r="D91" s="35">
        <f t="shared" ref="D91:D98" si="64">A372</f>
        <v>500353.340699861</v>
      </c>
      <c r="E91" s="35">
        <f t="shared" ref="E91:E98" si="65">A381</f>
        <v>549342.69197815703</v>
      </c>
      <c r="F91" s="35">
        <f t="shared" ref="F91:F98" si="66">A390</f>
        <v>548487.99676122097</v>
      </c>
      <c r="G91" s="35">
        <f t="shared" ref="G91:G98" si="67">A399</f>
        <v>90000</v>
      </c>
      <c r="H91" s="35">
        <f t="shared" ref="H91:H98" si="68">A408</f>
        <v>90000</v>
      </c>
      <c r="J91" s="25">
        <f t="shared" ref="J91:J97" si="69">MAX(D91:H91)</f>
        <v>549342.69197815703</v>
      </c>
      <c r="K91" s="25"/>
      <c r="L91" s="25" t="str">
        <f>HLOOKUP(J91,D91:$H$100,N3,FALSE)</f>
        <v>OptOpt_BB</v>
      </c>
      <c r="N91" s="25"/>
    </row>
    <row r="92" spans="1:14" ht="12.75" x14ac:dyDescent="0.25">
      <c r="A92" s="34">
        <v>2590000</v>
      </c>
      <c r="C92" s="36" t="str">
        <f t="shared" si="63"/>
        <v>(2, 0)</v>
      </c>
      <c r="D92" s="35">
        <f t="shared" si="64"/>
        <v>165000</v>
      </c>
      <c r="E92" s="35">
        <f t="shared" si="65"/>
        <v>120500.87875</v>
      </c>
      <c r="F92" s="35">
        <f t="shared" si="66"/>
        <v>40000</v>
      </c>
      <c r="G92" s="35">
        <f t="shared" si="67"/>
        <v>151380.26749999999</v>
      </c>
      <c r="H92" s="35">
        <f t="shared" si="68"/>
        <v>40000</v>
      </c>
      <c r="J92" s="25">
        <f t="shared" si="69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63"/>
        <v>(2, 1)</v>
      </c>
      <c r="D93" s="35">
        <f t="shared" si="64"/>
        <v>165000</v>
      </c>
      <c r="E93" s="35">
        <f t="shared" si="65"/>
        <v>119382.64750000001</v>
      </c>
      <c r="F93" s="35">
        <f t="shared" si="66"/>
        <v>40000</v>
      </c>
      <c r="G93" s="35">
        <f t="shared" si="67"/>
        <v>151707.63375000001</v>
      </c>
      <c r="H93" s="35">
        <f t="shared" si="68"/>
        <v>40000</v>
      </c>
      <c r="J93" s="25">
        <f t="shared" si="69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50</v>
      </c>
      <c r="C94" s="36" t="str">
        <f t="shared" si="63"/>
        <v>(1, 0)</v>
      </c>
      <c r="D94" s="35">
        <f t="shared" si="64"/>
        <v>165000</v>
      </c>
      <c r="E94" s="35">
        <f t="shared" si="65"/>
        <v>133352.435</v>
      </c>
      <c r="F94" s="35">
        <f t="shared" si="66"/>
        <v>40000</v>
      </c>
      <c r="G94" s="35">
        <f t="shared" si="67"/>
        <v>140256.29749999999</v>
      </c>
      <c r="H94" s="35">
        <f t="shared" si="68"/>
        <v>40000</v>
      </c>
      <c r="J94" s="25">
        <f t="shared" si="69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499424.02937695797</v>
      </c>
      <c r="C95" s="36" t="str">
        <f t="shared" si="63"/>
        <v>(1, 1)</v>
      </c>
      <c r="D95" s="35">
        <f t="shared" si="64"/>
        <v>165000</v>
      </c>
      <c r="E95" s="35">
        <f t="shared" si="65"/>
        <v>133864.55249999999</v>
      </c>
      <c r="F95" s="35">
        <f t="shared" si="66"/>
        <v>40000</v>
      </c>
      <c r="G95" s="35">
        <f t="shared" si="67"/>
        <v>139783.07500000001</v>
      </c>
      <c r="H95" s="35">
        <f t="shared" si="68"/>
        <v>40000</v>
      </c>
      <c r="J95" s="25">
        <f t="shared" si="69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515962.564806421</v>
      </c>
      <c r="C96" s="36" t="str">
        <f t="shared" si="63"/>
        <v>Inspector</v>
      </c>
      <c r="D96" s="35">
        <f t="shared" si="64"/>
        <v>231543.36837280399</v>
      </c>
      <c r="E96" s="35">
        <f t="shared" si="65"/>
        <v>283344.19044554798</v>
      </c>
      <c r="F96" s="35">
        <f t="shared" si="66"/>
        <v>135108.966586736</v>
      </c>
      <c r="G96" s="35">
        <f t="shared" si="67"/>
        <v>142277.30124999999</v>
      </c>
      <c r="H96" s="35">
        <f t="shared" si="68"/>
        <v>70000</v>
      </c>
      <c r="J96" s="25">
        <f t="shared" si="69"/>
        <v>283344.19044554798</v>
      </c>
      <c r="K96" s="25"/>
      <c r="L96" s="25" t="str">
        <f>HLOOKUP(J96,D96:$H$100,N8,FALSE)</f>
        <v>OptOpt_BB</v>
      </c>
      <c r="N96" s="25"/>
    </row>
    <row r="97" spans="1:14" ht="12.75" x14ac:dyDescent="0.25">
      <c r="A97" s="34">
        <v>165000</v>
      </c>
      <c r="C97" s="36" t="str">
        <f t="shared" si="63"/>
        <v>State</v>
      </c>
      <c r="D97" s="35">
        <f t="shared" si="64"/>
        <v>1090000</v>
      </c>
      <c r="E97" s="35">
        <f t="shared" si="65"/>
        <v>1090000</v>
      </c>
      <c r="F97" s="35">
        <f t="shared" si="66"/>
        <v>1590000</v>
      </c>
      <c r="G97" s="35">
        <f t="shared" si="67"/>
        <v>2090000</v>
      </c>
      <c r="H97" s="35">
        <f t="shared" si="68"/>
        <v>2590000</v>
      </c>
      <c r="J97" s="25">
        <f t="shared" si="69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165000</v>
      </c>
      <c r="C98" s="36" t="str">
        <f t="shared" si="63"/>
        <v>LoC</v>
      </c>
      <c r="D98" s="35">
        <f t="shared" si="64"/>
        <v>0.5</v>
      </c>
      <c r="E98" s="35">
        <f t="shared" si="65"/>
        <v>0.5</v>
      </c>
      <c r="F98" s="35">
        <f t="shared" si="66"/>
        <v>0.33333333333333298</v>
      </c>
      <c r="G98" s="35">
        <f t="shared" si="67"/>
        <v>0.16666666666666599</v>
      </c>
      <c r="H98" s="35">
        <f t="shared" si="68"/>
        <v>0</v>
      </c>
    </row>
    <row r="99" spans="1:14" x14ac:dyDescent="0.25">
      <c r="A99" s="34">
        <v>165000</v>
      </c>
    </row>
    <row r="100" spans="1:14" ht="12.75" x14ac:dyDescent="0.25">
      <c r="A100" s="34">
        <v>165000</v>
      </c>
      <c r="B100" s="39">
        <v>10</v>
      </c>
      <c r="C100" s="36" t="str">
        <f>A416</f>
        <v>(2.593,0.741065217)</v>
      </c>
      <c r="D100" s="36" t="str">
        <f>D89</f>
        <v>OptOpt_EB</v>
      </c>
      <c r="E100" s="36" t="str">
        <f t="shared" ref="E100:H100" si="70">E89</f>
        <v>OptOpt_BB</v>
      </c>
      <c r="F100" s="36" t="str">
        <f t="shared" si="70"/>
        <v>NoneOpt_NBB</v>
      </c>
      <c r="G100" s="36" t="str">
        <f t="shared" si="70"/>
        <v>OptNone_BNB</v>
      </c>
      <c r="H100" s="36" t="str">
        <f t="shared" si="70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196973.11831681401</v>
      </c>
      <c r="C101" s="36" t="str">
        <f>C90</f>
        <v>(3, 0)</v>
      </c>
      <c r="D101" s="35">
        <f>A417</f>
        <v>424905.49095674301</v>
      </c>
      <c r="E101" s="35">
        <f>A426</f>
        <v>528150.69698926201</v>
      </c>
      <c r="F101" s="35">
        <f>A435</f>
        <v>527565.25546782895</v>
      </c>
      <c r="G101" s="35">
        <f>A444</f>
        <v>90000</v>
      </c>
      <c r="H101" s="35">
        <f>A453</f>
        <v>90000</v>
      </c>
      <c r="J101" s="25">
        <f>MAX(D101:H101)</f>
        <v>528150.69698926201</v>
      </c>
      <c r="K101" s="25"/>
      <c r="L101" s="25" t="str">
        <f>HLOOKUP(J101,D101:$H$111,N2,FALSE)</f>
        <v>OptOpt_BB</v>
      </c>
      <c r="N101" s="25"/>
    </row>
    <row r="102" spans="1:14" ht="12.75" x14ac:dyDescent="0.25">
      <c r="A102" s="34">
        <v>1090000</v>
      </c>
      <c r="C102" s="36" t="str">
        <f t="shared" ref="C102:C109" si="71">C91</f>
        <v>(3, 1)</v>
      </c>
      <c r="D102" s="35">
        <f t="shared" ref="D102:D109" si="72">A418</f>
        <v>456567.50235313398</v>
      </c>
      <c r="E102" s="35">
        <f t="shared" ref="E102:E109" si="73">A427</f>
        <v>528191.45557619003</v>
      </c>
      <c r="F102" s="35">
        <f t="shared" ref="F102:F109" si="74">A436</f>
        <v>527995.07329368603</v>
      </c>
      <c r="G102" s="35">
        <f t="shared" ref="G102:G109" si="75">A445</f>
        <v>90000</v>
      </c>
      <c r="H102" s="35">
        <f t="shared" ref="H102:H109" si="76">A454</f>
        <v>90000</v>
      </c>
      <c r="J102" s="25">
        <f t="shared" ref="J102:J108" si="77">MAX(D102:H102)</f>
        <v>528191.45557619003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71"/>
        <v>(2, 0)</v>
      </c>
      <c r="D103" s="35">
        <f t="shared" si="72"/>
        <v>165000</v>
      </c>
      <c r="E103" s="35">
        <f t="shared" si="73"/>
        <v>119554.43375</v>
      </c>
      <c r="F103" s="35">
        <f t="shared" si="74"/>
        <v>40000</v>
      </c>
      <c r="G103" s="35">
        <f t="shared" si="75"/>
        <v>151649.29125000001</v>
      </c>
      <c r="H103" s="35">
        <f t="shared" si="76"/>
        <v>40000</v>
      </c>
      <c r="J103" s="25">
        <f t="shared" si="77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555540.79327195405</v>
      </c>
      <c r="C104" s="36" t="str">
        <f t="shared" si="71"/>
        <v>(2, 1)</v>
      </c>
      <c r="D104" s="35">
        <f t="shared" si="72"/>
        <v>165000</v>
      </c>
      <c r="E104" s="35">
        <f t="shared" si="73"/>
        <v>120134.61749999999</v>
      </c>
      <c r="F104" s="35">
        <f t="shared" si="74"/>
        <v>40000</v>
      </c>
      <c r="G104" s="35">
        <f t="shared" si="75"/>
        <v>151509.91750000001</v>
      </c>
      <c r="H104" s="35">
        <f t="shared" si="76"/>
        <v>40000</v>
      </c>
      <c r="J104" s="25">
        <f t="shared" si="77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555751.69696753798</v>
      </c>
      <c r="C105" s="36" t="str">
        <f t="shared" si="71"/>
        <v>(1, 0)</v>
      </c>
      <c r="D105" s="35">
        <f t="shared" si="72"/>
        <v>165000</v>
      </c>
      <c r="E105" s="35">
        <f t="shared" si="73"/>
        <v>133332.98749999999</v>
      </c>
      <c r="F105" s="35">
        <f t="shared" si="74"/>
        <v>40000</v>
      </c>
      <c r="G105" s="35">
        <f t="shared" si="75"/>
        <v>140207.67874999999</v>
      </c>
      <c r="H105" s="35">
        <f t="shared" si="76"/>
        <v>40000</v>
      </c>
      <c r="J105" s="25">
        <f t="shared" si="77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142730.99187500001</v>
      </c>
      <c r="C106" s="36" t="str">
        <f t="shared" si="71"/>
        <v>(1, 1)</v>
      </c>
      <c r="D106" s="35">
        <f t="shared" si="72"/>
        <v>165000</v>
      </c>
      <c r="E106" s="35">
        <f t="shared" si="73"/>
        <v>133981.23749999999</v>
      </c>
      <c r="F106" s="35">
        <f t="shared" si="74"/>
        <v>40000</v>
      </c>
      <c r="G106" s="35">
        <f t="shared" si="75"/>
        <v>140220.64374999999</v>
      </c>
      <c r="H106" s="35">
        <f t="shared" si="76"/>
        <v>40000</v>
      </c>
      <c r="J106" s="25">
        <f t="shared" si="77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142880.08937500001</v>
      </c>
      <c r="C107" s="36" t="str">
        <f t="shared" si="71"/>
        <v>Inspector</v>
      </c>
      <c r="D107" s="35">
        <f t="shared" si="72"/>
        <v>330840.84419060202</v>
      </c>
      <c r="E107" s="35">
        <f t="shared" si="73"/>
        <v>324827.85868486698</v>
      </c>
      <c r="F107" s="35">
        <f t="shared" si="74"/>
        <v>176632.821238537</v>
      </c>
      <c r="G107" s="35">
        <f t="shared" si="75"/>
        <v>141841.09375</v>
      </c>
      <c r="H107" s="35">
        <f t="shared" si="76"/>
        <v>70000</v>
      </c>
      <c r="J107" s="25">
        <f t="shared" si="77"/>
        <v>330840.84419060202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149241.04250000001</v>
      </c>
      <c r="C108" s="36" t="str">
        <f t="shared" si="71"/>
        <v>State</v>
      </c>
      <c r="D108" s="35">
        <f t="shared" si="72"/>
        <v>1090000</v>
      </c>
      <c r="E108" s="35">
        <f t="shared" si="73"/>
        <v>1090000</v>
      </c>
      <c r="F108" s="35">
        <f t="shared" si="74"/>
        <v>1590000</v>
      </c>
      <c r="G108" s="35">
        <f t="shared" si="75"/>
        <v>2090000</v>
      </c>
      <c r="H108" s="35">
        <f t="shared" si="76"/>
        <v>2590000</v>
      </c>
      <c r="J108" s="25">
        <f t="shared" si="77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149106.53062500001</v>
      </c>
      <c r="C109" s="36" t="str">
        <f t="shared" si="71"/>
        <v>LoC</v>
      </c>
      <c r="D109" s="35">
        <f t="shared" si="72"/>
        <v>0.5</v>
      </c>
      <c r="E109" s="35">
        <f t="shared" si="73"/>
        <v>0.5</v>
      </c>
      <c r="F109" s="35">
        <f t="shared" si="74"/>
        <v>0.33333333333333298</v>
      </c>
      <c r="G109" s="35">
        <f t="shared" si="75"/>
        <v>0.16666666666666599</v>
      </c>
      <c r="H109" s="35">
        <f t="shared" si="76"/>
        <v>0</v>
      </c>
    </row>
    <row r="110" spans="1:14" x14ac:dyDescent="0.25">
      <c r="A110" s="34">
        <v>192962.14288559399</v>
      </c>
    </row>
    <row r="111" spans="1:14" ht="12.75" x14ac:dyDescent="0.25">
      <c r="A111" s="34">
        <v>1090000</v>
      </c>
      <c r="B111" s="39">
        <v>11</v>
      </c>
      <c r="C111" s="36" t="str">
        <f>A462</f>
        <v>(3.8895,0.1625)</v>
      </c>
      <c r="D111" s="36" t="str">
        <f>D100</f>
        <v>OptOpt_EB</v>
      </c>
      <c r="E111" s="36" t="str">
        <f t="shared" ref="E111:H111" si="78">E100</f>
        <v>OptOpt_BB</v>
      </c>
      <c r="F111" s="36" t="str">
        <f t="shared" si="78"/>
        <v>NoneOpt_NBB</v>
      </c>
      <c r="G111" s="36" t="str">
        <f t="shared" si="78"/>
        <v>OptNone_BNB</v>
      </c>
      <c r="H111" s="36" t="str">
        <f t="shared" si="78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C112" s="36" t="str">
        <f>C101</f>
        <v>(3, 0)</v>
      </c>
      <c r="D112" s="35">
        <f>A463</f>
        <v>-1876918.675</v>
      </c>
      <c r="E112" s="35">
        <f>A372</f>
        <v>500353.340699861</v>
      </c>
      <c r="F112" s="35">
        <f>A481</f>
        <v>-324264.32500000001</v>
      </c>
      <c r="G112" s="35">
        <f>A490</f>
        <v>90000</v>
      </c>
      <c r="H112" s="35">
        <f>A499</f>
        <v>90000</v>
      </c>
      <c r="J112" s="25">
        <f>MAX(D112:H112)</f>
        <v>500353.340699861</v>
      </c>
      <c r="K112" s="25"/>
      <c r="L112" s="25" t="str">
        <f>HLOOKUP(J112,D112:$H$122,N2,FALSE)</f>
        <v>OptOpt_BB</v>
      </c>
      <c r="N112" s="25"/>
    </row>
    <row r="113" spans="1:14" ht="12.75" x14ac:dyDescent="0.25">
      <c r="A113" s="34">
        <v>555495.74588066398</v>
      </c>
      <c r="C113" s="36" t="str">
        <f t="shared" ref="C113:C120" si="79">C102</f>
        <v>(3, 1)</v>
      </c>
      <c r="D113" s="35">
        <f t="shared" ref="D113:D120" si="80">A464</f>
        <v>-1424649.325</v>
      </c>
      <c r="E113" s="35">
        <f t="shared" ref="E113:E120" si="81">A373</f>
        <v>165000</v>
      </c>
      <c r="F113" s="35">
        <f t="shared" ref="F113:F120" si="82">A482</f>
        <v>-338658.25</v>
      </c>
      <c r="G113" s="35">
        <f t="shared" ref="G113:G120" si="83">A491</f>
        <v>90000</v>
      </c>
      <c r="H113" s="35">
        <f t="shared" ref="H113:H120" si="84">A500</f>
        <v>90000</v>
      </c>
      <c r="J113" s="25">
        <f t="shared" ref="J113:J119" si="85">MAX(D113:H113)</f>
        <v>165000</v>
      </c>
      <c r="K113" s="25"/>
      <c r="L113" s="25" t="str">
        <f>HLOOKUP(J113,D113:$H$122,N3,FALSE)</f>
        <v>OptOpt_BB</v>
      </c>
      <c r="N113" s="25"/>
    </row>
    <row r="114" spans="1:14" ht="12.75" x14ac:dyDescent="0.25">
      <c r="A114" s="34">
        <v>556060.88588048297</v>
      </c>
      <c r="C114" s="36" t="str">
        <f t="shared" si="79"/>
        <v>(2, 0)</v>
      </c>
      <c r="D114" s="35">
        <f t="shared" si="80"/>
        <v>151876.47399999999</v>
      </c>
      <c r="E114" s="35">
        <f t="shared" si="81"/>
        <v>165000</v>
      </c>
      <c r="F114" s="35">
        <f t="shared" si="82"/>
        <v>40000</v>
      </c>
      <c r="G114" s="35">
        <f t="shared" si="83"/>
        <v>144939.90375</v>
      </c>
      <c r="H114" s="35">
        <f t="shared" si="84"/>
        <v>40000</v>
      </c>
      <c r="J114" s="25">
        <f t="shared" si="85"/>
        <v>165000</v>
      </c>
      <c r="K114" s="25"/>
      <c r="L114" s="25" t="str">
        <f>HLOOKUP(J114,D114:$H$122,N4,FALSE)</f>
        <v>OptOpt_BB</v>
      </c>
      <c r="N114" s="25"/>
    </row>
    <row r="115" spans="1:14" ht="12.75" x14ac:dyDescent="0.25">
      <c r="A115" s="34">
        <v>40000</v>
      </c>
      <c r="C115" s="36" t="str">
        <f t="shared" si="79"/>
        <v>(2, 1)</v>
      </c>
      <c r="D115" s="35">
        <f t="shared" si="80"/>
        <v>151865.10999999999</v>
      </c>
      <c r="E115" s="35">
        <f t="shared" si="81"/>
        <v>165000</v>
      </c>
      <c r="F115" s="35">
        <f t="shared" si="82"/>
        <v>40000</v>
      </c>
      <c r="G115" s="35">
        <f t="shared" si="83"/>
        <v>144721.11937500001</v>
      </c>
      <c r="H115" s="35">
        <f t="shared" si="84"/>
        <v>40000</v>
      </c>
      <c r="J115" s="25">
        <f t="shared" si="85"/>
        <v>165000</v>
      </c>
      <c r="K115" s="25"/>
      <c r="L115" s="25" t="str">
        <f>HLOOKUP(J115,D115:$H$122,N5,FALSE)</f>
        <v>OptOpt_BB</v>
      </c>
      <c r="N115" s="25"/>
    </row>
    <row r="116" spans="1:14" ht="12.75" x14ac:dyDescent="0.25">
      <c r="A116" s="34">
        <v>40000</v>
      </c>
      <c r="C116" s="36" t="str">
        <f t="shared" si="79"/>
        <v>(1, 0)</v>
      </c>
      <c r="D116" s="35">
        <f t="shared" si="80"/>
        <v>155799.89499999999</v>
      </c>
      <c r="E116" s="35">
        <f t="shared" si="81"/>
        <v>165000</v>
      </c>
      <c r="F116" s="35">
        <f t="shared" si="82"/>
        <v>40000</v>
      </c>
      <c r="G116" s="35">
        <f t="shared" si="83"/>
        <v>128020.57875</v>
      </c>
      <c r="H116" s="35">
        <f t="shared" si="84"/>
        <v>40000</v>
      </c>
      <c r="J116" s="25">
        <f t="shared" si="85"/>
        <v>165000</v>
      </c>
      <c r="K116" s="25"/>
      <c r="L116" s="25" t="str">
        <f>HLOOKUP(J116,D116:$H$122,N6,FALSE)</f>
        <v>OptOpt_BB</v>
      </c>
      <c r="N116" s="25"/>
    </row>
    <row r="117" spans="1:14" ht="12.75" x14ac:dyDescent="0.25">
      <c r="A117" s="34">
        <v>40000</v>
      </c>
      <c r="C117" s="36" t="str">
        <f t="shared" si="79"/>
        <v>(1, 1)</v>
      </c>
      <c r="D117" s="35">
        <f t="shared" si="80"/>
        <v>155676.785</v>
      </c>
      <c r="E117" s="35">
        <f t="shared" si="81"/>
        <v>231543.36837280399</v>
      </c>
      <c r="F117" s="35">
        <f t="shared" si="82"/>
        <v>40000</v>
      </c>
      <c r="G117" s="35">
        <f t="shared" si="83"/>
        <v>127952.5125</v>
      </c>
      <c r="H117" s="35">
        <f t="shared" si="84"/>
        <v>40000</v>
      </c>
      <c r="J117" s="25">
        <f t="shared" si="85"/>
        <v>231543.36837280399</v>
      </c>
      <c r="K117" s="25"/>
      <c r="L117" s="25" t="str">
        <f>HLOOKUP(J117,D117:$H$122,N7,FALSE)</f>
        <v>OptOpt_BB</v>
      </c>
      <c r="N117" s="25"/>
    </row>
    <row r="118" spans="1:14" ht="12.75" x14ac:dyDescent="0.25">
      <c r="A118" s="34">
        <v>40000</v>
      </c>
      <c r="C118" s="36" t="str">
        <f t="shared" si="79"/>
        <v>Inspector</v>
      </c>
      <c r="D118" s="35">
        <f t="shared" si="80"/>
        <v>123056.4</v>
      </c>
      <c r="E118" s="35">
        <f t="shared" si="81"/>
        <v>1090000</v>
      </c>
      <c r="F118" s="35">
        <f t="shared" si="82"/>
        <v>80891.8</v>
      </c>
      <c r="G118" s="35">
        <f t="shared" si="83"/>
        <v>179800.31062500001</v>
      </c>
      <c r="H118" s="35">
        <f t="shared" si="84"/>
        <v>70000</v>
      </c>
      <c r="J118" s="25">
        <f t="shared" si="85"/>
        <v>1090000</v>
      </c>
      <c r="K118" s="25"/>
      <c r="L118" s="25" t="str">
        <f>HLOOKUP(J118,D118:$H$122,N8,FALSE)</f>
        <v>OptOpt_BB</v>
      </c>
      <c r="N118" s="25"/>
    </row>
    <row r="119" spans="1:14" ht="12.75" x14ac:dyDescent="0.25">
      <c r="A119" s="34">
        <v>120686.46823902</v>
      </c>
      <c r="C119" s="36" t="str">
        <f t="shared" si="79"/>
        <v>State</v>
      </c>
      <c r="D119" s="35">
        <f t="shared" si="80"/>
        <v>5536954.5360000003</v>
      </c>
      <c r="E119" s="35">
        <f t="shared" si="81"/>
        <v>0.5</v>
      </c>
      <c r="F119" s="35">
        <f t="shared" si="82"/>
        <v>3408051.8250000002</v>
      </c>
      <c r="G119" s="35">
        <f t="shared" si="83"/>
        <v>2090000</v>
      </c>
      <c r="H119" s="35">
        <f t="shared" si="84"/>
        <v>2590000</v>
      </c>
      <c r="J119" s="25">
        <f t="shared" si="85"/>
        <v>5536954.5360000003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79"/>
        <v>LoC</v>
      </c>
      <c r="D120" s="35">
        <f t="shared" si="80"/>
        <v>0.5</v>
      </c>
      <c r="E120" s="35">
        <f t="shared" si="81"/>
        <v>548426.24132647295</v>
      </c>
      <c r="F120" s="35">
        <f t="shared" si="82"/>
        <v>0.33333333333333298</v>
      </c>
      <c r="G120" s="35">
        <f t="shared" si="83"/>
        <v>0.16666666666666599</v>
      </c>
      <c r="H120" s="35">
        <f t="shared" si="84"/>
        <v>0</v>
      </c>
    </row>
    <row r="121" spans="1:14" x14ac:dyDescent="0.25">
      <c r="A121" s="34">
        <v>0.33333333333333298</v>
      </c>
    </row>
    <row r="122" spans="1:14" ht="12.75" x14ac:dyDescent="0.25">
      <c r="A122" s="34">
        <v>90000</v>
      </c>
      <c r="B122" s="39">
        <v>12</v>
      </c>
      <c r="C122" s="36" t="str">
        <f>A508</f>
        <v>(3.8895,0.325)</v>
      </c>
      <c r="D122" s="36" t="str">
        <f>D111</f>
        <v>OptOpt_EB</v>
      </c>
      <c r="E122" s="36" t="str">
        <f t="shared" ref="E122:H122" si="86">E111</f>
        <v>OptOpt_BB</v>
      </c>
      <c r="F122" s="36" t="str">
        <f t="shared" si="86"/>
        <v>NoneOpt_NBB</v>
      </c>
      <c r="G122" s="36" t="str">
        <f t="shared" si="86"/>
        <v>OptNone_BNB</v>
      </c>
      <c r="H122" s="36" t="str">
        <f t="shared" si="86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C123" s="36" t="str">
        <f>C112</f>
        <v>(3, 0)</v>
      </c>
      <c r="D123" s="35">
        <f>A509</f>
        <v>517412.875</v>
      </c>
      <c r="E123" s="35">
        <f>A518</f>
        <v>563064</v>
      </c>
      <c r="F123" s="35">
        <f>A527</f>
        <v>562721.125</v>
      </c>
      <c r="G123" s="35">
        <f>A536</f>
        <v>90000</v>
      </c>
      <c r="H123" s="35">
        <f>A545</f>
        <v>90000</v>
      </c>
      <c r="J123" s="25">
        <f>MAX(D123:H123)</f>
        <v>563064</v>
      </c>
      <c r="K123" s="25"/>
      <c r="L123" s="25" t="str">
        <f>HLOOKUP(J123,D123:$H$133,N2,FALSE)</f>
        <v>OptOpt_BB</v>
      </c>
      <c r="N123" s="25"/>
    </row>
    <row r="124" spans="1:14" ht="12.75" x14ac:dyDescent="0.25">
      <c r="A124" s="34">
        <v>158295.47437499999</v>
      </c>
      <c r="C124" s="36" t="str">
        <f t="shared" ref="C124:C131" si="87">C113</f>
        <v>(3, 1)</v>
      </c>
      <c r="D124" s="35">
        <f t="shared" ref="D124:D130" si="88">A510</f>
        <v>531966.375</v>
      </c>
      <c r="E124" s="35">
        <f t="shared" ref="E124:E130" si="89">A519</f>
        <v>563101.375</v>
      </c>
      <c r="F124" s="35">
        <f t="shared" ref="F124:F130" si="90">A528</f>
        <v>563012</v>
      </c>
      <c r="G124" s="35">
        <f t="shared" ref="G124:G130" si="91">A537</f>
        <v>90000</v>
      </c>
      <c r="H124" s="35">
        <f t="shared" ref="H124:H130" si="92">A546</f>
        <v>90000</v>
      </c>
      <c r="J124" s="25">
        <f t="shared" ref="J124:J130" si="93">MAX(D124:H124)</f>
        <v>563101.375</v>
      </c>
      <c r="K124" s="25"/>
      <c r="L124" s="25" t="str">
        <f>HLOOKUP(J124,D124:$H$133,N3,FALSE)</f>
        <v>OptOpt_BB</v>
      </c>
      <c r="N124" s="25"/>
    </row>
    <row r="125" spans="1:14" ht="12.75" x14ac:dyDescent="0.25">
      <c r="A125" s="34">
        <v>158329.50750000001</v>
      </c>
      <c r="C125" s="36" t="str">
        <f t="shared" si="87"/>
        <v>(2, 0)</v>
      </c>
      <c r="D125" s="35">
        <f t="shared" si="88"/>
        <v>165000</v>
      </c>
      <c r="E125" s="35">
        <f t="shared" si="89"/>
        <v>97347.009374999994</v>
      </c>
      <c r="F125" s="35">
        <f t="shared" si="90"/>
        <v>40000</v>
      </c>
      <c r="G125" s="35">
        <f t="shared" si="91"/>
        <v>145100.34562499999</v>
      </c>
      <c r="H125" s="35">
        <f t="shared" si="92"/>
        <v>40000</v>
      </c>
      <c r="J125" s="25">
        <f t="shared" si="93"/>
        <v>165000</v>
      </c>
      <c r="K125" s="25"/>
      <c r="L125" s="25" t="str">
        <f>HLOOKUP(J125,D125:$H$133,N4,FALSE)</f>
        <v>OptOpt_EB</v>
      </c>
      <c r="N125" s="25"/>
    </row>
    <row r="126" spans="1:14" ht="12.75" x14ac:dyDescent="0.25">
      <c r="A126" s="34">
        <v>152620.045625</v>
      </c>
      <c r="C126" s="36" t="str">
        <f t="shared" si="87"/>
        <v>(2, 1)</v>
      </c>
      <c r="D126" s="35">
        <f t="shared" si="88"/>
        <v>165000</v>
      </c>
      <c r="E126" s="35">
        <f t="shared" si="89"/>
        <v>97347.009374999994</v>
      </c>
      <c r="F126" s="35">
        <f t="shared" si="90"/>
        <v>40000</v>
      </c>
      <c r="G126" s="35">
        <f t="shared" si="91"/>
        <v>144516.920625</v>
      </c>
      <c r="H126" s="35">
        <f t="shared" si="92"/>
        <v>40000</v>
      </c>
      <c r="J126" s="25">
        <f t="shared" si="93"/>
        <v>165000</v>
      </c>
      <c r="K126" s="25"/>
      <c r="L126" s="25" t="str">
        <f>HLOOKUP(J126,D126:$H$133,N5,FALSE)</f>
        <v>OptOpt_EB</v>
      </c>
      <c r="N126" s="25"/>
    </row>
    <row r="127" spans="1:14" ht="12.75" x14ac:dyDescent="0.25">
      <c r="A127" s="34">
        <v>152626.52812500001</v>
      </c>
      <c r="C127" s="36" t="str">
        <f t="shared" si="87"/>
        <v>(1, 0)</v>
      </c>
      <c r="D127" s="35">
        <f t="shared" si="88"/>
        <v>165000</v>
      </c>
      <c r="E127" s="35">
        <f t="shared" si="89"/>
        <v>117023.0175</v>
      </c>
      <c r="F127" s="35">
        <f t="shared" si="90"/>
        <v>40000</v>
      </c>
      <c r="G127" s="35">
        <f t="shared" si="91"/>
        <v>127062.78937499999</v>
      </c>
      <c r="H127" s="35">
        <f t="shared" si="92"/>
        <v>40000</v>
      </c>
      <c r="J127" s="25">
        <f t="shared" si="93"/>
        <v>165000</v>
      </c>
      <c r="K127" s="25"/>
      <c r="L127" s="25" t="str">
        <f>HLOOKUP(J127,D127:$H$133,N6,FALSE)</f>
        <v>OptOpt_EB</v>
      </c>
      <c r="N127" s="25"/>
    </row>
    <row r="128" spans="1:14" ht="12.75" x14ac:dyDescent="0.25">
      <c r="A128" s="34">
        <v>103567.769375</v>
      </c>
      <c r="C128" s="36" t="str">
        <f t="shared" si="87"/>
        <v>(1, 1)</v>
      </c>
      <c r="D128" s="35">
        <f t="shared" si="88"/>
        <v>165000</v>
      </c>
      <c r="E128" s="35">
        <f t="shared" si="89"/>
        <v>117849.53625</v>
      </c>
      <c r="F128" s="35">
        <f t="shared" si="90"/>
        <v>40000</v>
      </c>
      <c r="G128" s="35">
        <f t="shared" si="91"/>
        <v>128030.30250000001</v>
      </c>
      <c r="H128" s="35">
        <f t="shared" si="92"/>
        <v>40000</v>
      </c>
      <c r="J128" s="25">
        <f t="shared" si="93"/>
        <v>165000</v>
      </c>
      <c r="K128" s="25"/>
      <c r="L128" s="25" t="str">
        <f>HLOOKUP(J128,D128:$H$133,N7,FALSE)</f>
        <v>OptOpt_EB</v>
      </c>
      <c r="N128" s="25"/>
    </row>
    <row r="129" spans="1:14" ht="12.75" x14ac:dyDescent="0.25">
      <c r="A129" s="34">
        <v>2090000</v>
      </c>
      <c r="C129" s="36" t="str">
        <f t="shared" si="87"/>
        <v>Inspector</v>
      </c>
      <c r="D129" s="35">
        <f t="shared" si="88"/>
        <v>162962.72500000001</v>
      </c>
      <c r="E129" s="35">
        <f t="shared" si="89"/>
        <v>332498.86499999999</v>
      </c>
      <c r="F129" s="35">
        <f t="shared" si="90"/>
        <v>106565.6875</v>
      </c>
      <c r="G129" s="35">
        <f t="shared" si="91"/>
        <v>180694.44187499999</v>
      </c>
      <c r="H129" s="35">
        <f t="shared" si="92"/>
        <v>70000</v>
      </c>
      <c r="J129" s="25">
        <f t="shared" si="93"/>
        <v>332498.86499999999</v>
      </c>
      <c r="K129" s="25"/>
      <c r="L129" s="25" t="str">
        <f>HLOOKUP(J129,D129:$H$133,N8,FALSE)</f>
        <v>OptOpt_BB</v>
      </c>
      <c r="N129" s="25"/>
    </row>
    <row r="130" spans="1:14" ht="12.75" x14ac:dyDescent="0.25">
      <c r="A130" s="34">
        <v>0.16666666666666599</v>
      </c>
      <c r="C130" s="36" t="str">
        <f t="shared" si="87"/>
        <v>State</v>
      </c>
      <c r="D130" s="35">
        <f t="shared" si="88"/>
        <v>1090000</v>
      </c>
      <c r="E130" s="35">
        <f t="shared" si="89"/>
        <v>1090000</v>
      </c>
      <c r="F130" s="35">
        <f t="shared" si="90"/>
        <v>1590000</v>
      </c>
      <c r="G130" s="35">
        <f t="shared" si="91"/>
        <v>2090000</v>
      </c>
      <c r="H130" s="35">
        <f t="shared" si="92"/>
        <v>2590000</v>
      </c>
      <c r="J130" s="25">
        <f t="shared" si="93"/>
        <v>2590000</v>
      </c>
      <c r="K130" s="25"/>
      <c r="L130" s="25" t="str">
        <f>HLOOKUP(J130,D130:$H$133,N9,FALSE)</f>
        <v>NoneNone_NBNB</v>
      </c>
      <c r="N130" s="25"/>
    </row>
    <row r="131" spans="1:14" x14ac:dyDescent="0.25">
      <c r="A131" s="34">
        <v>90000</v>
      </c>
      <c r="C131" s="36" t="str">
        <f t="shared" si="87"/>
        <v>LoC</v>
      </c>
      <c r="D131" s="35">
        <f t="shared" ref="D131" si="94">A517</f>
        <v>0.5</v>
      </c>
      <c r="E131" s="35">
        <f t="shared" ref="E131" si="95">A526</f>
        <v>0.5</v>
      </c>
      <c r="F131" s="35">
        <f t="shared" ref="F131" si="96">A535</f>
        <v>0.33333333333333298</v>
      </c>
      <c r="G131" s="35">
        <f t="shared" ref="G131" si="97">A544</f>
        <v>0.16666666666666599</v>
      </c>
      <c r="H131" s="35">
        <f t="shared" ref="H131" si="98">A553</f>
        <v>0</v>
      </c>
    </row>
    <row r="132" spans="1:14" x14ac:dyDescent="0.25">
      <c r="A132" s="34">
        <v>90000</v>
      </c>
    </row>
    <row r="133" spans="1:14" ht="12.75" x14ac:dyDescent="0.25">
      <c r="A133" s="34">
        <v>40000</v>
      </c>
      <c r="B133" s="39">
        <v>13</v>
      </c>
      <c r="C133" s="36" t="str">
        <f>A554</f>
        <v>(3.8895,0.409521739)</v>
      </c>
      <c r="D133" s="36" t="str">
        <f>D122</f>
        <v>OptOpt_EB</v>
      </c>
      <c r="E133" s="36" t="str">
        <f t="shared" ref="E133:H133" si="99">E122</f>
        <v>OptOpt_BB</v>
      </c>
      <c r="F133" s="36" t="str">
        <f t="shared" si="99"/>
        <v>NoneOpt_NBB</v>
      </c>
      <c r="G133" s="36" t="str">
        <f t="shared" si="99"/>
        <v>OptNone_BNB</v>
      </c>
      <c r="H133" s="36" t="str">
        <f t="shared" si="99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C134" s="36" t="str">
        <f>C123</f>
        <v>(3, 0)</v>
      </c>
      <c r="D134" s="35">
        <f>A555</f>
        <v>498541.51002941403</v>
      </c>
      <c r="E134" s="35">
        <f>A564</f>
        <v>555772.17305448803</v>
      </c>
      <c r="F134" s="35">
        <f>A573</f>
        <v>555741.45892406395</v>
      </c>
      <c r="G134" s="35">
        <f>A582</f>
        <v>90000</v>
      </c>
      <c r="H134" s="35">
        <f>A591</f>
        <v>90000</v>
      </c>
      <c r="J134" s="25">
        <f>MAX(D134:H134)</f>
        <v>555772.17305448803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00">C124</f>
        <v>(3, 1)</v>
      </c>
      <c r="D135" s="35">
        <f t="shared" ref="D135:D142" si="101">A556</f>
        <v>516521.561980156</v>
      </c>
      <c r="E135" s="35">
        <f t="shared" ref="E135:E142" si="102">A565</f>
        <v>556069.07631526305</v>
      </c>
      <c r="F135" s="35">
        <f t="shared" ref="F135:F142" si="103">A574</f>
        <v>555741.45892406395</v>
      </c>
      <c r="G135" s="35">
        <f t="shared" ref="G135:G142" si="104">A583</f>
        <v>90000</v>
      </c>
      <c r="H135" s="35">
        <f t="shared" ref="H135:H142" si="105">A592</f>
        <v>90000</v>
      </c>
      <c r="J135" s="25">
        <f t="shared" ref="J135:J141" si="106">MAX(D135:H135)</f>
        <v>556069.07631526305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00"/>
        <v>(2, 0)</v>
      </c>
      <c r="D136" s="35">
        <f t="shared" si="101"/>
        <v>165000</v>
      </c>
      <c r="E136" s="35">
        <f t="shared" si="102"/>
        <v>97167.12</v>
      </c>
      <c r="F136" s="35">
        <f t="shared" si="103"/>
        <v>40000</v>
      </c>
      <c r="G136" s="35">
        <f t="shared" si="104"/>
        <v>144755.1525</v>
      </c>
      <c r="H136" s="35">
        <f t="shared" si="105"/>
        <v>40000</v>
      </c>
      <c r="J136" s="25">
        <f t="shared" si="106"/>
        <v>165000</v>
      </c>
      <c r="K136" s="25"/>
      <c r="L136" s="25" t="str">
        <f>HLOOKUP(J136,D136:$H$144,N4,FALSE)</f>
        <v>OptOpt_EB</v>
      </c>
      <c r="N136" s="25"/>
    </row>
    <row r="137" spans="1:14" ht="12.75" x14ac:dyDescent="0.25">
      <c r="A137" s="34">
        <v>70000</v>
      </c>
      <c r="C137" s="36" t="str">
        <f t="shared" si="100"/>
        <v>(2, 1)</v>
      </c>
      <c r="D137" s="35">
        <f t="shared" si="101"/>
        <v>165000</v>
      </c>
      <c r="E137" s="35">
        <f t="shared" si="102"/>
        <v>98231.870624999996</v>
      </c>
      <c r="F137" s="35">
        <f t="shared" si="103"/>
        <v>40000</v>
      </c>
      <c r="G137" s="35">
        <f t="shared" si="104"/>
        <v>145022.55562500001</v>
      </c>
      <c r="H137" s="35">
        <f t="shared" si="105"/>
        <v>40000</v>
      </c>
      <c r="J137" s="25">
        <f t="shared" si="106"/>
        <v>165000</v>
      </c>
      <c r="K137" s="25"/>
      <c r="L137" s="25" t="str">
        <f>HLOOKUP(J137,D137:$H$144,N5,FALSE)</f>
        <v>OptOpt_EB</v>
      </c>
      <c r="N137" s="25"/>
    </row>
    <row r="138" spans="1:14" ht="12.75" x14ac:dyDescent="0.25">
      <c r="A138" s="34">
        <v>2590000</v>
      </c>
      <c r="C138" s="36" t="str">
        <f t="shared" si="100"/>
        <v>(1, 0)</v>
      </c>
      <c r="D138" s="35">
        <f t="shared" si="101"/>
        <v>165000</v>
      </c>
      <c r="E138" s="35">
        <f t="shared" si="102"/>
        <v>117470.31</v>
      </c>
      <c r="F138" s="35">
        <f t="shared" si="103"/>
        <v>40000</v>
      </c>
      <c r="G138" s="35">
        <f t="shared" si="104"/>
        <v>126523.12125</v>
      </c>
      <c r="H138" s="35">
        <f t="shared" si="105"/>
        <v>40000</v>
      </c>
      <c r="J138" s="25">
        <f t="shared" si="106"/>
        <v>165000</v>
      </c>
      <c r="K138" s="25"/>
      <c r="L138" s="25" t="str">
        <f>HLOOKUP(J138,D138:$H$144,N6,FALSE)</f>
        <v>OptOpt_EB</v>
      </c>
      <c r="N138" s="25"/>
    </row>
    <row r="139" spans="1:14" ht="12.75" x14ac:dyDescent="0.25">
      <c r="A139" s="34">
        <v>0</v>
      </c>
      <c r="C139" s="36" t="str">
        <f t="shared" si="100"/>
        <v>(1, 1)</v>
      </c>
      <c r="D139" s="35">
        <f t="shared" si="101"/>
        <v>165000</v>
      </c>
      <c r="E139" s="35">
        <f t="shared" si="102"/>
        <v>117348.763125</v>
      </c>
      <c r="F139" s="35">
        <f t="shared" si="103"/>
        <v>40000</v>
      </c>
      <c r="G139" s="35">
        <f t="shared" si="104"/>
        <v>128638.03687500001</v>
      </c>
      <c r="H139" s="35">
        <f t="shared" si="105"/>
        <v>40000</v>
      </c>
      <c r="J139" s="25">
        <f t="shared" si="106"/>
        <v>165000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34" t="s">
        <v>51</v>
      </c>
      <c r="C140" s="36" t="str">
        <f t="shared" si="100"/>
        <v>Inspector</v>
      </c>
      <c r="D140" s="35">
        <f t="shared" si="101"/>
        <v>197177.01549062299</v>
      </c>
      <c r="E140" s="35">
        <f t="shared" si="102"/>
        <v>346156.399380274</v>
      </c>
      <c r="F140" s="35">
        <f t="shared" si="103"/>
        <v>120698.05715204</v>
      </c>
      <c r="G140" s="35">
        <f t="shared" si="104"/>
        <v>180477.10875000001</v>
      </c>
      <c r="H140" s="35">
        <f t="shared" si="105"/>
        <v>70000</v>
      </c>
      <c r="J140" s="25">
        <f t="shared" si="106"/>
        <v>346156.399380274</v>
      </c>
      <c r="K140" s="25"/>
      <c r="L140" s="25" t="str">
        <f>HLOOKUP(J140,D140:$H$144,N8,FALSE)</f>
        <v>OptOpt_BB</v>
      </c>
      <c r="N140" s="25"/>
    </row>
    <row r="141" spans="1:14" ht="12.75" x14ac:dyDescent="0.25">
      <c r="A141" s="34">
        <v>480270.47331922699</v>
      </c>
      <c r="C141" s="36" t="str">
        <f t="shared" si="100"/>
        <v>State</v>
      </c>
      <c r="D141" s="35">
        <f t="shared" si="101"/>
        <v>1090000</v>
      </c>
      <c r="E141" s="35">
        <f t="shared" si="102"/>
        <v>1090000</v>
      </c>
      <c r="F141" s="35">
        <f t="shared" si="103"/>
        <v>1590000</v>
      </c>
      <c r="G141" s="35">
        <f t="shared" si="104"/>
        <v>2090000</v>
      </c>
      <c r="H141" s="35">
        <f t="shared" si="105"/>
        <v>2590000</v>
      </c>
      <c r="J141" s="25">
        <f t="shared" si="106"/>
        <v>2590000</v>
      </c>
      <c r="K141" s="25"/>
      <c r="L141" s="25" t="str">
        <f>HLOOKUP(J141,D141:$H$144,N9,FALSE)</f>
        <v>NoneNone_NBNB</v>
      </c>
      <c r="N141" s="25"/>
    </row>
    <row r="142" spans="1:14" x14ac:dyDescent="0.25">
      <c r="A142" s="34">
        <v>500474.38135196798</v>
      </c>
      <c r="C142" s="36" t="str">
        <f t="shared" si="100"/>
        <v>LoC</v>
      </c>
      <c r="D142" s="35">
        <f t="shared" si="101"/>
        <v>0.5</v>
      </c>
      <c r="E142" s="35">
        <f t="shared" si="102"/>
        <v>0.5</v>
      </c>
      <c r="F142" s="35">
        <f t="shared" si="103"/>
        <v>0.33333333333333298</v>
      </c>
      <c r="G142" s="35">
        <f t="shared" si="104"/>
        <v>0.16666666666666599</v>
      </c>
      <c r="H142" s="35">
        <f t="shared" si="105"/>
        <v>0</v>
      </c>
    </row>
    <row r="143" spans="1:14" x14ac:dyDescent="0.25">
      <c r="A143" s="34">
        <v>165000</v>
      </c>
    </row>
    <row r="144" spans="1:14" ht="12.75" x14ac:dyDescent="0.25">
      <c r="A144" s="34">
        <v>165000</v>
      </c>
      <c r="B144" s="39">
        <v>14</v>
      </c>
      <c r="C144" s="36" t="str">
        <f>A600</f>
        <v>(3.8895,0.494043478)</v>
      </c>
      <c r="D144" s="36" t="str">
        <f>D133</f>
        <v>OptOpt_EB</v>
      </c>
      <c r="E144" s="36" t="str">
        <f t="shared" ref="E144:H144" si="107">E133</f>
        <v>OptOpt_BB</v>
      </c>
      <c r="F144" s="36" t="str">
        <f t="shared" si="107"/>
        <v>NoneOpt_NBB</v>
      </c>
      <c r="G144" s="36" t="str">
        <f t="shared" si="107"/>
        <v>OptNone_BNB</v>
      </c>
      <c r="H144" s="36" t="str">
        <f t="shared" si="107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C145" s="36" t="str">
        <f>C134</f>
        <v>(3, 0)</v>
      </c>
      <c r="D145" s="35">
        <f>A601</f>
        <v>480850.97440587502</v>
      </c>
      <c r="E145" s="35">
        <f>A610</f>
        <v>548791.83350019006</v>
      </c>
      <c r="F145" s="35">
        <f>A619</f>
        <v>549009.21263050905</v>
      </c>
      <c r="G145" s="35">
        <f>A628</f>
        <v>90000</v>
      </c>
      <c r="H145" s="35">
        <f>A637</f>
        <v>90000</v>
      </c>
      <c r="J145" s="25">
        <f>MAX(D145:H145)</f>
        <v>549009.21263050905</v>
      </c>
      <c r="K145" s="25"/>
      <c r="L145" s="25" t="str">
        <f>HLOOKUP(J145,D145:$H$155,N2,FALSE)</f>
        <v>NoneOpt_NBB</v>
      </c>
      <c r="N145" s="25"/>
    </row>
    <row r="146" spans="1:14" ht="12.75" x14ac:dyDescent="0.25">
      <c r="A146" s="34">
        <v>165000</v>
      </c>
      <c r="C146" s="36" t="str">
        <f t="shared" ref="C146:C153" si="108">C135</f>
        <v>(3, 1)</v>
      </c>
      <c r="D146" s="35">
        <f t="shared" ref="D146:D153" si="109">A602</f>
        <v>499950.69526529103</v>
      </c>
      <c r="E146" s="35">
        <f t="shared" ref="E146:E153" si="110">A611</f>
        <v>549626.76697800797</v>
      </c>
      <c r="F146" s="35">
        <f t="shared" ref="F146:F153" si="111">A620</f>
        <v>549308.10893469804</v>
      </c>
      <c r="G146" s="35">
        <f t="shared" ref="G146:G153" si="112">A629</f>
        <v>90000</v>
      </c>
      <c r="H146" s="35">
        <f t="shared" ref="H146:H153" si="113">A638</f>
        <v>90000</v>
      </c>
      <c r="J146" s="25">
        <f t="shared" ref="J146:J152" si="114">MAX(D146:H146)</f>
        <v>549626.76697800797</v>
      </c>
      <c r="K146" s="25"/>
      <c r="L146" s="25" t="str">
        <f>HLOOKUP(J146,D146:$H$155,N3,FALSE)</f>
        <v>OptOpt_BB</v>
      </c>
      <c r="N146" s="25"/>
    </row>
    <row r="147" spans="1:14" ht="12.75" x14ac:dyDescent="0.25">
      <c r="A147" s="34">
        <v>231444.08282937499</v>
      </c>
      <c r="C147" s="36" t="str">
        <f t="shared" si="108"/>
        <v>(2, 0)</v>
      </c>
      <c r="D147" s="35">
        <f t="shared" si="109"/>
        <v>165000</v>
      </c>
      <c r="E147" s="35">
        <f t="shared" si="110"/>
        <v>96967.783125000002</v>
      </c>
      <c r="F147" s="35">
        <f t="shared" si="111"/>
        <v>40000</v>
      </c>
      <c r="G147" s="35">
        <f t="shared" si="112"/>
        <v>144973.93687500001</v>
      </c>
      <c r="H147" s="35">
        <f t="shared" si="113"/>
        <v>40000</v>
      </c>
      <c r="J147" s="25">
        <f t="shared" si="114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08"/>
        <v>(2, 1)</v>
      </c>
      <c r="D148" s="35">
        <f t="shared" si="109"/>
        <v>165000</v>
      </c>
      <c r="E148" s="35">
        <f t="shared" si="110"/>
        <v>97167.12</v>
      </c>
      <c r="F148" s="35">
        <f t="shared" si="111"/>
        <v>40000</v>
      </c>
      <c r="G148" s="35">
        <f t="shared" si="112"/>
        <v>144721.11937500001</v>
      </c>
      <c r="H148" s="35">
        <f t="shared" si="113"/>
        <v>40000</v>
      </c>
      <c r="J148" s="25">
        <f t="shared" si="114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08"/>
        <v>(1, 0)</v>
      </c>
      <c r="D149" s="35">
        <f t="shared" si="109"/>
        <v>165000</v>
      </c>
      <c r="E149" s="35">
        <f t="shared" si="110"/>
        <v>117771.74625</v>
      </c>
      <c r="F149" s="35">
        <f t="shared" si="111"/>
        <v>40000</v>
      </c>
      <c r="G149" s="35">
        <f t="shared" si="112"/>
        <v>127203.78375</v>
      </c>
      <c r="H149" s="35">
        <f t="shared" si="113"/>
        <v>40000</v>
      </c>
      <c r="J149" s="25">
        <f t="shared" si="114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548278.02828307205</v>
      </c>
      <c r="C150" s="36" t="str">
        <f t="shared" si="108"/>
        <v>(1, 1)</v>
      </c>
      <c r="D150" s="35">
        <f t="shared" si="109"/>
        <v>165000</v>
      </c>
      <c r="E150" s="35">
        <f t="shared" si="110"/>
        <v>117480.03375</v>
      </c>
      <c r="F150" s="35">
        <f t="shared" si="111"/>
        <v>40000</v>
      </c>
      <c r="G150" s="35">
        <f t="shared" si="112"/>
        <v>128448.42375</v>
      </c>
      <c r="H150" s="35">
        <f t="shared" si="113"/>
        <v>40000</v>
      </c>
      <c r="J150" s="25">
        <f t="shared" si="114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548784.42284801998</v>
      </c>
      <c r="C151" s="36" t="str">
        <f t="shared" si="108"/>
        <v>Inspector</v>
      </c>
      <c r="D151" s="35">
        <f t="shared" si="109"/>
        <v>231420.955329405</v>
      </c>
      <c r="E151" s="35">
        <f t="shared" si="110"/>
        <v>360440.366396898</v>
      </c>
      <c r="F151" s="35">
        <f t="shared" si="111"/>
        <v>134014.640935195</v>
      </c>
      <c r="G151" s="35">
        <f t="shared" si="112"/>
        <v>180079.18625</v>
      </c>
      <c r="H151" s="35">
        <f t="shared" si="113"/>
        <v>70000</v>
      </c>
      <c r="J151" s="25">
        <f t="shared" si="114"/>
        <v>360440.366396898</v>
      </c>
      <c r="K151" s="25"/>
      <c r="L151" s="25" t="str">
        <f>HLOOKUP(J151,D151:$H$155,N8,FALSE)</f>
        <v>OptOpt_BB</v>
      </c>
      <c r="N151" s="25"/>
    </row>
    <row r="152" spans="1:14" ht="12.75" x14ac:dyDescent="0.25">
      <c r="A152" s="34">
        <v>142659.68437500001</v>
      </c>
      <c r="C152" s="36" t="str">
        <f t="shared" si="108"/>
        <v>State</v>
      </c>
      <c r="D152" s="35">
        <f t="shared" si="109"/>
        <v>1090000</v>
      </c>
      <c r="E152" s="35">
        <f t="shared" si="110"/>
        <v>1090000</v>
      </c>
      <c r="F152" s="35">
        <f t="shared" si="111"/>
        <v>1590000</v>
      </c>
      <c r="G152" s="35">
        <f t="shared" si="112"/>
        <v>2090000</v>
      </c>
      <c r="H152" s="35">
        <f t="shared" si="113"/>
        <v>2590000</v>
      </c>
      <c r="J152" s="25">
        <f t="shared" si="114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142841.19437499999</v>
      </c>
      <c r="C153" s="36" t="str">
        <f t="shared" si="108"/>
        <v>LoC</v>
      </c>
      <c r="D153" s="35">
        <f t="shared" si="109"/>
        <v>0.5</v>
      </c>
      <c r="E153" s="35">
        <f t="shared" si="110"/>
        <v>0.5</v>
      </c>
      <c r="F153" s="35">
        <f t="shared" si="111"/>
        <v>0.33333333333333298</v>
      </c>
      <c r="G153" s="35">
        <f t="shared" si="112"/>
        <v>0.16666666666666599</v>
      </c>
      <c r="H153" s="35">
        <f t="shared" si="113"/>
        <v>0</v>
      </c>
    </row>
    <row r="154" spans="1:14" x14ac:dyDescent="0.25">
      <c r="A154" s="34">
        <v>149349.62437500001</v>
      </c>
    </row>
    <row r="155" spans="1:14" ht="12.75" x14ac:dyDescent="0.25">
      <c r="A155" s="34">
        <v>149257.24875</v>
      </c>
      <c r="B155" s="39">
        <v>15</v>
      </c>
      <c r="C155" s="36" t="str">
        <f>A646</f>
        <v>(3.8895,0.741065217)</v>
      </c>
      <c r="D155" s="36" t="str">
        <f>D144</f>
        <v>OptOpt_EB</v>
      </c>
      <c r="E155" s="36" t="str">
        <f t="shared" ref="E155:H155" si="115">E144</f>
        <v>OptOpt_BB</v>
      </c>
      <c r="F155" s="36" t="str">
        <f t="shared" si="115"/>
        <v>NoneOpt_NBB</v>
      </c>
      <c r="G155" s="36" t="str">
        <f t="shared" si="115"/>
        <v>OptNone_BNB</v>
      </c>
      <c r="H155" s="36" t="str">
        <f t="shared" si="115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207041.634494222</v>
      </c>
      <c r="C156" s="36" t="str">
        <f>C145</f>
        <v>(3, 0)</v>
      </c>
      <c r="D156" s="35">
        <f>A647</f>
        <v>425046.29334798001</v>
      </c>
      <c r="E156" s="35">
        <f>A656</f>
        <v>528206.27688053495</v>
      </c>
      <c r="F156" s="35">
        <f>A665</f>
        <v>527854.27090245695</v>
      </c>
      <c r="G156" s="35">
        <f>A674</f>
        <v>90000</v>
      </c>
      <c r="H156" s="35">
        <f>A683</f>
        <v>90000</v>
      </c>
      <c r="J156" s="25">
        <f>MAX(D156:H156)</f>
        <v>528206.27688053495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1090000</v>
      </c>
      <c r="C157" s="36" t="str">
        <f t="shared" ref="C157:C164" si="116">C146</f>
        <v>(3, 1)</v>
      </c>
      <c r="D157" s="35">
        <f t="shared" ref="D157:D162" si="117">A648</f>
        <v>457167.76517889602</v>
      </c>
      <c r="E157" s="35">
        <f t="shared" ref="E157:E162" si="118">A657</f>
        <v>528602.74677162804</v>
      </c>
      <c r="F157" s="35">
        <f t="shared" ref="F157:F162" si="119">A666</f>
        <v>528358.19525001897</v>
      </c>
      <c r="G157" s="35">
        <f t="shared" ref="G157:G162" si="120">A675</f>
        <v>90000</v>
      </c>
      <c r="H157" s="35">
        <f t="shared" ref="H157:H162" si="121">A684</f>
        <v>90000</v>
      </c>
      <c r="J157" s="25">
        <f t="shared" ref="J157:J163" si="122">MAX(D157:H157)</f>
        <v>528602.74677162804</v>
      </c>
      <c r="K157" s="25"/>
      <c r="L157" s="25" t="str">
        <f>HLOOKUP(J157,D157:$H$166,N3,FALSE)</f>
        <v>OptOpt_BB</v>
      </c>
      <c r="N157" s="25"/>
    </row>
    <row r="158" spans="1:14" ht="12.75" x14ac:dyDescent="0.25">
      <c r="A158" s="34">
        <v>0.5</v>
      </c>
      <c r="C158" s="36" t="str">
        <f t="shared" si="116"/>
        <v>(2, 0)</v>
      </c>
      <c r="D158" s="35">
        <f t="shared" si="117"/>
        <v>165000</v>
      </c>
      <c r="E158" s="35">
        <f t="shared" si="118"/>
        <v>97517.175000000003</v>
      </c>
      <c r="F158" s="35">
        <f t="shared" si="119"/>
        <v>40000</v>
      </c>
      <c r="G158" s="35">
        <f t="shared" si="120"/>
        <v>144784.32375000001</v>
      </c>
      <c r="H158" s="35">
        <f t="shared" si="121"/>
        <v>40000</v>
      </c>
      <c r="J158" s="25">
        <f t="shared" si="122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548804.18458714196</v>
      </c>
      <c r="C159" s="36" t="str">
        <f t="shared" si="116"/>
        <v>(2, 1)</v>
      </c>
      <c r="D159" s="35">
        <f t="shared" si="117"/>
        <v>165000</v>
      </c>
      <c r="E159" s="35">
        <f t="shared" si="118"/>
        <v>96841.374374999999</v>
      </c>
      <c r="F159" s="35">
        <f t="shared" si="119"/>
        <v>40000</v>
      </c>
      <c r="G159" s="35">
        <f t="shared" si="120"/>
        <v>145066.3125</v>
      </c>
      <c r="H159" s="35">
        <f t="shared" si="121"/>
        <v>40000</v>
      </c>
      <c r="J159" s="25">
        <f t="shared" si="122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548707.84610892902</v>
      </c>
      <c r="C160" s="36" t="str">
        <f t="shared" si="116"/>
        <v>(1, 0)</v>
      </c>
      <c r="D160" s="35">
        <f t="shared" si="117"/>
        <v>165000</v>
      </c>
      <c r="E160" s="35">
        <f t="shared" si="118"/>
        <v>117100.8075</v>
      </c>
      <c r="F160" s="35">
        <f t="shared" si="119"/>
        <v>40000</v>
      </c>
      <c r="G160" s="35">
        <f t="shared" si="120"/>
        <v>127855.27499999999</v>
      </c>
      <c r="H160" s="35">
        <f t="shared" si="121"/>
        <v>40000</v>
      </c>
      <c r="J160" s="25">
        <f t="shared" si="122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16"/>
        <v>(1, 1)</v>
      </c>
      <c r="D161" s="35">
        <f t="shared" si="117"/>
        <v>165000</v>
      </c>
      <c r="E161" s="35">
        <f t="shared" si="118"/>
        <v>118408.651875</v>
      </c>
      <c r="F161" s="35">
        <f t="shared" si="119"/>
        <v>40000</v>
      </c>
      <c r="G161" s="35">
        <f t="shared" si="120"/>
        <v>127699.69500000001</v>
      </c>
      <c r="H161" s="35">
        <f t="shared" si="121"/>
        <v>40000</v>
      </c>
      <c r="J161" s="25">
        <f t="shared" si="122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16"/>
        <v>Inspector</v>
      </c>
      <c r="D162" s="35">
        <f t="shared" si="117"/>
        <v>330118.40397360001</v>
      </c>
      <c r="E162" s="35">
        <f t="shared" si="118"/>
        <v>401514.63009803602</v>
      </c>
      <c r="F162" s="35">
        <f t="shared" si="119"/>
        <v>175991.78384757499</v>
      </c>
      <c r="G162" s="35">
        <f t="shared" si="120"/>
        <v>180026.64374999999</v>
      </c>
      <c r="H162" s="35">
        <f t="shared" si="121"/>
        <v>70000</v>
      </c>
      <c r="J162" s="25">
        <f t="shared" si="122"/>
        <v>401514.63009803602</v>
      </c>
      <c r="K162" s="25"/>
      <c r="L162" s="25" t="str">
        <f>HLOOKUP(J162,D162:$H$166,N8,FALSE)</f>
        <v>OptOpt_BB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35">
        <f>A654</f>
        <v>1090000</v>
      </c>
      <c r="E163" s="35">
        <f>A663</f>
        <v>1090000</v>
      </c>
      <c r="F163" s="35">
        <f>A672</f>
        <v>1590000</v>
      </c>
      <c r="G163" s="35">
        <f>A681</f>
        <v>2090000</v>
      </c>
      <c r="H163" s="35">
        <f>A690</f>
        <v>2590000</v>
      </c>
      <c r="J163" s="25">
        <f t="shared" si="122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16"/>
        <v>LoC</v>
      </c>
      <c r="D164" s="35">
        <f t="shared" ref="D164" si="123">A655</f>
        <v>0.5</v>
      </c>
      <c r="E164" s="35">
        <f t="shared" ref="E164" si="124">A664</f>
        <v>0.5</v>
      </c>
      <c r="F164" s="35">
        <f t="shared" ref="F164" si="125">A673</f>
        <v>0.33333333333333298</v>
      </c>
      <c r="G164" s="35">
        <f t="shared" ref="G164" si="126">A682</f>
        <v>0.16666666666666599</v>
      </c>
      <c r="H164" s="35">
        <f t="shared" ref="H164" si="127">A691</f>
        <v>0</v>
      </c>
    </row>
    <row r="165" spans="1:14" x14ac:dyDescent="0.25">
      <c r="A165" s="34">
        <v>134729.431804336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28">E155</f>
        <v>OptOpt_BB</v>
      </c>
      <c r="F166" s="34" t="str">
        <f t="shared" si="128"/>
        <v>NoneOpt_NBB</v>
      </c>
      <c r="G166" s="34" t="str">
        <f t="shared" si="128"/>
        <v>OptNone_BNB</v>
      </c>
      <c r="H166" s="34" t="str">
        <f t="shared" si="128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158366.78187499999</v>
      </c>
    </row>
    <row r="171" spans="1:14" x14ac:dyDescent="0.25">
      <c r="A171" s="34">
        <v>158154.48000000001</v>
      </c>
    </row>
    <row r="172" spans="1:14" x14ac:dyDescent="0.25">
      <c r="A172" s="34">
        <v>152534.1525</v>
      </c>
    </row>
    <row r="173" spans="1:14" x14ac:dyDescent="0.25">
      <c r="A173" s="34">
        <v>152620.045625</v>
      </c>
    </row>
    <row r="174" spans="1:14" x14ac:dyDescent="0.25">
      <c r="A174" s="34">
        <v>103737.715</v>
      </c>
    </row>
    <row r="175" spans="1:14" x14ac:dyDescent="0.25">
      <c r="A175" s="34">
        <v>2090000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52</v>
      </c>
    </row>
    <row r="187" spans="1:1" x14ac:dyDescent="0.25">
      <c r="A187" s="34">
        <v>424890.66965241201</v>
      </c>
    </row>
    <row r="188" spans="1:1" x14ac:dyDescent="0.25">
      <c r="A188" s="34">
        <v>457215.93441800401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330167.27093006502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528035.83188062406</v>
      </c>
    </row>
    <row r="197" spans="1:1" x14ac:dyDescent="0.25">
      <c r="A197" s="34">
        <v>528095.117097985</v>
      </c>
    </row>
    <row r="198" spans="1:1" x14ac:dyDescent="0.25">
      <c r="A198" s="34">
        <v>142447.38250000001</v>
      </c>
    </row>
    <row r="199" spans="1:1" x14ac:dyDescent="0.25">
      <c r="A199" s="34">
        <v>142418.21124999999</v>
      </c>
    </row>
    <row r="200" spans="1:1" x14ac:dyDescent="0.25">
      <c r="A200" s="34">
        <v>149422.55249999999</v>
      </c>
    </row>
    <row r="201" spans="1:1" x14ac:dyDescent="0.25">
      <c r="A201" s="34">
        <v>149085.46249999999</v>
      </c>
    </row>
    <row r="202" spans="1:1" x14ac:dyDescent="0.25">
      <c r="A202" s="34">
        <v>248639.26727161699</v>
      </c>
    </row>
    <row r="203" spans="1:1" x14ac:dyDescent="0.25">
      <c r="A203" s="34">
        <v>1090000</v>
      </c>
    </row>
    <row r="204" spans="1:1" x14ac:dyDescent="0.25">
      <c r="A204" s="34">
        <v>0.5</v>
      </c>
    </row>
    <row r="205" spans="1:1" x14ac:dyDescent="0.25">
      <c r="A205" s="34">
        <v>527972.84133718605</v>
      </c>
    </row>
    <row r="206" spans="1:1" x14ac:dyDescent="0.25">
      <c r="A206" s="34">
        <v>528632.38938030903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175724.719282565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158384.60875000001</v>
      </c>
    </row>
    <row r="217" spans="1:1" x14ac:dyDescent="0.25">
      <c r="A217" s="34">
        <v>158045.89812500001</v>
      </c>
    </row>
    <row r="218" spans="1:1" x14ac:dyDescent="0.25">
      <c r="A218" s="34">
        <v>152537.39374999999</v>
      </c>
    </row>
    <row r="219" spans="1:1" x14ac:dyDescent="0.25">
      <c r="A219" s="34">
        <v>152616.80437500001</v>
      </c>
    </row>
    <row r="220" spans="1:1" x14ac:dyDescent="0.25">
      <c r="A220" s="34">
        <v>103813.07</v>
      </c>
    </row>
    <row r="221" spans="1:1" x14ac:dyDescent="0.25">
      <c r="A221" s="34">
        <v>2090000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53</v>
      </c>
    </row>
    <row r="233" spans="1:1" x14ac:dyDescent="0.25">
      <c r="A233" s="34">
        <v>-1872305.95</v>
      </c>
    </row>
    <row r="234" spans="1:1" x14ac:dyDescent="0.25">
      <c r="A234" s="34">
        <v>-1428039.4</v>
      </c>
    </row>
    <row r="235" spans="1:1" x14ac:dyDescent="0.25">
      <c r="A235" s="34">
        <v>151876.47399999999</v>
      </c>
    </row>
    <row r="236" spans="1:1" x14ac:dyDescent="0.25">
      <c r="A236" s="34">
        <v>151878.36799999999</v>
      </c>
    </row>
    <row r="237" spans="1:1" x14ac:dyDescent="0.25">
      <c r="A237" s="34">
        <v>155797.054</v>
      </c>
    </row>
    <row r="238" spans="1:1" x14ac:dyDescent="0.25">
      <c r="A238" s="34">
        <v>155688.149</v>
      </c>
    </row>
    <row r="239" spans="1:1" x14ac:dyDescent="0.25">
      <c r="A239" s="34">
        <v>123039.7</v>
      </c>
    </row>
    <row r="240" spans="1:1" x14ac:dyDescent="0.25">
      <c r="A240" s="34">
        <v>5535735.8049999997</v>
      </c>
    </row>
    <row r="241" spans="1:1" x14ac:dyDescent="0.25">
      <c r="A241" s="34">
        <v>0.5</v>
      </c>
    </row>
    <row r="242" spans="1:1" x14ac:dyDescent="0.25">
      <c r="A242" s="34">
        <v>-336879.85</v>
      </c>
    </row>
    <row r="243" spans="1:1" x14ac:dyDescent="0.25">
      <c r="A243" s="34">
        <v>-337046.57500000001</v>
      </c>
    </row>
    <row r="244" spans="1:1" x14ac:dyDescent="0.25">
      <c r="A244" s="34">
        <v>120082.75750000001</v>
      </c>
    </row>
    <row r="245" spans="1:1" x14ac:dyDescent="0.25">
      <c r="A245" s="34">
        <v>119826.69875</v>
      </c>
    </row>
    <row r="246" spans="1:1" x14ac:dyDescent="0.25">
      <c r="A246" s="34">
        <v>133177.4075</v>
      </c>
    </row>
    <row r="247" spans="1:1" x14ac:dyDescent="0.25">
      <c r="A247" s="34">
        <v>133867.79375000001</v>
      </c>
    </row>
    <row r="248" spans="1:1" x14ac:dyDescent="0.25">
      <c r="A248" s="34">
        <v>230001.74249999999</v>
      </c>
    </row>
    <row r="249" spans="1:1" x14ac:dyDescent="0.25">
      <c r="A249" s="34">
        <v>2918907.1749999998</v>
      </c>
    </row>
    <row r="250" spans="1:1" x14ac:dyDescent="0.25">
      <c r="A250" s="34">
        <v>0.5</v>
      </c>
    </row>
    <row r="251" spans="1:1" x14ac:dyDescent="0.25">
      <c r="A251" s="34">
        <v>-336324.1</v>
      </c>
    </row>
    <row r="252" spans="1:1" x14ac:dyDescent="0.25">
      <c r="A252" s="34">
        <v>-344049.02500000002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81158.350000000006</v>
      </c>
    </row>
    <row r="258" spans="1:1" x14ac:dyDescent="0.25">
      <c r="A258" s="34">
        <v>3425266.875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151325.16625000001</v>
      </c>
    </row>
    <row r="263" spans="1:1" x14ac:dyDescent="0.25">
      <c r="A263" s="34">
        <v>151662.25625000001</v>
      </c>
    </row>
    <row r="264" spans="1:1" x14ac:dyDescent="0.25">
      <c r="A264" s="34">
        <v>140120.16500000001</v>
      </c>
    </row>
    <row r="265" spans="1:1" x14ac:dyDescent="0.25">
      <c r="A265" s="34">
        <v>140544.76874999999</v>
      </c>
    </row>
    <row r="266" spans="1:1" x14ac:dyDescent="0.25">
      <c r="A266" s="34">
        <v>141772.64374999999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54</v>
      </c>
    </row>
    <row r="279" spans="1:1" x14ac:dyDescent="0.25">
      <c r="A279" s="34">
        <v>517299.125</v>
      </c>
    </row>
    <row r="280" spans="1:1" x14ac:dyDescent="0.25">
      <c r="A280" s="34">
        <v>531529.25</v>
      </c>
    </row>
    <row r="281" spans="1:1" x14ac:dyDescent="0.25">
      <c r="A281" s="34">
        <v>165000</v>
      </c>
    </row>
    <row r="282" spans="1:1" x14ac:dyDescent="0.25">
      <c r="A282" s="34">
        <v>165000</v>
      </c>
    </row>
    <row r="283" spans="1:1" x14ac:dyDescent="0.25">
      <c r="A283" s="34">
        <v>165000</v>
      </c>
    </row>
    <row r="284" spans="1:1" x14ac:dyDescent="0.25">
      <c r="A284" s="34">
        <v>165000</v>
      </c>
    </row>
    <row r="285" spans="1:1" x14ac:dyDescent="0.25">
      <c r="A285" s="34">
        <v>163369.53750000001</v>
      </c>
    </row>
    <row r="286" spans="1:1" x14ac:dyDescent="0.25">
      <c r="A286" s="34">
        <v>1090000</v>
      </c>
    </row>
    <row r="287" spans="1:1" x14ac:dyDescent="0.25">
      <c r="A287" s="34">
        <v>0.5</v>
      </c>
    </row>
    <row r="288" spans="1:1" x14ac:dyDescent="0.25">
      <c r="A288" s="34">
        <v>563176.125</v>
      </c>
    </row>
    <row r="289" spans="1:1" x14ac:dyDescent="0.25">
      <c r="A289" s="34">
        <v>563023.375</v>
      </c>
    </row>
    <row r="290" spans="1:1" x14ac:dyDescent="0.25">
      <c r="A290" s="34">
        <v>119593.32875</v>
      </c>
    </row>
    <row r="291" spans="1:1" x14ac:dyDescent="0.25">
      <c r="A291" s="34">
        <v>119735.94375000001</v>
      </c>
    </row>
    <row r="292" spans="1:1" x14ac:dyDescent="0.25">
      <c r="A292" s="34">
        <v>133375.12375</v>
      </c>
    </row>
    <row r="293" spans="1:1" x14ac:dyDescent="0.25">
      <c r="A293" s="34">
        <v>133595.52875</v>
      </c>
    </row>
    <row r="294" spans="1:1" x14ac:dyDescent="0.25">
      <c r="A294" s="34">
        <v>255716.875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562948.625</v>
      </c>
    </row>
    <row r="298" spans="1:1" x14ac:dyDescent="0.25">
      <c r="A298" s="34">
        <v>563046.125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106309.3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151568.26</v>
      </c>
    </row>
    <row r="309" spans="1:1" x14ac:dyDescent="0.25">
      <c r="A309" s="34">
        <v>151749.76999999999</v>
      </c>
    </row>
    <row r="310" spans="1:1" x14ac:dyDescent="0.25">
      <c r="A310" s="34">
        <v>140457.255</v>
      </c>
    </row>
    <row r="311" spans="1:1" x14ac:dyDescent="0.25">
      <c r="A311" s="34">
        <v>140009.96249999999</v>
      </c>
    </row>
    <row r="312" spans="1:1" x14ac:dyDescent="0.25">
      <c r="A312" s="34">
        <v>141658.6525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55</v>
      </c>
    </row>
    <row r="325" spans="1:1" x14ac:dyDescent="0.25">
      <c r="A325" s="34">
        <v>498776.98502933898</v>
      </c>
    </row>
    <row r="326" spans="1:1" x14ac:dyDescent="0.25">
      <c r="A326" s="34">
        <v>516052.65958900098</v>
      </c>
    </row>
    <row r="327" spans="1:1" x14ac:dyDescent="0.25">
      <c r="A327" s="34">
        <v>165000</v>
      </c>
    </row>
    <row r="328" spans="1:1" x14ac:dyDescent="0.25">
      <c r="A328" s="34">
        <v>165000</v>
      </c>
    </row>
    <row r="329" spans="1:1" x14ac:dyDescent="0.25">
      <c r="A329" s="34">
        <v>165000</v>
      </c>
    </row>
    <row r="330" spans="1:1" x14ac:dyDescent="0.25">
      <c r="A330" s="34">
        <v>165000</v>
      </c>
    </row>
    <row r="331" spans="1:1" x14ac:dyDescent="0.25">
      <c r="A331" s="34">
        <v>197379.817881853</v>
      </c>
    </row>
    <row r="332" spans="1:1" x14ac:dyDescent="0.25">
      <c r="A332" s="34">
        <v>1090000</v>
      </c>
    </row>
    <row r="333" spans="1:1" x14ac:dyDescent="0.25">
      <c r="A333" s="34">
        <v>0.5</v>
      </c>
    </row>
    <row r="334" spans="1:1" x14ac:dyDescent="0.25">
      <c r="A334" s="34">
        <v>555622.69761975401</v>
      </c>
    </row>
    <row r="335" spans="1:1" x14ac:dyDescent="0.25">
      <c r="A335" s="34">
        <v>555919.60088052799</v>
      </c>
    </row>
    <row r="336" spans="1:1" x14ac:dyDescent="0.25">
      <c r="A336" s="34">
        <v>119881.8</v>
      </c>
    </row>
    <row r="337" spans="1:1" x14ac:dyDescent="0.25">
      <c r="A337" s="34">
        <v>119820.21625</v>
      </c>
    </row>
    <row r="338" spans="1:1" x14ac:dyDescent="0.25">
      <c r="A338" s="34">
        <v>134010.40875</v>
      </c>
    </row>
    <row r="339" spans="1:1" x14ac:dyDescent="0.25">
      <c r="A339" s="34">
        <v>133378.36499999999</v>
      </c>
    </row>
    <row r="340" spans="1:1" x14ac:dyDescent="0.25">
      <c r="A340" s="34">
        <v>269524.49899976602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556200.12327174295</v>
      </c>
    </row>
    <row r="344" spans="1:1" x14ac:dyDescent="0.25">
      <c r="A344" s="34">
        <v>555622.69761975401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120442.75410866999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151633.08499999999</v>
      </c>
    </row>
    <row r="355" spans="1:1" x14ac:dyDescent="0.25">
      <c r="A355" s="34">
        <v>151487.22875000001</v>
      </c>
    </row>
    <row r="356" spans="1:1" x14ac:dyDescent="0.25">
      <c r="A356" s="34">
        <v>139663.14874999999</v>
      </c>
    </row>
    <row r="357" spans="1:1" x14ac:dyDescent="0.25">
      <c r="A357" s="34">
        <v>140479.94375000001</v>
      </c>
    </row>
    <row r="358" spans="1:1" x14ac:dyDescent="0.25">
      <c r="A358" s="34">
        <v>142148.71875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56</v>
      </c>
    </row>
    <row r="371" spans="1:1" x14ac:dyDescent="0.25">
      <c r="A371" s="34">
        <v>480300.11592790397</v>
      </c>
    </row>
    <row r="372" spans="1:1" x14ac:dyDescent="0.25">
      <c r="A372" s="34">
        <v>500353.340699861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231543.36837280399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548426.24132647295</v>
      </c>
    </row>
    <row r="381" spans="1:1" x14ac:dyDescent="0.25">
      <c r="A381" s="34">
        <v>549342.69197815703</v>
      </c>
    </row>
    <row r="382" spans="1:1" x14ac:dyDescent="0.25">
      <c r="A382" s="34">
        <v>120500.87875</v>
      </c>
    </row>
    <row r="383" spans="1:1" x14ac:dyDescent="0.25">
      <c r="A383" s="34">
        <v>119382.64750000001</v>
      </c>
    </row>
    <row r="384" spans="1:1" x14ac:dyDescent="0.25">
      <c r="A384" s="34">
        <v>133352.435</v>
      </c>
    </row>
    <row r="385" spans="1:1" x14ac:dyDescent="0.25">
      <c r="A385" s="34">
        <v>133864.55249999999</v>
      </c>
    </row>
    <row r="386" spans="1:1" x14ac:dyDescent="0.25">
      <c r="A386" s="34">
        <v>283344.19044554798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548628.79915245005</v>
      </c>
    </row>
    <row r="390" spans="1:1" x14ac:dyDescent="0.25">
      <c r="A390" s="34">
        <v>548487.99676122097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135108.966586736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151380.26749999999</v>
      </c>
    </row>
    <row r="401" spans="1:1" x14ac:dyDescent="0.25">
      <c r="A401" s="34">
        <v>151707.63375000001</v>
      </c>
    </row>
    <row r="402" spans="1:1" x14ac:dyDescent="0.25">
      <c r="A402" s="34">
        <v>140256.29749999999</v>
      </c>
    </row>
    <row r="403" spans="1:1" x14ac:dyDescent="0.25">
      <c r="A403" s="34">
        <v>139783.07500000001</v>
      </c>
    </row>
    <row r="404" spans="1:1" x14ac:dyDescent="0.25">
      <c r="A404" s="34">
        <v>142277.30124999999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57</v>
      </c>
    </row>
    <row r="417" spans="1:1" x14ac:dyDescent="0.25">
      <c r="A417" s="34">
        <v>424905.49095674301</v>
      </c>
    </row>
    <row r="418" spans="1:1" x14ac:dyDescent="0.25">
      <c r="A418" s="34">
        <v>456567.50235313398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330840.84419060202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528150.69698926201</v>
      </c>
    </row>
    <row r="427" spans="1:1" x14ac:dyDescent="0.25">
      <c r="A427" s="34">
        <v>528191.45557619003</v>
      </c>
    </row>
    <row r="428" spans="1:1" x14ac:dyDescent="0.25">
      <c r="A428" s="34">
        <v>119554.43375</v>
      </c>
    </row>
    <row r="429" spans="1:1" x14ac:dyDescent="0.25">
      <c r="A429" s="34">
        <v>120134.61749999999</v>
      </c>
    </row>
    <row r="430" spans="1:1" x14ac:dyDescent="0.25">
      <c r="A430" s="34">
        <v>133332.98749999999</v>
      </c>
    </row>
    <row r="431" spans="1:1" x14ac:dyDescent="0.25">
      <c r="A431" s="34">
        <v>133981.23749999999</v>
      </c>
    </row>
    <row r="432" spans="1:1" x14ac:dyDescent="0.25">
      <c r="A432" s="34">
        <v>324827.85868486698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527565.25546782895</v>
      </c>
    </row>
    <row r="436" spans="1:1" x14ac:dyDescent="0.25">
      <c r="A436" s="34">
        <v>527995.07329368603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176632.821238537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151649.29125000001</v>
      </c>
    </row>
    <row r="447" spans="1:1" x14ac:dyDescent="0.25">
      <c r="A447" s="34">
        <v>151509.91750000001</v>
      </c>
    </row>
    <row r="448" spans="1:1" x14ac:dyDescent="0.25">
      <c r="A448" s="34">
        <v>140207.67874999999</v>
      </c>
    </row>
    <row r="449" spans="1:1" x14ac:dyDescent="0.25">
      <c r="A449" s="34">
        <v>140220.64374999999</v>
      </c>
    </row>
    <row r="450" spans="1:1" x14ac:dyDescent="0.25">
      <c r="A450" s="34">
        <v>141841.09375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58</v>
      </c>
    </row>
    <row r="463" spans="1:1" x14ac:dyDescent="0.25">
      <c r="A463" s="34">
        <v>-1876918.675</v>
      </c>
    </row>
    <row r="464" spans="1:1" x14ac:dyDescent="0.25">
      <c r="A464" s="34">
        <v>-1424649.325</v>
      </c>
    </row>
    <row r="465" spans="1:1" x14ac:dyDescent="0.25">
      <c r="A465" s="34">
        <v>151876.47399999999</v>
      </c>
    </row>
    <row r="466" spans="1:1" x14ac:dyDescent="0.25">
      <c r="A466" s="34">
        <v>151865.10999999999</v>
      </c>
    </row>
    <row r="467" spans="1:1" x14ac:dyDescent="0.25">
      <c r="A467" s="34">
        <v>155799.89499999999</v>
      </c>
    </row>
    <row r="468" spans="1:1" x14ac:dyDescent="0.25">
      <c r="A468" s="34">
        <v>155676.785</v>
      </c>
    </row>
    <row r="469" spans="1:1" x14ac:dyDescent="0.25">
      <c r="A469" s="34">
        <v>123056.4</v>
      </c>
    </row>
    <row r="470" spans="1:1" x14ac:dyDescent="0.25">
      <c r="A470" s="34">
        <v>5536954.5360000003</v>
      </c>
    </row>
    <row r="471" spans="1:1" x14ac:dyDescent="0.25">
      <c r="A471" s="34">
        <v>0.5</v>
      </c>
    </row>
    <row r="472" spans="1:1" x14ac:dyDescent="0.25">
      <c r="A472" s="34">
        <v>-330599.875</v>
      </c>
    </row>
    <row r="473" spans="1:1" x14ac:dyDescent="0.25">
      <c r="A473" s="34">
        <v>-332433.84999999998</v>
      </c>
    </row>
    <row r="474" spans="1:1" x14ac:dyDescent="0.25">
      <c r="A474" s="34">
        <v>96846.236250000002</v>
      </c>
    </row>
    <row r="475" spans="1:1" x14ac:dyDescent="0.25">
      <c r="A475" s="34">
        <v>98586.787500000006</v>
      </c>
    </row>
    <row r="476" spans="1:1" x14ac:dyDescent="0.25">
      <c r="A476" s="34">
        <v>116959.813125</v>
      </c>
    </row>
    <row r="477" spans="1:1" x14ac:dyDescent="0.25">
      <c r="A477" s="34">
        <v>117212.63062500001</v>
      </c>
    </row>
    <row r="478" spans="1:1" x14ac:dyDescent="0.25">
      <c r="A478" s="34">
        <v>307237.15749999997</v>
      </c>
    </row>
    <row r="479" spans="1:1" x14ac:dyDescent="0.25">
      <c r="A479" s="34">
        <v>2908161.4750000001</v>
      </c>
    </row>
    <row r="480" spans="1:1" x14ac:dyDescent="0.25">
      <c r="A480" s="34">
        <v>0.5</v>
      </c>
    </row>
    <row r="481" spans="1:1" x14ac:dyDescent="0.25">
      <c r="A481" s="34">
        <v>-324264.32500000001</v>
      </c>
    </row>
    <row r="482" spans="1:1" x14ac:dyDescent="0.25">
      <c r="A482" s="34">
        <v>-338658.25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80891.8</v>
      </c>
    </row>
    <row r="488" spans="1:1" x14ac:dyDescent="0.25">
      <c r="A488" s="34">
        <v>3408051.8250000002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144939.90375</v>
      </c>
    </row>
    <row r="493" spans="1:1" x14ac:dyDescent="0.25">
      <c r="A493" s="34">
        <v>144721.11937500001</v>
      </c>
    </row>
    <row r="494" spans="1:1" x14ac:dyDescent="0.25">
      <c r="A494" s="34">
        <v>128020.57875</v>
      </c>
    </row>
    <row r="495" spans="1:1" x14ac:dyDescent="0.25">
      <c r="A495" s="34">
        <v>127952.5125</v>
      </c>
    </row>
    <row r="496" spans="1:1" x14ac:dyDescent="0.25">
      <c r="A496" s="34">
        <v>179800.31062500001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59</v>
      </c>
    </row>
    <row r="509" spans="1:1" x14ac:dyDescent="0.25">
      <c r="A509" s="34">
        <v>517412.875</v>
      </c>
    </row>
    <row r="510" spans="1:1" x14ac:dyDescent="0.25">
      <c r="A510" s="34">
        <v>531966.375</v>
      </c>
    </row>
    <row r="511" spans="1:1" x14ac:dyDescent="0.25">
      <c r="A511" s="34">
        <v>165000</v>
      </c>
    </row>
    <row r="512" spans="1:1" x14ac:dyDescent="0.25">
      <c r="A512" s="34">
        <v>165000</v>
      </c>
    </row>
    <row r="513" spans="1:1" x14ac:dyDescent="0.25">
      <c r="A513" s="34">
        <v>165000</v>
      </c>
    </row>
    <row r="514" spans="1:1" x14ac:dyDescent="0.25">
      <c r="A514" s="34">
        <v>165000</v>
      </c>
    </row>
    <row r="515" spans="1:1" x14ac:dyDescent="0.25">
      <c r="A515" s="34">
        <v>162962.72500000001</v>
      </c>
    </row>
    <row r="516" spans="1:1" x14ac:dyDescent="0.25">
      <c r="A516" s="34">
        <v>1090000</v>
      </c>
    </row>
    <row r="517" spans="1:1" x14ac:dyDescent="0.25">
      <c r="A517" s="34">
        <v>0.5</v>
      </c>
    </row>
    <row r="518" spans="1:1" x14ac:dyDescent="0.25">
      <c r="A518" s="34">
        <v>563064</v>
      </c>
    </row>
    <row r="519" spans="1:1" x14ac:dyDescent="0.25">
      <c r="A519" s="34">
        <v>563101.375</v>
      </c>
    </row>
    <row r="520" spans="1:1" x14ac:dyDescent="0.25">
      <c r="A520" s="34">
        <v>97347.009374999994</v>
      </c>
    </row>
    <row r="521" spans="1:1" x14ac:dyDescent="0.25">
      <c r="A521" s="34">
        <v>97347.009374999994</v>
      </c>
    </row>
    <row r="522" spans="1:1" x14ac:dyDescent="0.25">
      <c r="A522" s="34">
        <v>117023.0175</v>
      </c>
    </row>
    <row r="523" spans="1:1" x14ac:dyDescent="0.25">
      <c r="A523" s="34">
        <v>117849.53625</v>
      </c>
    </row>
    <row r="524" spans="1:1" x14ac:dyDescent="0.25">
      <c r="A524" s="34">
        <v>332498.86499999999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562721.125</v>
      </c>
    </row>
    <row r="528" spans="1:1" x14ac:dyDescent="0.25">
      <c r="A528" s="34">
        <v>563012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106565.6875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145100.34562499999</v>
      </c>
    </row>
    <row r="539" spans="1:1" x14ac:dyDescent="0.25">
      <c r="A539" s="34">
        <v>144516.920625</v>
      </c>
    </row>
    <row r="540" spans="1:1" x14ac:dyDescent="0.25">
      <c r="A540" s="34">
        <v>127062.78937499999</v>
      </c>
    </row>
    <row r="541" spans="1:1" x14ac:dyDescent="0.25">
      <c r="A541" s="34">
        <v>128030.30250000001</v>
      </c>
    </row>
    <row r="542" spans="1:1" x14ac:dyDescent="0.25">
      <c r="A542" s="34">
        <v>180694.44187499999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60</v>
      </c>
    </row>
    <row r="555" spans="1:1" x14ac:dyDescent="0.25">
      <c r="A555" s="34">
        <v>498541.51002941403</v>
      </c>
    </row>
    <row r="556" spans="1:1" x14ac:dyDescent="0.25">
      <c r="A556" s="34">
        <v>516521.561980156</v>
      </c>
    </row>
    <row r="557" spans="1:1" x14ac:dyDescent="0.25">
      <c r="A557" s="34">
        <v>165000</v>
      </c>
    </row>
    <row r="558" spans="1:1" x14ac:dyDescent="0.25">
      <c r="A558" s="34">
        <v>165000</v>
      </c>
    </row>
    <row r="559" spans="1:1" x14ac:dyDescent="0.25">
      <c r="A559" s="34">
        <v>165000</v>
      </c>
    </row>
    <row r="560" spans="1:1" x14ac:dyDescent="0.25">
      <c r="A560" s="34">
        <v>165000</v>
      </c>
    </row>
    <row r="561" spans="1:1" x14ac:dyDescent="0.25">
      <c r="A561" s="34">
        <v>197177.01549062299</v>
      </c>
    </row>
    <row r="562" spans="1:1" x14ac:dyDescent="0.25">
      <c r="A562" s="34">
        <v>1090000</v>
      </c>
    </row>
    <row r="563" spans="1:1" x14ac:dyDescent="0.25">
      <c r="A563" s="34">
        <v>0.5</v>
      </c>
    </row>
    <row r="564" spans="1:1" x14ac:dyDescent="0.25">
      <c r="A564" s="34">
        <v>555772.17305448803</v>
      </c>
    </row>
    <row r="565" spans="1:1" x14ac:dyDescent="0.25">
      <c r="A565" s="34">
        <v>556069.07631526305</v>
      </c>
    </row>
    <row r="566" spans="1:1" x14ac:dyDescent="0.25">
      <c r="A566" s="34">
        <v>97167.12</v>
      </c>
    </row>
    <row r="567" spans="1:1" x14ac:dyDescent="0.25">
      <c r="A567" s="34">
        <v>98231.870624999996</v>
      </c>
    </row>
    <row r="568" spans="1:1" x14ac:dyDescent="0.25">
      <c r="A568" s="34">
        <v>117470.31</v>
      </c>
    </row>
    <row r="569" spans="1:1" x14ac:dyDescent="0.25">
      <c r="A569" s="34">
        <v>117348.763125</v>
      </c>
    </row>
    <row r="570" spans="1:1" x14ac:dyDescent="0.25">
      <c r="A570" s="34">
        <v>346156.399380274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555741.45892406395</v>
      </c>
    </row>
    <row r="574" spans="1:1" x14ac:dyDescent="0.25">
      <c r="A574" s="34">
        <v>555741.45892406395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120698.05715204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144755.1525</v>
      </c>
    </row>
    <row r="585" spans="1:1" x14ac:dyDescent="0.25">
      <c r="A585" s="34">
        <v>145022.55562500001</v>
      </c>
    </row>
    <row r="586" spans="1:1" x14ac:dyDescent="0.25">
      <c r="A586" s="34">
        <v>126523.12125</v>
      </c>
    </row>
    <row r="587" spans="1:1" x14ac:dyDescent="0.25">
      <c r="A587" s="34">
        <v>128638.03687500001</v>
      </c>
    </row>
    <row r="588" spans="1:1" x14ac:dyDescent="0.25">
      <c r="A588" s="34">
        <v>180477.10875000001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61</v>
      </c>
    </row>
    <row r="601" spans="1:1" x14ac:dyDescent="0.25">
      <c r="A601" s="34">
        <v>480850.97440587502</v>
      </c>
    </row>
    <row r="602" spans="1:1" x14ac:dyDescent="0.25">
      <c r="A602" s="34">
        <v>499950.69526529103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231420.955329405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548791.83350019006</v>
      </c>
    </row>
    <row r="611" spans="1:1" x14ac:dyDescent="0.25">
      <c r="A611" s="34">
        <v>549626.76697800797</v>
      </c>
    </row>
    <row r="612" spans="1:1" x14ac:dyDescent="0.25">
      <c r="A612" s="34">
        <v>96967.783125000002</v>
      </c>
    </row>
    <row r="613" spans="1:1" x14ac:dyDescent="0.25">
      <c r="A613" s="34">
        <v>97167.12</v>
      </c>
    </row>
    <row r="614" spans="1:1" x14ac:dyDescent="0.25">
      <c r="A614" s="34">
        <v>117771.74625</v>
      </c>
    </row>
    <row r="615" spans="1:1" x14ac:dyDescent="0.25">
      <c r="A615" s="34">
        <v>117480.03375</v>
      </c>
    </row>
    <row r="616" spans="1:1" x14ac:dyDescent="0.25">
      <c r="A616" s="34">
        <v>360440.366396898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549009.21263050905</v>
      </c>
    </row>
    <row r="620" spans="1:1" x14ac:dyDescent="0.25">
      <c r="A620" s="34">
        <v>549308.10893469804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134014.640935195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144973.93687500001</v>
      </c>
    </row>
    <row r="631" spans="1:1" x14ac:dyDescent="0.25">
      <c r="A631" s="34">
        <v>144721.11937500001</v>
      </c>
    </row>
    <row r="632" spans="1:1" x14ac:dyDescent="0.25">
      <c r="A632" s="34">
        <v>127203.78375</v>
      </c>
    </row>
    <row r="633" spans="1:1" x14ac:dyDescent="0.25">
      <c r="A633" s="34">
        <v>128448.42375</v>
      </c>
    </row>
    <row r="634" spans="1:1" x14ac:dyDescent="0.25">
      <c r="A634" s="34">
        <v>180079.18625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62</v>
      </c>
    </row>
    <row r="647" spans="1:1" x14ac:dyDescent="0.25">
      <c r="A647" s="34">
        <v>425046.29334798001</v>
      </c>
    </row>
    <row r="648" spans="1:1" x14ac:dyDescent="0.25">
      <c r="A648" s="34">
        <v>457167.76517889602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330118.40397360001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528206.27688053495</v>
      </c>
    </row>
    <row r="657" spans="1:1" x14ac:dyDescent="0.25">
      <c r="A657" s="34">
        <v>528602.74677162804</v>
      </c>
    </row>
    <row r="658" spans="1:1" x14ac:dyDescent="0.25">
      <c r="A658" s="34">
        <v>97517.175000000003</v>
      </c>
    </row>
    <row r="659" spans="1:1" x14ac:dyDescent="0.25">
      <c r="A659" s="34">
        <v>96841.374374999999</v>
      </c>
    </row>
    <row r="660" spans="1:1" x14ac:dyDescent="0.25">
      <c r="A660" s="34">
        <v>117100.8075</v>
      </c>
    </row>
    <row r="661" spans="1:1" x14ac:dyDescent="0.25">
      <c r="A661" s="34">
        <v>118408.651875</v>
      </c>
    </row>
    <row r="662" spans="1:1" x14ac:dyDescent="0.25">
      <c r="A662" s="34">
        <v>401514.63009803602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527854.27090245695</v>
      </c>
    </row>
    <row r="666" spans="1:1" x14ac:dyDescent="0.25">
      <c r="A666" s="34">
        <v>528358.19525001897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175991.78384757499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144784.32375000001</v>
      </c>
    </row>
    <row r="677" spans="1:1" x14ac:dyDescent="0.25">
      <c r="A677" s="34">
        <v>145066.3125</v>
      </c>
    </row>
    <row r="678" spans="1:1" x14ac:dyDescent="0.25">
      <c r="A678" s="34">
        <v>127855.27499999999</v>
      </c>
    </row>
    <row r="679" spans="1:1" x14ac:dyDescent="0.25">
      <c r="A679" s="34">
        <v>127699.69500000001</v>
      </c>
    </row>
    <row r="680" spans="1:1" x14ac:dyDescent="0.25">
      <c r="A680" s="34">
        <v>180026.64374999999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24" sqref="A24:G25"/>
    </sheetView>
  </sheetViews>
  <sheetFormatPr defaultRowHeight="12.75" x14ac:dyDescent="0.2"/>
  <cols>
    <col min="1" max="1" width="14.140625" style="28" bestFit="1" customWidth="1"/>
    <col min="2" max="3" width="10.42578125" style="28" bestFit="1" customWidth="1"/>
    <col min="4" max="5" width="12.7109375" style="28" bestFit="1" customWidth="1"/>
    <col min="6" max="6" width="15.28515625" style="28" bestFit="1" customWidth="1"/>
    <col min="7" max="7" width="9.140625" style="28"/>
    <col min="8" max="8" width="12" style="28" bestFit="1" customWidth="1"/>
    <col min="9" max="10" width="14" style="28" bestFit="1" customWidth="1"/>
    <col min="11" max="11" width="9.140625" style="28"/>
    <col min="12" max="12" width="3" style="28" bestFit="1" customWidth="1"/>
    <col min="13" max="16384" width="9.140625" style="28"/>
  </cols>
  <sheetData>
    <row r="1" spans="1:15" x14ac:dyDescent="0.2">
      <c r="A1" s="24"/>
      <c r="B1" s="24" t="s">
        <v>11</v>
      </c>
      <c r="C1" s="24" t="s">
        <v>7</v>
      </c>
      <c r="D1" s="24" t="s">
        <v>8</v>
      </c>
      <c r="E1" s="24" t="s">
        <v>9</v>
      </c>
      <c r="F1" s="24" t="s">
        <v>10</v>
      </c>
      <c r="G1" s="25"/>
      <c r="H1" s="26" t="s">
        <v>19</v>
      </c>
      <c r="I1" s="26"/>
      <c r="J1" s="26" t="s">
        <v>20</v>
      </c>
      <c r="K1" s="25"/>
      <c r="L1" s="25"/>
      <c r="M1" s="27"/>
      <c r="N1" s="27"/>
      <c r="O1" s="27"/>
    </row>
    <row r="2" spans="1:15" x14ac:dyDescent="0.2">
      <c r="A2" s="29" t="s">
        <v>44</v>
      </c>
      <c r="B2" s="94">
        <v>523136</v>
      </c>
      <c r="C2" s="95">
        <v>564934.1</v>
      </c>
      <c r="D2" s="94">
        <v>565054.69999999995</v>
      </c>
      <c r="E2" s="94">
        <v>90000</v>
      </c>
      <c r="F2" s="94">
        <v>90000</v>
      </c>
      <c r="G2" s="25"/>
      <c r="H2" s="25">
        <f>MAX(B2:F2)</f>
        <v>565054.69999999995</v>
      </c>
      <c r="I2" s="25"/>
      <c r="J2" s="25" t="str">
        <f>HLOOKUP(H2,B2:$F$12,L2,FALSE)</f>
        <v>NoneOpt_NBB</v>
      </c>
      <c r="K2" s="25"/>
      <c r="L2" s="25">
        <v>11</v>
      </c>
      <c r="M2" s="27"/>
      <c r="N2" s="31">
        <f>(C2-B2)/C2</f>
        <v>7.3987567753477756E-2</v>
      </c>
      <c r="O2" s="27"/>
    </row>
    <row r="3" spans="1:15" x14ac:dyDescent="0.2">
      <c r="A3" s="29" t="s">
        <v>45</v>
      </c>
      <c r="B3" s="94">
        <v>535972.4</v>
      </c>
      <c r="C3" s="95">
        <v>565004.30000000005</v>
      </c>
      <c r="D3" s="94">
        <v>564835.4</v>
      </c>
      <c r="E3" s="94">
        <v>90000</v>
      </c>
      <c r="F3" s="94">
        <v>90000</v>
      </c>
      <c r="G3" s="25"/>
      <c r="H3" s="25">
        <f t="shared" ref="H3:H9" si="0">MAX(B3:F3)</f>
        <v>565004.30000000005</v>
      </c>
      <c r="I3" s="25"/>
      <c r="J3" s="25" t="str">
        <f>HLOOKUP(H3,B3:$F$12,L3,FALSE)</f>
        <v>OptOpt_BB</v>
      </c>
      <c r="K3" s="25"/>
      <c r="L3" s="25">
        <v>10</v>
      </c>
      <c r="M3" s="27"/>
      <c r="N3" s="31">
        <f>(C3-B3)/C3</f>
        <v>5.1383502745023395E-2</v>
      </c>
      <c r="O3" s="32"/>
    </row>
    <row r="4" spans="1:15" x14ac:dyDescent="0.2">
      <c r="A4" s="29" t="s">
        <v>0</v>
      </c>
      <c r="B4" s="95">
        <v>165000</v>
      </c>
      <c r="C4" s="94">
        <v>156277.25</v>
      </c>
      <c r="D4" s="94">
        <v>40000</v>
      </c>
      <c r="E4" s="94">
        <v>162407.125</v>
      </c>
      <c r="F4" s="94">
        <v>40000</v>
      </c>
      <c r="G4" s="25"/>
      <c r="H4" s="25">
        <f t="shared" si="0"/>
        <v>165000</v>
      </c>
      <c r="I4" s="25"/>
      <c r="J4" s="25" t="str">
        <f>HLOOKUP(H4,B4:$F$12,L4,FALSE)</f>
        <v>OptOpt_EB</v>
      </c>
      <c r="K4" s="25"/>
      <c r="L4" s="25">
        <v>9</v>
      </c>
      <c r="M4" s="27"/>
      <c r="N4" s="27"/>
      <c r="O4" s="27"/>
    </row>
    <row r="5" spans="1:15" x14ac:dyDescent="0.2">
      <c r="A5" s="29" t="s">
        <v>1</v>
      </c>
      <c r="B5" s="95">
        <v>165000</v>
      </c>
      <c r="C5" s="94">
        <v>156294</v>
      </c>
      <c r="D5" s="94">
        <v>40000</v>
      </c>
      <c r="E5" s="94">
        <v>162405</v>
      </c>
      <c r="F5" s="94">
        <v>40000</v>
      </c>
      <c r="G5" s="25"/>
      <c r="H5" s="25">
        <f t="shared" si="0"/>
        <v>165000</v>
      </c>
      <c r="I5" s="25"/>
      <c r="J5" s="25" t="str">
        <f>HLOOKUP(H5,B5:$F$12,L5,FALSE)</f>
        <v>OptOpt_EB</v>
      </c>
      <c r="K5" s="25"/>
      <c r="L5" s="25">
        <v>8</v>
      </c>
    </row>
    <row r="6" spans="1:15" x14ac:dyDescent="0.2">
      <c r="A6" s="29" t="s">
        <v>2</v>
      </c>
      <c r="B6" s="95">
        <v>165000</v>
      </c>
      <c r="C6" s="94">
        <v>158934.5</v>
      </c>
      <c r="D6" s="94">
        <v>40000</v>
      </c>
      <c r="E6" s="94">
        <v>160186.625</v>
      </c>
      <c r="F6" s="94">
        <v>40000</v>
      </c>
      <c r="G6" s="25"/>
      <c r="H6" s="25">
        <f t="shared" si="0"/>
        <v>165000</v>
      </c>
      <c r="I6" s="25"/>
      <c r="J6" s="25" t="str">
        <f>HLOOKUP(H6,B6:$F$12,L6,FALSE)</f>
        <v>OptOpt_EB</v>
      </c>
      <c r="K6" s="25"/>
      <c r="L6" s="25">
        <v>7</v>
      </c>
    </row>
    <row r="7" spans="1:15" x14ac:dyDescent="0.2">
      <c r="A7" s="29" t="s">
        <v>3</v>
      </c>
      <c r="B7" s="95">
        <v>165000</v>
      </c>
      <c r="C7" s="94">
        <v>158974.625</v>
      </c>
      <c r="D7" s="94">
        <v>40000</v>
      </c>
      <c r="E7" s="94">
        <v>160240</v>
      </c>
      <c r="F7" s="94">
        <v>40000</v>
      </c>
      <c r="G7" s="25"/>
      <c r="H7" s="25">
        <f t="shared" si="0"/>
        <v>165000</v>
      </c>
      <c r="I7" s="25"/>
      <c r="J7" s="25" t="str">
        <f>HLOOKUP(H7,B7:$F$12,L7,FALSE)</f>
        <v>OptOpt_EB</v>
      </c>
      <c r="K7" s="25"/>
      <c r="L7" s="25">
        <v>6</v>
      </c>
    </row>
    <row r="8" spans="1:15" x14ac:dyDescent="0.2">
      <c r="A8" s="24" t="s">
        <v>6</v>
      </c>
      <c r="B8" s="95">
        <v>156601.60000000001</v>
      </c>
      <c r="C8" s="94">
        <v>131232.655</v>
      </c>
      <c r="D8" s="94">
        <v>105137.0925</v>
      </c>
      <c r="E8" s="94">
        <v>81218.55</v>
      </c>
      <c r="F8" s="94">
        <v>70000</v>
      </c>
      <c r="G8" s="25"/>
      <c r="H8" s="25">
        <f t="shared" si="0"/>
        <v>156601.60000000001</v>
      </c>
      <c r="I8" s="25"/>
      <c r="J8" s="25" t="str">
        <f>HLOOKUP(H8,B8:$F$12,L8,FALSE)</f>
        <v>OptOpt_EB</v>
      </c>
      <c r="K8" s="25"/>
      <c r="L8" s="25">
        <v>5</v>
      </c>
    </row>
    <row r="9" spans="1:15" x14ac:dyDescent="0.2">
      <c r="A9" s="30" t="s">
        <v>23</v>
      </c>
      <c r="B9" s="94">
        <v>1090000</v>
      </c>
      <c r="C9" s="94">
        <v>1090000</v>
      </c>
      <c r="D9" s="94">
        <v>1590000</v>
      </c>
      <c r="E9" s="94">
        <v>2090000</v>
      </c>
      <c r="F9" s="95">
        <v>2590000</v>
      </c>
      <c r="G9" s="25"/>
      <c r="H9" s="25">
        <f t="shared" si="0"/>
        <v>2590000</v>
      </c>
      <c r="I9" s="25"/>
      <c r="J9" s="25" t="str">
        <f>HLOOKUP(H9,B9:$F$12,L9,FALSE)</f>
        <v>NoneNone_NBNB</v>
      </c>
      <c r="K9" s="25"/>
      <c r="L9" s="25">
        <v>4</v>
      </c>
    </row>
    <row r="10" spans="1:15" x14ac:dyDescent="0.2">
      <c r="A10" s="30" t="s">
        <v>24</v>
      </c>
      <c r="B10" s="96">
        <v>0.5</v>
      </c>
      <c r="C10" s="96">
        <v>0.5</v>
      </c>
      <c r="D10" s="96">
        <v>0.33333333333333298</v>
      </c>
      <c r="E10" s="96">
        <v>0.16666666666666599</v>
      </c>
      <c r="F10" s="96">
        <v>0</v>
      </c>
      <c r="G10" s="25"/>
      <c r="H10" s="26" t="s">
        <v>19</v>
      </c>
      <c r="I10" s="26" t="s">
        <v>46</v>
      </c>
      <c r="J10" s="25"/>
      <c r="K10" s="25"/>
      <c r="L10" s="25">
        <v>3</v>
      </c>
    </row>
    <row r="11" spans="1:15" x14ac:dyDescent="0.2">
      <c r="A11" s="25"/>
      <c r="B11" s="25"/>
      <c r="C11" s="25"/>
      <c r="D11" s="25"/>
      <c r="E11" s="25"/>
      <c r="F11" s="25"/>
      <c r="G11" s="25"/>
      <c r="H11" s="25">
        <f>MAX(B10:F10)</f>
        <v>0.5</v>
      </c>
      <c r="I11" s="25">
        <f>MIN(B10:E10)</f>
        <v>0.16666666666666599</v>
      </c>
      <c r="J11" s="25"/>
      <c r="K11" s="25"/>
      <c r="L11" s="25"/>
    </row>
    <row r="12" spans="1:15" x14ac:dyDescent="0.2">
      <c r="A12" s="25"/>
      <c r="B12" s="25" t="str">
        <f>B1</f>
        <v>OptOpt_EB</v>
      </c>
      <c r="C12" s="25" t="str">
        <f>C1</f>
        <v>OptOpt_BB</v>
      </c>
      <c r="D12" s="25" t="str">
        <f>D1</f>
        <v>NoneOpt_NBB</v>
      </c>
      <c r="E12" s="25" t="str">
        <f>E1</f>
        <v>OptNone_BNB</v>
      </c>
      <c r="F12" s="25" t="str">
        <f>F1</f>
        <v>NoneNone_NBNB</v>
      </c>
      <c r="G12" s="25"/>
      <c r="H12" s="25" t="str">
        <f>HLOOKUP(H11,$B10:$F$12,$L12,FALSE)</f>
        <v>OptOpt_EB</v>
      </c>
      <c r="I12" s="25" t="str">
        <f>HLOOKUP(I11,$B10:$F$12,$L12,FALSE)</f>
        <v>OptNone_BNB</v>
      </c>
      <c r="J12" s="25"/>
      <c r="K12" s="25"/>
      <c r="L12" s="25">
        <v>3</v>
      </c>
    </row>
    <row r="19" spans="1:9" ht="15.75" x14ac:dyDescent="0.2">
      <c r="A19" s="97" t="s">
        <v>79</v>
      </c>
      <c r="B19" s="97" t="s">
        <v>80</v>
      </c>
      <c r="C19" s="97" t="s">
        <v>81</v>
      </c>
      <c r="D19" s="97" t="s">
        <v>82</v>
      </c>
      <c r="E19" s="97" t="s">
        <v>83</v>
      </c>
      <c r="F19" s="97" t="s">
        <v>84</v>
      </c>
      <c r="G19" s="97" t="s">
        <v>85</v>
      </c>
      <c r="H19" s="97" t="s">
        <v>86</v>
      </c>
      <c r="I19" s="97" t="s">
        <v>87</v>
      </c>
    </row>
    <row r="20" spans="1:9" ht="15.75" x14ac:dyDescent="0.2">
      <c r="A20" s="98" t="s">
        <v>88</v>
      </c>
      <c r="B20" s="99">
        <v>90000</v>
      </c>
      <c r="C20" s="99">
        <v>500000</v>
      </c>
      <c r="D20" s="100">
        <v>0.6</v>
      </c>
      <c r="E20" s="101">
        <v>1</v>
      </c>
      <c r="F20" s="102">
        <v>0.16669999999999999</v>
      </c>
      <c r="G20" s="99">
        <v>150000</v>
      </c>
      <c r="H20" s="99">
        <v>1620000</v>
      </c>
      <c r="I20" s="99">
        <v>10500000</v>
      </c>
    </row>
    <row r="21" spans="1:9" ht="15.75" x14ac:dyDescent="0.2">
      <c r="A21" s="98" t="s">
        <v>89</v>
      </c>
      <c r="B21" s="99">
        <v>40000</v>
      </c>
      <c r="C21" s="99">
        <v>125000</v>
      </c>
      <c r="D21" s="100">
        <v>0.3</v>
      </c>
      <c r="E21" s="101">
        <v>0.01</v>
      </c>
      <c r="F21" s="102">
        <v>0.1389</v>
      </c>
      <c r="G21" s="99">
        <v>62500</v>
      </c>
      <c r="H21" s="99">
        <v>720000</v>
      </c>
      <c r="I21" s="99">
        <v>2812500</v>
      </c>
    </row>
    <row r="22" spans="1:9" ht="15.75" x14ac:dyDescent="0.2">
      <c r="A22" s="98" t="s">
        <v>90</v>
      </c>
      <c r="B22" s="99">
        <v>40000</v>
      </c>
      <c r="C22" s="99">
        <v>125000</v>
      </c>
      <c r="D22" s="100">
        <v>0.3</v>
      </c>
      <c r="E22" s="101">
        <v>0.01</v>
      </c>
      <c r="F22" s="102">
        <v>0.18060000000000001</v>
      </c>
      <c r="G22" s="99">
        <v>62500</v>
      </c>
      <c r="H22" s="99">
        <v>720000</v>
      </c>
      <c r="I22" s="99">
        <v>2812500</v>
      </c>
    </row>
    <row r="24" spans="1:9" ht="17.25" x14ac:dyDescent="0.2">
      <c r="A24" s="97" t="s">
        <v>91</v>
      </c>
      <c r="B24" s="97" t="s">
        <v>92</v>
      </c>
      <c r="C24" s="97" t="s">
        <v>93</v>
      </c>
      <c r="D24" s="97" t="s">
        <v>94</v>
      </c>
      <c r="E24" s="97" t="s">
        <v>95</v>
      </c>
      <c r="F24" s="97" t="s">
        <v>96</v>
      </c>
      <c r="G24" s="97" t="s">
        <v>97</v>
      </c>
      <c r="I24" s="28" t="s">
        <v>101</v>
      </c>
    </row>
    <row r="25" spans="1:9" ht="15.75" x14ac:dyDescent="0.2">
      <c r="A25" s="98">
        <v>70000</v>
      </c>
      <c r="B25" s="98">
        <v>40000</v>
      </c>
      <c r="C25" s="98">
        <v>75000</v>
      </c>
      <c r="D25" s="98">
        <v>10000</v>
      </c>
      <c r="E25" s="98">
        <v>22500</v>
      </c>
      <c r="F25" s="98">
        <v>5000</v>
      </c>
      <c r="G25" s="98">
        <v>11250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3"/>
  <sheetViews>
    <sheetView zoomScale="85" zoomScaleNormal="85" workbookViewId="0">
      <selection activeCell="G161" sqref="G161"/>
    </sheetView>
  </sheetViews>
  <sheetFormatPr defaultRowHeight="12" x14ac:dyDescent="0.25"/>
  <cols>
    <col min="1" max="1" width="30.5703125" style="34" bestFit="1" customWidth="1"/>
    <col min="2" max="2" width="14.85546875" style="39" bestFit="1" customWidth="1"/>
    <col min="3" max="3" width="16.42578125" style="38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5.7109375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(3.6,0.939130435)</v>
      </c>
      <c r="D1" s="36" t="s">
        <v>11</v>
      </c>
      <c r="E1" s="36" t="s">
        <v>7</v>
      </c>
      <c r="F1" s="36" t="s">
        <v>8</v>
      </c>
      <c r="G1" s="36" t="s">
        <v>9</v>
      </c>
      <c r="H1" s="36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64</v>
      </c>
      <c r="B2" s="45" t="s">
        <v>10</v>
      </c>
      <c r="C2" s="36" t="s">
        <v>44</v>
      </c>
      <c r="D2" s="35">
        <f t="shared" ref="D2:D10" si="0">A3</f>
        <v>-15049554.7216495</v>
      </c>
      <c r="E2" s="35">
        <f t="shared" ref="E2:E10" si="1">A12</f>
        <v>-5258861.9856206002</v>
      </c>
      <c r="F2" s="35">
        <f t="shared" ref="F2:F10" si="2">A21</f>
        <v>-5312655.4551974498</v>
      </c>
      <c r="G2" s="35">
        <f t="shared" ref="G2:G10" si="3">A30</f>
        <v>90000</v>
      </c>
      <c r="H2" s="35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-15049554.7216495</v>
      </c>
      <c r="C3" s="36" t="s">
        <v>45</v>
      </c>
      <c r="D3" s="35">
        <f t="shared" si="0"/>
        <v>-12096750.3105765</v>
      </c>
      <c r="E3" s="35">
        <f t="shared" si="1"/>
        <v>-5277004.0969288796</v>
      </c>
      <c r="F3" s="35">
        <f t="shared" si="2"/>
        <v>-5262729.4899692703</v>
      </c>
      <c r="G3" s="35">
        <f t="shared" si="3"/>
        <v>90000</v>
      </c>
      <c r="H3" s="35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-12096750.3105765</v>
      </c>
      <c r="C4" s="36" t="s">
        <v>0</v>
      </c>
      <c r="D4" s="35">
        <f t="shared" si="0"/>
        <v>151845.6018</v>
      </c>
      <c r="E4" s="35">
        <f t="shared" si="1"/>
        <v>-4398316.2949999999</v>
      </c>
      <c r="F4" s="35">
        <f t="shared" si="2"/>
        <v>40000</v>
      </c>
      <c r="G4" s="35">
        <f t="shared" si="3"/>
        <v>-1203608.3500000001</v>
      </c>
      <c r="H4" s="35">
        <f t="shared" si="4"/>
        <v>40000</v>
      </c>
      <c r="J4" s="25">
        <f t="shared" si="5"/>
        <v>151845.6018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151845.6018</v>
      </c>
      <c r="C5" s="36" t="s">
        <v>1</v>
      </c>
      <c r="D5" s="35">
        <f t="shared" si="0"/>
        <v>151797.30480000001</v>
      </c>
      <c r="E5" s="35">
        <f t="shared" si="1"/>
        <v>-4394647.4550000001</v>
      </c>
      <c r="F5" s="35">
        <f t="shared" si="2"/>
        <v>40000</v>
      </c>
      <c r="G5" s="35">
        <f t="shared" si="3"/>
        <v>-1185657.24</v>
      </c>
      <c r="H5" s="35">
        <f t="shared" si="4"/>
        <v>40000</v>
      </c>
      <c r="J5" s="25">
        <f t="shared" si="5"/>
        <v>151797.30480000001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151797.30480000001</v>
      </c>
      <c r="C6" s="36" t="s">
        <v>2</v>
      </c>
      <c r="D6" s="35">
        <f t="shared" si="0"/>
        <v>155767.88639999999</v>
      </c>
      <c r="E6" s="35">
        <f t="shared" si="1"/>
        <v>-3026956.3149999999</v>
      </c>
      <c r="F6" s="35">
        <f t="shared" si="2"/>
        <v>40000</v>
      </c>
      <c r="G6" s="35">
        <f t="shared" si="3"/>
        <v>-2334331.7349999999</v>
      </c>
      <c r="H6" s="35">
        <f t="shared" si="4"/>
        <v>40000</v>
      </c>
      <c r="J6" s="25">
        <f t="shared" si="5"/>
        <v>155767.88639999999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155767.88639999999</v>
      </c>
      <c r="C7" s="36" t="s">
        <v>3</v>
      </c>
      <c r="D7" s="35">
        <f t="shared" si="0"/>
        <v>155838.3432</v>
      </c>
      <c r="E7" s="35">
        <f t="shared" si="1"/>
        <v>-3017260.0950000002</v>
      </c>
      <c r="F7" s="35">
        <f t="shared" si="2"/>
        <v>40000</v>
      </c>
      <c r="G7" s="35">
        <f t="shared" si="3"/>
        <v>-2351693.21</v>
      </c>
      <c r="H7" s="35">
        <f t="shared" si="4"/>
        <v>40000</v>
      </c>
      <c r="J7" s="25">
        <f t="shared" si="5"/>
        <v>155838.3432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155838.3432</v>
      </c>
      <c r="C8" s="36" t="s">
        <v>6</v>
      </c>
      <c r="D8" s="35">
        <f t="shared" si="0"/>
        <v>730843.63500000001</v>
      </c>
      <c r="E8" s="35">
        <f t="shared" si="1"/>
        <v>484268.61</v>
      </c>
      <c r="F8" s="35">
        <f t="shared" si="2"/>
        <v>238226.86</v>
      </c>
      <c r="G8" s="35">
        <f t="shared" si="3"/>
        <v>190573.42</v>
      </c>
      <c r="H8" s="35">
        <f t="shared" si="4"/>
        <v>70000</v>
      </c>
      <c r="J8" s="25">
        <f t="shared" si="5"/>
        <v>730843.63500000001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730843.63500000001</v>
      </c>
      <c r="C9" s="37" t="s">
        <v>23</v>
      </c>
      <c r="D9" s="35">
        <f t="shared" si="0"/>
        <v>28773880.3463233</v>
      </c>
      <c r="E9" s="35">
        <f t="shared" si="1"/>
        <v>27873067.962655801</v>
      </c>
      <c r="F9" s="35">
        <f t="shared" si="2"/>
        <v>13163165.2851566</v>
      </c>
      <c r="G9" s="35">
        <f t="shared" si="3"/>
        <v>9701318.0850000009</v>
      </c>
      <c r="H9" s="35">
        <f t="shared" si="4"/>
        <v>2590000</v>
      </c>
      <c r="J9" s="25">
        <f t="shared" si="5"/>
        <v>28773880.3463233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28773880.3463233</v>
      </c>
      <c r="C10" s="37" t="s">
        <v>24</v>
      </c>
      <c r="D10" s="35">
        <f t="shared" si="0"/>
        <v>0.5</v>
      </c>
      <c r="E10" s="35">
        <f t="shared" si="1"/>
        <v>0.5</v>
      </c>
      <c r="F10" s="35">
        <f t="shared" si="2"/>
        <v>0.33333333333333298</v>
      </c>
      <c r="G10" s="35">
        <f t="shared" si="3"/>
        <v>0.16666666666666599</v>
      </c>
      <c r="H10" s="35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J11" s="25"/>
      <c r="K11" s="25"/>
      <c r="L11" s="25"/>
      <c r="N11" s="25"/>
    </row>
    <row r="12" spans="1:19" ht="12.75" x14ac:dyDescent="0.25">
      <c r="A12" s="34">
        <v>-5258861.9856206002</v>
      </c>
      <c r="B12" s="39">
        <v>2</v>
      </c>
      <c r="C12" s="36" t="str">
        <f>A48</f>
        <v>(3.6,1.87826087)</v>
      </c>
      <c r="D12" s="36" t="str">
        <f>D1</f>
        <v>OptOpt_EB</v>
      </c>
      <c r="E12" s="36" t="str">
        <f t="shared" ref="E12:H12" si="6">E1</f>
        <v>OptOpt_BB</v>
      </c>
      <c r="F12" s="36" t="str">
        <f t="shared" si="6"/>
        <v>NoneOpt_NBB</v>
      </c>
      <c r="G12" s="36" t="str">
        <f t="shared" si="6"/>
        <v>OptNone_BNB</v>
      </c>
      <c r="H12" s="36" t="str">
        <f t="shared" si="6"/>
        <v>NoneNone_NBNB</v>
      </c>
      <c r="J12" s="26" t="s">
        <v>19</v>
      </c>
      <c r="K12" s="26"/>
      <c r="L12" s="26" t="s">
        <v>20</v>
      </c>
      <c r="N12" s="36" t="s">
        <v>98</v>
      </c>
      <c r="O12" s="36">
        <v>0.93913043479999991</v>
      </c>
      <c r="P12" s="36">
        <v>1.8782608695999998</v>
      </c>
      <c r="Q12" s="36">
        <v>2.7781358695999998</v>
      </c>
      <c r="R12" s="36">
        <v>3.6780108695999996</v>
      </c>
      <c r="S12" s="36">
        <v>5.5170163043999993</v>
      </c>
    </row>
    <row r="13" spans="1:19" ht="12.75" x14ac:dyDescent="0.25">
      <c r="A13" s="34">
        <v>-5277004.0969288796</v>
      </c>
      <c r="B13" s="45" t="s">
        <v>10</v>
      </c>
      <c r="C13" s="36" t="str">
        <f t="shared" ref="C13:C21" si="7">C2</f>
        <v>(3, 0)</v>
      </c>
      <c r="D13" s="35">
        <f t="shared" ref="D13:D21" si="8">A49</f>
        <v>-18539559.625106499</v>
      </c>
      <c r="E13" s="35">
        <f t="shared" ref="E13:E21" si="9">A58</f>
        <v>434012.31300769502</v>
      </c>
      <c r="F13" s="35">
        <f t="shared" ref="F13:F21" si="10">A67</f>
        <v>433676.10431196599</v>
      </c>
      <c r="G13" s="35">
        <f t="shared" ref="G13:G21" si="11">A76</f>
        <v>90000</v>
      </c>
      <c r="H13" s="35">
        <f t="shared" ref="H13:H21" si="12">A85</f>
        <v>90000</v>
      </c>
      <c r="J13" s="25">
        <f>MAX(D13:H13)</f>
        <v>434012.31300769502</v>
      </c>
      <c r="K13" s="25"/>
      <c r="L13" s="25" t="str">
        <f>HLOOKUP(J13,D13:$H$23,N2,FALSE)</f>
        <v>OptOpt_BB</v>
      </c>
      <c r="N13" s="36">
        <v>3.6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2.75" x14ac:dyDescent="0.25">
      <c r="A14" s="34">
        <v>-4398316.2949999999</v>
      </c>
      <c r="C14" s="36" t="str">
        <f t="shared" si="7"/>
        <v>(3, 1)</v>
      </c>
      <c r="D14" s="35">
        <f t="shared" si="8"/>
        <v>-12937313.190828299</v>
      </c>
      <c r="E14" s="35">
        <f t="shared" si="9"/>
        <v>432551.026050838</v>
      </c>
      <c r="F14" s="35">
        <f t="shared" si="10"/>
        <v>433662.95648587402</v>
      </c>
      <c r="G14" s="35">
        <f t="shared" si="11"/>
        <v>90000</v>
      </c>
      <c r="H14" s="35">
        <f t="shared" si="12"/>
        <v>90000</v>
      </c>
      <c r="J14" s="25">
        <f t="shared" ref="J14:J20" si="13">MAX(D14:H14)</f>
        <v>433662.95648587402</v>
      </c>
      <c r="K14" s="25"/>
      <c r="L14" s="25" t="str">
        <f>HLOOKUP(J14,D14:$H$23,N3,FALSE)</f>
        <v>NoneOpt_NBB</v>
      </c>
      <c r="N14" s="36">
        <v>7.2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2.75" x14ac:dyDescent="0.25">
      <c r="A15" s="34">
        <v>-4394647.4550000001</v>
      </c>
      <c r="C15" s="36" t="str">
        <f t="shared" si="7"/>
        <v>(2, 0)</v>
      </c>
      <c r="D15" s="35">
        <f t="shared" si="8"/>
        <v>151888.97440000001</v>
      </c>
      <c r="E15" s="35">
        <f t="shared" si="9"/>
        <v>-4379906.58</v>
      </c>
      <c r="F15" s="35">
        <f t="shared" si="10"/>
        <v>40000</v>
      </c>
      <c r="G15" s="35">
        <f t="shared" si="11"/>
        <v>-1205639.3149999999</v>
      </c>
      <c r="H15" s="35">
        <f t="shared" si="12"/>
        <v>40000</v>
      </c>
      <c r="J15" s="25">
        <f t="shared" si="13"/>
        <v>151888.97440000001</v>
      </c>
      <c r="K15" s="25"/>
      <c r="L15" s="25" t="str">
        <f>HLOOKUP(J15,D15:$H$23,N4,FALSE)</f>
        <v>OptOpt_EB</v>
      </c>
      <c r="N15" s="36">
        <v>10.8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-3026956.3149999999</v>
      </c>
      <c r="C16" s="36" t="str">
        <f t="shared" si="7"/>
        <v>(2, 1)</v>
      </c>
      <c r="D16" s="35">
        <f t="shared" si="8"/>
        <v>151880.26199999999</v>
      </c>
      <c r="E16" s="35">
        <f t="shared" si="9"/>
        <v>-4411550.3250000002</v>
      </c>
      <c r="F16" s="35">
        <f t="shared" si="10"/>
        <v>40000</v>
      </c>
      <c r="G16" s="35">
        <f t="shared" si="11"/>
        <v>-1192732.8600000001</v>
      </c>
      <c r="H16" s="35">
        <f t="shared" si="12"/>
        <v>40000</v>
      </c>
      <c r="J16" s="25">
        <f t="shared" si="13"/>
        <v>151880.26199999999</v>
      </c>
      <c r="K16" s="25"/>
      <c r="L16" s="25" t="str">
        <f>HLOOKUP(J16,D16:$H$23,N5,FALSE)</f>
        <v>OptOpt_EB</v>
      </c>
    </row>
    <row r="17" spans="1:38" ht="12.75" x14ac:dyDescent="0.25">
      <c r="A17" s="34">
        <v>-3017260.0950000002</v>
      </c>
      <c r="C17" s="36" t="str">
        <f t="shared" si="7"/>
        <v>(1, 0)</v>
      </c>
      <c r="D17" s="35">
        <f t="shared" si="8"/>
        <v>155721.8622</v>
      </c>
      <c r="E17" s="35">
        <f t="shared" si="9"/>
        <v>-3021649.6</v>
      </c>
      <c r="F17" s="35">
        <f t="shared" si="10"/>
        <v>40000</v>
      </c>
      <c r="G17" s="35">
        <f t="shared" si="11"/>
        <v>-2337607.4849999999</v>
      </c>
      <c r="H17" s="35">
        <f t="shared" si="12"/>
        <v>40000</v>
      </c>
      <c r="J17" s="25">
        <f t="shared" si="13"/>
        <v>155721.8622</v>
      </c>
      <c r="K17" s="25"/>
      <c r="L17" s="25" t="str">
        <f>HLOOKUP(J17,D17:$H$23,N6,FALSE)</f>
        <v>OptOpt_EB</v>
      </c>
      <c r="N17" s="36" t="str">
        <f>N12</f>
        <v>b12\b3</v>
      </c>
      <c r="O17" s="36">
        <f t="shared" ref="O17:S17" si="14">O12</f>
        <v>0.93913043479999991</v>
      </c>
      <c r="P17" s="36">
        <f t="shared" si="14"/>
        <v>1.8782608695999998</v>
      </c>
      <c r="Q17" s="36">
        <f t="shared" si="14"/>
        <v>2.7781358695999998</v>
      </c>
      <c r="R17" s="36">
        <f t="shared" si="14"/>
        <v>3.6780108695999996</v>
      </c>
      <c r="S17" s="36">
        <f t="shared" si="14"/>
        <v>5.5170163043999993</v>
      </c>
    </row>
    <row r="18" spans="1:38" ht="12.75" x14ac:dyDescent="0.25">
      <c r="A18" s="34">
        <v>484268.61</v>
      </c>
      <c r="C18" s="36" t="str">
        <f t="shared" si="7"/>
        <v>(1, 1)</v>
      </c>
      <c r="D18" s="35">
        <f t="shared" si="8"/>
        <v>155794.40239999999</v>
      </c>
      <c r="E18" s="35">
        <f t="shared" si="9"/>
        <v>-2996164.2650000001</v>
      </c>
      <c r="F18" s="35">
        <f t="shared" si="10"/>
        <v>40000</v>
      </c>
      <c r="G18" s="35">
        <f t="shared" si="11"/>
        <v>-2327059.5699999998</v>
      </c>
      <c r="H18" s="35">
        <f t="shared" si="12"/>
        <v>40000</v>
      </c>
      <c r="J18" s="25">
        <f t="shared" si="13"/>
        <v>155794.40239999999</v>
      </c>
      <c r="K18" s="25"/>
      <c r="L18" s="25" t="str">
        <f>HLOOKUP(J18,D18:$H$23,N7,FALSE)</f>
        <v>OptOpt_EB</v>
      </c>
      <c r="N18" s="36">
        <f t="shared" ref="N18:N20" si="15">N13</f>
        <v>3.6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38" ht="12.75" x14ac:dyDescent="0.25">
      <c r="A19" s="34">
        <v>27873067.962655801</v>
      </c>
      <c r="C19" s="36" t="str">
        <f t="shared" si="7"/>
        <v>Inspector</v>
      </c>
      <c r="D19" s="35">
        <f t="shared" si="8"/>
        <v>731307.317067025</v>
      </c>
      <c r="E19" s="35">
        <f t="shared" si="9"/>
        <v>484273.16106845503</v>
      </c>
      <c r="F19" s="35">
        <f t="shared" si="10"/>
        <v>237642.38306612801</v>
      </c>
      <c r="G19" s="35">
        <f t="shared" si="11"/>
        <v>190377.33499999999</v>
      </c>
      <c r="H19" s="35">
        <f t="shared" si="12"/>
        <v>70000</v>
      </c>
      <c r="J19" s="25">
        <f t="shared" si="13"/>
        <v>731307.317067025</v>
      </c>
      <c r="K19" s="25"/>
      <c r="L19" s="25" t="str">
        <f>HLOOKUP(J19,D19:$H$23,N8,FALSE)</f>
        <v>OptOpt_EB</v>
      </c>
      <c r="N19" s="36">
        <f t="shared" si="15"/>
        <v>7.2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OptNone_BNB</v>
      </c>
      <c r="S19" s="40" t="str">
        <f>B101</f>
        <v>OptNone_BNB</v>
      </c>
    </row>
    <row r="20" spans="1:38" ht="12.75" x14ac:dyDescent="0.25">
      <c r="A20" s="34">
        <v>0.5</v>
      </c>
      <c r="C20" s="36" t="str">
        <f t="shared" si="7"/>
        <v>State</v>
      </c>
      <c r="D20" s="35">
        <f t="shared" si="8"/>
        <v>32972316.4409751</v>
      </c>
      <c r="E20" s="35">
        <f t="shared" si="9"/>
        <v>16311346.869999999</v>
      </c>
      <c r="F20" s="35">
        <f t="shared" si="10"/>
        <v>1590000</v>
      </c>
      <c r="G20" s="35">
        <f t="shared" si="11"/>
        <v>9689263.1300000008</v>
      </c>
      <c r="H20" s="35">
        <f t="shared" si="12"/>
        <v>2590000</v>
      </c>
      <c r="J20" s="25">
        <f t="shared" si="13"/>
        <v>32972316.4409751</v>
      </c>
      <c r="K20" s="25"/>
      <c r="L20" s="25" t="str">
        <f>HLOOKUP(J20,D20:$H$23,N9,FALSE)</f>
        <v>OptOpt_EB</v>
      </c>
      <c r="N20" s="36">
        <f t="shared" si="15"/>
        <v>10.8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OptNone_BNB</v>
      </c>
      <c r="S20" s="40" t="str">
        <f>B156</f>
        <v>OptNone_BNB</v>
      </c>
    </row>
    <row r="21" spans="1:38" x14ac:dyDescent="0.25">
      <c r="A21" s="34">
        <v>-5312655.4551974498</v>
      </c>
      <c r="C21" s="36" t="str">
        <f t="shared" si="7"/>
        <v>LoC</v>
      </c>
      <c r="D21" s="35">
        <f t="shared" si="8"/>
        <v>0.5</v>
      </c>
      <c r="E21" s="35">
        <f t="shared" si="9"/>
        <v>0.5</v>
      </c>
      <c r="F21" s="35">
        <f t="shared" si="10"/>
        <v>0.33333333333333298</v>
      </c>
      <c r="G21" s="35">
        <f t="shared" si="11"/>
        <v>0.16666666666666599</v>
      </c>
      <c r="H21" s="35">
        <f t="shared" si="12"/>
        <v>0</v>
      </c>
    </row>
    <row r="22" spans="1:38" x14ac:dyDescent="0.25">
      <c r="A22" s="34">
        <v>-5262729.4899692703</v>
      </c>
      <c r="U22" s="36" t="s">
        <v>105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36">
        <v>6</v>
      </c>
      <c r="AB22" s="36">
        <v>7</v>
      </c>
      <c r="AC22" s="36">
        <v>8</v>
      </c>
      <c r="AD22" s="36">
        <v>9</v>
      </c>
      <c r="AE22" s="36">
        <v>10</v>
      </c>
      <c r="AF22" s="36">
        <v>11</v>
      </c>
      <c r="AG22" s="36">
        <v>12</v>
      </c>
      <c r="AH22" s="36">
        <v>13</v>
      </c>
      <c r="AI22" s="36">
        <v>14</v>
      </c>
      <c r="AJ22" s="36">
        <v>15</v>
      </c>
    </row>
    <row r="23" spans="1:38" ht="12.75" x14ac:dyDescent="0.25">
      <c r="A23" s="34">
        <v>40000</v>
      </c>
      <c r="B23" s="39">
        <v>3</v>
      </c>
      <c r="C23" s="36" t="str">
        <f>A94</f>
        <v>(3.6,2.77813587)</v>
      </c>
      <c r="D23" s="36" t="str">
        <f>D12</f>
        <v>OptOpt_EB</v>
      </c>
      <c r="E23" s="36" t="str">
        <f t="shared" ref="E23:H23" si="16">E12</f>
        <v>OptOpt_BB</v>
      </c>
      <c r="F23" s="36" t="str">
        <f t="shared" si="16"/>
        <v>NoneOpt_NBB</v>
      </c>
      <c r="G23" s="36" t="str">
        <f t="shared" si="16"/>
        <v>OptNone_BNB</v>
      </c>
      <c r="H23" s="36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</row>
    <row r="24" spans="1:38" ht="12.75" x14ac:dyDescent="0.25">
      <c r="A24" s="34">
        <v>40000</v>
      </c>
      <c r="B24" s="39" t="s">
        <v>10</v>
      </c>
      <c r="C24" s="36" t="str">
        <f t="shared" ref="C24:C32" si="17">C2</f>
        <v>(3, 0)</v>
      </c>
      <c r="D24" s="35">
        <f t="shared" ref="D24:D32" si="18">A95</f>
        <v>-31380616.227508198</v>
      </c>
      <c r="E24" s="35">
        <f t="shared" ref="E24:E32" si="19">A104</f>
        <v>359070.23394242802</v>
      </c>
      <c r="F24" s="35">
        <f t="shared" ref="F24:F32" si="20">A113</f>
        <v>357222.77358888101</v>
      </c>
      <c r="G24" s="35">
        <f t="shared" ref="G24:G32" si="21">A122</f>
        <v>90000</v>
      </c>
      <c r="H24" s="35">
        <f t="shared" ref="H24:H32" si="22">A131</f>
        <v>90000</v>
      </c>
      <c r="J24" s="25">
        <f>MAX(D24:H24)</f>
        <v>359070.23394242802</v>
      </c>
      <c r="K24" s="25"/>
      <c r="L24" s="25" t="str">
        <f>HLOOKUP(J24,D24:$H$34,N2,FALSE)</f>
        <v>OptOpt_BB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90000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90000</v>
      </c>
      <c r="AE24" s="35">
        <f t="shared" ref="AE24:AE31" si="32">HLOOKUP($S$19,$D$100:$H$109,$S24,FALSE)</f>
        <v>90000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90000</v>
      </c>
      <c r="AJ24" s="35">
        <f t="shared" ref="AJ24:AJ31" si="37">HLOOKUP($S$20,$D$155:$H$164,$S24,FALSE)</f>
        <v>90000</v>
      </c>
      <c r="AL24" s="34">
        <f t="shared" ref="AL24:AL31" si="38">AVERAGE(V24:AK24)</f>
        <v>90000</v>
      </c>
    </row>
    <row r="25" spans="1:38" ht="12.75" x14ac:dyDescent="0.25">
      <c r="A25" s="34">
        <v>40000</v>
      </c>
      <c r="C25" s="36" t="str">
        <f t="shared" si="17"/>
        <v>(3, 1)</v>
      </c>
      <c r="D25" s="35">
        <f t="shared" si="18"/>
        <v>-21858140.574102201</v>
      </c>
      <c r="E25" s="35">
        <f t="shared" si="19"/>
        <v>358842.42680108798</v>
      </c>
      <c r="F25" s="35">
        <f t="shared" si="20"/>
        <v>356917.17864318099</v>
      </c>
      <c r="G25" s="35">
        <f t="shared" si="21"/>
        <v>90000</v>
      </c>
      <c r="H25" s="35">
        <f t="shared" si="22"/>
        <v>90000</v>
      </c>
      <c r="J25" s="25">
        <f t="shared" ref="J25:J31" si="39">MAX(D25:H25)</f>
        <v>358842.42680108798</v>
      </c>
      <c r="K25" s="25"/>
      <c r="L25" s="25" t="str">
        <f>HLOOKUP(J25,D25:$H$34,N3,FALSE)</f>
        <v>OptOpt_BB</v>
      </c>
      <c r="N25" s="25"/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40000</v>
      </c>
      <c r="Z25" s="35">
        <f t="shared" si="27"/>
        <v>40000</v>
      </c>
      <c r="AA25" s="35">
        <f t="shared" si="28"/>
        <v>128024.4</v>
      </c>
      <c r="AB25" s="35">
        <f t="shared" si="29"/>
        <v>127228.8</v>
      </c>
      <c r="AC25" s="35">
        <f t="shared" si="30"/>
        <v>127729.2</v>
      </c>
      <c r="AD25" s="35">
        <f t="shared" si="31"/>
        <v>127403.4</v>
      </c>
      <c r="AE25" s="35">
        <f t="shared" si="32"/>
        <v>127331.4</v>
      </c>
      <c r="AF25" s="35">
        <f t="shared" si="33"/>
        <v>109212.6</v>
      </c>
      <c r="AG25" s="35">
        <f t="shared" si="34"/>
        <v>108834.6</v>
      </c>
      <c r="AH25" s="35">
        <f t="shared" si="35"/>
        <v>108799.5</v>
      </c>
      <c r="AI25" s="35">
        <f t="shared" si="36"/>
        <v>108605.1</v>
      </c>
      <c r="AJ25" s="35">
        <f t="shared" si="37"/>
        <v>109290.9</v>
      </c>
      <c r="AL25" s="34">
        <f t="shared" si="38"/>
        <v>92163.993333333347</v>
      </c>
    </row>
    <row r="26" spans="1:38" ht="12.75" x14ac:dyDescent="0.25">
      <c r="A26" s="34">
        <v>40000</v>
      </c>
      <c r="C26" s="36" t="str">
        <f t="shared" si="17"/>
        <v>(2, 0)</v>
      </c>
      <c r="D26" s="35">
        <f t="shared" si="18"/>
        <v>151916.4374</v>
      </c>
      <c r="E26" s="35">
        <f t="shared" si="19"/>
        <v>-4394057.82</v>
      </c>
      <c r="F26" s="35">
        <f t="shared" si="20"/>
        <v>40000</v>
      </c>
      <c r="G26" s="35">
        <f t="shared" si="21"/>
        <v>-1208849.55</v>
      </c>
      <c r="H26" s="35">
        <f t="shared" si="22"/>
        <v>40000</v>
      </c>
      <c r="J26" s="25">
        <f t="shared" si="39"/>
        <v>151916.4374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40000</v>
      </c>
      <c r="Z26" s="35">
        <f t="shared" si="27"/>
        <v>40000</v>
      </c>
      <c r="AA26" s="35">
        <f t="shared" si="28"/>
        <v>127034.4</v>
      </c>
      <c r="AB26" s="35">
        <f t="shared" si="29"/>
        <v>127567.2</v>
      </c>
      <c r="AC26" s="35">
        <f t="shared" si="30"/>
        <v>127515</v>
      </c>
      <c r="AD26" s="35">
        <f t="shared" si="31"/>
        <v>127345.8</v>
      </c>
      <c r="AE26" s="35">
        <f t="shared" si="32"/>
        <v>127615.8</v>
      </c>
      <c r="AF26" s="35">
        <f t="shared" si="33"/>
        <v>108613.2</v>
      </c>
      <c r="AG26" s="35">
        <f t="shared" si="34"/>
        <v>109231.5</v>
      </c>
      <c r="AH26" s="35">
        <f t="shared" si="35"/>
        <v>108615.9</v>
      </c>
      <c r="AI26" s="35">
        <f t="shared" si="36"/>
        <v>108937.2</v>
      </c>
      <c r="AJ26" s="35">
        <f t="shared" si="37"/>
        <v>108489</v>
      </c>
      <c r="AL26" s="34">
        <f t="shared" si="38"/>
        <v>92064.333333333328</v>
      </c>
    </row>
    <row r="27" spans="1:38" ht="12.75" x14ac:dyDescent="0.25">
      <c r="A27" s="34">
        <v>238226.86</v>
      </c>
      <c r="C27" s="36" t="str">
        <f t="shared" si="17"/>
        <v>(2, 1)</v>
      </c>
      <c r="D27" s="35">
        <f t="shared" si="18"/>
        <v>151794.08499999999</v>
      </c>
      <c r="E27" s="35">
        <f t="shared" si="19"/>
        <v>-4390192.4349999996</v>
      </c>
      <c r="F27" s="35">
        <f t="shared" si="20"/>
        <v>40000</v>
      </c>
      <c r="G27" s="35">
        <f t="shared" si="21"/>
        <v>-1195877.58</v>
      </c>
      <c r="H27" s="35">
        <f t="shared" si="22"/>
        <v>40000</v>
      </c>
      <c r="J27" s="25">
        <f t="shared" si="39"/>
        <v>151794.08499999999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40000</v>
      </c>
      <c r="Z27" s="35">
        <f t="shared" si="27"/>
        <v>40000</v>
      </c>
      <c r="AA27" s="35">
        <f t="shared" si="28"/>
        <v>96295.8</v>
      </c>
      <c r="AB27" s="35">
        <f t="shared" si="29"/>
        <v>96405.6</v>
      </c>
      <c r="AC27" s="35">
        <f t="shared" si="30"/>
        <v>96472.2</v>
      </c>
      <c r="AD27" s="35">
        <f t="shared" si="31"/>
        <v>96639.6</v>
      </c>
      <c r="AE27" s="35">
        <f t="shared" si="32"/>
        <v>96715.199999999997</v>
      </c>
      <c r="AF27" s="35">
        <f t="shared" si="33"/>
        <v>60852.9</v>
      </c>
      <c r="AG27" s="35">
        <f t="shared" si="34"/>
        <v>62621.4</v>
      </c>
      <c r="AH27" s="35">
        <f t="shared" si="35"/>
        <v>61968</v>
      </c>
      <c r="AI27" s="35">
        <f t="shared" si="36"/>
        <v>62229.9</v>
      </c>
      <c r="AJ27" s="35">
        <f t="shared" si="37"/>
        <v>62408.1</v>
      </c>
      <c r="AL27" s="34">
        <f t="shared" si="38"/>
        <v>66173.913333333345</v>
      </c>
    </row>
    <row r="28" spans="1:38" ht="12.75" x14ac:dyDescent="0.25">
      <c r="A28" s="34">
        <v>13163165.2851566</v>
      </c>
      <c r="C28" s="36" t="str">
        <f t="shared" si="17"/>
        <v>(1, 0)</v>
      </c>
      <c r="D28" s="35">
        <f t="shared" si="18"/>
        <v>155799.70559999999</v>
      </c>
      <c r="E28" s="35">
        <f t="shared" si="19"/>
        <v>-3040255.86</v>
      </c>
      <c r="F28" s="35">
        <f t="shared" si="20"/>
        <v>40000</v>
      </c>
      <c r="G28" s="35">
        <f t="shared" si="21"/>
        <v>-2337345.4249999998</v>
      </c>
      <c r="H28" s="35">
        <f t="shared" si="22"/>
        <v>40000</v>
      </c>
      <c r="J28" s="25">
        <f t="shared" si="39"/>
        <v>155799.70559999999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40000</v>
      </c>
      <c r="Z28" s="35">
        <f t="shared" si="27"/>
        <v>40000</v>
      </c>
      <c r="AA28" s="35">
        <f t="shared" si="28"/>
        <v>95878.2</v>
      </c>
      <c r="AB28" s="35">
        <f t="shared" si="29"/>
        <v>96254.399999999994</v>
      </c>
      <c r="AC28" s="35">
        <f t="shared" si="30"/>
        <v>95948.4</v>
      </c>
      <c r="AD28" s="35">
        <f t="shared" si="31"/>
        <v>96124.800000000003</v>
      </c>
      <c r="AE28" s="35">
        <f t="shared" si="32"/>
        <v>96952.8</v>
      </c>
      <c r="AF28" s="35">
        <f t="shared" si="33"/>
        <v>61627.8</v>
      </c>
      <c r="AG28" s="35">
        <f t="shared" si="34"/>
        <v>61984.2</v>
      </c>
      <c r="AH28" s="35">
        <f t="shared" si="35"/>
        <v>61992.3</v>
      </c>
      <c r="AI28" s="35">
        <f t="shared" si="36"/>
        <v>61824.9</v>
      </c>
      <c r="AJ28" s="35">
        <f t="shared" si="37"/>
        <v>61976.1</v>
      </c>
      <c r="AL28" s="34">
        <f t="shared" si="38"/>
        <v>66037.593333333338</v>
      </c>
    </row>
    <row r="29" spans="1:38" ht="12.75" x14ac:dyDescent="0.25">
      <c r="A29" s="34">
        <v>0.33333333333333298</v>
      </c>
      <c r="C29" s="36" t="str">
        <f t="shared" si="17"/>
        <v>(1, 1)</v>
      </c>
      <c r="D29" s="35">
        <f t="shared" si="18"/>
        <v>155800.08439999999</v>
      </c>
      <c r="E29" s="35">
        <f t="shared" si="19"/>
        <v>-3014770.5249999999</v>
      </c>
      <c r="F29" s="35">
        <f t="shared" si="20"/>
        <v>40000</v>
      </c>
      <c r="G29" s="35">
        <f t="shared" si="21"/>
        <v>-2353855.2050000001</v>
      </c>
      <c r="H29" s="35">
        <f t="shared" si="22"/>
        <v>40000</v>
      </c>
      <c r="J29" s="25">
        <f t="shared" si="39"/>
        <v>155800.08439999999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70000</v>
      </c>
      <c r="Z29" s="35">
        <f t="shared" si="27"/>
        <v>70000</v>
      </c>
      <c r="AA29" s="35">
        <f t="shared" si="28"/>
        <v>190738.821</v>
      </c>
      <c r="AB29" s="35">
        <f t="shared" si="29"/>
        <v>190607.42</v>
      </c>
      <c r="AC29" s="35">
        <f t="shared" si="30"/>
        <v>190494.136</v>
      </c>
      <c r="AD29" s="35">
        <f t="shared" si="31"/>
        <v>190573.802</v>
      </c>
      <c r="AE29" s="35">
        <f t="shared" si="32"/>
        <v>189946.03899999999</v>
      </c>
      <c r="AF29" s="35">
        <f t="shared" si="33"/>
        <v>297512.60125000001</v>
      </c>
      <c r="AG29" s="35">
        <f t="shared" si="34"/>
        <v>295823.92725000001</v>
      </c>
      <c r="AH29" s="35">
        <f t="shared" si="35"/>
        <v>296744.42225</v>
      </c>
      <c r="AI29" s="35">
        <f t="shared" si="36"/>
        <v>296587.31675</v>
      </c>
      <c r="AJ29" s="35">
        <f t="shared" si="37"/>
        <v>296184.16424999997</v>
      </c>
      <c r="AL29" s="34">
        <f t="shared" si="38"/>
        <v>185680.84331666664</v>
      </c>
    </row>
    <row r="30" spans="1:38" ht="12.75" x14ac:dyDescent="0.25">
      <c r="A30" s="34">
        <v>90000</v>
      </c>
      <c r="C30" s="36" t="str">
        <f t="shared" si="17"/>
        <v>Inspector</v>
      </c>
      <c r="D30" s="35">
        <f t="shared" si="18"/>
        <v>880704.45419087703</v>
      </c>
      <c r="E30" s="35">
        <f t="shared" si="19"/>
        <v>633852.74381755502</v>
      </c>
      <c r="F30" s="35">
        <f t="shared" si="20"/>
        <v>389840.50206808897</v>
      </c>
      <c r="G30" s="35">
        <f t="shared" si="21"/>
        <v>190891.97</v>
      </c>
      <c r="H30" s="35">
        <f t="shared" si="22"/>
        <v>70000</v>
      </c>
      <c r="J30" s="25">
        <f t="shared" si="39"/>
        <v>880704.45419087703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2590000</v>
      </c>
      <c r="Z30" s="35">
        <f t="shared" si="27"/>
        <v>2590000</v>
      </c>
      <c r="AA30" s="35">
        <f t="shared" si="28"/>
        <v>2090000</v>
      </c>
      <c r="AB30" s="35">
        <f t="shared" si="29"/>
        <v>2090000</v>
      </c>
      <c r="AC30" s="35">
        <f t="shared" si="30"/>
        <v>2090000</v>
      </c>
      <c r="AD30" s="35">
        <f t="shared" si="31"/>
        <v>2090000</v>
      </c>
      <c r="AE30" s="35">
        <f t="shared" si="32"/>
        <v>2090000</v>
      </c>
      <c r="AF30" s="35">
        <f t="shared" si="33"/>
        <v>2090000</v>
      </c>
      <c r="AG30" s="35">
        <f t="shared" si="34"/>
        <v>2090000</v>
      </c>
      <c r="AH30" s="35">
        <f t="shared" si="35"/>
        <v>2090000</v>
      </c>
      <c r="AI30" s="35">
        <f t="shared" si="36"/>
        <v>2090000</v>
      </c>
      <c r="AJ30" s="35">
        <f t="shared" si="37"/>
        <v>2090000</v>
      </c>
      <c r="AL30" s="34">
        <f t="shared" si="38"/>
        <v>2256666.6666666665</v>
      </c>
    </row>
    <row r="31" spans="1:38" ht="12.75" x14ac:dyDescent="0.25">
      <c r="A31" s="34">
        <v>90000</v>
      </c>
      <c r="C31" s="36" t="str">
        <f t="shared" si="17"/>
        <v>State</v>
      </c>
      <c r="D31" s="35">
        <f t="shared" si="18"/>
        <v>54585114.6440918</v>
      </c>
      <c r="E31" s="35">
        <f t="shared" si="19"/>
        <v>16340871.84</v>
      </c>
      <c r="F31" s="35">
        <f t="shared" si="20"/>
        <v>1590000</v>
      </c>
      <c r="G31" s="35">
        <f t="shared" si="21"/>
        <v>9721624.5600000005</v>
      </c>
      <c r="H31" s="35">
        <f t="shared" si="22"/>
        <v>2590000</v>
      </c>
      <c r="J31" s="25">
        <f t="shared" si="39"/>
        <v>54585114.6440918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</v>
      </c>
      <c r="Z31" s="35">
        <f t="shared" si="27"/>
        <v>0</v>
      </c>
      <c r="AA31" s="35">
        <f t="shared" si="28"/>
        <v>0.16666666666666599</v>
      </c>
      <c r="AB31" s="35">
        <f t="shared" si="29"/>
        <v>0.16666666666666599</v>
      </c>
      <c r="AC31" s="35">
        <f t="shared" si="30"/>
        <v>0.16666666666666599</v>
      </c>
      <c r="AD31" s="35">
        <f t="shared" si="31"/>
        <v>0.16666666666666599</v>
      </c>
      <c r="AE31" s="35">
        <f t="shared" si="32"/>
        <v>0.16666666666666599</v>
      </c>
      <c r="AF31" s="35">
        <f t="shared" si="33"/>
        <v>0.16666666666666599</v>
      </c>
      <c r="AG31" s="35">
        <f t="shared" si="34"/>
        <v>0.16666666666666599</v>
      </c>
      <c r="AH31" s="35">
        <f t="shared" si="35"/>
        <v>0.16666666666666599</v>
      </c>
      <c r="AI31" s="35">
        <f t="shared" si="36"/>
        <v>0.16666666666666599</v>
      </c>
      <c r="AJ31" s="35">
        <f t="shared" si="37"/>
        <v>0.16666666666666599</v>
      </c>
      <c r="AL31" s="34">
        <f t="shared" si="38"/>
        <v>0.11111111111111067</v>
      </c>
    </row>
    <row r="32" spans="1:38" x14ac:dyDescent="0.25">
      <c r="A32" s="34">
        <v>-1203608.3500000001</v>
      </c>
      <c r="C32" s="36" t="str">
        <f t="shared" si="17"/>
        <v>LoC</v>
      </c>
      <c r="D32" s="35">
        <f t="shared" si="18"/>
        <v>0.5</v>
      </c>
      <c r="E32" s="35">
        <f t="shared" si="19"/>
        <v>0.5</v>
      </c>
      <c r="F32" s="35">
        <f t="shared" si="20"/>
        <v>0.33333333333333298</v>
      </c>
      <c r="G32" s="35">
        <f t="shared" si="21"/>
        <v>0.16666666666666599</v>
      </c>
      <c r="H32" s="35">
        <f t="shared" si="22"/>
        <v>0</v>
      </c>
    </row>
    <row r="33" spans="1:14" x14ac:dyDescent="0.25">
      <c r="A33" s="34">
        <v>-1185657.24</v>
      </c>
    </row>
    <row r="34" spans="1:14" ht="12.75" x14ac:dyDescent="0.25">
      <c r="A34" s="34">
        <v>-2334331.7349999999</v>
      </c>
      <c r="B34" s="39">
        <v>4</v>
      </c>
      <c r="C34" s="36" t="str">
        <f>A140</f>
        <v>(3.6,3.67801087)</v>
      </c>
      <c r="D34" s="36" t="str">
        <f>D23</f>
        <v>OptOpt_EB</v>
      </c>
      <c r="E34" s="36" t="str">
        <f t="shared" ref="E34:H34" si="40">E23</f>
        <v>OptOpt_BB</v>
      </c>
      <c r="F34" s="36" t="str">
        <f t="shared" si="40"/>
        <v>NoneOpt_NBB</v>
      </c>
      <c r="G34" s="36" t="str">
        <f t="shared" si="40"/>
        <v>OptNone_BNB</v>
      </c>
      <c r="H34" s="36" t="str">
        <f t="shared" si="40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-2351693.21</v>
      </c>
      <c r="B35" s="39" t="s">
        <v>10</v>
      </c>
      <c r="C35" s="36" t="str">
        <f t="shared" ref="C35:C43" si="41">C2</f>
        <v>(3, 0)</v>
      </c>
      <c r="D35" s="35">
        <f t="shared" ref="D35:D43" si="42">A141</f>
        <v>-230211.136052794</v>
      </c>
      <c r="E35" s="35">
        <f t="shared" ref="E35:E43" si="43">A150</f>
        <v>282867.70230093598</v>
      </c>
      <c r="F35" s="35">
        <f t="shared" ref="F35:F43" si="44">A159</f>
        <v>281893.02942038298</v>
      </c>
      <c r="G35" s="35">
        <f t="shared" ref="G35:G43" si="45">A168</f>
        <v>90000</v>
      </c>
      <c r="H35" s="35">
        <f t="shared" ref="H35:H43" si="46">A177</f>
        <v>90000</v>
      </c>
      <c r="J35" s="25">
        <f>MAX(D35:H35)</f>
        <v>282867.70230093598</v>
      </c>
      <c r="K35" s="25"/>
      <c r="L35" s="25" t="str">
        <f>HLOOKUP(J35,D35:$H$45,N2,FALSE)</f>
        <v>OptOpt_BB</v>
      </c>
      <c r="N35" s="25"/>
    </row>
    <row r="36" spans="1:14" ht="12.75" x14ac:dyDescent="0.25">
      <c r="A36" s="34">
        <v>190573.42</v>
      </c>
      <c r="C36" s="36" t="str">
        <f t="shared" si="41"/>
        <v>(3, 1)</v>
      </c>
      <c r="D36" s="35">
        <f t="shared" si="42"/>
        <v>-72384.011611065405</v>
      </c>
      <c r="E36" s="35">
        <f t="shared" si="43"/>
        <v>282279.22056173399</v>
      </c>
      <c r="F36" s="35">
        <f t="shared" si="44"/>
        <v>284320.516594582</v>
      </c>
      <c r="G36" s="35">
        <f t="shared" si="45"/>
        <v>90000</v>
      </c>
      <c r="H36" s="35">
        <f t="shared" si="46"/>
        <v>90000</v>
      </c>
      <c r="J36" s="25">
        <f t="shared" ref="J36:J42" si="47">MAX(D36:H36)</f>
        <v>284320.516594582</v>
      </c>
      <c r="K36" s="25"/>
      <c r="L36" s="25" t="str">
        <f>HLOOKUP(J36,D36:$H$45,N3,FALSE)</f>
        <v>NoneOpt_NBB</v>
      </c>
      <c r="N36" s="25"/>
    </row>
    <row r="37" spans="1:14" ht="12.75" x14ac:dyDescent="0.25">
      <c r="A37" s="34">
        <v>9701318.0850000009</v>
      </c>
      <c r="C37" s="36" t="str">
        <f t="shared" si="41"/>
        <v>(2, 0)</v>
      </c>
      <c r="D37" s="35">
        <f t="shared" si="42"/>
        <v>165000</v>
      </c>
      <c r="E37" s="35">
        <f t="shared" si="43"/>
        <v>-4351407.5549999997</v>
      </c>
      <c r="F37" s="35">
        <f t="shared" si="44"/>
        <v>40000</v>
      </c>
      <c r="G37" s="35">
        <f t="shared" si="45"/>
        <v>-1197449.94</v>
      </c>
      <c r="H37" s="35">
        <f t="shared" si="46"/>
        <v>40000</v>
      </c>
      <c r="J37" s="25">
        <f t="shared" si="47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1"/>
        <v>(2, 1)</v>
      </c>
      <c r="D38" s="35">
        <f t="shared" si="42"/>
        <v>165000</v>
      </c>
      <c r="E38" s="35">
        <f t="shared" si="43"/>
        <v>-4385606.3849999998</v>
      </c>
      <c r="F38" s="35">
        <f t="shared" si="44"/>
        <v>40000</v>
      </c>
      <c r="G38" s="35">
        <f t="shared" si="45"/>
        <v>-1194436.25</v>
      </c>
      <c r="H38" s="35">
        <f t="shared" si="46"/>
        <v>40000</v>
      </c>
      <c r="J38" s="25">
        <f t="shared" si="47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1"/>
        <v>(1, 0)</v>
      </c>
      <c r="D39" s="35">
        <f t="shared" si="42"/>
        <v>165000</v>
      </c>
      <c r="E39" s="35">
        <f t="shared" si="43"/>
        <v>-3021649.6</v>
      </c>
      <c r="F39" s="35">
        <f t="shared" si="44"/>
        <v>40000</v>
      </c>
      <c r="G39" s="35">
        <f t="shared" si="45"/>
        <v>-2330400.835</v>
      </c>
      <c r="H39" s="35">
        <f t="shared" si="46"/>
        <v>40000</v>
      </c>
      <c r="J39" s="25">
        <f t="shared" si="47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1"/>
        <v>(1, 1)</v>
      </c>
      <c r="D40" s="35">
        <f t="shared" si="42"/>
        <v>165000</v>
      </c>
      <c r="E40" s="35">
        <f t="shared" si="43"/>
        <v>-2999308.9849999999</v>
      </c>
      <c r="F40" s="35">
        <f t="shared" si="44"/>
        <v>40000</v>
      </c>
      <c r="G40" s="35">
        <f t="shared" si="45"/>
        <v>-2349007.0950000002</v>
      </c>
      <c r="H40" s="35">
        <f t="shared" si="46"/>
        <v>40000</v>
      </c>
      <c r="J40" s="25">
        <f t="shared" si="47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1"/>
        <v>Inspector</v>
      </c>
      <c r="D41" s="35">
        <f t="shared" si="42"/>
        <v>1031560.06115749</v>
      </c>
      <c r="E41" s="35">
        <f t="shared" si="43"/>
        <v>784659.17756660399</v>
      </c>
      <c r="F41" s="35">
        <f t="shared" si="44"/>
        <v>538423.40006873698</v>
      </c>
      <c r="G41" s="35">
        <f t="shared" si="45"/>
        <v>190509.59</v>
      </c>
      <c r="H41" s="35">
        <f t="shared" si="46"/>
        <v>70000</v>
      </c>
      <c r="J41" s="25">
        <f t="shared" si="47"/>
        <v>1031560.06115749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1"/>
        <v>State</v>
      </c>
      <c r="D42" s="35">
        <f t="shared" si="42"/>
        <v>1090000</v>
      </c>
      <c r="E42" s="35">
        <f t="shared" si="43"/>
        <v>16260870.775</v>
      </c>
      <c r="F42" s="35">
        <f t="shared" si="44"/>
        <v>1590000</v>
      </c>
      <c r="G42" s="35">
        <f t="shared" si="45"/>
        <v>9697385.7200000007</v>
      </c>
      <c r="H42" s="35">
        <f t="shared" si="46"/>
        <v>2590000</v>
      </c>
      <c r="J42" s="25">
        <f t="shared" si="47"/>
        <v>16260870.775</v>
      </c>
      <c r="K42" s="25"/>
      <c r="L42" s="25" t="str">
        <f>HLOOKUP(J42,D42:$H$45,N9,FALSE)</f>
        <v>OptOpt_BB</v>
      </c>
      <c r="N42" s="25"/>
    </row>
    <row r="43" spans="1:14" x14ac:dyDescent="0.25">
      <c r="A43" s="34">
        <v>40000</v>
      </c>
      <c r="C43" s="36" t="str">
        <f t="shared" si="41"/>
        <v>LoC</v>
      </c>
      <c r="D43" s="35">
        <f t="shared" si="42"/>
        <v>0.5</v>
      </c>
      <c r="E43" s="35">
        <f t="shared" si="43"/>
        <v>0.5</v>
      </c>
      <c r="F43" s="35">
        <f t="shared" si="44"/>
        <v>0.33333333333333298</v>
      </c>
      <c r="G43" s="35">
        <f t="shared" si="45"/>
        <v>0.16666666666666599</v>
      </c>
      <c r="H43" s="35">
        <f t="shared" si="46"/>
        <v>0</v>
      </c>
    </row>
    <row r="44" spans="1:14" x14ac:dyDescent="0.25">
      <c r="A44" s="34">
        <v>40000</v>
      </c>
    </row>
    <row r="45" spans="1:14" ht="12.75" x14ac:dyDescent="0.25">
      <c r="A45" s="34">
        <v>70000</v>
      </c>
      <c r="B45" s="39">
        <v>5</v>
      </c>
      <c r="C45" s="36" t="str">
        <f>A186</f>
        <v>(3.6,5.517016304)</v>
      </c>
      <c r="D45" s="36" t="str">
        <f>D34</f>
        <v>OptOpt_EB</v>
      </c>
      <c r="E45" s="36" t="str">
        <f t="shared" ref="E45:H45" si="48">E34</f>
        <v>OptOpt_BB</v>
      </c>
      <c r="F45" s="36" t="str">
        <f t="shared" si="48"/>
        <v>NoneOpt_NBB</v>
      </c>
      <c r="G45" s="36" t="str">
        <f t="shared" si="48"/>
        <v>OptNone_BNB</v>
      </c>
      <c r="H45" s="36" t="str">
        <f t="shared" si="48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49">C2</f>
        <v>(3, 0)</v>
      </c>
      <c r="D46" s="35">
        <f t="shared" ref="D46:D54" si="50">A187</f>
        <v>-636978.90899281902</v>
      </c>
      <c r="E46" s="35">
        <f t="shared" ref="E46:E54" si="51">A196</f>
        <v>132540.042104861</v>
      </c>
      <c r="F46" s="35">
        <f t="shared" ref="F46:F54" si="52">A205</f>
        <v>129301.553534413</v>
      </c>
      <c r="G46" s="35">
        <f t="shared" ref="G46:G54" si="53">A214</f>
        <v>90000</v>
      </c>
      <c r="H46" s="35">
        <f t="shared" ref="H46:H54" si="54">A223</f>
        <v>90000</v>
      </c>
      <c r="J46" s="25">
        <f>MAX(D46:H46)</f>
        <v>132540.042104861</v>
      </c>
      <c r="K46" s="25"/>
      <c r="L46" s="25" t="str">
        <f>HLOOKUP(J46,D46:$H$56,N2,FALSE)</f>
        <v>OptOpt_BB</v>
      </c>
      <c r="N46" s="25"/>
    </row>
    <row r="47" spans="1:14" ht="12.75" x14ac:dyDescent="0.25">
      <c r="A47" s="34">
        <v>0</v>
      </c>
      <c r="C47" s="36" t="str">
        <f t="shared" si="49"/>
        <v>(3, 1)</v>
      </c>
      <c r="D47" s="35">
        <f t="shared" si="50"/>
        <v>-405164.91793192201</v>
      </c>
      <c r="E47" s="35">
        <f t="shared" si="51"/>
        <v>129742.914838734</v>
      </c>
      <c r="F47" s="35">
        <f t="shared" si="52"/>
        <v>129522.234186573</v>
      </c>
      <c r="G47" s="35">
        <f t="shared" si="53"/>
        <v>90000</v>
      </c>
      <c r="H47" s="35">
        <f t="shared" si="54"/>
        <v>90000</v>
      </c>
      <c r="J47" s="25">
        <f t="shared" ref="J47:J53" si="55">MAX(D47:H47)</f>
        <v>129742.914838734</v>
      </c>
      <c r="K47" s="25"/>
      <c r="L47" s="25" t="str">
        <f>HLOOKUP(J47,D47:$H$56,N3,FALSE)</f>
        <v>OptOpt_BB</v>
      </c>
      <c r="N47" s="25"/>
    </row>
    <row r="48" spans="1:14" ht="12.75" x14ac:dyDescent="0.25">
      <c r="A48" s="34" t="s">
        <v>65</v>
      </c>
      <c r="C48" s="36" t="str">
        <f t="shared" si="49"/>
        <v>(2, 0)</v>
      </c>
      <c r="D48" s="35">
        <f t="shared" si="50"/>
        <v>165000</v>
      </c>
      <c r="E48" s="35">
        <f t="shared" si="51"/>
        <v>-4369162.12</v>
      </c>
      <c r="F48" s="35">
        <f t="shared" si="52"/>
        <v>40000</v>
      </c>
      <c r="G48" s="35">
        <f t="shared" si="53"/>
        <v>-1192077.71</v>
      </c>
      <c r="H48" s="35">
        <f t="shared" si="54"/>
        <v>40000</v>
      </c>
      <c r="J48" s="25">
        <f t="shared" si="55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-18539559.625106499</v>
      </c>
      <c r="C49" s="36" t="str">
        <f t="shared" si="49"/>
        <v>(2, 1)</v>
      </c>
      <c r="D49" s="35">
        <f t="shared" si="50"/>
        <v>165000</v>
      </c>
      <c r="E49" s="35">
        <f t="shared" si="51"/>
        <v>-4358090.085</v>
      </c>
      <c r="F49" s="35">
        <f t="shared" si="52"/>
        <v>40000</v>
      </c>
      <c r="G49" s="35">
        <f t="shared" si="53"/>
        <v>-1212780.45</v>
      </c>
      <c r="H49" s="35">
        <f t="shared" si="54"/>
        <v>40000</v>
      </c>
      <c r="J49" s="25">
        <f t="shared" si="55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-12937313.190828299</v>
      </c>
      <c r="C50" s="36" t="str">
        <f t="shared" si="49"/>
        <v>(1, 0)</v>
      </c>
      <c r="D50" s="35">
        <f t="shared" si="50"/>
        <v>165000</v>
      </c>
      <c r="E50" s="35">
        <f t="shared" si="51"/>
        <v>-3038355.9249999998</v>
      </c>
      <c r="F50" s="35">
        <f t="shared" si="52"/>
        <v>40000</v>
      </c>
      <c r="G50" s="35">
        <f t="shared" si="53"/>
        <v>-2341603.9</v>
      </c>
      <c r="H50" s="35">
        <f t="shared" si="54"/>
        <v>40000</v>
      </c>
      <c r="J50" s="25">
        <f t="shared" si="55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151888.97440000001</v>
      </c>
      <c r="C51" s="36" t="str">
        <f t="shared" si="49"/>
        <v>(1, 1)</v>
      </c>
      <c r="D51" s="35">
        <f t="shared" si="50"/>
        <v>165000</v>
      </c>
      <c r="E51" s="35">
        <f t="shared" si="51"/>
        <v>-3034293.9950000001</v>
      </c>
      <c r="F51" s="35">
        <f t="shared" si="52"/>
        <v>40000</v>
      </c>
      <c r="G51" s="35">
        <f t="shared" si="53"/>
        <v>-2327125.085</v>
      </c>
      <c r="H51" s="35">
        <f t="shared" si="54"/>
        <v>40000</v>
      </c>
      <c r="J51" s="25">
        <f t="shared" si="55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151880.26199999999</v>
      </c>
      <c r="C52" s="36" t="str">
        <f t="shared" si="49"/>
        <v>Inspector</v>
      </c>
      <c r="D52" s="35">
        <f t="shared" si="50"/>
        <v>1771187.61536123</v>
      </c>
      <c r="E52" s="35">
        <f t="shared" si="51"/>
        <v>1088874.3482276001</v>
      </c>
      <c r="F52" s="35">
        <f t="shared" si="52"/>
        <v>845744.59988359199</v>
      </c>
      <c r="G52" s="35">
        <f t="shared" si="53"/>
        <v>190540.69</v>
      </c>
      <c r="H52" s="35">
        <f t="shared" si="54"/>
        <v>70000</v>
      </c>
      <c r="J52" s="25">
        <f t="shared" si="55"/>
        <v>1771187.61536123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155721.8622</v>
      </c>
      <c r="C53" s="36" t="str">
        <f t="shared" si="49"/>
        <v>State</v>
      </c>
      <c r="D53" s="35">
        <f t="shared" si="50"/>
        <v>1090000</v>
      </c>
      <c r="E53" s="35">
        <f t="shared" si="51"/>
        <v>16302128.375</v>
      </c>
      <c r="F53" s="35">
        <f t="shared" si="52"/>
        <v>1590000</v>
      </c>
      <c r="G53" s="35">
        <f t="shared" si="53"/>
        <v>9699641.9949999992</v>
      </c>
      <c r="H53" s="35">
        <f t="shared" si="54"/>
        <v>2590000</v>
      </c>
      <c r="J53" s="25">
        <f t="shared" si="55"/>
        <v>16302128.375</v>
      </c>
      <c r="K53" s="25"/>
      <c r="L53" s="25" t="str">
        <f>HLOOKUP(J53,D53:$H$56,N9,FALSE)</f>
        <v>OptOpt_BB</v>
      </c>
      <c r="N53" s="25"/>
    </row>
    <row r="54" spans="1:14" x14ac:dyDescent="0.25">
      <c r="A54" s="34">
        <v>155794.40239999999</v>
      </c>
      <c r="C54" s="36" t="str">
        <f t="shared" si="49"/>
        <v>LoC</v>
      </c>
      <c r="D54" s="35">
        <f t="shared" si="50"/>
        <v>0.5</v>
      </c>
      <c r="E54" s="35">
        <f t="shared" si="51"/>
        <v>0.5</v>
      </c>
      <c r="F54" s="35">
        <f t="shared" si="52"/>
        <v>0.33333333333333298</v>
      </c>
      <c r="G54" s="35">
        <f t="shared" si="53"/>
        <v>0.16666666666666599</v>
      </c>
      <c r="H54" s="35">
        <f t="shared" si="54"/>
        <v>0</v>
      </c>
    </row>
    <row r="55" spans="1:14" x14ac:dyDescent="0.25">
      <c r="A55" s="34">
        <v>731307.317067025</v>
      </c>
    </row>
    <row r="56" spans="1:14" ht="12.75" x14ac:dyDescent="0.25">
      <c r="A56" s="34">
        <v>32972316.4409751</v>
      </c>
      <c r="B56" s="39">
        <v>6</v>
      </c>
      <c r="C56" s="36" t="str">
        <f>A232</f>
        <v>(7.2,0.939130435)</v>
      </c>
      <c r="D56" s="36" t="str">
        <f>D45</f>
        <v>OptOpt_EB</v>
      </c>
      <c r="E56" s="36" t="str">
        <f t="shared" ref="E56:H56" si="56">E45</f>
        <v>OptOpt_BB</v>
      </c>
      <c r="F56" s="36" t="str">
        <f t="shared" si="56"/>
        <v>NoneOpt_NBB</v>
      </c>
      <c r="G56" s="36" t="str">
        <f t="shared" si="56"/>
        <v>OptNone_BNB</v>
      </c>
      <c r="H56" s="36" t="str">
        <f t="shared" si="56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9</v>
      </c>
      <c r="C57" s="36" t="str">
        <f t="shared" ref="C57:C65" si="57">C2</f>
        <v>(3, 0)</v>
      </c>
      <c r="D57" s="35">
        <f>A233</f>
        <v>-15093011.4068763</v>
      </c>
      <c r="E57" s="35">
        <f>A242</f>
        <v>-5279535.5543207303</v>
      </c>
      <c r="F57" s="35">
        <f>A251</f>
        <v>-5288958.2012792798</v>
      </c>
      <c r="G57" s="35">
        <f>A260</f>
        <v>90000</v>
      </c>
      <c r="H57" s="35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434012.31300769502</v>
      </c>
      <c r="C58" s="36" t="str">
        <f t="shared" si="57"/>
        <v>(3, 1)</v>
      </c>
      <c r="D58" s="35">
        <f t="shared" ref="D58:D65" si="58">A234</f>
        <v>-12069959.0531794</v>
      </c>
      <c r="E58" s="35">
        <f t="shared" ref="E58:E65" si="59">A243</f>
        <v>-5295568.1178024597</v>
      </c>
      <c r="F58" s="35">
        <f t="shared" ref="F58:F65" si="60">A252</f>
        <v>-5284457.83258266</v>
      </c>
      <c r="G58" s="35">
        <f t="shared" ref="G58:G65" si="61">A261</f>
        <v>90000</v>
      </c>
      <c r="H58" s="35">
        <f t="shared" ref="H58:H65" si="62">A270</f>
        <v>90000</v>
      </c>
      <c r="J58" s="25">
        <f t="shared" ref="J58:J64" si="63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432551.026050838</v>
      </c>
      <c r="C59" s="36" t="str">
        <f t="shared" si="57"/>
        <v>(2, 0)</v>
      </c>
      <c r="D59" s="35">
        <f t="shared" si="58"/>
        <v>151805.8278</v>
      </c>
      <c r="E59" s="35">
        <f t="shared" si="59"/>
        <v>39723.599999999999</v>
      </c>
      <c r="F59" s="35">
        <f t="shared" si="60"/>
        <v>40000</v>
      </c>
      <c r="G59" s="35">
        <f t="shared" si="61"/>
        <v>128024.4</v>
      </c>
      <c r="H59" s="35">
        <f t="shared" si="62"/>
        <v>40000</v>
      </c>
      <c r="J59" s="25">
        <f t="shared" si="63"/>
        <v>151805.8278</v>
      </c>
      <c r="K59" s="25"/>
      <c r="L59" s="25" t="str">
        <f>HLOOKUP(J59,D59:$H$67,N4,FALSE)</f>
        <v>OptOpt_EB</v>
      </c>
      <c r="N59" s="25"/>
    </row>
    <row r="60" spans="1:14" ht="12.75" x14ac:dyDescent="0.25">
      <c r="A60" s="34">
        <v>-4379906.58</v>
      </c>
      <c r="C60" s="36" t="str">
        <f t="shared" si="57"/>
        <v>(2, 1)</v>
      </c>
      <c r="D60" s="35">
        <f t="shared" si="58"/>
        <v>151795.78959999999</v>
      </c>
      <c r="E60" s="35">
        <f t="shared" si="59"/>
        <v>40260</v>
      </c>
      <c r="F60" s="35">
        <f t="shared" si="60"/>
        <v>40000</v>
      </c>
      <c r="G60" s="35">
        <f t="shared" si="61"/>
        <v>127034.4</v>
      </c>
      <c r="H60" s="35">
        <f t="shared" si="62"/>
        <v>40000</v>
      </c>
      <c r="J60" s="25">
        <f t="shared" si="63"/>
        <v>151795.78959999999</v>
      </c>
      <c r="K60" s="25"/>
      <c r="L60" s="25" t="str">
        <f>HLOOKUP(J60,D60:$H$67,N5,FALSE)</f>
        <v>OptOpt_EB</v>
      </c>
      <c r="N60" s="25"/>
    </row>
    <row r="61" spans="1:14" ht="12.75" x14ac:dyDescent="0.25">
      <c r="A61" s="34">
        <v>-4411550.3250000002</v>
      </c>
      <c r="C61" s="36" t="str">
        <f t="shared" si="57"/>
        <v>(1, 0)</v>
      </c>
      <c r="D61" s="35">
        <f t="shared" si="58"/>
        <v>155834.5552</v>
      </c>
      <c r="E61" s="35">
        <f t="shared" si="59"/>
        <v>77433.600000000006</v>
      </c>
      <c r="F61" s="35">
        <f t="shared" si="60"/>
        <v>40000</v>
      </c>
      <c r="G61" s="35">
        <f t="shared" si="61"/>
        <v>96295.8</v>
      </c>
      <c r="H61" s="35">
        <f t="shared" si="62"/>
        <v>40000</v>
      </c>
      <c r="J61" s="25">
        <f t="shared" si="63"/>
        <v>155834.5552</v>
      </c>
      <c r="K61" s="25"/>
      <c r="L61" s="25" t="str">
        <f>HLOOKUP(J61,D61:$H$67,N6,FALSE)</f>
        <v>OptOpt_EB</v>
      </c>
      <c r="N61" s="25"/>
    </row>
    <row r="62" spans="1:14" ht="12.75" x14ac:dyDescent="0.25">
      <c r="A62" s="34">
        <v>-3021649.6</v>
      </c>
      <c r="C62" s="36" t="str">
        <f t="shared" si="57"/>
        <v>(1, 1)</v>
      </c>
      <c r="D62" s="35">
        <f t="shared" si="58"/>
        <v>155842.1312</v>
      </c>
      <c r="E62" s="35">
        <f t="shared" si="59"/>
        <v>77638.8</v>
      </c>
      <c r="F62" s="35">
        <f t="shared" si="60"/>
        <v>40000</v>
      </c>
      <c r="G62" s="35">
        <f t="shared" si="61"/>
        <v>95878.2</v>
      </c>
      <c r="H62" s="35">
        <f t="shared" si="62"/>
        <v>40000</v>
      </c>
      <c r="J62" s="25">
        <f t="shared" si="63"/>
        <v>155842.1312</v>
      </c>
      <c r="K62" s="25"/>
      <c r="L62" s="25" t="str">
        <f>HLOOKUP(J62,D62:$H$67,N7,FALSE)</f>
        <v>OptOpt_EB</v>
      </c>
      <c r="N62" s="25"/>
    </row>
    <row r="63" spans="1:14" ht="12.75" x14ac:dyDescent="0.25">
      <c r="A63" s="34">
        <v>-2996164.2650000001</v>
      </c>
      <c r="C63" s="36" t="str">
        <f t="shared" si="57"/>
        <v>Inspector</v>
      </c>
      <c r="D63" s="35">
        <f t="shared" si="58"/>
        <v>730927.23</v>
      </c>
      <c r="E63" s="35">
        <f t="shared" si="59"/>
        <v>484441.62</v>
      </c>
      <c r="F63" s="35">
        <f t="shared" si="60"/>
        <v>238198.23499999999</v>
      </c>
      <c r="G63" s="35">
        <f t="shared" si="61"/>
        <v>190738.821</v>
      </c>
      <c r="H63" s="35">
        <f t="shared" si="62"/>
        <v>70000</v>
      </c>
      <c r="J63" s="25">
        <f t="shared" si="63"/>
        <v>730927.23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484273.16106845503</v>
      </c>
      <c r="C64" s="36" t="str">
        <f t="shared" si="57"/>
        <v>State</v>
      </c>
      <c r="D64" s="35">
        <f t="shared" si="58"/>
        <v>28790419.9765535</v>
      </c>
      <c r="E64" s="35">
        <f t="shared" si="59"/>
        <v>12662888.3721133</v>
      </c>
      <c r="F64" s="35">
        <f t="shared" si="60"/>
        <v>13161226.8938518</v>
      </c>
      <c r="G64" s="35">
        <f t="shared" si="61"/>
        <v>2090000</v>
      </c>
      <c r="H64" s="35">
        <f t="shared" si="62"/>
        <v>2590000</v>
      </c>
      <c r="J64" s="25">
        <f t="shared" si="63"/>
        <v>28790419.9765535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16311346.869999999</v>
      </c>
      <c r="C65" s="36" t="str">
        <f t="shared" si="57"/>
        <v>LoC</v>
      </c>
      <c r="D65" s="35">
        <f t="shared" si="58"/>
        <v>0.5</v>
      </c>
      <c r="E65" s="35">
        <f t="shared" si="59"/>
        <v>0.5</v>
      </c>
      <c r="F65" s="35">
        <f t="shared" si="60"/>
        <v>0.33333333333333298</v>
      </c>
      <c r="G65" s="35">
        <f t="shared" si="61"/>
        <v>0.16666666666666599</v>
      </c>
      <c r="H65" s="35">
        <f t="shared" si="62"/>
        <v>0</v>
      </c>
    </row>
    <row r="66" spans="1:14" x14ac:dyDescent="0.25">
      <c r="A66" s="34">
        <v>0.5</v>
      </c>
    </row>
    <row r="67" spans="1:14" ht="12.75" x14ac:dyDescent="0.25">
      <c r="A67" s="34">
        <v>433676.10431196599</v>
      </c>
      <c r="B67" s="39">
        <v>7</v>
      </c>
      <c r="C67" s="36" t="str">
        <f>A278</f>
        <v>(7.2,1.87826087)</v>
      </c>
      <c r="D67" s="36" t="str">
        <f>D56</f>
        <v>OptOpt_EB</v>
      </c>
      <c r="E67" s="36" t="str">
        <f t="shared" ref="E67:H67" si="64">E56</f>
        <v>OptOpt_BB</v>
      </c>
      <c r="F67" s="36" t="str">
        <f t="shared" si="64"/>
        <v>NoneOpt_NBB</v>
      </c>
      <c r="G67" s="36" t="str">
        <f t="shared" si="64"/>
        <v>OptNone_BNB</v>
      </c>
      <c r="H67" s="36" t="str">
        <f t="shared" si="64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433662.95648587402</v>
      </c>
      <c r="B68" s="39" t="s">
        <v>9</v>
      </c>
      <c r="C68" s="36" t="str">
        <f>C57</f>
        <v>(3, 0)</v>
      </c>
      <c r="D68" s="35">
        <f>A279</f>
        <v>-18577697.365984999</v>
      </c>
      <c r="E68" s="35">
        <f>A288</f>
        <v>433963.478225075</v>
      </c>
      <c r="F68" s="35">
        <f>A297</f>
        <v>434190.74779034598</v>
      </c>
      <c r="G68" s="35">
        <f>A306</f>
        <v>90000</v>
      </c>
      <c r="H68" s="35">
        <f>A315</f>
        <v>90000</v>
      </c>
      <c r="J68" s="25">
        <f>MAX(D68:H68)</f>
        <v>434190.74779034598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5">C58</f>
        <v>(3, 1)</v>
      </c>
      <c r="D69" s="35">
        <f t="shared" ref="D69:D76" si="66">A280</f>
        <v>-12938019.8969154</v>
      </c>
      <c r="E69" s="35">
        <f t="shared" ref="E69:E76" si="67">A289</f>
        <v>433991.65213812602</v>
      </c>
      <c r="F69" s="35">
        <f t="shared" ref="F69:F76" si="68">A298</f>
        <v>434027.339094656</v>
      </c>
      <c r="G69" s="35">
        <f t="shared" ref="G69:G76" si="69">A307</f>
        <v>90000</v>
      </c>
      <c r="H69" s="35">
        <f t="shared" ref="H69:H76" si="70">A316</f>
        <v>90000</v>
      </c>
      <c r="J69" s="25">
        <f t="shared" ref="J69:J75" si="71">MAX(D69:H69)</f>
        <v>434027.339094656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65"/>
        <v>(2, 0)</v>
      </c>
      <c r="D70" s="35">
        <f t="shared" si="66"/>
        <v>151813.2144</v>
      </c>
      <c r="E70" s="35">
        <f t="shared" si="67"/>
        <v>40504.800000000003</v>
      </c>
      <c r="F70" s="35">
        <f t="shared" si="68"/>
        <v>40000</v>
      </c>
      <c r="G70" s="35">
        <f t="shared" si="69"/>
        <v>127228.8</v>
      </c>
      <c r="H70" s="35">
        <f t="shared" si="70"/>
        <v>40000</v>
      </c>
      <c r="J70" s="25">
        <f t="shared" si="71"/>
        <v>151813.2144</v>
      </c>
      <c r="K70" s="25"/>
      <c r="L70" s="25" t="str">
        <f>HLOOKUP(J70,D70:$H$78,N4,FALSE)</f>
        <v>OptOpt_EB</v>
      </c>
      <c r="N70" s="25"/>
    </row>
    <row r="71" spans="1:14" ht="12.75" x14ac:dyDescent="0.25">
      <c r="A71" s="34">
        <v>40000</v>
      </c>
      <c r="C71" s="36" t="str">
        <f t="shared" si="65"/>
        <v>(2, 1)</v>
      </c>
      <c r="D71" s="35">
        <f t="shared" si="66"/>
        <v>151903.5582</v>
      </c>
      <c r="E71" s="35">
        <f t="shared" si="67"/>
        <v>39739.800000000003</v>
      </c>
      <c r="F71" s="35">
        <f t="shared" si="68"/>
        <v>40000</v>
      </c>
      <c r="G71" s="35">
        <f t="shared" si="69"/>
        <v>127567.2</v>
      </c>
      <c r="H71" s="35">
        <f t="shared" si="70"/>
        <v>40000</v>
      </c>
      <c r="J71" s="25">
        <f t="shared" si="71"/>
        <v>151903.5582</v>
      </c>
      <c r="K71" s="25"/>
      <c r="L71" s="25" t="str">
        <f>HLOOKUP(J71,D71:$H$78,N5,FALSE)</f>
        <v>OptOpt_EB</v>
      </c>
      <c r="N71" s="25"/>
    </row>
    <row r="72" spans="1:14" ht="12.75" x14ac:dyDescent="0.25">
      <c r="A72" s="34">
        <v>40000</v>
      </c>
      <c r="C72" s="36" t="str">
        <f t="shared" si="65"/>
        <v>(1, 0)</v>
      </c>
      <c r="D72" s="35">
        <f t="shared" si="66"/>
        <v>155704.05859999999</v>
      </c>
      <c r="E72" s="35">
        <f t="shared" si="67"/>
        <v>77116.800000000003</v>
      </c>
      <c r="F72" s="35">
        <f t="shared" si="68"/>
        <v>40000</v>
      </c>
      <c r="G72" s="35">
        <f t="shared" si="69"/>
        <v>96405.6</v>
      </c>
      <c r="H72" s="35">
        <f t="shared" si="70"/>
        <v>40000</v>
      </c>
      <c r="J72" s="25">
        <f t="shared" si="71"/>
        <v>155704.05859999999</v>
      </c>
      <c r="K72" s="25"/>
      <c r="L72" s="25" t="str">
        <f>HLOOKUP(J72,D72:$H$78,N6,FALSE)</f>
        <v>OptOpt_EB</v>
      </c>
      <c r="N72" s="25"/>
    </row>
    <row r="73" spans="1:14" ht="12.75" x14ac:dyDescent="0.25">
      <c r="A73" s="34">
        <v>237642.38306612801</v>
      </c>
      <c r="C73" s="36" t="str">
        <f t="shared" si="65"/>
        <v>(1, 1)</v>
      </c>
      <c r="D73" s="35">
        <f t="shared" si="66"/>
        <v>155809.9332</v>
      </c>
      <c r="E73" s="35">
        <f t="shared" si="67"/>
        <v>76774.8</v>
      </c>
      <c r="F73" s="35">
        <f t="shared" si="68"/>
        <v>40000</v>
      </c>
      <c r="G73" s="35">
        <f t="shared" si="69"/>
        <v>96254.399999999994</v>
      </c>
      <c r="H73" s="35">
        <f t="shared" si="70"/>
        <v>40000</v>
      </c>
      <c r="J73" s="25">
        <f t="shared" si="71"/>
        <v>155809.9332</v>
      </c>
      <c r="K73" s="25"/>
      <c r="L73" s="25" t="str">
        <f>HLOOKUP(J73,D73:$H$78,N7,FALSE)</f>
        <v>OptOpt_EB</v>
      </c>
      <c r="N73" s="25"/>
    </row>
    <row r="74" spans="1:14" ht="12.75" x14ac:dyDescent="0.25">
      <c r="A74" s="34">
        <v>1590000</v>
      </c>
      <c r="C74" s="36" t="str">
        <f t="shared" si="65"/>
        <v>Inspector</v>
      </c>
      <c r="D74" s="35">
        <f t="shared" si="66"/>
        <v>731483.75906685903</v>
      </c>
      <c r="E74" s="35">
        <f t="shared" si="67"/>
        <v>484056.26281814103</v>
      </c>
      <c r="F74" s="35">
        <f t="shared" si="68"/>
        <v>237130.84506594201</v>
      </c>
      <c r="G74" s="35">
        <f t="shared" si="69"/>
        <v>190607.42</v>
      </c>
      <c r="H74" s="35">
        <f t="shared" si="70"/>
        <v>70000</v>
      </c>
      <c r="J74" s="25">
        <f t="shared" si="71"/>
        <v>731483.75906685903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5"/>
        <v>State</v>
      </c>
      <c r="D75" s="35">
        <f t="shared" si="66"/>
        <v>33011344.712366499</v>
      </c>
      <c r="E75" s="35">
        <f t="shared" si="67"/>
        <v>1090000</v>
      </c>
      <c r="F75" s="35">
        <f t="shared" si="68"/>
        <v>1590000</v>
      </c>
      <c r="G75" s="35">
        <f t="shared" si="69"/>
        <v>2090000</v>
      </c>
      <c r="H75" s="35">
        <f t="shared" si="70"/>
        <v>2590000</v>
      </c>
      <c r="J75" s="25">
        <f t="shared" si="71"/>
        <v>33011344.712366499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5"/>
        <v>LoC</v>
      </c>
      <c r="D76" s="35">
        <f t="shared" si="66"/>
        <v>0.5</v>
      </c>
      <c r="E76" s="35">
        <f t="shared" si="67"/>
        <v>0.5</v>
      </c>
      <c r="F76" s="35">
        <f t="shared" si="68"/>
        <v>0.33333333333333298</v>
      </c>
      <c r="G76" s="35">
        <f t="shared" si="69"/>
        <v>0.16666666666666599</v>
      </c>
      <c r="H76" s="35">
        <f t="shared" si="70"/>
        <v>0</v>
      </c>
      <c r="L76" s="25"/>
    </row>
    <row r="77" spans="1:14" x14ac:dyDescent="0.25">
      <c r="A77" s="34">
        <v>90000</v>
      </c>
    </row>
    <row r="78" spans="1:14" ht="12.75" x14ac:dyDescent="0.25">
      <c r="A78" s="34">
        <v>-1205639.3149999999</v>
      </c>
      <c r="B78" s="39">
        <v>8</v>
      </c>
      <c r="C78" s="36" t="str">
        <f>A324</f>
        <v>(7.2,2.77813587)</v>
      </c>
      <c r="D78" s="36" t="str">
        <f>D67</f>
        <v>OptOpt_EB</v>
      </c>
      <c r="E78" s="36" t="str">
        <f t="shared" ref="E78:H78" si="72">E67</f>
        <v>OptOpt_BB</v>
      </c>
      <c r="F78" s="36" t="str">
        <f t="shared" si="72"/>
        <v>NoneOpt_NBB</v>
      </c>
      <c r="G78" s="36" t="str">
        <f t="shared" si="72"/>
        <v>OptNone_BNB</v>
      </c>
      <c r="H78" s="36" t="str">
        <f t="shared" si="72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-1192732.8600000001</v>
      </c>
      <c r="B79" s="39" t="s">
        <v>9</v>
      </c>
      <c r="C79" s="36" t="str">
        <f>C68</f>
        <v>(3, 0)</v>
      </c>
      <c r="D79" s="35">
        <f>A325</f>
        <v>-31393235.941797901</v>
      </c>
      <c r="E79" s="35">
        <f>A334</f>
        <v>358600.72898040002</v>
      </c>
      <c r="F79" s="35">
        <f>A343</f>
        <v>357922.86382811901</v>
      </c>
      <c r="G79" s="35">
        <f>A352</f>
        <v>90000</v>
      </c>
      <c r="H79" s="35">
        <f>A361</f>
        <v>90000</v>
      </c>
      <c r="J79" s="25">
        <f>MAX(D79:H79)</f>
        <v>358600.72898040002</v>
      </c>
      <c r="K79" s="25"/>
      <c r="L79" s="25" t="str">
        <f>HLOOKUP(J79,D79:$H$89,N2,FALSE)</f>
        <v>OptOpt_BB</v>
      </c>
      <c r="N79" s="25"/>
    </row>
    <row r="80" spans="1:14" ht="12.75" x14ac:dyDescent="0.25">
      <c r="A80" s="34">
        <v>-2337607.4849999999</v>
      </c>
      <c r="C80" s="36" t="str">
        <f t="shared" ref="C80:C87" si="73">C69</f>
        <v>(3, 1)</v>
      </c>
      <c r="D80" s="35">
        <f t="shared" ref="D80:D87" si="74">A326</f>
        <v>-21884505.9087203</v>
      </c>
      <c r="E80" s="35">
        <f t="shared" ref="E80:E87" si="75">A335</f>
        <v>358150.670969459</v>
      </c>
      <c r="F80" s="35">
        <f t="shared" ref="F80:F87" si="76">A344</f>
        <v>358450.70964342001</v>
      </c>
      <c r="G80" s="35">
        <f t="shared" ref="G80:G87" si="77">A353</f>
        <v>90000</v>
      </c>
      <c r="H80" s="35">
        <f t="shared" ref="H80:H87" si="78">A362</f>
        <v>90000</v>
      </c>
      <c r="J80" s="25">
        <f t="shared" ref="J80:J86" si="79">MAX(D80:H80)</f>
        <v>358450.70964342001</v>
      </c>
      <c r="K80" s="25"/>
      <c r="L80" s="25" t="str">
        <f>HLOOKUP(J80,D80:$H$89,N3,FALSE)</f>
        <v>NoneOpt_NBB</v>
      </c>
      <c r="N80" s="25"/>
    </row>
    <row r="81" spans="1:14" ht="12.75" x14ac:dyDescent="0.25">
      <c r="A81" s="34">
        <v>-2327059.5699999998</v>
      </c>
      <c r="C81" s="36" t="str">
        <f t="shared" si="73"/>
        <v>(2, 0)</v>
      </c>
      <c r="D81" s="35">
        <f t="shared" si="74"/>
        <v>151893.70939999999</v>
      </c>
      <c r="E81" s="35">
        <f t="shared" si="75"/>
        <v>40702.800000000003</v>
      </c>
      <c r="F81" s="35">
        <f t="shared" si="76"/>
        <v>40000</v>
      </c>
      <c r="G81" s="35">
        <f t="shared" si="77"/>
        <v>127729.2</v>
      </c>
      <c r="H81" s="35">
        <f t="shared" si="78"/>
        <v>40000</v>
      </c>
      <c r="J81" s="25">
        <f t="shared" si="79"/>
        <v>151893.70939999999</v>
      </c>
      <c r="K81" s="25"/>
      <c r="L81" s="25" t="str">
        <f>HLOOKUP(J81,D81:$H$89,N4,FALSE)</f>
        <v>OptOpt_EB</v>
      </c>
      <c r="N81" s="25"/>
    </row>
    <row r="82" spans="1:14" ht="12.75" x14ac:dyDescent="0.25">
      <c r="A82" s="34">
        <v>190377.33499999999</v>
      </c>
      <c r="C82" s="36" t="str">
        <f t="shared" si="73"/>
        <v>(2, 1)</v>
      </c>
      <c r="D82" s="35">
        <f t="shared" si="74"/>
        <v>151807.34299999999</v>
      </c>
      <c r="E82" s="35">
        <f t="shared" si="75"/>
        <v>39221.4</v>
      </c>
      <c r="F82" s="35">
        <f t="shared" si="76"/>
        <v>40000</v>
      </c>
      <c r="G82" s="35">
        <f t="shared" si="77"/>
        <v>127515</v>
      </c>
      <c r="H82" s="35">
        <f t="shared" si="78"/>
        <v>40000</v>
      </c>
      <c r="J82" s="25">
        <f t="shared" si="79"/>
        <v>151807.34299999999</v>
      </c>
      <c r="K82" s="25"/>
      <c r="L82" s="25" t="str">
        <f>HLOOKUP(J82,D82:$H$89,N5,FALSE)</f>
        <v>OptOpt_EB</v>
      </c>
      <c r="N82" s="25"/>
    </row>
    <row r="83" spans="1:14" ht="12.75" x14ac:dyDescent="0.25">
      <c r="A83" s="34">
        <v>9689263.1300000008</v>
      </c>
      <c r="C83" s="36" t="str">
        <f t="shared" si="73"/>
        <v>(1, 0)</v>
      </c>
      <c r="D83" s="35">
        <f t="shared" si="74"/>
        <v>155809.9332</v>
      </c>
      <c r="E83" s="35">
        <f t="shared" si="75"/>
        <v>77215.8</v>
      </c>
      <c r="F83" s="35">
        <f t="shared" si="76"/>
        <v>40000</v>
      </c>
      <c r="G83" s="35">
        <f t="shared" si="77"/>
        <v>96472.2</v>
      </c>
      <c r="H83" s="35">
        <f t="shared" si="78"/>
        <v>40000</v>
      </c>
      <c r="J83" s="25">
        <f t="shared" si="79"/>
        <v>155809.9332</v>
      </c>
      <c r="K83" s="25"/>
      <c r="L83" s="25" t="str">
        <f>HLOOKUP(J83,D83:$H$89,N6,FALSE)</f>
        <v>OptOpt_EB</v>
      </c>
      <c r="N83" s="25"/>
    </row>
    <row r="84" spans="1:14" ht="12.75" x14ac:dyDescent="0.25">
      <c r="A84" s="34">
        <v>0.16666666666666599</v>
      </c>
      <c r="C84" s="36" t="str">
        <f t="shared" si="73"/>
        <v>(1, 1)</v>
      </c>
      <c r="D84" s="35">
        <f t="shared" si="74"/>
        <v>155767.69699999999</v>
      </c>
      <c r="E84" s="35">
        <f t="shared" si="75"/>
        <v>76852.2</v>
      </c>
      <c r="F84" s="35">
        <f t="shared" si="76"/>
        <v>40000</v>
      </c>
      <c r="G84" s="35">
        <f t="shared" si="77"/>
        <v>95948.4</v>
      </c>
      <c r="H84" s="35">
        <f t="shared" si="78"/>
        <v>40000</v>
      </c>
      <c r="J84" s="25">
        <f t="shared" si="79"/>
        <v>155767.69699999999</v>
      </c>
      <c r="K84" s="25"/>
      <c r="L84" s="25" t="str">
        <f>HLOOKUP(J84,D84:$H$89,N7,FALSE)</f>
        <v>OptOpt_EB</v>
      </c>
      <c r="N84" s="25"/>
    </row>
    <row r="85" spans="1:14" ht="12.75" x14ac:dyDescent="0.25">
      <c r="A85" s="34">
        <v>90000</v>
      </c>
      <c r="C85" s="36" t="str">
        <f t="shared" si="73"/>
        <v>Inspector</v>
      </c>
      <c r="D85" s="35">
        <f t="shared" si="74"/>
        <v>881608.19531599397</v>
      </c>
      <c r="E85" s="35">
        <f t="shared" si="75"/>
        <v>634827.78731770802</v>
      </c>
      <c r="F85" s="35">
        <f t="shared" si="76"/>
        <v>388252.73856774898</v>
      </c>
      <c r="G85" s="35">
        <f t="shared" si="77"/>
        <v>190494.136</v>
      </c>
      <c r="H85" s="35">
        <f t="shared" si="78"/>
        <v>70000</v>
      </c>
      <c r="J85" s="25">
        <f t="shared" si="79"/>
        <v>881608.19531599397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3"/>
        <v>State</v>
      </c>
      <c r="D86" s="35">
        <f t="shared" si="74"/>
        <v>54622976.617805101</v>
      </c>
      <c r="E86" s="35">
        <f t="shared" si="75"/>
        <v>1090000</v>
      </c>
      <c r="F86" s="35">
        <f t="shared" si="76"/>
        <v>1590000</v>
      </c>
      <c r="G86" s="35">
        <f t="shared" si="77"/>
        <v>2090000</v>
      </c>
      <c r="H86" s="35">
        <f t="shared" si="78"/>
        <v>2590000</v>
      </c>
      <c r="J86" s="25">
        <f t="shared" si="79"/>
        <v>54622976.617805101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3"/>
        <v>LoC</v>
      </c>
      <c r="D87" s="35">
        <f t="shared" si="74"/>
        <v>0.5</v>
      </c>
      <c r="E87" s="35">
        <f t="shared" si="75"/>
        <v>0.5</v>
      </c>
      <c r="F87" s="35">
        <f t="shared" si="76"/>
        <v>0.33333333333333298</v>
      </c>
      <c r="G87" s="35">
        <f t="shared" si="77"/>
        <v>0.16666666666666599</v>
      </c>
      <c r="H87" s="35">
        <f t="shared" si="78"/>
        <v>0</v>
      </c>
    </row>
    <row r="88" spans="1:14" x14ac:dyDescent="0.25">
      <c r="A88" s="34">
        <v>40000</v>
      </c>
    </row>
    <row r="89" spans="1:14" ht="12.75" x14ac:dyDescent="0.25">
      <c r="A89" s="34">
        <v>40000</v>
      </c>
      <c r="B89" s="39">
        <v>9</v>
      </c>
      <c r="C89" s="36" t="str">
        <f>A370</f>
        <v>(7.2,3.67801087)</v>
      </c>
      <c r="D89" s="36" t="str">
        <f>D78</f>
        <v>OptOpt_EB</v>
      </c>
      <c r="E89" s="36" t="str">
        <f t="shared" ref="E89:H89" si="80">E78</f>
        <v>OptOpt_BB</v>
      </c>
      <c r="F89" s="36" t="str">
        <f t="shared" si="80"/>
        <v>NoneOpt_NBB</v>
      </c>
      <c r="G89" s="36" t="str">
        <f t="shared" si="80"/>
        <v>OptNone_BNB</v>
      </c>
      <c r="H89" s="36" t="str">
        <f t="shared" si="80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9</v>
      </c>
      <c r="C90" s="36" t="str">
        <f>C79</f>
        <v>(3, 0)</v>
      </c>
      <c r="D90" s="35">
        <f>A371</f>
        <v>-225760.742900104</v>
      </c>
      <c r="E90" s="35">
        <f>A380</f>
        <v>283562.84635536303</v>
      </c>
      <c r="F90" s="35">
        <f>A389</f>
        <v>284651.53757288301</v>
      </c>
      <c r="G90" s="35">
        <f>A398</f>
        <v>90000</v>
      </c>
      <c r="H90" s="35">
        <f>A407</f>
        <v>90000</v>
      </c>
      <c r="J90" s="25">
        <f>MAX(D90:H90)</f>
        <v>284651.53757288301</v>
      </c>
      <c r="K90" s="25"/>
      <c r="L90" s="25" t="str">
        <f>HLOOKUP(J90,D90:$H$100,N2,FALSE)</f>
        <v>NoneOpt_NBB</v>
      </c>
      <c r="N90" s="25"/>
    </row>
    <row r="91" spans="1:14" ht="12.75" x14ac:dyDescent="0.25">
      <c r="A91" s="34">
        <v>70000</v>
      </c>
      <c r="C91" s="36" t="str">
        <f t="shared" ref="C91:C98" si="81">C80</f>
        <v>(3, 1)</v>
      </c>
      <c r="D91" s="35">
        <f t="shared" ref="D91:D98" si="82">A372</f>
        <v>-75911.224035349194</v>
      </c>
      <c r="E91" s="35">
        <f t="shared" ref="E91:E98" si="83">A381</f>
        <v>284243.27836631401</v>
      </c>
      <c r="F91" s="35">
        <f t="shared" ref="F91:F98" si="84">A390</f>
        <v>281933.48753995198</v>
      </c>
      <c r="G91" s="35">
        <f t="shared" ref="G91:G98" si="85">A399</f>
        <v>90000</v>
      </c>
      <c r="H91" s="35">
        <f t="shared" ref="H91:H98" si="86">A408</f>
        <v>90000</v>
      </c>
      <c r="J91" s="25">
        <f t="shared" ref="J91:J97" si="87">MAX(D91:H91)</f>
        <v>284243.27836631401</v>
      </c>
      <c r="K91" s="25"/>
      <c r="L91" s="25" t="str">
        <f>HLOOKUP(J91,D91:$H$100,N3,FALSE)</f>
        <v>OptOpt_BB</v>
      </c>
      <c r="N91" s="25"/>
    </row>
    <row r="92" spans="1:14" ht="12.75" x14ac:dyDescent="0.25">
      <c r="A92" s="34">
        <v>2590000</v>
      </c>
      <c r="C92" s="36" t="str">
        <f t="shared" si="81"/>
        <v>(2, 0)</v>
      </c>
      <c r="D92" s="35">
        <f t="shared" si="82"/>
        <v>165000</v>
      </c>
      <c r="E92" s="35">
        <f t="shared" si="83"/>
        <v>39203.4</v>
      </c>
      <c r="F92" s="35">
        <f t="shared" si="84"/>
        <v>40000</v>
      </c>
      <c r="G92" s="35">
        <f t="shared" si="85"/>
        <v>127403.4</v>
      </c>
      <c r="H92" s="35">
        <f t="shared" si="86"/>
        <v>40000</v>
      </c>
      <c r="J92" s="25">
        <f t="shared" si="87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1"/>
        <v>(2, 1)</v>
      </c>
      <c r="D93" s="35">
        <f t="shared" si="82"/>
        <v>165000</v>
      </c>
      <c r="E93" s="35">
        <f t="shared" si="83"/>
        <v>40566</v>
      </c>
      <c r="F93" s="35">
        <f t="shared" si="84"/>
        <v>40000</v>
      </c>
      <c r="G93" s="35">
        <f t="shared" si="85"/>
        <v>127345.8</v>
      </c>
      <c r="H93" s="35">
        <f t="shared" si="86"/>
        <v>40000</v>
      </c>
      <c r="J93" s="25">
        <f t="shared" si="87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66</v>
      </c>
      <c r="C94" s="36" t="str">
        <f t="shared" si="81"/>
        <v>(1, 0)</v>
      </c>
      <c r="D94" s="35">
        <f t="shared" si="82"/>
        <v>165000</v>
      </c>
      <c r="E94" s="35">
        <f t="shared" si="83"/>
        <v>77484</v>
      </c>
      <c r="F94" s="35">
        <f t="shared" si="84"/>
        <v>40000</v>
      </c>
      <c r="G94" s="35">
        <f t="shared" si="85"/>
        <v>96639.6</v>
      </c>
      <c r="H94" s="35">
        <f t="shared" si="86"/>
        <v>40000</v>
      </c>
      <c r="J94" s="25">
        <f t="shared" si="87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-31380616.227508198</v>
      </c>
      <c r="C95" s="36" t="str">
        <f t="shared" si="81"/>
        <v>(1, 1)</v>
      </c>
      <c r="D95" s="35">
        <f t="shared" si="82"/>
        <v>165000</v>
      </c>
      <c r="E95" s="35">
        <f t="shared" si="83"/>
        <v>77437.2</v>
      </c>
      <c r="F95" s="35">
        <f t="shared" si="84"/>
        <v>40000</v>
      </c>
      <c r="G95" s="35">
        <f t="shared" si="85"/>
        <v>96124.800000000003</v>
      </c>
      <c r="H95" s="35">
        <f t="shared" si="86"/>
        <v>40000</v>
      </c>
      <c r="J95" s="25">
        <f t="shared" si="87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-21858140.574102201</v>
      </c>
      <c r="C96" s="36" t="str">
        <f t="shared" si="81"/>
        <v>Inspector</v>
      </c>
      <c r="D96" s="35">
        <f t="shared" si="82"/>
        <v>1030922.1251574</v>
      </c>
      <c r="E96" s="35">
        <f t="shared" si="83"/>
        <v>783621.68606632203</v>
      </c>
      <c r="F96" s="35">
        <f t="shared" si="84"/>
        <v>538143.15431869298</v>
      </c>
      <c r="G96" s="35">
        <f t="shared" si="85"/>
        <v>190573.802</v>
      </c>
      <c r="H96" s="35">
        <f t="shared" si="86"/>
        <v>70000</v>
      </c>
      <c r="J96" s="25">
        <f t="shared" si="87"/>
        <v>1030922.1251574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151916.4374</v>
      </c>
      <c r="C97" s="36" t="str">
        <f t="shared" si="81"/>
        <v>State</v>
      </c>
      <c r="D97" s="35">
        <f t="shared" si="82"/>
        <v>1090000</v>
      </c>
      <c r="E97" s="35">
        <f t="shared" si="83"/>
        <v>1090000</v>
      </c>
      <c r="F97" s="35">
        <f t="shared" si="84"/>
        <v>1590000</v>
      </c>
      <c r="G97" s="35">
        <f t="shared" si="85"/>
        <v>2090000</v>
      </c>
      <c r="H97" s="35">
        <f t="shared" si="86"/>
        <v>2590000</v>
      </c>
      <c r="J97" s="25">
        <f t="shared" si="87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151794.08499999999</v>
      </c>
      <c r="C98" s="36" t="str">
        <f t="shared" si="81"/>
        <v>LoC</v>
      </c>
      <c r="D98" s="35">
        <f t="shared" si="82"/>
        <v>0.5</v>
      </c>
      <c r="E98" s="35">
        <f t="shared" si="83"/>
        <v>0.5</v>
      </c>
      <c r="F98" s="35">
        <f t="shared" si="84"/>
        <v>0.33333333333333298</v>
      </c>
      <c r="G98" s="35">
        <f t="shared" si="85"/>
        <v>0.16666666666666599</v>
      </c>
      <c r="H98" s="35">
        <f t="shared" si="86"/>
        <v>0</v>
      </c>
    </row>
    <row r="99" spans="1:14" x14ac:dyDescent="0.25">
      <c r="A99" s="34">
        <v>155799.70559999999</v>
      </c>
    </row>
    <row r="100" spans="1:14" ht="12.75" x14ac:dyDescent="0.25">
      <c r="A100" s="34">
        <v>155800.08439999999</v>
      </c>
      <c r="B100" s="39">
        <v>10</v>
      </c>
      <c r="C100" s="36" t="str">
        <f>A416</f>
        <v>(7.2,5.517016304)</v>
      </c>
      <c r="D100" s="36" t="str">
        <f>D89</f>
        <v>OptOpt_EB</v>
      </c>
      <c r="E100" s="36" t="str">
        <f t="shared" ref="E100:H100" si="88">E89</f>
        <v>OptOpt_BB</v>
      </c>
      <c r="F100" s="36" t="str">
        <f t="shared" si="88"/>
        <v>NoneOpt_NBB</v>
      </c>
      <c r="G100" s="36" t="str">
        <f t="shared" si="88"/>
        <v>OptNone_BNB</v>
      </c>
      <c r="H100" s="36" t="str">
        <f t="shared" si="88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880704.45419087703</v>
      </c>
      <c r="B101" s="39" t="s">
        <v>9</v>
      </c>
      <c r="C101" s="36" t="str">
        <f>C90</f>
        <v>(3, 0)</v>
      </c>
      <c r="D101" s="35">
        <f>A417</f>
        <v>-635158.29361251905</v>
      </c>
      <c r="E101" s="35">
        <f>A426</f>
        <v>131083.54980060601</v>
      </c>
      <c r="F101" s="35">
        <f>A435</f>
        <v>130482.195023469</v>
      </c>
      <c r="G101" s="35">
        <f>A444</f>
        <v>90000</v>
      </c>
      <c r="H101" s="35">
        <f>A453</f>
        <v>90000</v>
      </c>
      <c r="J101" s="25">
        <f>MAX(D101:H101)</f>
        <v>131083.54980060601</v>
      </c>
      <c r="K101" s="25"/>
      <c r="L101" s="25" t="str">
        <f>HLOOKUP(J101,D101:$H$111,N2,FALSE)</f>
        <v>OptOpt_BB</v>
      </c>
      <c r="N101" s="25"/>
    </row>
    <row r="102" spans="1:14" ht="12.75" x14ac:dyDescent="0.25">
      <c r="A102" s="34">
        <v>54585114.6440918</v>
      </c>
      <c r="C102" s="36" t="str">
        <f t="shared" ref="C102:C109" si="89">C91</f>
        <v>(3, 1)</v>
      </c>
      <c r="D102" s="35">
        <f t="shared" ref="D102:D109" si="90">A418</f>
        <v>-404348.39951892599</v>
      </c>
      <c r="E102" s="35">
        <f t="shared" ref="E102:E109" si="91">A427</f>
        <v>132115.23184945399</v>
      </c>
      <c r="F102" s="35">
        <f t="shared" ref="F102:F109" si="92">A436</f>
        <v>130156.691061533</v>
      </c>
      <c r="G102" s="35">
        <f t="shared" ref="G102:G109" si="93">A445</f>
        <v>90000</v>
      </c>
      <c r="H102" s="35">
        <f t="shared" ref="H102:H109" si="94">A454</f>
        <v>90000</v>
      </c>
      <c r="J102" s="25">
        <f t="shared" ref="J102:J108" si="95">MAX(D102:H102)</f>
        <v>132115.23184945399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89"/>
        <v>(2, 0)</v>
      </c>
      <c r="D103" s="35">
        <f t="shared" si="90"/>
        <v>165000</v>
      </c>
      <c r="E103" s="35">
        <f t="shared" si="91"/>
        <v>39498.6</v>
      </c>
      <c r="F103" s="35">
        <f t="shared" si="92"/>
        <v>40000</v>
      </c>
      <c r="G103" s="35">
        <f t="shared" si="93"/>
        <v>127331.4</v>
      </c>
      <c r="H103" s="35">
        <f t="shared" si="94"/>
        <v>40000</v>
      </c>
      <c r="J103" s="25">
        <f t="shared" si="95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359070.23394242802</v>
      </c>
      <c r="C104" s="36" t="str">
        <f t="shared" si="89"/>
        <v>(2, 1)</v>
      </c>
      <c r="D104" s="35">
        <f t="shared" si="90"/>
        <v>165000</v>
      </c>
      <c r="E104" s="35">
        <f t="shared" si="91"/>
        <v>39937.800000000003</v>
      </c>
      <c r="F104" s="35">
        <f t="shared" si="92"/>
        <v>40000</v>
      </c>
      <c r="G104" s="35">
        <f t="shared" si="93"/>
        <v>127615.8</v>
      </c>
      <c r="H104" s="35">
        <f t="shared" si="94"/>
        <v>40000</v>
      </c>
      <c r="J104" s="25">
        <f t="shared" si="95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358842.42680108798</v>
      </c>
      <c r="C105" s="36" t="str">
        <f t="shared" si="89"/>
        <v>(1, 0)</v>
      </c>
      <c r="D105" s="35">
        <f t="shared" si="90"/>
        <v>165000</v>
      </c>
      <c r="E105" s="35">
        <f t="shared" si="91"/>
        <v>76945.8</v>
      </c>
      <c r="F105" s="35">
        <f t="shared" si="92"/>
        <v>40000</v>
      </c>
      <c r="G105" s="35">
        <f t="shared" si="93"/>
        <v>96715.199999999997</v>
      </c>
      <c r="H105" s="35">
        <f t="shared" si="94"/>
        <v>40000</v>
      </c>
      <c r="J105" s="25">
        <f t="shared" si="95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-4394057.82</v>
      </c>
      <c r="C106" s="36" t="str">
        <f t="shared" si="89"/>
        <v>(1, 1)</v>
      </c>
      <c r="D106" s="35">
        <f t="shared" si="90"/>
        <v>165000</v>
      </c>
      <c r="E106" s="35">
        <f t="shared" si="91"/>
        <v>77397.600000000006</v>
      </c>
      <c r="F106" s="35">
        <f t="shared" si="92"/>
        <v>40000</v>
      </c>
      <c r="G106" s="35">
        <f t="shared" si="93"/>
        <v>96952.8</v>
      </c>
      <c r="H106" s="35">
        <f t="shared" si="94"/>
        <v>40000</v>
      </c>
      <c r="J106" s="25">
        <f t="shared" si="95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-4390192.4349999996</v>
      </c>
      <c r="C107" s="36" t="str">
        <f t="shared" si="89"/>
        <v>Inspector</v>
      </c>
      <c r="D107" s="35">
        <f t="shared" si="90"/>
        <v>1769650.8337636199</v>
      </c>
      <c r="E107" s="35">
        <f t="shared" si="91"/>
        <v>1088970.4210754801</v>
      </c>
      <c r="F107" s="35">
        <f t="shared" si="92"/>
        <v>844185.31034565798</v>
      </c>
      <c r="G107" s="35">
        <f t="shared" si="93"/>
        <v>189946.03899999999</v>
      </c>
      <c r="H107" s="35">
        <f t="shared" si="94"/>
        <v>70000</v>
      </c>
      <c r="J107" s="25">
        <f t="shared" si="95"/>
        <v>1769650.8337636199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-3040255.86</v>
      </c>
      <c r="C108" s="36" t="str">
        <f t="shared" si="89"/>
        <v>State</v>
      </c>
      <c r="D108" s="35">
        <f t="shared" si="90"/>
        <v>1090000</v>
      </c>
      <c r="E108" s="35">
        <f t="shared" si="91"/>
        <v>1090000</v>
      </c>
      <c r="F108" s="35">
        <f t="shared" si="92"/>
        <v>1590000</v>
      </c>
      <c r="G108" s="35">
        <f t="shared" si="93"/>
        <v>2090000</v>
      </c>
      <c r="H108" s="35">
        <f t="shared" si="94"/>
        <v>2590000</v>
      </c>
      <c r="J108" s="25">
        <f t="shared" si="95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-3014770.5249999999</v>
      </c>
      <c r="C109" s="36" t="str">
        <f t="shared" si="89"/>
        <v>LoC</v>
      </c>
      <c r="D109" s="35">
        <f t="shared" si="90"/>
        <v>0.5</v>
      </c>
      <c r="E109" s="35">
        <f t="shared" si="91"/>
        <v>0.5</v>
      </c>
      <c r="F109" s="35">
        <f t="shared" si="92"/>
        <v>0.33333333333333298</v>
      </c>
      <c r="G109" s="35">
        <f t="shared" si="93"/>
        <v>0.16666666666666599</v>
      </c>
      <c r="H109" s="35">
        <f t="shared" si="94"/>
        <v>0</v>
      </c>
    </row>
    <row r="110" spans="1:14" x14ac:dyDescent="0.25">
      <c r="A110" s="34">
        <v>633852.74381755502</v>
      </c>
    </row>
    <row r="111" spans="1:14" ht="12.75" x14ac:dyDescent="0.25">
      <c r="A111" s="34">
        <v>16340871.84</v>
      </c>
      <c r="B111" s="39">
        <v>11</v>
      </c>
      <c r="C111" s="36" t="str">
        <f>A462</f>
        <v>(10.8,0.939130435)</v>
      </c>
      <c r="D111" s="36" t="str">
        <f>D100</f>
        <v>OptOpt_EB</v>
      </c>
      <c r="E111" s="36" t="str">
        <f t="shared" ref="E111:H111" si="96">E100</f>
        <v>OptOpt_BB</v>
      </c>
      <c r="F111" s="36" t="str">
        <f t="shared" si="96"/>
        <v>NoneOpt_NBB</v>
      </c>
      <c r="G111" s="36" t="str">
        <f t="shared" si="96"/>
        <v>OptNone_BNB</v>
      </c>
      <c r="H111" s="36" t="str">
        <f t="shared" si="96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35">
        <f>A463</f>
        <v>-15037038.071211999</v>
      </c>
      <c r="E112" s="35">
        <f>A472</f>
        <v>-5266175.0847526202</v>
      </c>
      <c r="F112" s="35">
        <f>A481</f>
        <v>-5260198.0325774197</v>
      </c>
      <c r="G112" s="35">
        <f>A490</f>
        <v>90000</v>
      </c>
      <c r="H112" s="35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357222.77358888101</v>
      </c>
      <c r="C113" s="36" t="str">
        <f t="shared" ref="C113:C120" si="97">C102</f>
        <v>(3, 1)</v>
      </c>
      <c r="D113" s="35">
        <f t="shared" ref="D113:D120" si="98">A464</f>
        <v>-12105329.138404399</v>
      </c>
      <c r="E113" s="35">
        <f t="shared" ref="E113:E120" si="99">A473</f>
        <v>-5287481.5178007102</v>
      </c>
      <c r="F113" s="35">
        <f t="shared" ref="F113:F120" si="100">A482</f>
        <v>-5294935.2534544896</v>
      </c>
      <c r="G113" s="35">
        <f t="shared" ref="G113:G120" si="101">A491</f>
        <v>90000</v>
      </c>
      <c r="H113" s="35">
        <f t="shared" ref="H113:H120" si="102">A500</f>
        <v>90000</v>
      </c>
      <c r="J113" s="25">
        <f t="shared" ref="J113:J119" si="103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356917.17864318099</v>
      </c>
      <c r="C114" s="36" t="str">
        <f t="shared" si="97"/>
        <v>(2, 0)</v>
      </c>
      <c r="D114" s="35">
        <f t="shared" si="98"/>
        <v>151896.55040000001</v>
      </c>
      <c r="E114" s="35">
        <f t="shared" si="99"/>
        <v>-21205.5</v>
      </c>
      <c r="F114" s="35">
        <f t="shared" si="100"/>
        <v>40000</v>
      </c>
      <c r="G114" s="35">
        <f t="shared" si="101"/>
        <v>109212.6</v>
      </c>
      <c r="H114" s="35">
        <f t="shared" si="102"/>
        <v>40000</v>
      </c>
      <c r="J114" s="25">
        <f t="shared" si="103"/>
        <v>151896.55040000001</v>
      </c>
      <c r="K114" s="25"/>
      <c r="L114" s="25" t="str">
        <f>HLOOKUP(J114,D114:$H$122,N4,FALSE)</f>
        <v>OptOpt_EB</v>
      </c>
      <c r="N114" s="25"/>
    </row>
    <row r="115" spans="1:14" ht="12.75" x14ac:dyDescent="0.25">
      <c r="A115" s="34">
        <v>40000</v>
      </c>
      <c r="C115" s="36" t="str">
        <f t="shared" si="97"/>
        <v>(2, 1)</v>
      </c>
      <c r="D115" s="35">
        <f t="shared" si="98"/>
        <v>151780.44820000001</v>
      </c>
      <c r="E115" s="35">
        <f t="shared" si="99"/>
        <v>-22039.8</v>
      </c>
      <c r="F115" s="35">
        <f t="shared" si="100"/>
        <v>40000</v>
      </c>
      <c r="G115" s="35">
        <f t="shared" si="101"/>
        <v>108613.2</v>
      </c>
      <c r="H115" s="35">
        <f t="shared" si="102"/>
        <v>40000</v>
      </c>
      <c r="J115" s="25">
        <f t="shared" si="103"/>
        <v>151780.44820000001</v>
      </c>
      <c r="K115" s="25"/>
      <c r="L115" s="25" t="str">
        <f>HLOOKUP(J115,D115:$H$122,N5,FALSE)</f>
        <v>OptOpt_EB</v>
      </c>
      <c r="N115" s="25"/>
    </row>
    <row r="116" spans="1:14" ht="12.75" x14ac:dyDescent="0.25">
      <c r="A116" s="34">
        <v>40000</v>
      </c>
      <c r="C116" s="36" t="str">
        <f t="shared" si="97"/>
        <v>(1, 0)</v>
      </c>
      <c r="D116" s="35">
        <f t="shared" si="98"/>
        <v>155813.9106</v>
      </c>
      <c r="E116" s="35">
        <f t="shared" si="99"/>
        <v>32972.699999999997</v>
      </c>
      <c r="F116" s="35">
        <f t="shared" si="100"/>
        <v>40000</v>
      </c>
      <c r="G116" s="35">
        <f t="shared" si="101"/>
        <v>60852.9</v>
      </c>
      <c r="H116" s="35">
        <f t="shared" si="102"/>
        <v>40000</v>
      </c>
      <c r="J116" s="25">
        <f t="shared" si="103"/>
        <v>155813.9106</v>
      </c>
      <c r="K116" s="25"/>
      <c r="L116" s="25" t="str">
        <f>HLOOKUP(J116,D116:$H$122,N6,FALSE)</f>
        <v>OptOpt_EB</v>
      </c>
      <c r="N116" s="25"/>
    </row>
    <row r="117" spans="1:14" ht="12.75" x14ac:dyDescent="0.25">
      <c r="A117" s="34">
        <v>40000</v>
      </c>
      <c r="C117" s="36" t="str">
        <f t="shared" si="97"/>
        <v>(1, 1)</v>
      </c>
      <c r="D117" s="35">
        <f t="shared" si="98"/>
        <v>155778.114</v>
      </c>
      <c r="E117" s="35">
        <f t="shared" si="99"/>
        <v>33699</v>
      </c>
      <c r="F117" s="35">
        <f t="shared" si="100"/>
        <v>40000</v>
      </c>
      <c r="G117" s="35">
        <f t="shared" si="101"/>
        <v>61627.8</v>
      </c>
      <c r="H117" s="35">
        <f t="shared" si="102"/>
        <v>40000</v>
      </c>
      <c r="J117" s="25">
        <f t="shared" si="103"/>
        <v>155778.114</v>
      </c>
      <c r="K117" s="25"/>
      <c r="L117" s="25" t="str">
        <f>HLOOKUP(J117,D117:$H$122,N7,FALSE)</f>
        <v>OptOpt_EB</v>
      </c>
      <c r="N117" s="25"/>
    </row>
    <row r="118" spans="1:14" ht="12.75" x14ac:dyDescent="0.25">
      <c r="A118" s="34">
        <v>40000</v>
      </c>
      <c r="C118" s="36" t="str">
        <f t="shared" si="97"/>
        <v>Inspector</v>
      </c>
      <c r="D118" s="35">
        <f t="shared" si="98"/>
        <v>730681.46499999997</v>
      </c>
      <c r="E118" s="35">
        <f t="shared" si="99"/>
        <v>696009.13199999998</v>
      </c>
      <c r="F118" s="35">
        <f t="shared" si="100"/>
        <v>237927.66500000001</v>
      </c>
      <c r="G118" s="35">
        <f t="shared" si="101"/>
        <v>297512.60125000001</v>
      </c>
      <c r="H118" s="35">
        <f t="shared" si="102"/>
        <v>70000</v>
      </c>
      <c r="J118" s="25">
        <f t="shared" si="103"/>
        <v>730681.46499999997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389840.50206808897</v>
      </c>
      <c r="C119" s="36" t="str">
        <f t="shared" si="97"/>
        <v>State</v>
      </c>
      <c r="D119" s="35">
        <f t="shared" si="98"/>
        <v>28770093.926713701</v>
      </c>
      <c r="E119" s="35">
        <f t="shared" si="99"/>
        <v>12641773.752543399</v>
      </c>
      <c r="F119" s="35">
        <f t="shared" si="100"/>
        <v>13143227.5460217</v>
      </c>
      <c r="G119" s="35">
        <f t="shared" si="101"/>
        <v>2090000</v>
      </c>
      <c r="H119" s="35">
        <f t="shared" si="102"/>
        <v>2590000</v>
      </c>
      <c r="J119" s="25">
        <f t="shared" si="103"/>
        <v>28770093.926713701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7"/>
        <v>LoC</v>
      </c>
      <c r="D120" s="35">
        <f t="shared" si="98"/>
        <v>0.5</v>
      </c>
      <c r="E120" s="35">
        <f t="shared" si="99"/>
        <v>0.5</v>
      </c>
      <c r="F120" s="35">
        <f t="shared" si="100"/>
        <v>0.33333333333333298</v>
      </c>
      <c r="G120" s="35">
        <f t="shared" si="101"/>
        <v>0.16666666666666599</v>
      </c>
      <c r="H120" s="35">
        <f t="shared" si="102"/>
        <v>0</v>
      </c>
    </row>
    <row r="121" spans="1:14" x14ac:dyDescent="0.25">
      <c r="A121" s="34">
        <v>0.33333333333333298</v>
      </c>
    </row>
    <row r="122" spans="1:14" ht="12.75" x14ac:dyDescent="0.25">
      <c r="A122" s="34">
        <v>90000</v>
      </c>
      <c r="B122" s="39">
        <v>12</v>
      </c>
      <c r="C122" s="36" t="str">
        <f>A508</f>
        <v>(10.8,1.87826087)</v>
      </c>
      <c r="D122" s="36" t="str">
        <f>D111</f>
        <v>OptOpt_EB</v>
      </c>
      <c r="E122" s="36" t="str">
        <f t="shared" ref="E122:H122" si="104">E111</f>
        <v>OptOpt_BB</v>
      </c>
      <c r="F122" s="36" t="str">
        <f t="shared" si="104"/>
        <v>NoneOpt_NBB</v>
      </c>
      <c r="G122" s="36" t="str">
        <f t="shared" si="104"/>
        <v>OptNone_BNB</v>
      </c>
      <c r="H122" s="36" t="str">
        <f t="shared" si="104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35">
        <f>A509</f>
        <v>-18646290.6025226</v>
      </c>
      <c r="E123" s="35">
        <f>A518</f>
        <v>432945.46083353797</v>
      </c>
      <c r="F123" s="35">
        <f>A527</f>
        <v>433221.56518142699</v>
      </c>
      <c r="G123" s="35">
        <f>A536</f>
        <v>90000</v>
      </c>
      <c r="H123" s="35">
        <f>A545</f>
        <v>90000</v>
      </c>
      <c r="J123" s="25">
        <f>MAX(D123:H123)</f>
        <v>433221.56518142699</v>
      </c>
      <c r="K123" s="25"/>
      <c r="L123" s="25" t="str">
        <f>HLOOKUP(J123,D123:$H$133,N2,FALSE)</f>
        <v>NoneOpt_NBB</v>
      </c>
      <c r="N123" s="25"/>
    </row>
    <row r="124" spans="1:14" ht="12.75" x14ac:dyDescent="0.25">
      <c r="A124" s="34">
        <v>-1208849.55</v>
      </c>
      <c r="C124" s="36" t="str">
        <f t="shared" ref="C124:C131" si="105">C113</f>
        <v>(3, 1)</v>
      </c>
      <c r="D124" s="35">
        <f t="shared" ref="D124:D131" si="106">A510</f>
        <v>-12903043.049951101</v>
      </c>
      <c r="E124" s="35">
        <f t="shared" ref="E124:E131" si="107">A519</f>
        <v>433912.76518158597</v>
      </c>
      <c r="F124" s="35">
        <f t="shared" ref="F124:F131" si="108">A528</f>
        <v>434066.78257292497</v>
      </c>
      <c r="G124" s="35">
        <f t="shared" ref="G124:G131" si="109">A537</f>
        <v>90000</v>
      </c>
      <c r="H124" s="35">
        <f t="shared" ref="H124:H131" si="110">A546</f>
        <v>90000</v>
      </c>
      <c r="J124" s="25">
        <f t="shared" ref="J124:J130" si="111">MAX(D124:H124)</f>
        <v>434066.78257292497</v>
      </c>
      <c r="K124" s="25"/>
      <c r="L124" s="25" t="str">
        <f>HLOOKUP(J124,D124:$H$133,N3,FALSE)</f>
        <v>NoneOpt_NBB</v>
      </c>
      <c r="N124" s="25"/>
    </row>
    <row r="125" spans="1:14" ht="12.75" x14ac:dyDescent="0.25">
      <c r="A125" s="34">
        <v>-1195877.58</v>
      </c>
      <c r="C125" s="36" t="str">
        <f t="shared" si="105"/>
        <v>(2, 0)</v>
      </c>
      <c r="D125" s="35">
        <f t="shared" si="106"/>
        <v>151823.63140000001</v>
      </c>
      <c r="E125" s="35">
        <f t="shared" si="107"/>
        <v>-23967.599999999999</v>
      </c>
      <c r="F125" s="35">
        <f t="shared" si="108"/>
        <v>40000</v>
      </c>
      <c r="G125" s="35">
        <f t="shared" si="109"/>
        <v>108834.6</v>
      </c>
      <c r="H125" s="35">
        <f t="shared" si="110"/>
        <v>40000</v>
      </c>
      <c r="J125" s="25">
        <f t="shared" si="111"/>
        <v>151823.63140000001</v>
      </c>
      <c r="K125" s="25"/>
      <c r="L125" s="25" t="str">
        <f>HLOOKUP(J125,D125:$H$133,N4,FALSE)</f>
        <v>OptOpt_EB</v>
      </c>
      <c r="N125" s="25"/>
    </row>
    <row r="126" spans="1:14" ht="12.75" x14ac:dyDescent="0.25">
      <c r="A126" s="34">
        <v>-2337345.4249999998</v>
      </c>
      <c r="C126" s="36" t="str">
        <f t="shared" si="105"/>
        <v>(2, 1)</v>
      </c>
      <c r="D126" s="35">
        <f t="shared" si="106"/>
        <v>151797.11540000001</v>
      </c>
      <c r="E126" s="35">
        <f t="shared" si="107"/>
        <v>-22037.1</v>
      </c>
      <c r="F126" s="35">
        <f t="shared" si="108"/>
        <v>40000</v>
      </c>
      <c r="G126" s="35">
        <f t="shared" si="109"/>
        <v>109231.5</v>
      </c>
      <c r="H126" s="35">
        <f t="shared" si="110"/>
        <v>40000</v>
      </c>
      <c r="J126" s="25">
        <f t="shared" si="111"/>
        <v>151797.11540000001</v>
      </c>
      <c r="K126" s="25"/>
      <c r="L126" s="25" t="str">
        <f>HLOOKUP(J126,D126:$H$133,N5,FALSE)</f>
        <v>OptOpt_EB</v>
      </c>
      <c r="N126" s="25"/>
    </row>
    <row r="127" spans="1:14" ht="12.75" x14ac:dyDescent="0.25">
      <c r="A127" s="34">
        <v>-2353855.2050000001</v>
      </c>
      <c r="C127" s="36" t="str">
        <f t="shared" si="105"/>
        <v>(1, 0)</v>
      </c>
      <c r="D127" s="35">
        <f t="shared" si="106"/>
        <v>155809.9332</v>
      </c>
      <c r="E127" s="35">
        <f t="shared" si="107"/>
        <v>34465.800000000003</v>
      </c>
      <c r="F127" s="35">
        <f t="shared" si="108"/>
        <v>40000</v>
      </c>
      <c r="G127" s="35">
        <f t="shared" si="109"/>
        <v>62621.4</v>
      </c>
      <c r="H127" s="35">
        <f t="shared" si="110"/>
        <v>40000</v>
      </c>
      <c r="J127" s="25">
        <f t="shared" si="111"/>
        <v>155809.9332</v>
      </c>
      <c r="K127" s="25"/>
      <c r="L127" s="25" t="str">
        <f>HLOOKUP(J127,D127:$H$133,N6,FALSE)</f>
        <v>OptOpt_EB</v>
      </c>
      <c r="N127" s="25"/>
    </row>
    <row r="128" spans="1:14" ht="12.75" x14ac:dyDescent="0.25">
      <c r="A128" s="34">
        <v>190891.97</v>
      </c>
      <c r="C128" s="36" t="str">
        <f t="shared" si="105"/>
        <v>(1, 1)</v>
      </c>
      <c r="D128" s="35">
        <f t="shared" si="106"/>
        <v>155753.11319999999</v>
      </c>
      <c r="E128" s="35">
        <f t="shared" si="107"/>
        <v>34368.6</v>
      </c>
      <c r="F128" s="35">
        <f t="shared" si="108"/>
        <v>40000</v>
      </c>
      <c r="G128" s="35">
        <f t="shared" si="109"/>
        <v>61984.2</v>
      </c>
      <c r="H128" s="35">
        <f t="shared" si="110"/>
        <v>40000</v>
      </c>
      <c r="J128" s="25">
        <f t="shared" si="111"/>
        <v>155753.11319999999</v>
      </c>
      <c r="K128" s="25"/>
      <c r="L128" s="25" t="str">
        <f>HLOOKUP(J128,D128:$H$133,N7,FALSE)</f>
        <v>OptOpt_EB</v>
      </c>
      <c r="N128" s="25"/>
    </row>
    <row r="129" spans="1:14" ht="12.75" x14ac:dyDescent="0.25">
      <c r="A129" s="34">
        <v>9721624.5600000005</v>
      </c>
      <c r="C129" s="36" t="str">
        <f t="shared" si="105"/>
        <v>Inspector</v>
      </c>
      <c r="D129" s="35">
        <f t="shared" si="106"/>
        <v>731785.89806677995</v>
      </c>
      <c r="E129" s="35">
        <f t="shared" si="107"/>
        <v>696424.31631712103</v>
      </c>
      <c r="F129" s="35">
        <f t="shared" si="108"/>
        <v>237644.90006613801</v>
      </c>
      <c r="G129" s="35">
        <f t="shared" si="109"/>
        <v>295823.92725000001</v>
      </c>
      <c r="H129" s="35">
        <f t="shared" si="110"/>
        <v>70000</v>
      </c>
      <c r="J129" s="25">
        <f t="shared" si="111"/>
        <v>731785.89806677995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5"/>
        <v>State</v>
      </c>
      <c r="D130" s="35">
        <f t="shared" si="106"/>
        <v>33044836.100965299</v>
      </c>
      <c r="E130" s="35">
        <f t="shared" si="107"/>
        <v>1090000</v>
      </c>
      <c r="F130" s="35">
        <f t="shared" si="108"/>
        <v>1590000</v>
      </c>
      <c r="G130" s="35">
        <f t="shared" si="109"/>
        <v>2090000</v>
      </c>
      <c r="H130" s="35">
        <f t="shared" si="110"/>
        <v>2590000</v>
      </c>
      <c r="J130" s="25">
        <f t="shared" si="111"/>
        <v>33044836.100965299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5"/>
        <v>LoC</v>
      </c>
      <c r="D131" s="35">
        <f t="shared" si="106"/>
        <v>0.5</v>
      </c>
      <c r="E131" s="35">
        <f t="shared" si="107"/>
        <v>0.5</v>
      </c>
      <c r="F131" s="35">
        <f t="shared" si="108"/>
        <v>0.33333333333333298</v>
      </c>
      <c r="G131" s="35">
        <f t="shared" si="109"/>
        <v>0.16666666666666599</v>
      </c>
      <c r="H131" s="35">
        <f t="shared" si="110"/>
        <v>0</v>
      </c>
    </row>
    <row r="132" spans="1:14" x14ac:dyDescent="0.25">
      <c r="A132" s="34">
        <v>90000</v>
      </c>
    </row>
    <row r="133" spans="1:14" ht="12.75" x14ac:dyDescent="0.25">
      <c r="A133" s="34">
        <v>40000</v>
      </c>
      <c r="B133" s="39">
        <v>13</v>
      </c>
      <c r="C133" s="36" t="str">
        <f>A554</f>
        <v>(10.8,2.77813587)</v>
      </c>
      <c r="D133" s="36" t="str">
        <f>D122</f>
        <v>OptOpt_EB</v>
      </c>
      <c r="E133" s="36" t="str">
        <f t="shared" ref="E133:H133" si="112">E122</f>
        <v>OptOpt_BB</v>
      </c>
      <c r="F133" s="36" t="str">
        <f t="shared" si="112"/>
        <v>NoneOpt_NBB</v>
      </c>
      <c r="G133" s="36" t="str">
        <f t="shared" si="112"/>
        <v>OptNone_BNB</v>
      </c>
      <c r="H133" s="36" t="str">
        <f t="shared" si="112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35">
        <f>A555</f>
        <v>-31356655.319060002</v>
      </c>
      <c r="E134" s="35">
        <f>A564</f>
        <v>359034.11817611899</v>
      </c>
      <c r="F134" s="35">
        <f>A573</f>
        <v>358514.60676842701</v>
      </c>
      <c r="G134" s="35">
        <f>A582</f>
        <v>90000</v>
      </c>
      <c r="H134" s="35">
        <f>A591</f>
        <v>90000</v>
      </c>
      <c r="J134" s="25">
        <f>MAX(D134:H134)</f>
        <v>359034.11817611899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13">C124</f>
        <v>(3, 1)</v>
      </c>
      <c r="D135" s="35">
        <f t="shared" ref="D135:D142" si="114">A556</f>
        <v>-21971445.0577503</v>
      </c>
      <c r="E135" s="35">
        <f t="shared" ref="E135:E142" si="115">A565</f>
        <v>358439.59709993901</v>
      </c>
      <c r="F135" s="35">
        <f t="shared" ref="F135:F142" si="116">A574</f>
        <v>357945.08891508001</v>
      </c>
      <c r="G135" s="35">
        <f t="shared" ref="G135:G142" si="117">A583</f>
        <v>90000</v>
      </c>
      <c r="H135" s="35">
        <f t="shared" ref="H135:H142" si="118">A592</f>
        <v>90000</v>
      </c>
      <c r="J135" s="25">
        <f t="shared" ref="J135:J141" si="119">MAX(D135:H135)</f>
        <v>358439.59709993901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13"/>
        <v>(2, 0)</v>
      </c>
      <c r="D136" s="35">
        <f t="shared" si="114"/>
        <v>151818.8964</v>
      </c>
      <c r="E136" s="35">
        <f t="shared" si="115"/>
        <v>-22744.5</v>
      </c>
      <c r="F136" s="35">
        <f t="shared" si="116"/>
        <v>40000</v>
      </c>
      <c r="G136" s="35">
        <f t="shared" si="117"/>
        <v>108799.5</v>
      </c>
      <c r="H136" s="35">
        <f t="shared" si="118"/>
        <v>40000</v>
      </c>
      <c r="J136" s="25">
        <f t="shared" si="119"/>
        <v>151818.8964</v>
      </c>
      <c r="K136" s="25"/>
      <c r="L136" s="25" t="str">
        <f>HLOOKUP(J136,D136:$H$144,N4,FALSE)</f>
        <v>OptOpt_EB</v>
      </c>
      <c r="N136" s="25"/>
    </row>
    <row r="137" spans="1:14" ht="12.75" x14ac:dyDescent="0.25">
      <c r="A137" s="34">
        <v>70000</v>
      </c>
      <c r="C137" s="36" t="str">
        <f t="shared" si="113"/>
        <v>(2, 1)</v>
      </c>
      <c r="D137" s="35">
        <f t="shared" si="114"/>
        <v>151912.27059999999</v>
      </c>
      <c r="E137" s="35">
        <f t="shared" si="115"/>
        <v>-22623</v>
      </c>
      <c r="F137" s="35">
        <f t="shared" si="116"/>
        <v>40000</v>
      </c>
      <c r="G137" s="35">
        <f t="shared" si="117"/>
        <v>108615.9</v>
      </c>
      <c r="H137" s="35">
        <f t="shared" si="118"/>
        <v>40000</v>
      </c>
      <c r="J137" s="25">
        <f t="shared" si="119"/>
        <v>151912.27059999999</v>
      </c>
      <c r="K137" s="25"/>
      <c r="L137" s="25" t="str">
        <f>HLOOKUP(J137,D137:$H$144,N5,FALSE)</f>
        <v>OptOpt_EB</v>
      </c>
      <c r="N137" s="25"/>
    </row>
    <row r="138" spans="1:14" ht="12.75" x14ac:dyDescent="0.25">
      <c r="A138" s="34">
        <v>2590000</v>
      </c>
      <c r="C138" s="36" t="str">
        <f t="shared" si="113"/>
        <v>(1, 0)</v>
      </c>
      <c r="D138" s="35">
        <f t="shared" si="114"/>
        <v>155766.5606</v>
      </c>
      <c r="E138" s="35">
        <f t="shared" si="115"/>
        <v>33412.800000000003</v>
      </c>
      <c r="F138" s="35">
        <f t="shared" si="116"/>
        <v>40000</v>
      </c>
      <c r="G138" s="35">
        <f t="shared" si="117"/>
        <v>61968</v>
      </c>
      <c r="H138" s="35">
        <f t="shared" si="118"/>
        <v>40000</v>
      </c>
      <c r="J138" s="25">
        <f t="shared" si="119"/>
        <v>155766.5606</v>
      </c>
      <c r="K138" s="25"/>
      <c r="L138" s="25" t="str">
        <f>HLOOKUP(J138,D138:$H$144,N6,FALSE)</f>
        <v>OptOpt_EB</v>
      </c>
      <c r="N138" s="25"/>
    </row>
    <row r="139" spans="1:14" ht="12.75" x14ac:dyDescent="0.25">
      <c r="A139" s="34">
        <v>0</v>
      </c>
      <c r="C139" s="36" t="str">
        <f t="shared" si="113"/>
        <v>(1, 1)</v>
      </c>
      <c r="D139" s="35">
        <f t="shared" si="114"/>
        <v>155737.77179999999</v>
      </c>
      <c r="E139" s="35">
        <f t="shared" si="115"/>
        <v>33615.300000000003</v>
      </c>
      <c r="F139" s="35">
        <f t="shared" si="116"/>
        <v>40000</v>
      </c>
      <c r="G139" s="35">
        <f t="shared" si="117"/>
        <v>61992.3</v>
      </c>
      <c r="H139" s="35">
        <f t="shared" si="118"/>
        <v>40000</v>
      </c>
      <c r="J139" s="25">
        <f t="shared" si="119"/>
        <v>155737.77179999999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34" t="s">
        <v>67</v>
      </c>
      <c r="C140" s="36" t="str">
        <f t="shared" si="113"/>
        <v>Inspector</v>
      </c>
      <c r="D140" s="35">
        <f t="shared" si="114"/>
        <v>880839.91031572095</v>
      </c>
      <c r="E140" s="35">
        <f t="shared" si="115"/>
        <v>846842.777565939</v>
      </c>
      <c r="F140" s="35">
        <f t="shared" si="116"/>
        <v>388200.291442735</v>
      </c>
      <c r="G140" s="35">
        <f t="shared" si="117"/>
        <v>296744.42225</v>
      </c>
      <c r="H140" s="35">
        <f t="shared" si="118"/>
        <v>70000</v>
      </c>
      <c r="J140" s="25">
        <f t="shared" si="119"/>
        <v>880839.91031572095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-230211.136052794</v>
      </c>
      <c r="C141" s="36" t="str">
        <f t="shared" si="113"/>
        <v>State</v>
      </c>
      <c r="D141" s="35">
        <f t="shared" si="114"/>
        <v>54674668.414251901</v>
      </c>
      <c r="E141" s="35">
        <f t="shared" si="115"/>
        <v>1090000</v>
      </c>
      <c r="F141" s="35">
        <f t="shared" si="116"/>
        <v>1590000</v>
      </c>
      <c r="G141" s="35">
        <f t="shared" si="117"/>
        <v>2090000</v>
      </c>
      <c r="H141" s="35">
        <f t="shared" si="118"/>
        <v>2590000</v>
      </c>
      <c r="J141" s="25">
        <f t="shared" si="119"/>
        <v>54674668.414251901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-72384.011611065405</v>
      </c>
      <c r="C142" s="36" t="str">
        <f t="shared" si="113"/>
        <v>LoC</v>
      </c>
      <c r="D142" s="35">
        <f t="shared" si="114"/>
        <v>0.5</v>
      </c>
      <c r="E142" s="35">
        <f t="shared" si="115"/>
        <v>0.5</v>
      </c>
      <c r="F142" s="35">
        <f t="shared" si="116"/>
        <v>0.33333333333333298</v>
      </c>
      <c r="G142" s="35">
        <f t="shared" si="117"/>
        <v>0.16666666666666599</v>
      </c>
      <c r="H142" s="35">
        <f t="shared" si="118"/>
        <v>0</v>
      </c>
    </row>
    <row r="143" spans="1:14" x14ac:dyDescent="0.25">
      <c r="A143" s="34">
        <v>165000</v>
      </c>
    </row>
    <row r="144" spans="1:14" ht="12.75" x14ac:dyDescent="0.25">
      <c r="A144" s="34">
        <v>165000</v>
      </c>
      <c r="B144" s="39">
        <v>14</v>
      </c>
      <c r="C144" s="36" t="str">
        <f>A600</f>
        <v>(10.8,3.67801087)</v>
      </c>
      <c r="D144" s="36" t="str">
        <f>D133</f>
        <v>OptOpt_EB</v>
      </c>
      <c r="E144" s="36" t="str">
        <f t="shared" ref="E144:H144" si="120">E133</f>
        <v>OptOpt_BB</v>
      </c>
      <c r="F144" s="36" t="str">
        <f t="shared" si="120"/>
        <v>NoneOpt_NBB</v>
      </c>
      <c r="G144" s="36" t="str">
        <f t="shared" si="120"/>
        <v>OptNone_BNB</v>
      </c>
      <c r="H144" s="36" t="str">
        <f t="shared" si="120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9</v>
      </c>
      <c r="C145" s="36" t="str">
        <f>C134</f>
        <v>(3, 0)</v>
      </c>
      <c r="D145" s="35">
        <f>A601</f>
        <v>-225109.734976123</v>
      </c>
      <c r="E145" s="35">
        <f>A610</f>
        <v>282018.08178996597</v>
      </c>
      <c r="F145" s="35">
        <f>A619</f>
        <v>280760.202072424</v>
      </c>
      <c r="G145" s="35">
        <f>A628</f>
        <v>90000</v>
      </c>
      <c r="H145" s="35">
        <f>A637</f>
        <v>90000</v>
      </c>
      <c r="J145" s="25">
        <f>MAX(D145:H145)</f>
        <v>282018.08178996597</v>
      </c>
      <c r="K145" s="25"/>
      <c r="L145" s="25" t="str">
        <f>HLOOKUP(J145,D145:$H$155,N2,FALSE)</f>
        <v>OptOpt_BB</v>
      </c>
      <c r="N145" s="25"/>
    </row>
    <row r="146" spans="1:14" ht="12.75" x14ac:dyDescent="0.25">
      <c r="A146" s="34">
        <v>165000</v>
      </c>
      <c r="C146" s="36" t="str">
        <f t="shared" ref="C146:C153" si="121">C135</f>
        <v>(3, 1)</v>
      </c>
      <c r="D146" s="35">
        <f t="shared" ref="D146:D153" si="122">A602</f>
        <v>-77452.310589867906</v>
      </c>
      <c r="E146" s="35">
        <f t="shared" ref="E146:E153" si="123">A611</f>
        <v>282161.52421389602</v>
      </c>
      <c r="F146" s="35">
        <f t="shared" ref="F146:F153" si="124">A620</f>
        <v>284802.336018553</v>
      </c>
      <c r="G146" s="35">
        <f t="shared" ref="G146:G153" si="125">A629</f>
        <v>90000</v>
      </c>
      <c r="H146" s="35">
        <f t="shared" ref="H146:H153" si="126">A638</f>
        <v>90000</v>
      </c>
      <c r="J146" s="25">
        <f t="shared" ref="J146:J152" si="127">MAX(D146:H146)</f>
        <v>284802.336018553</v>
      </c>
      <c r="K146" s="25"/>
      <c r="L146" s="25" t="str">
        <f>HLOOKUP(J146,D146:$H$155,N3,FALSE)</f>
        <v>NoneOpt_NBB</v>
      </c>
      <c r="N146" s="25"/>
    </row>
    <row r="147" spans="1:14" ht="12.75" x14ac:dyDescent="0.25">
      <c r="A147" s="34">
        <v>1031560.06115749</v>
      </c>
      <c r="C147" s="36" t="str">
        <f t="shared" si="121"/>
        <v>(2, 0)</v>
      </c>
      <c r="D147" s="35">
        <f t="shared" si="122"/>
        <v>165000</v>
      </c>
      <c r="E147" s="35">
        <f t="shared" si="123"/>
        <v>-21777.9</v>
      </c>
      <c r="F147" s="35">
        <f t="shared" si="124"/>
        <v>40000</v>
      </c>
      <c r="G147" s="35">
        <f t="shared" si="125"/>
        <v>108605.1</v>
      </c>
      <c r="H147" s="35">
        <f t="shared" si="126"/>
        <v>40000</v>
      </c>
      <c r="J147" s="25">
        <f t="shared" si="127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1"/>
        <v>(2, 1)</v>
      </c>
      <c r="D148" s="35">
        <f t="shared" si="122"/>
        <v>165000</v>
      </c>
      <c r="E148" s="35">
        <f t="shared" si="123"/>
        <v>-22002</v>
      </c>
      <c r="F148" s="35">
        <f t="shared" si="124"/>
        <v>40000</v>
      </c>
      <c r="G148" s="35">
        <f t="shared" si="125"/>
        <v>108937.2</v>
      </c>
      <c r="H148" s="35">
        <f t="shared" si="126"/>
        <v>40000</v>
      </c>
      <c r="J148" s="25">
        <f t="shared" si="127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1"/>
        <v>(1, 0)</v>
      </c>
      <c r="D149" s="35">
        <f t="shared" si="122"/>
        <v>165000</v>
      </c>
      <c r="E149" s="35">
        <f t="shared" si="123"/>
        <v>33836.699999999997</v>
      </c>
      <c r="F149" s="35">
        <f t="shared" si="124"/>
        <v>40000</v>
      </c>
      <c r="G149" s="35">
        <f t="shared" si="125"/>
        <v>62229.9</v>
      </c>
      <c r="H149" s="35">
        <f t="shared" si="126"/>
        <v>40000</v>
      </c>
      <c r="J149" s="25">
        <f t="shared" si="127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282867.70230093598</v>
      </c>
      <c r="C150" s="36" t="str">
        <f t="shared" si="121"/>
        <v>(1, 1)</v>
      </c>
      <c r="D150" s="35">
        <f t="shared" si="122"/>
        <v>165000</v>
      </c>
      <c r="E150" s="35">
        <f t="shared" si="123"/>
        <v>34050</v>
      </c>
      <c r="F150" s="35">
        <f t="shared" si="124"/>
        <v>40000</v>
      </c>
      <c r="G150" s="35">
        <f t="shared" si="125"/>
        <v>61824.9</v>
      </c>
      <c r="H150" s="35">
        <f t="shared" si="126"/>
        <v>40000</v>
      </c>
      <c r="J150" s="25">
        <f t="shared" si="127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282279.22056173399</v>
      </c>
      <c r="C151" s="36" t="str">
        <f t="shared" si="121"/>
        <v>Inspector</v>
      </c>
      <c r="D151" s="35">
        <f t="shared" si="122"/>
        <v>1031732.15390749</v>
      </c>
      <c r="E151" s="35">
        <f t="shared" si="123"/>
        <v>997616.29381555796</v>
      </c>
      <c r="F151" s="35">
        <f t="shared" si="124"/>
        <v>538936.86781881202</v>
      </c>
      <c r="G151" s="35">
        <f t="shared" si="125"/>
        <v>296587.31675</v>
      </c>
      <c r="H151" s="35">
        <f t="shared" si="126"/>
        <v>70000</v>
      </c>
      <c r="J151" s="25">
        <f t="shared" si="127"/>
        <v>1031732.15390749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-4351407.5549999997</v>
      </c>
      <c r="C152" s="36" t="str">
        <f t="shared" si="121"/>
        <v>State</v>
      </c>
      <c r="D152" s="35">
        <f t="shared" si="122"/>
        <v>1090000</v>
      </c>
      <c r="E152" s="35">
        <f t="shared" si="123"/>
        <v>1090000</v>
      </c>
      <c r="F152" s="35">
        <f t="shared" si="124"/>
        <v>1590000</v>
      </c>
      <c r="G152" s="35">
        <f t="shared" si="125"/>
        <v>2090000</v>
      </c>
      <c r="H152" s="35">
        <f t="shared" si="126"/>
        <v>2590000</v>
      </c>
      <c r="J152" s="25">
        <f t="shared" si="127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-4385606.3849999998</v>
      </c>
      <c r="C153" s="36" t="str">
        <f t="shared" si="121"/>
        <v>LoC</v>
      </c>
      <c r="D153" s="35">
        <f t="shared" si="122"/>
        <v>0.5</v>
      </c>
      <c r="E153" s="35">
        <f t="shared" si="123"/>
        <v>0.5</v>
      </c>
      <c r="F153" s="35">
        <f t="shared" si="124"/>
        <v>0.33333333333333298</v>
      </c>
      <c r="G153" s="35">
        <f t="shared" si="125"/>
        <v>0.16666666666666599</v>
      </c>
      <c r="H153" s="35">
        <f t="shared" si="126"/>
        <v>0</v>
      </c>
    </row>
    <row r="154" spans="1:14" x14ac:dyDescent="0.25">
      <c r="A154" s="34">
        <v>-3021649.6</v>
      </c>
    </row>
    <row r="155" spans="1:14" ht="12.75" x14ac:dyDescent="0.25">
      <c r="A155" s="34">
        <v>-2999308.9849999999</v>
      </c>
      <c r="B155" s="39">
        <v>15</v>
      </c>
      <c r="C155" s="36" t="str">
        <f>A646</f>
        <v>(10.8,5.517016304)</v>
      </c>
      <c r="D155" s="36" t="str">
        <f>D144</f>
        <v>OptOpt_EB</v>
      </c>
      <c r="E155" s="36" t="str">
        <f t="shared" ref="E155:H155" si="128">E144</f>
        <v>OptOpt_BB</v>
      </c>
      <c r="F155" s="36" t="str">
        <f t="shared" si="128"/>
        <v>NoneOpt_NBB</v>
      </c>
      <c r="G155" s="36" t="str">
        <f t="shared" si="128"/>
        <v>OptNone_BNB</v>
      </c>
      <c r="H155" s="36" t="str">
        <f t="shared" si="128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784659.17756660399</v>
      </c>
      <c r="B156" s="39" t="s">
        <v>9</v>
      </c>
      <c r="C156" s="36" t="str">
        <f>C145</f>
        <v>(3, 0)</v>
      </c>
      <c r="D156" s="35">
        <f>A647</f>
        <v>-639345.70898720506</v>
      </c>
      <c r="E156" s="35">
        <f>A656</f>
        <v>131866.96611577299</v>
      </c>
      <c r="F156" s="35">
        <f>A665</f>
        <v>131701.455626654</v>
      </c>
      <c r="G156" s="35">
        <f>A674</f>
        <v>90000</v>
      </c>
      <c r="H156" s="35">
        <f>A683</f>
        <v>90000</v>
      </c>
      <c r="J156" s="25">
        <f>MAX(D156:H156)</f>
        <v>131866.96611577299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16260870.775</v>
      </c>
      <c r="C157" s="36" t="str">
        <f t="shared" ref="C157:C164" si="129">C146</f>
        <v>(3, 1)</v>
      </c>
      <c r="D157" s="35">
        <f t="shared" ref="D157:D162" si="130">A648</f>
        <v>-404844.930986299</v>
      </c>
      <c r="E157" s="35">
        <f t="shared" ref="E157:E162" si="131">A657</f>
        <v>127822.993164942</v>
      </c>
      <c r="F157" s="35">
        <f t="shared" ref="F157:F162" si="132">A666</f>
        <v>131684.90457774201</v>
      </c>
      <c r="G157" s="35">
        <f t="shared" ref="G157:G162" si="133">A675</f>
        <v>90000</v>
      </c>
      <c r="H157" s="35">
        <f t="shared" ref="H157:H162" si="134">A684</f>
        <v>90000</v>
      </c>
      <c r="J157" s="25">
        <f t="shared" ref="J157:J163" si="135">MAX(D157:H157)</f>
        <v>131684.90457774201</v>
      </c>
      <c r="K157" s="25"/>
      <c r="L157" s="25" t="str">
        <f>HLOOKUP(J157,D157:$H$166,N3,FALSE)</f>
        <v>NoneOpt_NBB</v>
      </c>
      <c r="N157" s="25"/>
    </row>
    <row r="158" spans="1:14" ht="12.75" x14ac:dyDescent="0.25">
      <c r="A158" s="34">
        <v>0.5</v>
      </c>
      <c r="C158" s="36" t="str">
        <f t="shared" si="129"/>
        <v>(2, 0)</v>
      </c>
      <c r="D158" s="35">
        <f t="shared" si="130"/>
        <v>165000</v>
      </c>
      <c r="E158" s="35">
        <f t="shared" si="131"/>
        <v>-22720.2</v>
      </c>
      <c r="F158" s="35">
        <f t="shared" si="132"/>
        <v>40000</v>
      </c>
      <c r="G158" s="35">
        <f t="shared" si="133"/>
        <v>109290.9</v>
      </c>
      <c r="H158" s="35">
        <f t="shared" si="134"/>
        <v>40000</v>
      </c>
      <c r="J158" s="25">
        <f t="shared" si="135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281893.02942038298</v>
      </c>
      <c r="C159" s="36" t="str">
        <f t="shared" si="129"/>
        <v>(2, 1)</v>
      </c>
      <c r="D159" s="35">
        <f t="shared" si="130"/>
        <v>165000</v>
      </c>
      <c r="E159" s="35">
        <f t="shared" si="131"/>
        <v>-23357.4</v>
      </c>
      <c r="F159" s="35">
        <f t="shared" si="132"/>
        <v>40000</v>
      </c>
      <c r="G159" s="35">
        <f t="shared" si="133"/>
        <v>108489</v>
      </c>
      <c r="H159" s="35">
        <f t="shared" si="134"/>
        <v>40000</v>
      </c>
      <c r="J159" s="25">
        <f t="shared" si="135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284320.516594582</v>
      </c>
      <c r="C160" s="36" t="str">
        <f t="shared" si="129"/>
        <v>(1, 0)</v>
      </c>
      <c r="D160" s="35">
        <f t="shared" si="130"/>
        <v>165000</v>
      </c>
      <c r="E160" s="35">
        <f t="shared" si="131"/>
        <v>33145.5</v>
      </c>
      <c r="F160" s="35">
        <f t="shared" si="132"/>
        <v>40000</v>
      </c>
      <c r="G160" s="35">
        <f>A678</f>
        <v>62408.1</v>
      </c>
      <c r="H160" s="35">
        <f t="shared" si="134"/>
        <v>40000</v>
      </c>
      <c r="J160" s="25">
        <f t="shared" si="135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29"/>
        <v>(1, 1)</v>
      </c>
      <c r="D161" s="35">
        <f t="shared" si="130"/>
        <v>165000</v>
      </c>
      <c r="E161" s="35">
        <f t="shared" si="131"/>
        <v>33955.5</v>
      </c>
      <c r="F161" s="35">
        <f t="shared" si="132"/>
        <v>40000</v>
      </c>
      <c r="G161" s="35">
        <f t="shared" si="133"/>
        <v>61976.1</v>
      </c>
      <c r="H161" s="35">
        <f t="shared" si="134"/>
        <v>40000</v>
      </c>
      <c r="J161" s="25">
        <f t="shared" si="135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29"/>
        <v>Inspector</v>
      </c>
      <c r="D162" s="35">
        <f t="shared" si="130"/>
        <v>1773054.23162737</v>
      </c>
      <c r="E162" s="35">
        <f t="shared" si="131"/>
        <v>1304805.01277937</v>
      </c>
      <c r="F162" s="35">
        <f t="shared" si="132"/>
        <v>841870.40713930398</v>
      </c>
      <c r="G162" s="35">
        <f t="shared" si="133"/>
        <v>296184.16424999997</v>
      </c>
      <c r="H162" s="35">
        <f t="shared" si="134"/>
        <v>70000</v>
      </c>
      <c r="J162" s="25">
        <f t="shared" si="135"/>
        <v>1773054.23162737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35">
        <f>A654</f>
        <v>1090000</v>
      </c>
      <c r="E163" s="35">
        <f>A663</f>
        <v>1090000</v>
      </c>
      <c r="F163" s="35">
        <f>A672</f>
        <v>1590000</v>
      </c>
      <c r="G163" s="35">
        <f>A681</f>
        <v>2090000</v>
      </c>
      <c r="H163" s="35">
        <f>A690</f>
        <v>2590000</v>
      </c>
      <c r="J163" s="25">
        <f t="shared" si="135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29"/>
        <v>LoC</v>
      </c>
      <c r="D164" s="35">
        <f t="shared" ref="D164" si="136">A655</f>
        <v>0.5</v>
      </c>
      <c r="E164" s="35">
        <f t="shared" ref="E164" si="137">A664</f>
        <v>0.5</v>
      </c>
      <c r="F164" s="35">
        <f t="shared" ref="F164" si="138">A673</f>
        <v>0.33333333333333298</v>
      </c>
      <c r="G164" s="35">
        <f t="shared" ref="G164" si="139">A682</f>
        <v>0.16666666666666599</v>
      </c>
      <c r="H164" s="35">
        <f t="shared" ref="H164" si="140">A691</f>
        <v>0</v>
      </c>
    </row>
    <row r="165" spans="1:14" x14ac:dyDescent="0.25">
      <c r="A165" s="34">
        <v>538423.40006873698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1">E155</f>
        <v>OptOpt_BB</v>
      </c>
      <c r="F166" s="34" t="str">
        <f t="shared" si="141"/>
        <v>NoneOpt_NBB</v>
      </c>
      <c r="G166" s="34" t="str">
        <f t="shared" si="141"/>
        <v>OptNone_BNB</v>
      </c>
      <c r="H166" s="34" t="str">
        <f t="shared" si="141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-1197449.94</v>
      </c>
    </row>
    <row r="171" spans="1:14" x14ac:dyDescent="0.25">
      <c r="A171" s="34">
        <v>-1194436.25</v>
      </c>
    </row>
    <row r="172" spans="1:14" x14ac:dyDescent="0.25">
      <c r="A172" s="34">
        <v>-2330400.835</v>
      </c>
    </row>
    <row r="173" spans="1:14" x14ac:dyDescent="0.25">
      <c r="A173" s="34">
        <v>-2349007.0950000002</v>
      </c>
    </row>
    <row r="174" spans="1:14" x14ac:dyDescent="0.25">
      <c r="A174" s="34">
        <v>190509.59</v>
      </c>
    </row>
    <row r="175" spans="1:14" x14ac:dyDescent="0.25">
      <c r="A175" s="34">
        <v>9697385.7200000007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68</v>
      </c>
    </row>
    <row r="187" spans="1:1" x14ac:dyDescent="0.25">
      <c r="A187" s="34">
        <v>-636978.90899281902</v>
      </c>
    </row>
    <row r="188" spans="1:1" x14ac:dyDescent="0.25">
      <c r="A188" s="34">
        <v>-405164.91793192201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1771187.61536123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132540.042104861</v>
      </c>
    </row>
    <row r="197" spans="1:1" x14ac:dyDescent="0.25">
      <c r="A197" s="34">
        <v>129742.914838734</v>
      </c>
    </row>
    <row r="198" spans="1:1" x14ac:dyDescent="0.25">
      <c r="A198" s="34">
        <v>-4369162.12</v>
      </c>
    </row>
    <row r="199" spans="1:1" x14ac:dyDescent="0.25">
      <c r="A199" s="34">
        <v>-4358090.085</v>
      </c>
    </row>
    <row r="200" spans="1:1" x14ac:dyDescent="0.25">
      <c r="A200" s="34">
        <v>-3038355.9249999998</v>
      </c>
    </row>
    <row r="201" spans="1:1" x14ac:dyDescent="0.25">
      <c r="A201" s="34">
        <v>-3034293.9950000001</v>
      </c>
    </row>
    <row r="202" spans="1:1" x14ac:dyDescent="0.25">
      <c r="A202" s="34">
        <v>1088874.3482276001</v>
      </c>
    </row>
    <row r="203" spans="1:1" x14ac:dyDescent="0.25">
      <c r="A203" s="34">
        <v>16302128.375</v>
      </c>
    </row>
    <row r="204" spans="1:1" x14ac:dyDescent="0.25">
      <c r="A204" s="34">
        <v>0.5</v>
      </c>
    </row>
    <row r="205" spans="1:1" x14ac:dyDescent="0.25">
      <c r="A205" s="34">
        <v>129301.553534413</v>
      </c>
    </row>
    <row r="206" spans="1:1" x14ac:dyDescent="0.25">
      <c r="A206" s="34">
        <v>129522.234186573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845744.59988359199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-1192077.71</v>
      </c>
    </row>
    <row r="217" spans="1:1" x14ac:dyDescent="0.25">
      <c r="A217" s="34">
        <v>-1212780.45</v>
      </c>
    </row>
    <row r="218" spans="1:1" x14ac:dyDescent="0.25">
      <c r="A218" s="34">
        <v>-2341603.9</v>
      </c>
    </row>
    <row r="219" spans="1:1" x14ac:dyDescent="0.25">
      <c r="A219" s="34">
        <v>-2327125.085</v>
      </c>
    </row>
    <row r="220" spans="1:1" x14ac:dyDescent="0.25">
      <c r="A220" s="34">
        <v>190540.69</v>
      </c>
    </row>
    <row r="221" spans="1:1" x14ac:dyDescent="0.25">
      <c r="A221" s="34">
        <v>9699641.9949999992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69</v>
      </c>
    </row>
    <row r="233" spans="1:1" x14ac:dyDescent="0.25">
      <c r="A233" s="34">
        <v>-15093011.4068763</v>
      </c>
    </row>
    <row r="234" spans="1:1" x14ac:dyDescent="0.25">
      <c r="A234" s="34">
        <v>-12069959.0531794</v>
      </c>
    </row>
    <row r="235" spans="1:1" x14ac:dyDescent="0.25">
      <c r="A235" s="34">
        <v>151805.8278</v>
      </c>
    </row>
    <row r="236" spans="1:1" x14ac:dyDescent="0.25">
      <c r="A236" s="34">
        <v>151795.78959999999</v>
      </c>
    </row>
    <row r="237" spans="1:1" x14ac:dyDescent="0.25">
      <c r="A237" s="34">
        <v>155834.5552</v>
      </c>
    </row>
    <row r="238" spans="1:1" x14ac:dyDescent="0.25">
      <c r="A238" s="34">
        <v>155842.1312</v>
      </c>
    </row>
    <row r="239" spans="1:1" x14ac:dyDescent="0.25">
      <c r="A239" s="34">
        <v>730927.23</v>
      </c>
    </row>
    <row r="240" spans="1:1" x14ac:dyDescent="0.25">
      <c r="A240" s="34">
        <v>28790419.9765535</v>
      </c>
    </row>
    <row r="241" spans="1:1" x14ac:dyDescent="0.25">
      <c r="A241" s="34">
        <v>0.5</v>
      </c>
    </row>
    <row r="242" spans="1:1" x14ac:dyDescent="0.25">
      <c r="A242" s="34">
        <v>-5279535.5543207303</v>
      </c>
    </row>
    <row r="243" spans="1:1" x14ac:dyDescent="0.25">
      <c r="A243" s="34">
        <v>-5295568.1178024597</v>
      </c>
    </row>
    <row r="244" spans="1:1" x14ac:dyDescent="0.25">
      <c r="A244" s="34">
        <v>39723.599999999999</v>
      </c>
    </row>
    <row r="245" spans="1:1" x14ac:dyDescent="0.25">
      <c r="A245" s="34">
        <v>40260</v>
      </c>
    </row>
    <row r="246" spans="1:1" x14ac:dyDescent="0.25">
      <c r="A246" s="34">
        <v>77433.600000000006</v>
      </c>
    </row>
    <row r="247" spans="1:1" x14ac:dyDescent="0.25">
      <c r="A247" s="34">
        <v>77638.8</v>
      </c>
    </row>
    <row r="248" spans="1:1" x14ac:dyDescent="0.25">
      <c r="A248" s="34">
        <v>484441.62</v>
      </c>
    </row>
    <row r="249" spans="1:1" x14ac:dyDescent="0.25">
      <c r="A249" s="34">
        <v>12662888.3721133</v>
      </c>
    </row>
    <row r="250" spans="1:1" x14ac:dyDescent="0.25">
      <c r="A250" s="34">
        <v>0.5</v>
      </c>
    </row>
    <row r="251" spans="1:1" x14ac:dyDescent="0.25">
      <c r="A251" s="34">
        <v>-5288958.2012792798</v>
      </c>
    </row>
    <row r="252" spans="1:1" x14ac:dyDescent="0.25">
      <c r="A252" s="34">
        <v>-5284457.83258266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238198.23499999999</v>
      </c>
    </row>
    <row r="258" spans="1:1" x14ac:dyDescent="0.25">
      <c r="A258" s="34">
        <v>13161226.8938518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128024.4</v>
      </c>
    </row>
    <row r="263" spans="1:1" x14ac:dyDescent="0.25">
      <c r="A263" s="34">
        <v>127034.4</v>
      </c>
    </row>
    <row r="264" spans="1:1" x14ac:dyDescent="0.25">
      <c r="A264" s="34">
        <v>96295.8</v>
      </c>
    </row>
    <row r="265" spans="1:1" x14ac:dyDescent="0.25">
      <c r="A265" s="34">
        <v>95878.2</v>
      </c>
    </row>
    <row r="266" spans="1:1" x14ac:dyDescent="0.25">
      <c r="A266" s="34">
        <v>190738.821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70</v>
      </c>
    </row>
    <row r="279" spans="1:1" x14ac:dyDescent="0.25">
      <c r="A279" s="34">
        <v>-18577697.365984999</v>
      </c>
    </row>
    <row r="280" spans="1:1" x14ac:dyDescent="0.25">
      <c r="A280" s="34">
        <v>-12938019.8969154</v>
      </c>
    </row>
    <row r="281" spans="1:1" x14ac:dyDescent="0.25">
      <c r="A281" s="34">
        <v>151813.2144</v>
      </c>
    </row>
    <row r="282" spans="1:1" x14ac:dyDescent="0.25">
      <c r="A282" s="34">
        <v>151903.5582</v>
      </c>
    </row>
    <row r="283" spans="1:1" x14ac:dyDescent="0.25">
      <c r="A283" s="34">
        <v>155704.05859999999</v>
      </c>
    </row>
    <row r="284" spans="1:1" x14ac:dyDescent="0.25">
      <c r="A284" s="34">
        <v>155809.9332</v>
      </c>
    </row>
    <row r="285" spans="1:1" x14ac:dyDescent="0.25">
      <c r="A285" s="34">
        <v>731483.75906685903</v>
      </c>
    </row>
    <row r="286" spans="1:1" x14ac:dyDescent="0.25">
      <c r="A286" s="34">
        <v>33011344.712366499</v>
      </c>
    </row>
    <row r="287" spans="1:1" x14ac:dyDescent="0.25">
      <c r="A287" s="34">
        <v>0.5</v>
      </c>
    </row>
    <row r="288" spans="1:1" x14ac:dyDescent="0.25">
      <c r="A288" s="34">
        <v>433963.478225075</v>
      </c>
    </row>
    <row r="289" spans="1:1" x14ac:dyDescent="0.25">
      <c r="A289" s="34">
        <v>433991.65213812602</v>
      </c>
    </row>
    <row r="290" spans="1:1" x14ac:dyDescent="0.25">
      <c r="A290" s="34">
        <v>40504.800000000003</v>
      </c>
    </row>
    <row r="291" spans="1:1" x14ac:dyDescent="0.25">
      <c r="A291" s="34">
        <v>39739.800000000003</v>
      </c>
    </row>
    <row r="292" spans="1:1" x14ac:dyDescent="0.25">
      <c r="A292" s="34">
        <v>77116.800000000003</v>
      </c>
    </row>
    <row r="293" spans="1:1" x14ac:dyDescent="0.25">
      <c r="A293" s="34">
        <v>76774.8</v>
      </c>
    </row>
    <row r="294" spans="1:1" x14ac:dyDescent="0.25">
      <c r="A294" s="34">
        <v>484056.26281814103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434190.74779034598</v>
      </c>
    </row>
    <row r="298" spans="1:1" x14ac:dyDescent="0.25">
      <c r="A298" s="34">
        <v>434027.339094656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237130.84506594201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127228.8</v>
      </c>
    </row>
    <row r="309" spans="1:1" x14ac:dyDescent="0.25">
      <c r="A309" s="34">
        <v>127567.2</v>
      </c>
    </row>
    <row r="310" spans="1:1" x14ac:dyDescent="0.25">
      <c r="A310" s="34">
        <v>96405.6</v>
      </c>
    </row>
    <row r="311" spans="1:1" x14ac:dyDescent="0.25">
      <c r="A311" s="34">
        <v>96254.399999999994</v>
      </c>
    </row>
    <row r="312" spans="1:1" x14ac:dyDescent="0.25">
      <c r="A312" s="34">
        <v>190607.42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71</v>
      </c>
    </row>
    <row r="325" spans="1:1" x14ac:dyDescent="0.25">
      <c r="A325" s="34">
        <v>-31393235.941797901</v>
      </c>
    </row>
    <row r="326" spans="1:1" x14ac:dyDescent="0.25">
      <c r="A326" s="34">
        <v>-21884505.9087203</v>
      </c>
    </row>
    <row r="327" spans="1:1" x14ac:dyDescent="0.25">
      <c r="A327" s="34">
        <v>151893.70939999999</v>
      </c>
    </row>
    <row r="328" spans="1:1" x14ac:dyDescent="0.25">
      <c r="A328" s="34">
        <v>151807.34299999999</v>
      </c>
    </row>
    <row r="329" spans="1:1" x14ac:dyDescent="0.25">
      <c r="A329" s="34">
        <v>155809.9332</v>
      </c>
    </row>
    <row r="330" spans="1:1" x14ac:dyDescent="0.25">
      <c r="A330" s="34">
        <v>155767.69699999999</v>
      </c>
    </row>
    <row r="331" spans="1:1" x14ac:dyDescent="0.25">
      <c r="A331" s="34">
        <v>881608.19531599397</v>
      </c>
    </row>
    <row r="332" spans="1:1" x14ac:dyDescent="0.25">
      <c r="A332" s="34">
        <v>54622976.617805101</v>
      </c>
    </row>
    <row r="333" spans="1:1" x14ac:dyDescent="0.25">
      <c r="A333" s="34">
        <v>0.5</v>
      </c>
    </row>
    <row r="334" spans="1:1" x14ac:dyDescent="0.25">
      <c r="A334" s="34">
        <v>358600.72898040002</v>
      </c>
    </row>
    <row r="335" spans="1:1" x14ac:dyDescent="0.25">
      <c r="A335" s="34">
        <v>358150.670969459</v>
      </c>
    </row>
    <row r="336" spans="1:1" x14ac:dyDescent="0.25">
      <c r="A336" s="34">
        <v>40702.800000000003</v>
      </c>
    </row>
    <row r="337" spans="1:1" x14ac:dyDescent="0.25">
      <c r="A337" s="34">
        <v>39221.4</v>
      </c>
    </row>
    <row r="338" spans="1:1" x14ac:dyDescent="0.25">
      <c r="A338" s="34">
        <v>77215.8</v>
      </c>
    </row>
    <row r="339" spans="1:1" x14ac:dyDescent="0.25">
      <c r="A339" s="34">
        <v>76852.2</v>
      </c>
    </row>
    <row r="340" spans="1:1" x14ac:dyDescent="0.25">
      <c r="A340" s="34">
        <v>634827.78731770802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357922.86382811901</v>
      </c>
    </row>
    <row r="344" spans="1:1" x14ac:dyDescent="0.25">
      <c r="A344" s="34">
        <v>358450.70964342001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388252.73856774898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127729.2</v>
      </c>
    </row>
    <row r="355" spans="1:1" x14ac:dyDescent="0.25">
      <c r="A355" s="34">
        <v>127515</v>
      </c>
    </row>
    <row r="356" spans="1:1" x14ac:dyDescent="0.25">
      <c r="A356" s="34">
        <v>96472.2</v>
      </c>
    </row>
    <row r="357" spans="1:1" x14ac:dyDescent="0.25">
      <c r="A357" s="34">
        <v>95948.4</v>
      </c>
    </row>
    <row r="358" spans="1:1" x14ac:dyDescent="0.25">
      <c r="A358" s="34">
        <v>190494.136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72</v>
      </c>
    </row>
    <row r="371" spans="1:1" x14ac:dyDescent="0.25">
      <c r="A371" s="34">
        <v>-225760.742900104</v>
      </c>
    </row>
    <row r="372" spans="1:1" x14ac:dyDescent="0.25">
      <c r="A372" s="34">
        <v>-75911.224035349194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1030922.1251574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283562.84635536303</v>
      </c>
    </row>
    <row r="381" spans="1:1" x14ac:dyDescent="0.25">
      <c r="A381" s="34">
        <v>284243.27836631401</v>
      </c>
    </row>
    <row r="382" spans="1:1" x14ac:dyDescent="0.25">
      <c r="A382" s="34">
        <v>39203.4</v>
      </c>
    </row>
    <row r="383" spans="1:1" x14ac:dyDescent="0.25">
      <c r="A383" s="34">
        <v>40566</v>
      </c>
    </row>
    <row r="384" spans="1:1" x14ac:dyDescent="0.25">
      <c r="A384" s="34">
        <v>77484</v>
      </c>
    </row>
    <row r="385" spans="1:1" x14ac:dyDescent="0.25">
      <c r="A385" s="34">
        <v>77437.2</v>
      </c>
    </row>
    <row r="386" spans="1:1" x14ac:dyDescent="0.25">
      <c r="A386" s="34">
        <v>783621.68606632203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284651.53757288301</v>
      </c>
    </row>
    <row r="390" spans="1:1" x14ac:dyDescent="0.25">
      <c r="A390" s="34">
        <v>281933.48753995198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538143.15431869298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127403.4</v>
      </c>
    </row>
    <row r="401" spans="1:1" x14ac:dyDescent="0.25">
      <c r="A401" s="34">
        <v>127345.8</v>
      </c>
    </row>
    <row r="402" spans="1:1" x14ac:dyDescent="0.25">
      <c r="A402" s="34">
        <v>96639.6</v>
      </c>
    </row>
    <row r="403" spans="1:1" x14ac:dyDescent="0.25">
      <c r="A403" s="34">
        <v>96124.800000000003</v>
      </c>
    </row>
    <row r="404" spans="1:1" x14ac:dyDescent="0.25">
      <c r="A404" s="34">
        <v>190573.802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73</v>
      </c>
    </row>
    <row r="417" spans="1:1" x14ac:dyDescent="0.25">
      <c r="A417" s="34">
        <v>-635158.29361251905</v>
      </c>
    </row>
    <row r="418" spans="1:1" x14ac:dyDescent="0.25">
      <c r="A418" s="34">
        <v>-404348.39951892599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1769650.8337636199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131083.54980060601</v>
      </c>
    </row>
    <row r="427" spans="1:1" x14ac:dyDescent="0.25">
      <c r="A427" s="34">
        <v>132115.23184945399</v>
      </c>
    </row>
    <row r="428" spans="1:1" x14ac:dyDescent="0.25">
      <c r="A428" s="34">
        <v>39498.6</v>
      </c>
    </row>
    <row r="429" spans="1:1" x14ac:dyDescent="0.25">
      <c r="A429" s="34">
        <v>39937.800000000003</v>
      </c>
    </row>
    <row r="430" spans="1:1" x14ac:dyDescent="0.25">
      <c r="A430" s="34">
        <v>76945.8</v>
      </c>
    </row>
    <row r="431" spans="1:1" x14ac:dyDescent="0.25">
      <c r="A431" s="34">
        <v>77397.600000000006</v>
      </c>
    </row>
    <row r="432" spans="1:1" x14ac:dyDescent="0.25">
      <c r="A432" s="34">
        <v>1088970.4210754801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130482.195023469</v>
      </c>
    </row>
    <row r="436" spans="1:1" x14ac:dyDescent="0.25">
      <c r="A436" s="34">
        <v>130156.691061533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844185.31034565798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127331.4</v>
      </c>
    </row>
    <row r="447" spans="1:1" x14ac:dyDescent="0.25">
      <c r="A447" s="34">
        <v>127615.8</v>
      </c>
    </row>
    <row r="448" spans="1:1" x14ac:dyDescent="0.25">
      <c r="A448" s="34">
        <v>96715.199999999997</v>
      </c>
    </row>
    <row r="449" spans="1:1" x14ac:dyDescent="0.25">
      <c r="A449" s="34">
        <v>96952.8</v>
      </c>
    </row>
    <row r="450" spans="1:1" x14ac:dyDescent="0.25">
      <c r="A450" s="34">
        <v>189946.03899999999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74</v>
      </c>
    </row>
    <row r="463" spans="1:1" x14ac:dyDescent="0.25">
      <c r="A463" s="34">
        <v>-15037038.071211999</v>
      </c>
    </row>
    <row r="464" spans="1:1" x14ac:dyDescent="0.25">
      <c r="A464" s="34">
        <v>-12105329.138404399</v>
      </c>
    </row>
    <row r="465" spans="1:1" x14ac:dyDescent="0.25">
      <c r="A465" s="34">
        <v>151896.55040000001</v>
      </c>
    </row>
    <row r="466" spans="1:1" x14ac:dyDescent="0.25">
      <c r="A466" s="34">
        <v>151780.44820000001</v>
      </c>
    </row>
    <row r="467" spans="1:1" x14ac:dyDescent="0.25">
      <c r="A467" s="34">
        <v>155813.9106</v>
      </c>
    </row>
    <row r="468" spans="1:1" x14ac:dyDescent="0.25">
      <c r="A468" s="34">
        <v>155778.114</v>
      </c>
    </row>
    <row r="469" spans="1:1" x14ac:dyDescent="0.25">
      <c r="A469" s="34">
        <v>730681.46499999997</v>
      </c>
    </row>
    <row r="470" spans="1:1" x14ac:dyDescent="0.25">
      <c r="A470" s="34">
        <v>28770093.926713701</v>
      </c>
    </row>
    <row r="471" spans="1:1" x14ac:dyDescent="0.25">
      <c r="A471" s="34">
        <v>0.5</v>
      </c>
    </row>
    <row r="472" spans="1:1" x14ac:dyDescent="0.25">
      <c r="A472" s="34">
        <v>-5266175.0847526202</v>
      </c>
    </row>
    <row r="473" spans="1:1" x14ac:dyDescent="0.25">
      <c r="A473" s="34">
        <v>-5287481.5178007102</v>
      </c>
    </row>
    <row r="474" spans="1:1" x14ac:dyDescent="0.25">
      <c r="A474" s="34">
        <v>-21205.5</v>
      </c>
    </row>
    <row r="475" spans="1:1" x14ac:dyDescent="0.25">
      <c r="A475" s="34">
        <v>-22039.8</v>
      </c>
    </row>
    <row r="476" spans="1:1" x14ac:dyDescent="0.25">
      <c r="A476" s="34">
        <v>32972.699999999997</v>
      </c>
    </row>
    <row r="477" spans="1:1" x14ac:dyDescent="0.25">
      <c r="A477" s="34">
        <v>33699</v>
      </c>
    </row>
    <row r="478" spans="1:1" x14ac:dyDescent="0.25">
      <c r="A478" s="34">
        <v>696009.13199999998</v>
      </c>
    </row>
    <row r="479" spans="1:1" x14ac:dyDescent="0.25">
      <c r="A479" s="34">
        <v>12641773.752543399</v>
      </c>
    </row>
    <row r="480" spans="1:1" x14ac:dyDescent="0.25">
      <c r="A480" s="34">
        <v>0.5</v>
      </c>
    </row>
    <row r="481" spans="1:1" x14ac:dyDescent="0.25">
      <c r="A481" s="34">
        <v>-5260198.0325774197</v>
      </c>
    </row>
    <row r="482" spans="1:1" x14ac:dyDescent="0.25">
      <c r="A482" s="34">
        <v>-5294935.2534544896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237927.66500000001</v>
      </c>
    </row>
    <row r="488" spans="1:1" x14ac:dyDescent="0.25">
      <c r="A488" s="34">
        <v>13143227.5460217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109212.6</v>
      </c>
    </row>
    <row r="493" spans="1:1" x14ac:dyDescent="0.25">
      <c r="A493" s="34">
        <v>108613.2</v>
      </c>
    </row>
    <row r="494" spans="1:1" x14ac:dyDescent="0.25">
      <c r="A494" s="34">
        <v>60852.9</v>
      </c>
    </row>
    <row r="495" spans="1:1" x14ac:dyDescent="0.25">
      <c r="A495" s="34">
        <v>61627.8</v>
      </c>
    </row>
    <row r="496" spans="1:1" x14ac:dyDescent="0.25">
      <c r="A496" s="34">
        <v>297512.60125000001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75</v>
      </c>
    </row>
    <row r="509" spans="1:1" x14ac:dyDescent="0.25">
      <c r="A509" s="34">
        <v>-18646290.6025226</v>
      </c>
    </row>
    <row r="510" spans="1:1" x14ac:dyDescent="0.25">
      <c r="A510" s="34">
        <v>-12903043.049951101</v>
      </c>
    </row>
    <row r="511" spans="1:1" x14ac:dyDescent="0.25">
      <c r="A511" s="34">
        <v>151823.63140000001</v>
      </c>
    </row>
    <row r="512" spans="1:1" x14ac:dyDescent="0.25">
      <c r="A512" s="34">
        <v>151797.11540000001</v>
      </c>
    </row>
    <row r="513" spans="1:1" x14ac:dyDescent="0.25">
      <c r="A513" s="34">
        <v>155809.9332</v>
      </c>
    </row>
    <row r="514" spans="1:1" x14ac:dyDescent="0.25">
      <c r="A514" s="34">
        <v>155753.11319999999</v>
      </c>
    </row>
    <row r="515" spans="1:1" x14ac:dyDescent="0.25">
      <c r="A515" s="34">
        <v>731785.89806677995</v>
      </c>
    </row>
    <row r="516" spans="1:1" x14ac:dyDescent="0.25">
      <c r="A516" s="34">
        <v>33044836.100965299</v>
      </c>
    </row>
    <row r="517" spans="1:1" x14ac:dyDescent="0.25">
      <c r="A517" s="34">
        <v>0.5</v>
      </c>
    </row>
    <row r="518" spans="1:1" x14ac:dyDescent="0.25">
      <c r="A518" s="34">
        <v>432945.46083353797</v>
      </c>
    </row>
    <row r="519" spans="1:1" x14ac:dyDescent="0.25">
      <c r="A519" s="34">
        <v>433912.76518158597</v>
      </c>
    </row>
    <row r="520" spans="1:1" x14ac:dyDescent="0.25">
      <c r="A520" s="34">
        <v>-23967.599999999999</v>
      </c>
    </row>
    <row r="521" spans="1:1" x14ac:dyDescent="0.25">
      <c r="A521" s="34">
        <v>-22037.1</v>
      </c>
    </row>
    <row r="522" spans="1:1" x14ac:dyDescent="0.25">
      <c r="A522" s="34">
        <v>34465.800000000003</v>
      </c>
    </row>
    <row r="523" spans="1:1" x14ac:dyDescent="0.25">
      <c r="A523" s="34">
        <v>34368.6</v>
      </c>
    </row>
    <row r="524" spans="1:1" x14ac:dyDescent="0.25">
      <c r="A524" s="34">
        <v>696424.31631712103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433221.56518142699</v>
      </c>
    </row>
    <row r="528" spans="1:1" x14ac:dyDescent="0.25">
      <c r="A528" s="34">
        <v>434066.78257292497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237644.90006613801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108834.6</v>
      </c>
    </row>
    <row r="539" spans="1:1" x14ac:dyDescent="0.25">
      <c r="A539" s="34">
        <v>109231.5</v>
      </c>
    </row>
    <row r="540" spans="1:1" x14ac:dyDescent="0.25">
      <c r="A540" s="34">
        <v>62621.4</v>
      </c>
    </row>
    <row r="541" spans="1:1" x14ac:dyDescent="0.25">
      <c r="A541" s="34">
        <v>61984.2</v>
      </c>
    </row>
    <row r="542" spans="1:1" x14ac:dyDescent="0.25">
      <c r="A542" s="34">
        <v>295823.92725000001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76</v>
      </c>
    </row>
    <row r="555" spans="1:1" x14ac:dyDescent="0.25">
      <c r="A555" s="34">
        <v>-31356655.319060002</v>
      </c>
    </row>
    <row r="556" spans="1:1" x14ac:dyDescent="0.25">
      <c r="A556" s="34">
        <v>-21971445.0577503</v>
      </c>
    </row>
    <row r="557" spans="1:1" x14ac:dyDescent="0.25">
      <c r="A557" s="34">
        <v>151818.8964</v>
      </c>
    </row>
    <row r="558" spans="1:1" x14ac:dyDescent="0.25">
      <c r="A558" s="34">
        <v>151912.27059999999</v>
      </c>
    </row>
    <row r="559" spans="1:1" x14ac:dyDescent="0.25">
      <c r="A559" s="34">
        <v>155766.5606</v>
      </c>
    </row>
    <row r="560" spans="1:1" x14ac:dyDescent="0.25">
      <c r="A560" s="34">
        <v>155737.77179999999</v>
      </c>
    </row>
    <row r="561" spans="1:1" x14ac:dyDescent="0.25">
      <c r="A561" s="34">
        <v>880839.91031572095</v>
      </c>
    </row>
    <row r="562" spans="1:1" x14ac:dyDescent="0.25">
      <c r="A562" s="34">
        <v>54674668.414251901</v>
      </c>
    </row>
    <row r="563" spans="1:1" x14ac:dyDescent="0.25">
      <c r="A563" s="34">
        <v>0.5</v>
      </c>
    </row>
    <row r="564" spans="1:1" x14ac:dyDescent="0.25">
      <c r="A564" s="34">
        <v>359034.11817611899</v>
      </c>
    </row>
    <row r="565" spans="1:1" x14ac:dyDescent="0.25">
      <c r="A565" s="34">
        <v>358439.59709993901</v>
      </c>
    </row>
    <row r="566" spans="1:1" x14ac:dyDescent="0.25">
      <c r="A566" s="34">
        <v>-22744.5</v>
      </c>
    </row>
    <row r="567" spans="1:1" x14ac:dyDescent="0.25">
      <c r="A567" s="34">
        <v>-22623</v>
      </c>
    </row>
    <row r="568" spans="1:1" x14ac:dyDescent="0.25">
      <c r="A568" s="34">
        <v>33412.800000000003</v>
      </c>
    </row>
    <row r="569" spans="1:1" x14ac:dyDescent="0.25">
      <c r="A569" s="34">
        <v>33615.300000000003</v>
      </c>
    </row>
    <row r="570" spans="1:1" x14ac:dyDescent="0.25">
      <c r="A570" s="34">
        <v>846842.777565939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358514.60676842701</v>
      </c>
    </row>
    <row r="574" spans="1:1" x14ac:dyDescent="0.25">
      <c r="A574" s="34">
        <v>357945.08891508001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388200.291442735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108799.5</v>
      </c>
    </row>
    <row r="585" spans="1:1" x14ac:dyDescent="0.25">
      <c r="A585" s="34">
        <v>108615.9</v>
      </c>
    </row>
    <row r="586" spans="1:1" x14ac:dyDescent="0.25">
      <c r="A586" s="34">
        <v>61968</v>
      </c>
    </row>
    <row r="587" spans="1:1" x14ac:dyDescent="0.25">
      <c r="A587" s="34">
        <v>61992.3</v>
      </c>
    </row>
    <row r="588" spans="1:1" x14ac:dyDescent="0.25">
      <c r="A588" s="34">
        <v>296744.42225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77</v>
      </c>
    </row>
    <row r="601" spans="1:1" x14ac:dyDescent="0.25">
      <c r="A601" s="34">
        <v>-225109.734976123</v>
      </c>
    </row>
    <row r="602" spans="1:1" x14ac:dyDescent="0.25">
      <c r="A602" s="34">
        <v>-77452.310589867906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1031732.15390749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282018.08178996597</v>
      </c>
    </row>
    <row r="611" spans="1:1" x14ac:dyDescent="0.25">
      <c r="A611" s="34">
        <v>282161.52421389602</v>
      </c>
    </row>
    <row r="612" spans="1:1" x14ac:dyDescent="0.25">
      <c r="A612" s="34">
        <v>-21777.9</v>
      </c>
    </row>
    <row r="613" spans="1:1" x14ac:dyDescent="0.25">
      <c r="A613" s="34">
        <v>-22002</v>
      </c>
    </row>
    <row r="614" spans="1:1" x14ac:dyDescent="0.25">
      <c r="A614" s="34">
        <v>33836.699999999997</v>
      </c>
    </row>
    <row r="615" spans="1:1" x14ac:dyDescent="0.25">
      <c r="A615" s="34">
        <v>34050</v>
      </c>
    </row>
    <row r="616" spans="1:1" x14ac:dyDescent="0.25">
      <c r="A616" s="34">
        <v>997616.29381555796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280760.202072424</v>
      </c>
    </row>
    <row r="620" spans="1:1" x14ac:dyDescent="0.25">
      <c r="A620" s="34">
        <v>284802.336018553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538936.86781881202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108605.1</v>
      </c>
    </row>
    <row r="631" spans="1:1" x14ac:dyDescent="0.25">
      <c r="A631" s="34">
        <v>108937.2</v>
      </c>
    </row>
    <row r="632" spans="1:1" x14ac:dyDescent="0.25">
      <c r="A632" s="34">
        <v>62229.9</v>
      </c>
    </row>
    <row r="633" spans="1:1" x14ac:dyDescent="0.25">
      <c r="A633" s="34">
        <v>61824.9</v>
      </c>
    </row>
    <row r="634" spans="1:1" x14ac:dyDescent="0.25">
      <c r="A634" s="34">
        <v>296587.31675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78</v>
      </c>
    </row>
    <row r="647" spans="1:1" x14ac:dyDescent="0.25">
      <c r="A647" s="34">
        <v>-639345.70898720506</v>
      </c>
    </row>
    <row r="648" spans="1:1" x14ac:dyDescent="0.25">
      <c r="A648" s="34">
        <v>-404844.930986299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1773054.23162737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131866.96611577299</v>
      </c>
    </row>
    <row r="657" spans="1:1" x14ac:dyDescent="0.25">
      <c r="A657" s="34">
        <v>127822.993164942</v>
      </c>
    </row>
    <row r="658" spans="1:1" x14ac:dyDescent="0.25">
      <c r="A658" s="34">
        <v>-22720.2</v>
      </c>
    </row>
    <row r="659" spans="1:1" x14ac:dyDescent="0.25">
      <c r="A659" s="34">
        <v>-23357.4</v>
      </c>
    </row>
    <row r="660" spans="1:1" x14ac:dyDescent="0.25">
      <c r="A660" s="34">
        <v>33145.5</v>
      </c>
    </row>
    <row r="661" spans="1:1" x14ac:dyDescent="0.25">
      <c r="A661" s="34">
        <v>33955.5</v>
      </c>
    </row>
    <row r="662" spans="1:1" x14ac:dyDescent="0.25">
      <c r="A662" s="34">
        <v>1304805.01277937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131701.455626654</v>
      </c>
    </row>
    <row r="666" spans="1:1" x14ac:dyDescent="0.25">
      <c r="A666" s="34">
        <v>131684.90457774201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841870.40713930398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109290.9</v>
      </c>
    </row>
    <row r="677" spans="1:1" x14ac:dyDescent="0.25">
      <c r="A677" s="34">
        <v>108489</v>
      </c>
    </row>
    <row r="678" spans="1:1" x14ac:dyDescent="0.25">
      <c r="A678" s="34">
        <v>62408.1</v>
      </c>
    </row>
    <row r="679" spans="1:1" x14ac:dyDescent="0.25">
      <c r="A679" s="34">
        <v>61976.1</v>
      </c>
    </row>
    <row r="680" spans="1:1" x14ac:dyDescent="0.25">
      <c r="A680" s="34">
        <v>296184.16424999997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sqref="A1:J5"/>
    </sheetView>
  </sheetViews>
  <sheetFormatPr defaultRowHeight="15.75" x14ac:dyDescent="0.25"/>
  <cols>
    <col min="1" max="1" width="7.140625" style="74" bestFit="1" customWidth="1"/>
    <col min="2" max="2" width="18.140625" style="74" bestFit="1" customWidth="1"/>
    <col min="3" max="3" width="19.42578125" style="74" bestFit="1" customWidth="1"/>
    <col min="4" max="4" width="13.140625" style="74" bestFit="1" customWidth="1"/>
    <col min="5" max="5" width="14.140625" style="74" bestFit="1" customWidth="1"/>
    <col min="6" max="6" width="14.5703125" style="74" bestFit="1" customWidth="1"/>
    <col min="7" max="7" width="13.7109375" style="74" bestFit="1" customWidth="1"/>
    <col min="8" max="8" width="13.28515625" style="74" bestFit="1" customWidth="1"/>
    <col min="9" max="9" width="3" style="74" bestFit="1" customWidth="1"/>
    <col min="10" max="10" width="13.140625" style="74" bestFit="1" customWidth="1"/>
    <col min="11" max="11" width="12.140625" style="74" bestFit="1" customWidth="1"/>
    <col min="12" max="12" width="8" style="74" bestFit="1" customWidth="1"/>
    <col min="13" max="13" width="10.28515625" style="74" bestFit="1" customWidth="1"/>
    <col min="14" max="14" width="7.85546875" style="74" bestFit="1" customWidth="1"/>
    <col min="15" max="16" width="6.7109375" style="74" bestFit="1" customWidth="1"/>
    <col min="17" max="17" width="10.7109375" style="74" bestFit="1" customWidth="1"/>
    <col min="18" max="18" width="8.28515625" style="74" bestFit="1" customWidth="1"/>
    <col min="19" max="19" width="7.85546875" style="74" bestFit="1" customWidth="1"/>
    <col min="20" max="20" width="9" style="74" bestFit="1" customWidth="1"/>
    <col min="21" max="21" width="10.140625" style="74" bestFit="1" customWidth="1"/>
    <col min="22" max="16384" width="9.140625" style="74"/>
  </cols>
  <sheetData>
    <row r="1" spans="1:11" x14ac:dyDescent="0.25">
      <c r="A1" s="105" t="s">
        <v>137</v>
      </c>
      <c r="B1" s="105" t="s">
        <v>147</v>
      </c>
      <c r="C1" s="108" t="s">
        <v>148</v>
      </c>
      <c r="D1" s="105" t="s">
        <v>149</v>
      </c>
      <c r="E1" s="105" t="s">
        <v>150</v>
      </c>
      <c r="F1" s="105" t="s">
        <v>280</v>
      </c>
      <c r="G1" s="108" t="s">
        <v>283</v>
      </c>
      <c r="H1" s="108" t="s">
        <v>281</v>
      </c>
      <c r="I1" s="105" t="s">
        <v>145</v>
      </c>
      <c r="J1" s="105" t="s">
        <v>282</v>
      </c>
    </row>
    <row r="2" spans="1:11" x14ac:dyDescent="0.25">
      <c r="A2" s="105" t="s">
        <v>27</v>
      </c>
      <c r="B2" s="116">
        <f>settings_!B2</f>
        <v>40000</v>
      </c>
      <c r="C2" s="117">
        <f>settings_!C2</f>
        <v>5000</v>
      </c>
      <c r="D2" s="117">
        <f>settings_!B3</f>
        <v>75000</v>
      </c>
      <c r="E2" s="117">
        <f>settings_!C3</f>
        <v>11250</v>
      </c>
      <c r="F2" s="117">
        <f>settings_!H4</f>
        <v>131251</v>
      </c>
      <c r="G2" s="117">
        <f>settings_!H3</f>
        <v>86251</v>
      </c>
      <c r="H2" s="117">
        <f>settings_!H2</f>
        <v>45001</v>
      </c>
      <c r="I2" s="117" t="s">
        <v>146</v>
      </c>
      <c r="J2" s="117" t="s">
        <v>146</v>
      </c>
    </row>
    <row r="3" spans="1:11" x14ac:dyDescent="0.25">
      <c r="A3" s="103">
        <v>1</v>
      </c>
      <c r="B3" s="118">
        <f>settings_!B7</f>
        <v>60000</v>
      </c>
      <c r="C3" s="119">
        <f>settings_!C7</f>
        <v>20000</v>
      </c>
      <c r="D3" s="119">
        <f>settings_!B8</f>
        <v>875000</v>
      </c>
      <c r="E3" s="119">
        <f>settings_!C8</f>
        <v>429615.38461538474</v>
      </c>
      <c r="F3" s="119">
        <f>settings_!H9</f>
        <v>1384616.3846153847</v>
      </c>
      <c r="G3" s="119">
        <f>settings_!G8</f>
        <v>1304615.3846153847</v>
      </c>
      <c r="H3" s="119">
        <f>settings_!G7</f>
        <v>80000</v>
      </c>
      <c r="I3" s="117" t="s">
        <v>131</v>
      </c>
      <c r="J3" s="117">
        <f>settings_!I9</f>
        <v>1384615.3846153847</v>
      </c>
      <c r="K3" s="74" t="b">
        <f>F3=J3</f>
        <v>0</v>
      </c>
    </row>
    <row r="4" spans="1:11" x14ac:dyDescent="0.25">
      <c r="A4" s="103">
        <v>2</v>
      </c>
      <c r="B4" s="119">
        <f>settings_!B12</f>
        <v>60000</v>
      </c>
      <c r="C4" s="119">
        <f>settings_!C12</f>
        <v>20000</v>
      </c>
      <c r="D4" s="119">
        <f>settings_!B13</f>
        <v>2000000</v>
      </c>
      <c r="E4" s="119">
        <f>settings_!C13</f>
        <v>1000000</v>
      </c>
      <c r="F4" s="119">
        <f>settings_!G14</f>
        <v>3080000</v>
      </c>
      <c r="G4" s="119">
        <f>settings_!G13</f>
        <v>3000000</v>
      </c>
      <c r="H4" s="119">
        <f>settings_!G12</f>
        <v>80000</v>
      </c>
      <c r="I4" s="117" t="s">
        <v>63</v>
      </c>
      <c r="J4" s="117">
        <f>settings_!I13</f>
        <v>3000000</v>
      </c>
      <c r="K4" s="74" t="b">
        <f>J4=G4</f>
        <v>1</v>
      </c>
    </row>
    <row r="5" spans="1:11" x14ac:dyDescent="0.25">
      <c r="A5" s="105">
        <v>3</v>
      </c>
      <c r="B5" s="117">
        <f>settings_!B17</f>
        <v>2000000</v>
      </c>
      <c r="C5" s="117">
        <f>settings_!C17</f>
        <v>999999.97600000026</v>
      </c>
      <c r="D5" s="117">
        <f>settings_!B18</f>
        <v>3250000</v>
      </c>
      <c r="E5" s="117">
        <f>settings_!C18</f>
        <v>2500000</v>
      </c>
      <c r="F5" s="117">
        <f>settings_!G19</f>
        <v>8749999.9759999998</v>
      </c>
      <c r="G5" s="117">
        <f>settings_!G18</f>
        <v>5750000</v>
      </c>
      <c r="H5" s="117">
        <f>settings_!G17</f>
        <v>2999999.9760000003</v>
      </c>
      <c r="I5" s="117" t="s">
        <v>130</v>
      </c>
      <c r="J5" s="117">
        <f>settings_!I17</f>
        <v>2999999.9760000003</v>
      </c>
      <c r="K5" s="74" t="b">
        <f>J5=H5</f>
        <v>1</v>
      </c>
    </row>
    <row r="6" spans="1:11" x14ac:dyDescent="0.25">
      <c r="A6" s="104"/>
      <c r="B6" s="104"/>
      <c r="C6" s="104"/>
      <c r="D6" s="107"/>
      <c r="E6" s="104"/>
      <c r="F6" s="104"/>
      <c r="G6" s="104"/>
      <c r="H6" s="107"/>
      <c r="I6" s="107"/>
    </row>
    <row r="7" spans="1:11" x14ac:dyDescent="0.25">
      <c r="A7" s="103" t="s">
        <v>284</v>
      </c>
      <c r="B7" s="98" t="str">
        <f>B1</f>
        <v>$R(S_{\{1,2\},i})$</v>
      </c>
      <c r="C7" s="98" t="str">
        <f t="shared" ref="C7:J7" si="0">C1</f>
        <v>$Cu(S_{\{1,2\},i})$</v>
      </c>
      <c r="D7" s="98" t="str">
        <f t="shared" si="0"/>
        <v>$R(S_{3,i})$</v>
      </c>
      <c r="E7" s="98" t="str">
        <f t="shared" si="0"/>
        <v>$Cu(S_{3,i})$</v>
      </c>
      <c r="F7" s="98" t="str">
        <f t="shared" si="0"/>
        <v xml:space="preserve">$B_{suff-ch}$ </v>
      </c>
      <c r="G7" s="98" t="str">
        <f t="shared" si="0"/>
        <v>$B_{suff-b}$</v>
      </c>
      <c r="H7" s="98" t="str">
        <f t="shared" si="0"/>
        <v>$B_{suff-s}$</v>
      </c>
      <c r="I7" s="98" t="str">
        <f t="shared" si="0"/>
        <v>T</v>
      </c>
      <c r="J7" s="98" t="str">
        <f t="shared" si="0"/>
        <v>$B_{optT}$</v>
      </c>
    </row>
    <row r="8" spans="1:11" x14ac:dyDescent="0.25">
      <c r="A8" s="103" t="s">
        <v>27</v>
      </c>
      <c r="B8" s="120">
        <f>settings_top1!B2</f>
        <v>40000</v>
      </c>
      <c r="C8" s="121">
        <f>settings_top1!C2</f>
        <v>5000</v>
      </c>
      <c r="D8" s="120">
        <f>settings_top1!B3</f>
        <v>75000</v>
      </c>
      <c r="E8" s="120">
        <f>settings_top1!C3</f>
        <v>11250</v>
      </c>
      <c r="F8" s="120">
        <f>settings_top1!H4</f>
        <v>131251</v>
      </c>
      <c r="G8" s="120">
        <f>settings_top1!H3</f>
        <v>86251</v>
      </c>
      <c r="H8" s="120">
        <f>settings_top1!H2</f>
        <v>45001</v>
      </c>
      <c r="I8" s="120" t="str">
        <f t="shared" ref="C8:J8" si="1">I2</f>
        <v>-</v>
      </c>
      <c r="J8" s="120" t="str">
        <f t="shared" si="1"/>
        <v>-</v>
      </c>
    </row>
    <row r="9" spans="1:11" x14ac:dyDescent="0.25">
      <c r="A9" s="103">
        <v>1</v>
      </c>
      <c r="B9" s="121">
        <f>settings_top1!B7</f>
        <v>70000</v>
      </c>
      <c r="C9" s="121">
        <f>settings_top1!C7</f>
        <v>35000</v>
      </c>
      <c r="D9" s="121">
        <f>settings_top1!B8</f>
        <v>270000</v>
      </c>
      <c r="E9" s="121">
        <f>settings_top1!C8</f>
        <v>124999</v>
      </c>
      <c r="F9" s="121">
        <f>settings_top1!H9</f>
        <v>500000</v>
      </c>
      <c r="G9" s="121">
        <f>settings_top1!H8</f>
        <v>395000</v>
      </c>
      <c r="H9" s="121">
        <f>settings_top1!H7</f>
        <v>105001</v>
      </c>
      <c r="I9" s="122" t="str">
        <f>I3</f>
        <v>ch</v>
      </c>
      <c r="J9" s="122">
        <f>settings_top1!I9</f>
        <v>500000</v>
      </c>
      <c r="K9" s="74" t="b">
        <f>F9=J9</f>
        <v>1</v>
      </c>
    </row>
    <row r="10" spans="1:11" x14ac:dyDescent="0.25">
      <c r="A10" s="105">
        <v>2</v>
      </c>
      <c r="B10" s="122">
        <f>settings_top1!B12</f>
        <v>0</v>
      </c>
      <c r="C10" s="122">
        <f>settings_top1!C12</f>
        <v>0</v>
      </c>
      <c r="D10" s="122">
        <f>settings_top1!B13</f>
        <v>300000</v>
      </c>
      <c r="E10" s="122">
        <f>settings_top1!C13</f>
        <v>199999</v>
      </c>
      <c r="F10" s="122">
        <f>settings_top1!H14</f>
        <v>500000</v>
      </c>
      <c r="G10" s="122">
        <f>settings_top1!H13</f>
        <v>500000</v>
      </c>
      <c r="H10" s="122">
        <f>settings_top1!H12</f>
        <v>1</v>
      </c>
      <c r="I10" s="122" t="str">
        <f t="shared" ref="I10:I11" si="2">I4</f>
        <v>b</v>
      </c>
      <c r="J10" s="122">
        <f>settings_top1!I13</f>
        <v>500000</v>
      </c>
      <c r="K10" s="74" t="b">
        <f>J10=G10</f>
        <v>1</v>
      </c>
    </row>
    <row r="11" spans="1:11" x14ac:dyDescent="0.25">
      <c r="A11" s="103">
        <v>3</v>
      </c>
      <c r="B11" s="121">
        <f>settings_top1!B17</f>
        <v>85000</v>
      </c>
      <c r="C11" s="121">
        <f>settings_top1!C17</f>
        <v>39999</v>
      </c>
      <c r="D11" s="123">
        <f>settings_top1!B18</f>
        <v>250000</v>
      </c>
      <c r="E11" s="123">
        <f>settings_top1!C18</f>
        <v>125000</v>
      </c>
      <c r="F11" s="121">
        <f>settings_top1!H19</f>
        <v>500000</v>
      </c>
      <c r="G11" s="121">
        <f>settings_top1!H18</f>
        <v>375001</v>
      </c>
      <c r="H11" s="123">
        <f>settings_top1!H17</f>
        <v>125000</v>
      </c>
      <c r="I11" s="122" t="str">
        <f t="shared" si="2"/>
        <v>s</v>
      </c>
      <c r="J11" s="122">
        <f>settings_top1!I17</f>
        <v>125000</v>
      </c>
      <c r="K11" s="74" t="b">
        <f>J11=H11</f>
        <v>1</v>
      </c>
    </row>
    <row r="12" spans="1:11" x14ac:dyDescent="0.25">
      <c r="A12" s="104"/>
      <c r="B12" s="106"/>
      <c r="C12" s="104"/>
      <c r="D12" s="104"/>
      <c r="E12" s="104"/>
      <c r="F12" s="104"/>
      <c r="G12" s="104"/>
      <c r="H12" s="104"/>
    </row>
    <row r="13" spans="1:11" x14ac:dyDescent="0.25">
      <c r="A13" s="104"/>
      <c r="B13" s="106"/>
      <c r="C13" s="104"/>
      <c r="D13" s="104"/>
      <c r="E13" s="104"/>
      <c r="F13" s="104"/>
      <c r="G13" s="104"/>
      <c r="H13" s="104"/>
    </row>
    <row r="14" spans="1:11" x14ac:dyDescent="0.25">
      <c r="A14" s="104"/>
      <c r="B14" s="104"/>
      <c r="C14" s="104"/>
      <c r="D14" s="104"/>
      <c r="E14" s="104"/>
      <c r="F14" s="104"/>
      <c r="G14" s="104"/>
      <c r="H14" s="104"/>
    </row>
    <row r="16" spans="1:11" x14ac:dyDescent="0.25">
      <c r="A16" s="104"/>
      <c r="B16" s="104"/>
      <c r="C16" s="104"/>
      <c r="D16" s="107"/>
      <c r="E16" s="104"/>
      <c r="F16" s="104"/>
      <c r="G16" s="104"/>
      <c r="H16" s="107"/>
      <c r="I16" s="107"/>
    </row>
    <row r="17" spans="1:21" x14ac:dyDescent="0.25">
      <c r="A17" s="104"/>
      <c r="B17" s="106"/>
      <c r="C17" s="104"/>
      <c r="D17" s="104"/>
      <c r="E17" s="104"/>
      <c r="F17" s="104"/>
      <c r="G17" s="104"/>
      <c r="H17" s="104"/>
    </row>
    <row r="18" spans="1:21" x14ac:dyDescent="0.25">
      <c r="A18" s="104"/>
      <c r="B18" s="106"/>
      <c r="C18" s="104"/>
      <c r="D18" s="104"/>
      <c r="E18" s="104"/>
      <c r="F18" s="104"/>
      <c r="G18" s="104"/>
      <c r="H18" s="104"/>
    </row>
    <row r="19" spans="1:21" x14ac:dyDescent="0.25">
      <c r="F19" s="104"/>
      <c r="G19" s="104"/>
      <c r="H19" s="104"/>
    </row>
    <row r="21" spans="1:21" x14ac:dyDescent="0.25">
      <c r="A21" s="104"/>
      <c r="B21" s="104"/>
      <c r="C21" s="104"/>
      <c r="D21" s="107"/>
      <c r="E21" s="104"/>
      <c r="F21" s="104"/>
      <c r="G21" s="104"/>
      <c r="H21" s="107"/>
      <c r="I21" s="107"/>
    </row>
    <row r="22" spans="1:21" x14ac:dyDescent="0.25">
      <c r="A22" s="104"/>
      <c r="B22" s="106"/>
      <c r="C22" s="104"/>
      <c r="D22" s="104"/>
      <c r="F22" s="104"/>
      <c r="G22" s="104"/>
      <c r="H22" s="104"/>
    </row>
    <row r="23" spans="1:21" x14ac:dyDescent="0.25">
      <c r="A23" s="104"/>
      <c r="B23" s="106"/>
      <c r="C23" s="104"/>
      <c r="D23" s="104"/>
      <c r="F23" s="104"/>
      <c r="G23" s="104"/>
      <c r="H23" s="104"/>
    </row>
    <row r="24" spans="1:21" x14ac:dyDescent="0.25">
      <c r="F24" s="104"/>
      <c r="G24" s="104"/>
      <c r="H24" s="104"/>
    </row>
    <row r="30" spans="1:21" x14ac:dyDescent="0.25">
      <c r="L30" s="109"/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1" x14ac:dyDescent="0.25">
      <c r="L31" s="109"/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21" x14ac:dyDescent="0.25">
      <c r="L32" s="109"/>
      <c r="M32" s="109"/>
      <c r="N32" s="109"/>
      <c r="O32" s="109"/>
      <c r="P32" s="109"/>
      <c r="Q32" s="109"/>
      <c r="R32" s="109"/>
      <c r="S32" s="109"/>
      <c r="T32" s="109"/>
      <c r="U32" s="109"/>
    </row>
    <row r="33" spans="12:21" x14ac:dyDescent="0.25">
      <c r="L33" s="109"/>
      <c r="M33" s="109"/>
      <c r="N33" s="109"/>
      <c r="O33" s="109"/>
      <c r="P33" s="109"/>
      <c r="Q33" s="109"/>
      <c r="R33" s="109"/>
      <c r="S33" s="109"/>
      <c r="T33" s="109"/>
      <c r="U33" s="109"/>
    </row>
    <row r="36" spans="12:21" x14ac:dyDescent="0.25">
      <c r="L36" s="109"/>
      <c r="M36" s="109"/>
      <c r="N36" s="109"/>
      <c r="O36" s="109"/>
      <c r="P36" s="109"/>
      <c r="Q36" s="109"/>
      <c r="R36" s="109"/>
    </row>
    <row r="37" spans="12:21" x14ac:dyDescent="0.25">
      <c r="L37" s="109"/>
      <c r="M37" s="109"/>
      <c r="N37" s="109"/>
      <c r="O37" s="109"/>
      <c r="P37" s="109"/>
      <c r="Q37" s="109"/>
      <c r="R37" s="10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8"/>
  <sheetViews>
    <sheetView zoomScale="85" zoomScaleNormal="85" workbookViewId="0">
      <selection activeCell="M21" sqref="M21"/>
    </sheetView>
  </sheetViews>
  <sheetFormatPr defaultRowHeight="15" x14ac:dyDescent="0.25"/>
  <cols>
    <col min="1" max="1" width="7.85546875" style="4" bestFit="1" customWidth="1"/>
    <col min="2" max="2" width="8.7109375" style="4" bestFit="1" customWidth="1"/>
    <col min="3" max="3" width="10.42578125" style="4" bestFit="1" customWidth="1"/>
    <col min="4" max="4" width="6.140625" style="4" bestFit="1" customWidth="1"/>
    <col min="5" max="5" width="14.28515625" style="4" bestFit="1" customWidth="1"/>
    <col min="6" max="6" width="5.7109375" style="4" bestFit="1" customWidth="1"/>
    <col min="7" max="7" width="10.42578125" style="4" bestFit="1" customWidth="1"/>
    <col min="8" max="8" width="10.85546875" style="4" bestFit="1" customWidth="1"/>
    <col min="9" max="9" width="10.42578125" style="4" bestFit="1" customWidth="1"/>
    <col min="10" max="10" width="12" style="4" bestFit="1" customWidth="1"/>
    <col min="11" max="12" width="12.42578125" style="4" bestFit="1" customWidth="1"/>
    <col min="13" max="13" width="12" style="4" bestFit="1" customWidth="1"/>
    <col min="14" max="14" width="7.140625" style="4" bestFit="1" customWidth="1"/>
    <col min="15" max="15" width="12" style="4" bestFit="1" customWidth="1"/>
    <col min="16" max="16" width="11" style="4" bestFit="1" customWidth="1"/>
    <col min="17" max="17" width="11.7109375" style="4" bestFit="1" customWidth="1"/>
    <col min="18" max="18" width="12.85546875" style="4" bestFit="1" customWidth="1"/>
    <col min="19" max="20" width="12.42578125" style="4" bestFit="1" customWidth="1"/>
    <col min="21" max="21" width="12.28515625" style="4" bestFit="1" customWidth="1"/>
    <col min="22" max="23" width="14" style="4" bestFit="1" customWidth="1"/>
    <col min="24" max="25" width="10.7109375" style="4" bestFit="1" customWidth="1"/>
    <col min="26" max="26" width="12.7109375" style="4" bestFit="1" customWidth="1"/>
    <col min="27" max="27" width="12" style="4" bestFit="1" customWidth="1"/>
    <col min="28" max="28" width="9.28515625" style="4" bestFit="1" customWidth="1"/>
    <col min="29" max="31" width="12.7109375" style="4" bestFit="1" customWidth="1"/>
    <col min="32" max="43" width="12" style="4" bestFit="1" customWidth="1"/>
    <col min="44" max="44" width="5.5703125" style="4" bestFit="1" customWidth="1"/>
    <col min="45" max="46" width="12" style="4" bestFit="1" customWidth="1"/>
    <col min="47" max="47" width="5.5703125" style="4" bestFit="1" customWidth="1"/>
    <col min="48" max="48" width="9.140625" style="4"/>
    <col min="49" max="49" width="9.28515625" style="4" bestFit="1" customWidth="1"/>
    <col min="50" max="50" width="9.140625" style="4"/>
    <col min="51" max="51" width="9.28515625" style="4" bestFit="1" customWidth="1"/>
    <col min="52" max="52" width="12.7109375" style="4" bestFit="1" customWidth="1"/>
    <col min="53" max="54" width="12" style="4" bestFit="1" customWidth="1"/>
    <col min="55" max="55" width="10" style="4" bestFit="1" customWidth="1"/>
    <col min="56" max="56" width="12.7109375" style="4" bestFit="1" customWidth="1"/>
    <col min="57" max="58" width="12" style="4" bestFit="1" customWidth="1"/>
    <col min="59" max="59" width="10" style="4" bestFit="1" customWidth="1"/>
    <col min="60" max="62" width="12" style="4" bestFit="1" customWidth="1"/>
    <col min="63" max="63" width="10" style="4" bestFit="1" customWidth="1"/>
    <col min="64" max="64" width="9.140625" style="4"/>
    <col min="65" max="66" width="12" style="4" bestFit="1" customWidth="1"/>
    <col min="67" max="67" width="5.28515625" style="4" bestFit="1" customWidth="1"/>
    <col min="68" max="68" width="9.140625" style="4"/>
    <col min="69" max="69" width="3" style="4" bestFit="1" customWidth="1"/>
    <col min="70" max="16384" width="9.140625" style="4"/>
  </cols>
  <sheetData>
    <row r="1" spans="1:69" ht="15.75" thickBot="1" x14ac:dyDescent="0.3">
      <c r="A1" s="36" t="s">
        <v>27</v>
      </c>
      <c r="B1" s="36" t="s">
        <v>133</v>
      </c>
      <c r="C1" s="36" t="s">
        <v>48</v>
      </c>
      <c r="D1" s="47" t="s">
        <v>13</v>
      </c>
      <c r="E1" s="48"/>
      <c r="F1" s="36" t="s">
        <v>14</v>
      </c>
      <c r="G1" s="36" t="s">
        <v>18</v>
      </c>
      <c r="H1" s="47" t="s">
        <v>164</v>
      </c>
      <c r="I1" s="49" t="s">
        <v>174</v>
      </c>
      <c r="K1" s="5"/>
      <c r="L1" s="5"/>
      <c r="M1" s="4" t="s">
        <v>165</v>
      </c>
      <c r="O1" s="3" t="s">
        <v>180</v>
      </c>
      <c r="P1" s="3">
        <f>Q1*0.5</f>
        <v>43125.5</v>
      </c>
      <c r="Q1" s="3">
        <f>H3</f>
        <v>86251</v>
      </c>
      <c r="R1" s="3">
        <f>AVERAGE(Q1,S1)</f>
        <v>108751</v>
      </c>
      <c r="S1" s="3">
        <f>H4</f>
        <v>131251</v>
      </c>
      <c r="T1" s="3">
        <f>S1*1.5</f>
        <v>196876.5</v>
      </c>
      <c r="U1" s="11"/>
      <c r="V1" s="3" t="str">
        <f>O1</f>
        <v>B12/B3</v>
      </c>
      <c r="W1" s="3">
        <f>P1</f>
        <v>43125.5</v>
      </c>
      <c r="X1" s="3">
        <f t="shared" ref="X1:AA1" si="0">Q1</f>
        <v>86251</v>
      </c>
      <c r="Y1" s="3">
        <f t="shared" si="0"/>
        <v>108751</v>
      </c>
      <c r="Z1" s="3">
        <f t="shared" si="0"/>
        <v>131251</v>
      </c>
      <c r="AA1" s="3">
        <f t="shared" si="0"/>
        <v>196876.5</v>
      </c>
    </row>
    <row r="2" spans="1:69" ht="15.75" thickBot="1" x14ac:dyDescent="0.3">
      <c r="A2" s="35" t="s">
        <v>49</v>
      </c>
      <c r="B2" s="50">
        <v>40000</v>
      </c>
      <c r="C2" s="35">
        <v>5000</v>
      </c>
      <c r="D2" s="35">
        <v>125000</v>
      </c>
      <c r="E2" s="48" t="b">
        <f t="shared" ref="E2:E3" si="1">B2&gt;C2</f>
        <v>1</v>
      </c>
      <c r="F2" s="35" t="s">
        <v>130</v>
      </c>
      <c r="G2" s="35">
        <f>SUM(B2:C2)</f>
        <v>45000</v>
      </c>
      <c r="H2" s="35">
        <f>G2+$M$2</f>
        <v>45001</v>
      </c>
      <c r="I2" s="51" t="e">
        <f>G2/($L$2*D2)+0.001</f>
        <v>#DIV/0!</v>
      </c>
      <c r="J2" s="4" t="s">
        <v>130</v>
      </c>
      <c r="K2" s="4">
        <f>H2</f>
        <v>45001</v>
      </c>
      <c r="M2" s="4">
        <v>1</v>
      </c>
      <c r="O2" s="3">
        <f>O3*0.5</f>
        <v>22500.5</v>
      </c>
      <c r="P2" s="13">
        <v>1</v>
      </c>
      <c r="Q2" s="13">
        <v>2</v>
      </c>
      <c r="R2" s="13">
        <v>3</v>
      </c>
      <c r="S2" s="13">
        <v>4</v>
      </c>
      <c r="T2" s="13">
        <v>5</v>
      </c>
      <c r="U2" s="8"/>
      <c r="V2" s="3">
        <f t="shared" ref="V2:V4" si="2">O2</f>
        <v>22500.5</v>
      </c>
      <c r="W2" s="6"/>
      <c r="X2" s="6"/>
      <c r="Y2" s="6"/>
      <c r="Z2" s="6"/>
      <c r="AA2" s="6"/>
      <c r="AB2" s="3" t="s">
        <v>26</v>
      </c>
      <c r="AC2" s="3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3">
        <v>10</v>
      </c>
      <c r="AM2" s="3">
        <v>11</v>
      </c>
      <c r="AN2" s="3">
        <v>12</v>
      </c>
      <c r="AO2" s="3">
        <v>13</v>
      </c>
      <c r="AP2" s="3">
        <v>14</v>
      </c>
      <c r="AQ2" s="3">
        <v>15</v>
      </c>
      <c r="AS2" s="5" t="s">
        <v>19</v>
      </c>
      <c r="AT2" s="5"/>
      <c r="AU2" s="5" t="s">
        <v>20</v>
      </c>
      <c r="AY2" s="3" t="s">
        <v>21</v>
      </c>
      <c r="AZ2" s="3">
        <v>1</v>
      </c>
      <c r="BA2" s="3">
        <v>2</v>
      </c>
      <c r="BB2" s="3">
        <v>3</v>
      </c>
      <c r="BC2" s="3">
        <v>4</v>
      </c>
      <c r="BD2" s="3">
        <v>5</v>
      </c>
      <c r="BE2" s="3">
        <v>6</v>
      </c>
      <c r="BF2" s="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M2" s="5" t="s">
        <v>19</v>
      </c>
      <c r="BN2" s="5"/>
      <c r="BO2" s="5" t="s">
        <v>20</v>
      </c>
    </row>
    <row r="3" spans="1:69" ht="15.75" thickBot="1" x14ac:dyDescent="0.3">
      <c r="A3" s="35" t="s">
        <v>109</v>
      </c>
      <c r="B3" s="50">
        <v>75000</v>
      </c>
      <c r="C3" s="35">
        <v>11250</v>
      </c>
      <c r="D3" s="35">
        <v>500000</v>
      </c>
      <c r="E3" s="48" t="b">
        <f t="shared" si="1"/>
        <v>1</v>
      </c>
      <c r="F3" s="35" t="s">
        <v>63</v>
      </c>
      <c r="G3" s="35">
        <f>SUM(B3:C3)</f>
        <v>86250</v>
      </c>
      <c r="H3" s="35">
        <f>G3+$M$2</f>
        <v>86251</v>
      </c>
      <c r="I3" s="51" t="e">
        <f>G3/(D3*$J$2)+0.001</f>
        <v>#VALUE!</v>
      </c>
      <c r="J3" s="4" t="s">
        <v>63</v>
      </c>
      <c r="K3" s="12">
        <f>H3</f>
        <v>86251</v>
      </c>
      <c r="L3" s="7"/>
      <c r="O3" s="3">
        <f>H2</f>
        <v>45001</v>
      </c>
      <c r="P3" s="13">
        <v>6</v>
      </c>
      <c r="Q3" s="13">
        <v>7</v>
      </c>
      <c r="R3" s="13">
        <v>8</v>
      </c>
      <c r="S3" s="13">
        <v>9</v>
      </c>
      <c r="T3" s="13">
        <v>10</v>
      </c>
      <c r="U3" s="8"/>
      <c r="V3" s="3">
        <f t="shared" si="2"/>
        <v>45001</v>
      </c>
      <c r="W3" s="6"/>
      <c r="X3" s="6"/>
      <c r="Y3" s="6"/>
      <c r="Z3" s="6"/>
      <c r="AA3" s="6"/>
      <c r="AB3" s="3" t="s">
        <v>0</v>
      </c>
      <c r="AC3" s="6">
        <v>-1115378.5974999999</v>
      </c>
      <c r="AD3" s="9">
        <v>-1025551.4225</v>
      </c>
      <c r="AE3" s="9">
        <v>-1340313.7949999999</v>
      </c>
      <c r="AF3" s="9">
        <v>531708.53</v>
      </c>
      <c r="AG3" s="9">
        <v>502487.69750000001</v>
      </c>
      <c r="AH3" s="9">
        <v>90000</v>
      </c>
      <c r="AI3" s="9">
        <v>90000</v>
      </c>
      <c r="AJ3" s="9">
        <v>501991.65875</v>
      </c>
      <c r="AK3" s="9">
        <v>531508.27</v>
      </c>
      <c r="AL3" s="9">
        <v>502086.51874999999</v>
      </c>
      <c r="AM3" s="9">
        <v>90000</v>
      </c>
      <c r="AN3" s="9">
        <v>90000</v>
      </c>
      <c r="AO3" s="9">
        <v>90000</v>
      </c>
      <c r="AP3" s="9">
        <v>531281.66</v>
      </c>
      <c r="AQ3" s="9">
        <v>502501.53125</v>
      </c>
      <c r="AS3" s="4">
        <f>MAX(AC3:AQ3)</f>
        <v>531708.53</v>
      </c>
      <c r="AU3" s="4">
        <f>HLOOKUP(AS3,AC3:$AQ$13,AW3,FALSE)</f>
        <v>4</v>
      </c>
      <c r="AW3" s="4">
        <v>11</v>
      </c>
      <c r="AY3" s="3" t="s">
        <v>0</v>
      </c>
      <c r="AZ3" s="9">
        <v>-7119605.125</v>
      </c>
      <c r="BA3" s="9">
        <v>-8621433.5999999996</v>
      </c>
      <c r="BB3" s="9">
        <v>-9161587.3000000007</v>
      </c>
      <c r="BC3" s="9">
        <v>368090</v>
      </c>
      <c r="BD3" s="9">
        <v>-7114081.125</v>
      </c>
      <c r="BE3" s="9">
        <v>90000</v>
      </c>
      <c r="BF3" s="9">
        <v>90000</v>
      </c>
      <c r="BG3" s="9">
        <v>368230</v>
      </c>
      <c r="BH3" s="9">
        <v>90000</v>
      </c>
      <c r="BI3" s="9">
        <v>90000</v>
      </c>
      <c r="BJ3" s="9">
        <v>90000</v>
      </c>
      <c r="BK3" s="9">
        <v>368710</v>
      </c>
      <c r="BM3" s="4">
        <f t="shared" ref="BM3:BM9" si="3">MAX(AZ3:BK3)</f>
        <v>368710</v>
      </c>
      <c r="BO3" s="4">
        <f>HLOOKUP(BM3,AZ3:$BK$13,BQ3,FALSE)</f>
        <v>12</v>
      </c>
      <c r="BQ3" s="4">
        <v>11</v>
      </c>
    </row>
    <row r="4" spans="1:69" x14ac:dyDescent="0.25">
      <c r="A4" s="44"/>
      <c r="B4" s="44"/>
      <c r="C4" s="44"/>
      <c r="D4" s="44"/>
      <c r="E4" s="44"/>
      <c r="F4" s="35" t="s">
        <v>131</v>
      </c>
      <c r="G4" s="35">
        <f>SUM(B2:C3)</f>
        <v>131250</v>
      </c>
      <c r="H4" s="35">
        <f>G4+$M$2</f>
        <v>131251</v>
      </c>
      <c r="I4" s="51" t="e">
        <f>G4/(D3*$J$2)+0.001</f>
        <v>#VALUE!</v>
      </c>
      <c r="J4" s="4" t="s">
        <v>131</v>
      </c>
      <c r="K4" s="4">
        <f>H4</f>
        <v>131251</v>
      </c>
      <c r="O4" s="3">
        <f>O3*1.5</f>
        <v>67501.5</v>
      </c>
      <c r="P4" s="13">
        <v>11</v>
      </c>
      <c r="Q4" s="13">
        <v>12</v>
      </c>
      <c r="R4" s="13">
        <v>13</v>
      </c>
      <c r="S4" s="13">
        <v>14</v>
      </c>
      <c r="T4" s="13">
        <v>15</v>
      </c>
      <c r="U4" s="8"/>
      <c r="V4" s="3">
        <f t="shared" si="2"/>
        <v>67501.5</v>
      </c>
      <c r="W4" s="6"/>
      <c r="X4" s="6"/>
      <c r="Y4" s="6"/>
      <c r="Z4" s="6"/>
      <c r="AA4" s="6"/>
      <c r="AB4" s="3" t="s">
        <v>1</v>
      </c>
      <c r="AC4" s="6">
        <v>-781620.52749999997</v>
      </c>
      <c r="AD4" s="9">
        <v>-565633.93500000006</v>
      </c>
      <c r="AE4" s="9">
        <v>-768965.39749999996</v>
      </c>
      <c r="AF4" s="9">
        <v>542078.57250000001</v>
      </c>
      <c r="AG4" s="9">
        <v>518483.46500000003</v>
      </c>
      <c r="AH4" s="9">
        <v>90000</v>
      </c>
      <c r="AI4" s="9">
        <v>90000</v>
      </c>
      <c r="AJ4" s="9">
        <v>518611.92125000001</v>
      </c>
      <c r="AK4" s="9">
        <v>542239.3075</v>
      </c>
      <c r="AL4" s="9">
        <v>518463.70250000001</v>
      </c>
      <c r="AM4" s="9">
        <v>90000</v>
      </c>
      <c r="AN4" s="9">
        <v>90000</v>
      </c>
      <c r="AO4" s="9">
        <v>90000</v>
      </c>
      <c r="AP4" s="9">
        <v>542679.35250000004</v>
      </c>
      <c r="AQ4" s="9">
        <v>518823.38</v>
      </c>
      <c r="AS4" s="4">
        <f t="shared" ref="AS4:AS10" si="4">MAX(AC4:AQ4)</f>
        <v>542679.35250000004</v>
      </c>
      <c r="AU4" s="4">
        <f>HLOOKUP(AS4,AC4:$AQ$13,AW4,FALSE)</f>
        <v>14</v>
      </c>
      <c r="AW4" s="4">
        <v>10</v>
      </c>
      <c r="AY4" s="3" t="s">
        <v>1</v>
      </c>
      <c r="AZ4" s="9">
        <v>-5621565.375</v>
      </c>
      <c r="BA4" s="9">
        <v>-5820778.2999999998</v>
      </c>
      <c r="BB4" s="9">
        <v>-6320224.25</v>
      </c>
      <c r="BC4" s="9">
        <v>408185</v>
      </c>
      <c r="BD4" s="9">
        <v>-5644697.125</v>
      </c>
      <c r="BE4" s="9">
        <v>90000</v>
      </c>
      <c r="BF4" s="9">
        <v>90000</v>
      </c>
      <c r="BG4" s="9">
        <v>409455</v>
      </c>
      <c r="BH4" s="9">
        <v>90000</v>
      </c>
      <c r="BI4" s="9">
        <v>90000</v>
      </c>
      <c r="BJ4" s="9">
        <v>90000</v>
      </c>
      <c r="BK4" s="9">
        <v>408310</v>
      </c>
      <c r="BM4" s="4">
        <f t="shared" si="3"/>
        <v>409455</v>
      </c>
      <c r="BO4" s="4">
        <f>HLOOKUP(BM4,AZ4:$BK$13,BQ4,FALSE)</f>
        <v>8</v>
      </c>
      <c r="BQ4" s="4">
        <v>10</v>
      </c>
    </row>
    <row r="5" spans="1:69" ht="15.75" thickBot="1" x14ac:dyDescent="0.3">
      <c r="A5" s="34"/>
      <c r="B5" s="34"/>
      <c r="C5" s="34"/>
      <c r="D5" s="34"/>
      <c r="E5" s="34"/>
      <c r="F5" s="34"/>
      <c r="G5" s="34"/>
      <c r="H5" s="34"/>
      <c r="I5" s="34"/>
      <c r="P5" s="8"/>
      <c r="Q5" s="8"/>
      <c r="R5" s="8"/>
      <c r="S5" s="8"/>
      <c r="T5" s="8"/>
      <c r="U5" s="8"/>
      <c r="V5" s="8"/>
      <c r="W5" s="8"/>
      <c r="X5" s="8"/>
      <c r="Y5" s="8"/>
      <c r="AB5" s="3" t="s">
        <v>2</v>
      </c>
      <c r="AC5" s="6">
        <v>151760.94</v>
      </c>
      <c r="AD5" s="9">
        <v>152011.89499999999</v>
      </c>
      <c r="AE5" s="9">
        <v>151974.01500000001</v>
      </c>
      <c r="AF5" s="9">
        <v>165000</v>
      </c>
      <c r="AG5" s="9">
        <v>165000</v>
      </c>
      <c r="AH5" s="9">
        <v>163127.76375000001</v>
      </c>
      <c r="AI5" s="9">
        <v>163102.49374999999</v>
      </c>
      <c r="AJ5" s="9">
        <v>165000</v>
      </c>
      <c r="AK5" s="9">
        <v>165000</v>
      </c>
      <c r="AL5" s="9">
        <v>165000</v>
      </c>
      <c r="AM5" s="9">
        <v>162174.046875</v>
      </c>
      <c r="AN5" s="9">
        <v>162130.72687499999</v>
      </c>
      <c r="AO5" s="9">
        <v>162138.84937499999</v>
      </c>
      <c r="AP5" s="9">
        <v>165000</v>
      </c>
      <c r="AQ5" s="9">
        <v>165000</v>
      </c>
      <c r="AS5" s="4">
        <f t="shared" si="4"/>
        <v>165000</v>
      </c>
      <c r="AU5" s="4">
        <f>HLOOKUP(AS5,AC5:$AQ$13,AW5,FALSE)</f>
        <v>4</v>
      </c>
      <c r="AW5" s="4">
        <v>9</v>
      </c>
      <c r="AY5" s="3" t="s">
        <v>2</v>
      </c>
      <c r="AZ5" s="9">
        <v>151621.731</v>
      </c>
      <c r="BA5" s="9">
        <v>151840.48800000001</v>
      </c>
      <c r="BB5" s="9">
        <v>152010.948</v>
      </c>
      <c r="BC5" s="9">
        <v>165000</v>
      </c>
      <c r="BD5" s="9">
        <v>151737.26500000001</v>
      </c>
      <c r="BE5" s="9">
        <v>162293.405</v>
      </c>
      <c r="BF5" s="9">
        <v>162302.52249999999</v>
      </c>
      <c r="BG5" s="9">
        <v>165000</v>
      </c>
      <c r="BH5" s="9">
        <v>160870.74937500001</v>
      </c>
      <c r="BI5" s="9">
        <v>160876.610625</v>
      </c>
      <c r="BJ5" s="9">
        <v>160971.36749999999</v>
      </c>
      <c r="BK5" s="9">
        <v>165000</v>
      </c>
      <c r="BM5" s="4">
        <f t="shared" si="3"/>
        <v>165000</v>
      </c>
      <c r="BO5" s="4">
        <f>HLOOKUP(BM5,AZ5:$BK$13,BQ5,FALSE)</f>
        <v>4</v>
      </c>
      <c r="BQ5" s="4">
        <v>9</v>
      </c>
    </row>
    <row r="6" spans="1:69" ht="15.75" thickBot="1" x14ac:dyDescent="0.3">
      <c r="A6" s="36" t="s">
        <v>12</v>
      </c>
      <c r="B6" s="36" t="str">
        <f>B1</f>
        <v>R(S_n,i)</v>
      </c>
      <c r="C6" s="36" t="str">
        <f t="shared" ref="C6:D6" si="5">C1</f>
        <v>Cu(S_n,i)</v>
      </c>
      <c r="D6" s="47" t="str">
        <f t="shared" si="5"/>
        <v>S*</v>
      </c>
      <c r="E6" s="48"/>
      <c r="F6" s="36" t="s">
        <v>14</v>
      </c>
      <c r="G6" s="36" t="s">
        <v>18</v>
      </c>
      <c r="H6" s="47" t="str">
        <f>H1</f>
        <v>B=Sum+zeta</v>
      </c>
      <c r="I6" s="47" t="str">
        <f>I1</f>
        <v>B_optT</v>
      </c>
      <c r="J6" s="12"/>
      <c r="L6" s="12" t="s">
        <v>166</v>
      </c>
      <c r="M6" s="12" t="s">
        <v>128</v>
      </c>
      <c r="O6" s="3" t="str">
        <f>O1</f>
        <v>B12/B3</v>
      </c>
      <c r="P6" s="3">
        <f>Q6*0.5</f>
        <v>652308.19230769237</v>
      </c>
      <c r="Q6" s="3">
        <f>H8</f>
        <v>1304616.3846153847</v>
      </c>
      <c r="R6" s="3">
        <f>AVERAGE(Q6,S6)</f>
        <v>1344616.3846153847</v>
      </c>
      <c r="S6" s="3">
        <f>H9</f>
        <v>1384616.3846153847</v>
      </c>
      <c r="T6" s="3">
        <f>S6*1.5</f>
        <v>2076924.576923077</v>
      </c>
      <c r="U6" s="8"/>
      <c r="V6" s="3" t="str">
        <f>O6</f>
        <v>B12/B3</v>
      </c>
      <c r="W6" s="3">
        <f>P6</f>
        <v>652308.19230769237</v>
      </c>
      <c r="X6" s="3">
        <f t="shared" ref="X6:AA6" si="6">Q6</f>
        <v>1304616.3846153847</v>
      </c>
      <c r="Y6" s="3">
        <f t="shared" si="6"/>
        <v>1344616.3846153847</v>
      </c>
      <c r="Z6" s="3">
        <f t="shared" si="6"/>
        <v>1384616.3846153847</v>
      </c>
      <c r="AA6" s="3">
        <f t="shared" si="6"/>
        <v>2076924.576923077</v>
      </c>
      <c r="AB6" s="3" t="s">
        <v>3</v>
      </c>
      <c r="AC6" s="6">
        <v>151796.92600000001</v>
      </c>
      <c r="AD6" s="9">
        <v>151892.573</v>
      </c>
      <c r="AE6" s="9">
        <v>151575.32800000001</v>
      </c>
      <c r="AF6" s="9">
        <v>165000</v>
      </c>
      <c r="AG6" s="9">
        <v>165000</v>
      </c>
      <c r="AH6" s="9">
        <v>163136.78875000001</v>
      </c>
      <c r="AI6" s="9">
        <v>163127.76375000001</v>
      </c>
      <c r="AJ6" s="9">
        <v>165000</v>
      </c>
      <c r="AK6" s="9">
        <v>165000</v>
      </c>
      <c r="AL6" s="9">
        <v>165000</v>
      </c>
      <c r="AM6" s="9">
        <v>162199.768125</v>
      </c>
      <c r="AN6" s="9">
        <v>162132.080625</v>
      </c>
      <c r="AO6" s="9">
        <v>162236.99625</v>
      </c>
      <c r="AP6" s="9">
        <v>165000</v>
      </c>
      <c r="AQ6" s="9">
        <v>165000</v>
      </c>
      <c r="AS6" s="4">
        <f t="shared" si="4"/>
        <v>165000</v>
      </c>
      <c r="AU6" s="4">
        <f>HLOOKUP(AS6,AC6:$AQ$13,AW6,FALSE)</f>
        <v>4</v>
      </c>
      <c r="AW6" s="4">
        <v>8</v>
      </c>
      <c r="AY6" s="3" t="s">
        <v>3</v>
      </c>
      <c r="AZ6" s="9">
        <v>151833.859</v>
      </c>
      <c r="BA6" s="9">
        <v>151697.49100000001</v>
      </c>
      <c r="BB6" s="9">
        <v>151824.389</v>
      </c>
      <c r="BC6" s="9">
        <v>165000</v>
      </c>
      <c r="BD6" s="9">
        <v>151642.565</v>
      </c>
      <c r="BE6" s="9">
        <v>162323.36249999999</v>
      </c>
      <c r="BF6" s="9">
        <v>162263.44750000001</v>
      </c>
      <c r="BG6" s="9">
        <v>165000</v>
      </c>
      <c r="BH6" s="9">
        <v>160913.731875</v>
      </c>
      <c r="BI6" s="9">
        <v>160932.29250000001</v>
      </c>
      <c r="BJ6" s="9">
        <v>160941.08437500001</v>
      </c>
      <c r="BK6" s="9">
        <v>165000</v>
      </c>
      <c r="BM6" s="4">
        <f t="shared" si="3"/>
        <v>165000</v>
      </c>
      <c r="BO6" s="4">
        <f>HLOOKUP(BM6,AZ6:$BK$13,BQ6,FALSE)</f>
        <v>4</v>
      </c>
      <c r="BQ6" s="4">
        <v>8</v>
      </c>
    </row>
    <row r="7" spans="1:69" ht="15.75" thickBot="1" x14ac:dyDescent="0.3">
      <c r="A7" s="35" t="str">
        <f>A2</f>
        <v>O_{1,2},i</v>
      </c>
      <c r="B7" s="50">
        <v>60000</v>
      </c>
      <c r="C7" s="35">
        <v>20000</v>
      </c>
      <c r="D7" s="35">
        <v>125000</v>
      </c>
      <c r="E7" s="48" t="b">
        <f t="shared" ref="E7:E8" si="7">B7&gt;C7</f>
        <v>1</v>
      </c>
      <c r="F7" s="35" t="str">
        <f>F2</f>
        <v>s</v>
      </c>
      <c r="G7" s="35">
        <f>SUM(B7:C7)</f>
        <v>80000</v>
      </c>
      <c r="H7" s="35">
        <f>G7+$M$2</f>
        <v>80001</v>
      </c>
      <c r="I7" s="35"/>
      <c r="J7" s="41"/>
      <c r="K7" s="4">
        <f>H7</f>
        <v>80001</v>
      </c>
      <c r="L7" s="12">
        <f>1/M7</f>
        <v>2.7692307692307692</v>
      </c>
      <c r="M7" s="12">
        <f>Q44+MIN(R38,S38)</f>
        <v>0.3611111111111111</v>
      </c>
      <c r="O7" s="43">
        <f>O8*0.5</f>
        <v>40000.5</v>
      </c>
      <c r="P7" s="13">
        <v>1</v>
      </c>
      <c r="Q7" s="13">
        <v>2</v>
      </c>
      <c r="R7" s="13">
        <v>3</v>
      </c>
      <c r="S7" s="13">
        <v>4</v>
      </c>
      <c r="T7" s="13">
        <v>5</v>
      </c>
      <c r="U7" s="8"/>
      <c r="V7" s="33">
        <f>O7</f>
        <v>40000.5</v>
      </c>
      <c r="W7" s="6"/>
      <c r="X7" s="6"/>
      <c r="Y7" s="6"/>
      <c r="Z7" s="6"/>
      <c r="AA7" s="6"/>
      <c r="AB7" s="3" t="s">
        <v>4</v>
      </c>
      <c r="AC7" s="6">
        <v>155804.63</v>
      </c>
      <c r="AD7" s="9">
        <v>155789.478</v>
      </c>
      <c r="AE7" s="9">
        <v>155761.068</v>
      </c>
      <c r="AF7" s="9">
        <v>165000</v>
      </c>
      <c r="AG7" s="9">
        <v>165000</v>
      </c>
      <c r="AH7" s="9">
        <v>161573.20749999999</v>
      </c>
      <c r="AI7" s="9">
        <v>161543.42499999999</v>
      </c>
      <c r="AJ7" s="9">
        <v>165000</v>
      </c>
      <c r="AK7" s="9">
        <v>165000</v>
      </c>
      <c r="AL7" s="9">
        <v>165000</v>
      </c>
      <c r="AM7" s="9">
        <v>159767.079375</v>
      </c>
      <c r="AN7" s="9">
        <v>159846.950625</v>
      </c>
      <c r="AO7" s="9">
        <v>159838.828125</v>
      </c>
      <c r="AP7" s="9">
        <v>165000</v>
      </c>
      <c r="AQ7" s="9">
        <v>165000</v>
      </c>
      <c r="AS7" s="4">
        <f t="shared" si="4"/>
        <v>165000</v>
      </c>
      <c r="AU7" s="4">
        <f>HLOOKUP(AS7,AC7:$AQ$13,AW7,FALSE)</f>
        <v>4</v>
      </c>
      <c r="AW7" s="4">
        <v>7</v>
      </c>
      <c r="AY7" s="3" t="s">
        <v>4</v>
      </c>
      <c r="AZ7" s="9">
        <v>155769.59099999999</v>
      </c>
      <c r="BA7" s="9">
        <v>155854.821</v>
      </c>
      <c r="BB7" s="9">
        <v>155810.31200000001</v>
      </c>
      <c r="BC7" s="9">
        <v>165000</v>
      </c>
      <c r="BD7" s="9">
        <v>155838.72200000001</v>
      </c>
      <c r="BE7" s="9">
        <v>160083.0625</v>
      </c>
      <c r="BF7" s="9">
        <v>160125.39374999999</v>
      </c>
      <c r="BG7" s="9">
        <v>165000</v>
      </c>
      <c r="BH7" s="9">
        <v>157574.77312500001</v>
      </c>
      <c r="BI7" s="9">
        <v>157539.605625</v>
      </c>
      <c r="BJ7" s="9">
        <v>157478.0625</v>
      </c>
      <c r="BK7" s="9">
        <v>165000</v>
      </c>
      <c r="BM7" s="4">
        <f t="shared" si="3"/>
        <v>165000</v>
      </c>
      <c r="BO7" s="4">
        <f>HLOOKUP(BM7,AZ7:$BK$13,BQ7,FALSE)</f>
        <v>4</v>
      </c>
      <c r="BQ7" s="4">
        <v>7</v>
      </c>
    </row>
    <row r="8" spans="1:69" ht="15.75" thickBot="1" x14ac:dyDescent="0.3">
      <c r="A8" s="35" t="str">
        <f>A3</f>
        <v>O_3,i</v>
      </c>
      <c r="B8" s="50">
        <v>875000</v>
      </c>
      <c r="C8" s="35">
        <f>L9-SUM(B7:B8,C7)</f>
        <v>429615.38461538474</v>
      </c>
      <c r="D8" s="35">
        <v>500000</v>
      </c>
      <c r="E8" s="48" t="b">
        <f t="shared" si="7"/>
        <v>1</v>
      </c>
      <c r="F8" s="35" t="str">
        <f t="shared" ref="F8:F9" si="8">F3</f>
        <v>b</v>
      </c>
      <c r="G8" s="35">
        <f>SUM(B8:C8)</f>
        <v>1304615.3846153847</v>
      </c>
      <c r="H8" s="35">
        <f>G8+$M$2</f>
        <v>1304616.3846153847</v>
      </c>
      <c r="I8" s="35"/>
      <c r="J8" s="41"/>
      <c r="K8" s="12">
        <f>H8</f>
        <v>1304616.3846153847</v>
      </c>
      <c r="L8" s="12"/>
      <c r="M8" s="12"/>
      <c r="O8" s="43">
        <f>H7</f>
        <v>80001</v>
      </c>
      <c r="P8" s="13">
        <v>6</v>
      </c>
      <c r="Q8" s="13">
        <v>7</v>
      </c>
      <c r="R8" s="13">
        <v>8</v>
      </c>
      <c r="S8" s="13">
        <v>9</v>
      </c>
      <c r="T8" s="13">
        <v>10</v>
      </c>
      <c r="U8" s="8"/>
      <c r="V8" s="33">
        <f>O8</f>
        <v>80001</v>
      </c>
      <c r="W8" s="6"/>
      <c r="X8" s="6"/>
      <c r="Y8" s="6"/>
      <c r="Z8" s="6"/>
      <c r="AA8" s="6"/>
      <c r="AB8" s="3" t="s">
        <v>5</v>
      </c>
      <c r="AC8" s="6">
        <v>155881.337</v>
      </c>
      <c r="AD8" s="9">
        <v>155614.283</v>
      </c>
      <c r="AE8" s="9">
        <v>155689.09599999999</v>
      </c>
      <c r="AF8" s="9">
        <v>165000</v>
      </c>
      <c r="AG8" s="9">
        <v>165000</v>
      </c>
      <c r="AH8" s="9">
        <v>161566.43875</v>
      </c>
      <c r="AI8" s="9">
        <v>161534.85125000001</v>
      </c>
      <c r="AJ8" s="9">
        <v>165000</v>
      </c>
      <c r="AK8" s="9">
        <v>165000</v>
      </c>
      <c r="AL8" s="9">
        <v>165000</v>
      </c>
      <c r="AM8" s="9">
        <v>159805.66125</v>
      </c>
      <c r="AN8" s="9">
        <v>159815.13750000001</v>
      </c>
      <c r="AO8" s="9">
        <v>159818.52187500001</v>
      </c>
      <c r="AP8" s="9">
        <v>165000</v>
      </c>
      <c r="AQ8" s="9">
        <v>165000</v>
      </c>
      <c r="AS8" s="4">
        <f t="shared" si="4"/>
        <v>165000</v>
      </c>
      <c r="AU8" s="4">
        <f>HLOOKUP(AS8,AC8:$AQ$13,AW8,FALSE)</f>
        <v>4</v>
      </c>
      <c r="AW8" s="4">
        <v>6</v>
      </c>
      <c r="AY8" s="3" t="s">
        <v>5</v>
      </c>
      <c r="AZ8" s="9">
        <v>155781.902</v>
      </c>
      <c r="BA8" s="9">
        <v>155792.31899999999</v>
      </c>
      <c r="BB8" s="9">
        <v>155708.98300000001</v>
      </c>
      <c r="BC8" s="9">
        <v>165000</v>
      </c>
      <c r="BD8" s="9">
        <v>155826.41099999999</v>
      </c>
      <c r="BE8" s="9">
        <v>159986.67749999999</v>
      </c>
      <c r="BF8" s="9">
        <v>160064.82750000001</v>
      </c>
      <c r="BG8" s="9">
        <v>165000</v>
      </c>
      <c r="BH8" s="9">
        <v>157418.47312499999</v>
      </c>
      <c r="BI8" s="9">
        <v>157727.16562499999</v>
      </c>
      <c r="BJ8" s="9">
        <v>157566.958125</v>
      </c>
      <c r="BK8" s="9">
        <v>165000</v>
      </c>
      <c r="BM8" s="4">
        <f t="shared" si="3"/>
        <v>165000</v>
      </c>
      <c r="BO8" s="4">
        <f>HLOOKUP(BM8,AZ8:$BK$13,BQ8,FALSE)</f>
        <v>4</v>
      </c>
      <c r="BQ8" s="4">
        <v>6</v>
      </c>
    </row>
    <row r="9" spans="1:69" x14ac:dyDescent="0.25">
      <c r="A9" s="44"/>
      <c r="B9" s="44"/>
      <c r="C9" s="44"/>
      <c r="D9" s="44"/>
      <c r="E9" s="44"/>
      <c r="F9" s="35" t="str">
        <f t="shared" si="8"/>
        <v>ch</v>
      </c>
      <c r="G9" s="35">
        <f>SUM(B7:C8)</f>
        <v>1384615.3846153847</v>
      </c>
      <c r="H9" s="35">
        <f>G9+$M$2</f>
        <v>1384616.3846153847</v>
      </c>
      <c r="I9" s="35">
        <f>L9</f>
        <v>1384615.3846153847</v>
      </c>
      <c r="J9" s="41"/>
      <c r="K9" s="4">
        <f>H9</f>
        <v>1384616.3846153847</v>
      </c>
      <c r="L9" s="12">
        <f>D8/M7</f>
        <v>1384615.3846153847</v>
      </c>
      <c r="M9" s="12"/>
      <c r="O9" s="43">
        <f>O8*1.5</f>
        <v>120001.5</v>
      </c>
      <c r="P9" s="13">
        <v>11</v>
      </c>
      <c r="Q9" s="13">
        <v>12</v>
      </c>
      <c r="R9" s="13">
        <v>13</v>
      </c>
      <c r="S9" s="13">
        <v>14</v>
      </c>
      <c r="T9" s="13">
        <v>15</v>
      </c>
      <c r="U9" s="8"/>
      <c r="V9" s="33">
        <f>O9</f>
        <v>120001.5</v>
      </c>
      <c r="W9" s="6"/>
      <c r="X9" s="6"/>
      <c r="Y9" s="6"/>
      <c r="Z9" s="6"/>
      <c r="AA9" s="6"/>
      <c r="AB9" s="3" t="s">
        <v>6</v>
      </c>
      <c r="AC9" s="6">
        <v>126519.55</v>
      </c>
      <c r="AD9" s="9">
        <v>126673.855</v>
      </c>
      <c r="AE9" s="9">
        <v>134334.85999999999</v>
      </c>
      <c r="AF9" s="9">
        <v>141906.96</v>
      </c>
      <c r="AG9" s="9">
        <v>194794.86249999999</v>
      </c>
      <c r="AH9" s="9">
        <v>77073.651249999995</v>
      </c>
      <c r="AI9" s="9">
        <v>77137.516250000001</v>
      </c>
      <c r="AJ9" s="9">
        <v>195067.12</v>
      </c>
      <c r="AK9" s="9">
        <v>141949.56</v>
      </c>
      <c r="AL9" s="9">
        <v>195136.11624999999</v>
      </c>
      <c r="AM9" s="9">
        <v>82495.894375000003</v>
      </c>
      <c r="AN9" s="9">
        <v>82512.754375000004</v>
      </c>
      <c r="AO9" s="9">
        <v>82428.454375000001</v>
      </c>
      <c r="AP9" s="9">
        <v>141785.70000000001</v>
      </c>
      <c r="AQ9" s="9">
        <v>194537.22625000001</v>
      </c>
      <c r="AS9" s="4">
        <f t="shared" si="4"/>
        <v>195136.11624999999</v>
      </c>
      <c r="AU9" s="4">
        <f>HLOOKUP(AS9,AC9:$AQ$13,AW9,FALSE)</f>
        <v>10</v>
      </c>
      <c r="AW9" s="4">
        <v>5</v>
      </c>
      <c r="AY9" s="3" t="s">
        <v>6</v>
      </c>
      <c r="AZ9" s="9">
        <v>373274.5</v>
      </c>
      <c r="BA9" s="9">
        <v>373591.82500000001</v>
      </c>
      <c r="BB9" s="9">
        <v>383280.63</v>
      </c>
      <c r="BC9" s="9">
        <v>395682.35</v>
      </c>
      <c r="BD9" s="9">
        <v>373618.05</v>
      </c>
      <c r="BE9" s="9">
        <v>79434.992499999993</v>
      </c>
      <c r="BF9" s="9">
        <v>79392.058749999997</v>
      </c>
      <c r="BG9" s="9">
        <v>394584.59</v>
      </c>
      <c r="BH9" s="9">
        <v>87279.272500000006</v>
      </c>
      <c r="BI9" s="9">
        <v>87057.575624999998</v>
      </c>
      <c r="BJ9" s="9">
        <v>87145.527499999997</v>
      </c>
      <c r="BK9" s="9">
        <v>395097.53</v>
      </c>
      <c r="BM9" s="4">
        <f t="shared" si="3"/>
        <v>395682.35</v>
      </c>
      <c r="BO9" s="4">
        <f>HLOOKUP(BM9,AZ9:$BK$13,BQ9,FALSE)</f>
        <v>4</v>
      </c>
      <c r="BQ9" s="4">
        <v>5</v>
      </c>
    </row>
    <row r="10" spans="1:69" x14ac:dyDescent="0.25">
      <c r="A10" s="44"/>
      <c r="B10" s="44"/>
      <c r="C10" s="44"/>
      <c r="D10" s="44"/>
      <c r="E10" s="44"/>
      <c r="F10" s="44"/>
      <c r="G10" s="44"/>
      <c r="H10" s="44"/>
      <c r="I10" s="34"/>
      <c r="L10" s="12"/>
      <c r="M10" s="12"/>
      <c r="P10" s="8"/>
      <c r="Q10" s="8"/>
      <c r="R10" s="8"/>
      <c r="S10" s="8"/>
      <c r="T10" s="8"/>
      <c r="U10" s="8"/>
      <c r="V10" s="8"/>
      <c r="W10" s="8"/>
      <c r="X10" s="8"/>
      <c r="Y10" s="8"/>
      <c r="AB10" s="10" t="s">
        <v>23</v>
      </c>
      <c r="AC10" s="6">
        <v>4132363.392</v>
      </c>
      <c r="AD10" s="6">
        <v>3822569.0860000001</v>
      </c>
      <c r="AE10" s="6">
        <v>4333266.7879999997</v>
      </c>
      <c r="AF10" s="6">
        <v>1090000</v>
      </c>
      <c r="AG10" s="6">
        <v>1090000</v>
      </c>
      <c r="AH10" s="6">
        <v>2090000</v>
      </c>
      <c r="AI10" s="6">
        <v>2090000</v>
      </c>
      <c r="AJ10" s="6">
        <v>1090000</v>
      </c>
      <c r="AK10" s="6">
        <v>1090000</v>
      </c>
      <c r="AL10" s="6">
        <v>1090000</v>
      </c>
      <c r="AM10" s="6">
        <v>2090000</v>
      </c>
      <c r="AN10" s="6">
        <v>2090000</v>
      </c>
      <c r="AO10" s="6">
        <v>2090000</v>
      </c>
      <c r="AP10" s="6">
        <v>1090000</v>
      </c>
      <c r="AQ10" s="6">
        <v>1090000</v>
      </c>
      <c r="AS10" s="4">
        <f t="shared" si="4"/>
        <v>4333266.7879999997</v>
      </c>
      <c r="AU10" s="4">
        <f>HLOOKUP(AS10,AC10:$AQ$13,AW10,FALSE)</f>
        <v>3</v>
      </c>
      <c r="AW10" s="4">
        <v>4</v>
      </c>
      <c r="AY10" s="10" t="s">
        <v>23</v>
      </c>
      <c r="AZ10" s="6">
        <v>14729992.916999999</v>
      </c>
      <c r="BA10" s="6">
        <v>16410679.280999999</v>
      </c>
      <c r="BB10" s="6">
        <v>17440576.368000001</v>
      </c>
      <c r="BC10" s="6">
        <v>1090000</v>
      </c>
      <c r="BD10" s="6">
        <v>14747200.287</v>
      </c>
      <c r="BE10" s="6">
        <v>2090000</v>
      </c>
      <c r="BF10" s="6">
        <v>2090000</v>
      </c>
      <c r="BG10" s="6">
        <v>1090000</v>
      </c>
      <c r="BH10" s="6">
        <v>2090000</v>
      </c>
      <c r="BI10" s="6">
        <v>2090000</v>
      </c>
      <c r="BJ10" s="6">
        <v>2090000</v>
      </c>
      <c r="BK10" s="6">
        <v>1090000</v>
      </c>
      <c r="BM10" s="4">
        <f>MAX(AZ10:BK10)</f>
        <v>17440576.368000001</v>
      </c>
      <c r="BO10" s="4">
        <f>HLOOKUP(BM10,AZ10:$BK$13,BQ10,FALSE)</f>
        <v>3</v>
      </c>
      <c r="BQ10" s="4">
        <v>4</v>
      </c>
    </row>
    <row r="11" spans="1:69" ht="15.75" thickBot="1" x14ac:dyDescent="0.3">
      <c r="A11" s="36" t="s">
        <v>15</v>
      </c>
      <c r="B11" s="36" t="str">
        <f>B1</f>
        <v>R(S_n,i)</v>
      </c>
      <c r="C11" s="36" t="str">
        <f>C1</f>
        <v>Cu(S_n,i)</v>
      </c>
      <c r="D11" s="47" t="s">
        <v>13</v>
      </c>
      <c r="E11" s="58"/>
      <c r="F11" s="36" t="s">
        <v>14</v>
      </c>
      <c r="G11" s="36" t="s">
        <v>18</v>
      </c>
      <c r="H11" s="47" t="str">
        <f>H1</f>
        <v>B=Sum+zeta</v>
      </c>
      <c r="I11" s="47" t="str">
        <f>I6</f>
        <v>B_optT</v>
      </c>
      <c r="L11" s="12" t="s">
        <v>167</v>
      </c>
      <c r="M11" s="12" t="s">
        <v>43</v>
      </c>
      <c r="O11" s="3" t="str">
        <f>O6</f>
        <v>B12/B3</v>
      </c>
      <c r="P11" s="3">
        <f>Q11*0.5</f>
        <v>1500000.5</v>
      </c>
      <c r="Q11" s="3">
        <f>H13</f>
        <v>3000001</v>
      </c>
      <c r="R11" s="3">
        <f>AVERAGE(Q11,S11)</f>
        <v>3040001</v>
      </c>
      <c r="S11" s="3">
        <f>H14</f>
        <v>3080001</v>
      </c>
      <c r="T11" s="3">
        <f>S11*1.5</f>
        <v>4620001.5</v>
      </c>
      <c r="U11" s="8"/>
      <c r="V11" s="3" t="str">
        <f>O11</f>
        <v>B12/B3</v>
      </c>
      <c r="W11" s="3">
        <f>P11</f>
        <v>1500000.5</v>
      </c>
      <c r="X11" s="3">
        <f t="shared" ref="X11:AA11" si="9">Q11</f>
        <v>3000001</v>
      </c>
      <c r="Y11" s="3">
        <f t="shared" si="9"/>
        <v>3040001</v>
      </c>
      <c r="Z11" s="3">
        <f t="shared" si="9"/>
        <v>3080001</v>
      </c>
      <c r="AA11" s="3">
        <f t="shared" si="9"/>
        <v>4620001.5</v>
      </c>
      <c r="AB11" s="10" t="s">
        <v>24</v>
      </c>
      <c r="AC11" s="6">
        <v>0.5</v>
      </c>
      <c r="AD11" s="6">
        <v>0.5</v>
      </c>
      <c r="AE11" s="6">
        <v>0.5</v>
      </c>
      <c r="AF11" s="6">
        <v>0.5</v>
      </c>
      <c r="AG11" s="6">
        <v>0.5</v>
      </c>
      <c r="AH11" s="6">
        <v>0.16666666666666599</v>
      </c>
      <c r="AI11" s="6">
        <v>0.16666666666666599</v>
      </c>
      <c r="AJ11" s="6">
        <v>0.5</v>
      </c>
      <c r="AK11" s="6">
        <v>0.5</v>
      </c>
      <c r="AL11" s="6">
        <v>0.5</v>
      </c>
      <c r="AM11" s="6">
        <v>0.16666666666666599</v>
      </c>
      <c r="AN11" s="6">
        <v>0.16666666666666599</v>
      </c>
      <c r="AO11" s="6">
        <v>0.16666666666666599</v>
      </c>
      <c r="AP11" s="6">
        <v>0.5</v>
      </c>
      <c r="AQ11" s="6">
        <v>0.5</v>
      </c>
      <c r="AS11" s="5" t="s">
        <v>19</v>
      </c>
      <c r="AT11" s="5" t="s">
        <v>25</v>
      </c>
      <c r="AW11" s="4">
        <v>3</v>
      </c>
      <c r="AY11" s="10" t="s">
        <v>24</v>
      </c>
      <c r="AZ11" s="6">
        <v>0.5</v>
      </c>
      <c r="BA11" s="6">
        <v>0.5</v>
      </c>
      <c r="BB11" s="6">
        <v>0.5</v>
      </c>
      <c r="BC11" s="6">
        <v>0.5</v>
      </c>
      <c r="BD11" s="6">
        <v>0.5</v>
      </c>
      <c r="BE11" s="6">
        <v>0.16666666666666599</v>
      </c>
      <c r="BF11" s="6">
        <v>0.16666666666666599</v>
      </c>
      <c r="BG11" s="6">
        <v>0.5</v>
      </c>
      <c r="BH11" s="6">
        <v>0.16666666666666599</v>
      </c>
      <c r="BI11" s="6">
        <v>0.16666666666666599</v>
      </c>
      <c r="BJ11" s="6">
        <v>0.16666666666666599</v>
      </c>
      <c r="BK11" s="6">
        <v>0.5</v>
      </c>
      <c r="BM11" s="5" t="s">
        <v>19</v>
      </c>
      <c r="BN11" s="5" t="s">
        <v>25</v>
      </c>
      <c r="BQ11" s="4">
        <v>3</v>
      </c>
    </row>
    <row r="12" spans="1:69" ht="15.75" thickBot="1" x14ac:dyDescent="0.3">
      <c r="A12" s="35" t="str">
        <f>A7</f>
        <v>O_{1,2},i</v>
      </c>
      <c r="B12" s="50">
        <f>B7</f>
        <v>60000</v>
      </c>
      <c r="C12" s="50">
        <f>C7</f>
        <v>20000</v>
      </c>
      <c r="D12" s="35">
        <v>125000</v>
      </c>
      <c r="E12" s="48" t="b">
        <f>B12&gt;C12</f>
        <v>1</v>
      </c>
      <c r="F12" s="35" t="str">
        <f>F7</f>
        <v>s</v>
      </c>
      <c r="G12" s="35">
        <f>SUM(B12:C12)</f>
        <v>80000</v>
      </c>
      <c r="H12" s="35">
        <f>G12+$M$2</f>
        <v>80001</v>
      </c>
      <c r="I12" s="35"/>
      <c r="K12" s="4">
        <f>H12</f>
        <v>80001</v>
      </c>
      <c r="L12" s="12">
        <f>1/M12</f>
        <v>6</v>
      </c>
      <c r="M12" s="12">
        <f>Q44</f>
        <v>0.16666666666666666</v>
      </c>
      <c r="O12" s="43">
        <f>O13*0.5</f>
        <v>40000.5</v>
      </c>
      <c r="P12" s="13">
        <v>1</v>
      </c>
      <c r="Q12" s="13">
        <v>2</v>
      </c>
      <c r="R12" s="13">
        <v>3</v>
      </c>
      <c r="S12" s="13">
        <v>4</v>
      </c>
      <c r="T12" s="13">
        <v>5</v>
      </c>
      <c r="U12" s="8"/>
      <c r="V12" s="3">
        <f t="shared" ref="V12:V14" si="10">O12</f>
        <v>40000.5</v>
      </c>
      <c r="W12" s="6"/>
      <c r="X12" s="6"/>
      <c r="Y12" s="6"/>
      <c r="Z12" s="6"/>
      <c r="AA12" s="6"/>
      <c r="AS12" s="4">
        <f>MAX(AC11:AQ11)</f>
        <v>0.5</v>
      </c>
      <c r="AT12" s="4">
        <f>MIN(AC11:AQ11)</f>
        <v>0.16666666666666599</v>
      </c>
      <c r="BM12" s="4">
        <f>MAX(AZ11:BK11)</f>
        <v>0.5</v>
      </c>
      <c r="BN12" s="4">
        <f>MIN(AZ11:BK11)</f>
        <v>0.16666666666666599</v>
      </c>
    </row>
    <row r="13" spans="1:69" ht="15.75" thickBot="1" x14ac:dyDescent="0.3">
      <c r="A13" s="35" t="str">
        <f>A8</f>
        <v>O_3,i</v>
      </c>
      <c r="B13" s="50">
        <v>2000000</v>
      </c>
      <c r="C13" s="35">
        <f>L14-B13</f>
        <v>1000000</v>
      </c>
      <c r="D13" s="35">
        <v>500000</v>
      </c>
      <c r="E13" s="48" t="b">
        <f>B13&gt;C13</f>
        <v>1</v>
      </c>
      <c r="F13" s="35" t="str">
        <f t="shared" ref="F13:F14" si="11">F8</f>
        <v>b</v>
      </c>
      <c r="G13" s="35">
        <f>SUM(B13:C13)</f>
        <v>3000000</v>
      </c>
      <c r="H13" s="35">
        <f>G13+$M$2</f>
        <v>3000001</v>
      </c>
      <c r="I13" s="35">
        <f>L14</f>
        <v>3000000</v>
      </c>
      <c r="K13" s="12">
        <f>H13</f>
        <v>3000001</v>
      </c>
      <c r="L13" s="12"/>
      <c r="M13" s="12"/>
      <c r="O13" s="43">
        <f>H12</f>
        <v>80001</v>
      </c>
      <c r="P13" s="13">
        <v>6</v>
      </c>
      <c r="Q13" s="13">
        <v>7</v>
      </c>
      <c r="R13" s="13">
        <v>8</v>
      </c>
      <c r="S13" s="13">
        <v>9</v>
      </c>
      <c r="T13" s="13">
        <v>10</v>
      </c>
      <c r="U13" s="8"/>
      <c r="V13" s="3">
        <f t="shared" si="10"/>
        <v>80001</v>
      </c>
      <c r="W13" s="6"/>
      <c r="X13" s="6"/>
      <c r="Y13" s="6"/>
      <c r="Z13" s="6"/>
      <c r="AA13" s="6"/>
      <c r="AC13" s="4">
        <f>AC2</f>
        <v>1</v>
      </c>
      <c r="AD13" s="4">
        <f t="shared" ref="AD13:AQ13" si="12">AD2</f>
        <v>2</v>
      </c>
      <c r="AE13" s="4">
        <f t="shared" si="12"/>
        <v>3</v>
      </c>
      <c r="AF13" s="4">
        <f t="shared" si="12"/>
        <v>4</v>
      </c>
      <c r="AG13" s="4">
        <f t="shared" si="12"/>
        <v>5</v>
      </c>
      <c r="AH13" s="4">
        <f t="shared" si="12"/>
        <v>6</v>
      </c>
      <c r="AI13" s="4">
        <f t="shared" si="12"/>
        <v>7</v>
      </c>
      <c r="AJ13" s="4">
        <f t="shared" si="12"/>
        <v>8</v>
      </c>
      <c r="AK13" s="4">
        <f t="shared" si="12"/>
        <v>9</v>
      </c>
      <c r="AL13" s="4">
        <f t="shared" si="12"/>
        <v>10</v>
      </c>
      <c r="AM13" s="4">
        <f t="shared" si="12"/>
        <v>11</v>
      </c>
      <c r="AN13" s="4">
        <f t="shared" si="12"/>
        <v>12</v>
      </c>
      <c r="AO13" s="4">
        <f t="shared" si="12"/>
        <v>13</v>
      </c>
      <c r="AP13" s="4">
        <f t="shared" si="12"/>
        <v>14</v>
      </c>
      <c r="AQ13" s="4">
        <f t="shared" si="12"/>
        <v>15</v>
      </c>
      <c r="AS13" s="4">
        <f>HLOOKUP(AS12,AC11:AQ13,AW13,FALSE)</f>
        <v>1</v>
      </c>
      <c r="AT13" s="4">
        <f>HLOOKUP(AT12,AC11:AQ13,AW13,FALSE)</f>
        <v>6</v>
      </c>
      <c r="AW13" s="4">
        <v>3</v>
      </c>
      <c r="AZ13" s="4">
        <f>AZ2</f>
        <v>1</v>
      </c>
      <c r="BA13" s="4">
        <f t="shared" ref="BA13:BK13" si="13">BA2</f>
        <v>2</v>
      </c>
      <c r="BB13" s="4">
        <f t="shared" si="13"/>
        <v>3</v>
      </c>
      <c r="BC13" s="4">
        <f t="shared" si="13"/>
        <v>4</v>
      </c>
      <c r="BD13" s="4">
        <f t="shared" si="13"/>
        <v>5</v>
      </c>
      <c r="BE13" s="4">
        <f t="shared" si="13"/>
        <v>6</v>
      </c>
      <c r="BF13" s="4">
        <f t="shared" si="13"/>
        <v>7</v>
      </c>
      <c r="BG13" s="4">
        <f t="shared" si="13"/>
        <v>8</v>
      </c>
      <c r="BH13" s="4">
        <f t="shared" si="13"/>
        <v>9</v>
      </c>
      <c r="BI13" s="4">
        <f t="shared" si="13"/>
        <v>10</v>
      </c>
      <c r="BJ13" s="4">
        <f t="shared" si="13"/>
        <v>11</v>
      </c>
      <c r="BK13" s="4">
        <f t="shared" si="13"/>
        <v>12</v>
      </c>
      <c r="BM13" s="4">
        <f>HLOOKUP(BM12,AZ11:BK13,BQ13,FALSE)</f>
        <v>1</v>
      </c>
      <c r="BN13" s="4">
        <f>HLOOKUP(BN12,AZ11:BK13,BQ13,FALSE)</f>
        <v>6</v>
      </c>
      <c r="BQ13" s="4">
        <v>3</v>
      </c>
    </row>
    <row r="14" spans="1:69" x14ac:dyDescent="0.25">
      <c r="A14" s="44"/>
      <c r="B14" s="44"/>
      <c r="C14" s="44"/>
      <c r="D14" s="44"/>
      <c r="E14" s="44"/>
      <c r="F14" s="35" t="str">
        <f t="shared" si="11"/>
        <v>ch</v>
      </c>
      <c r="G14" s="35">
        <f>SUM(B12:C13)</f>
        <v>3080000</v>
      </c>
      <c r="H14" s="35">
        <f>G14+$M$2</f>
        <v>3080001</v>
      </c>
      <c r="I14" s="35"/>
      <c r="K14" s="4">
        <f>H14</f>
        <v>3080001</v>
      </c>
      <c r="L14" s="12">
        <f>D13/M12</f>
        <v>3000000</v>
      </c>
      <c r="M14" s="12"/>
      <c r="O14" s="43">
        <f>O13*1.5</f>
        <v>120001.5</v>
      </c>
      <c r="P14" s="13">
        <v>11</v>
      </c>
      <c r="Q14" s="13">
        <v>12</v>
      </c>
      <c r="R14" s="13">
        <v>13</v>
      </c>
      <c r="S14" s="13">
        <v>14</v>
      </c>
      <c r="T14" s="13">
        <v>15</v>
      </c>
      <c r="V14" s="3">
        <f t="shared" si="10"/>
        <v>120001.5</v>
      </c>
      <c r="W14" s="6"/>
      <c r="X14" s="6"/>
      <c r="Y14" s="6"/>
      <c r="Z14" s="6"/>
      <c r="AA14" s="6"/>
    </row>
    <row r="15" spans="1:69" x14ac:dyDescent="0.25">
      <c r="A15" s="44"/>
      <c r="B15" s="44"/>
      <c r="C15" s="44"/>
      <c r="D15" s="44"/>
      <c r="E15" s="44"/>
      <c r="F15" s="44"/>
      <c r="G15" s="44"/>
      <c r="H15" s="44"/>
      <c r="I15" s="34"/>
      <c r="L15" s="12"/>
      <c r="M15" s="12"/>
      <c r="AA15" s="7"/>
      <c r="AB15" s="7"/>
      <c r="AC15" s="7"/>
      <c r="AD15" s="7"/>
      <c r="AE15" s="7"/>
      <c r="AF15" s="4">
        <f>AF3</f>
        <v>531708.53</v>
      </c>
      <c r="AG15" s="5"/>
      <c r="AH15" s="5"/>
      <c r="AI15" s="5"/>
      <c r="AK15" s="4">
        <f>AK3</f>
        <v>531508.27</v>
      </c>
      <c r="AP15" s="4">
        <f>AP3</f>
        <v>531281.66</v>
      </c>
      <c r="AX15" s="17">
        <f t="shared" ref="AX15:AX21" si="14">(AF15-BC15)/AF15</f>
        <v>0.30772222142082245</v>
      </c>
      <c r="AY15" s="17">
        <f t="shared" ref="AY15:AY21" si="15">(AK15-BG15)/AK15</f>
        <v>0.3071979858375487</v>
      </c>
      <c r="AZ15" s="17">
        <f t="shared" ref="AZ15:AZ21" si="16">(AP15-BK15)/AP15</f>
        <v>0.30599900625216392</v>
      </c>
      <c r="BC15" s="4">
        <f>BC3</f>
        <v>368090</v>
      </c>
      <c r="BG15" s="4">
        <f>BG3</f>
        <v>368230</v>
      </c>
      <c r="BK15" s="4">
        <f>BK3</f>
        <v>368710</v>
      </c>
    </row>
    <row r="16" spans="1:69" ht="15.75" thickBot="1" x14ac:dyDescent="0.3">
      <c r="A16" s="36" t="s">
        <v>16</v>
      </c>
      <c r="B16" s="36" t="str">
        <f>B1</f>
        <v>R(S_n,i)</v>
      </c>
      <c r="C16" s="36" t="str">
        <f>C1</f>
        <v>Cu(S_n,i)</v>
      </c>
      <c r="D16" s="47" t="s">
        <v>13</v>
      </c>
      <c r="E16" s="58"/>
      <c r="F16" s="36" t="s">
        <v>14</v>
      </c>
      <c r="G16" s="36" t="s">
        <v>18</v>
      </c>
      <c r="H16" s="47" t="str">
        <f>H1</f>
        <v>B=Sum+zeta</v>
      </c>
      <c r="I16" s="47" t="str">
        <f>I11</f>
        <v>B_optT</v>
      </c>
      <c r="L16" s="12" t="s">
        <v>168</v>
      </c>
      <c r="M16" s="12" t="s">
        <v>129</v>
      </c>
      <c r="O16" s="3" t="str">
        <f>O11</f>
        <v>B12/B3</v>
      </c>
      <c r="P16" s="3">
        <f>Q16*0.5</f>
        <v>2875000.5</v>
      </c>
      <c r="Q16" s="3">
        <f>H18</f>
        <v>5750001</v>
      </c>
      <c r="R16" s="3">
        <f>AVERAGE(Q16,S16)</f>
        <v>7250000.9879999999</v>
      </c>
      <c r="S16" s="3">
        <f>H19</f>
        <v>8750000.9759999998</v>
      </c>
      <c r="T16" s="3">
        <f>S16*1.5</f>
        <v>13125001.464</v>
      </c>
      <c r="V16" s="3" t="str">
        <f>O16</f>
        <v>B12/B3</v>
      </c>
      <c r="W16" s="3">
        <f>P16</f>
        <v>2875000.5</v>
      </c>
      <c r="X16" s="3">
        <f t="shared" ref="X16:AA16" si="17">Q16</f>
        <v>5750001</v>
      </c>
      <c r="Y16" s="3">
        <f t="shared" si="17"/>
        <v>7250000.9879999999</v>
      </c>
      <c r="Z16" s="3">
        <f t="shared" si="17"/>
        <v>8750000.9759999998</v>
      </c>
      <c r="AA16" s="3">
        <f t="shared" si="17"/>
        <v>13125001.464</v>
      </c>
      <c r="AF16" s="4">
        <f t="shared" ref="AF16:AF22" si="18">AF4</f>
        <v>542078.57250000001</v>
      </c>
      <c r="AK16" s="4">
        <f t="shared" ref="AK16:AK22" si="19">AK4</f>
        <v>542239.3075</v>
      </c>
      <c r="AP16" s="4">
        <f t="shared" ref="AP16:AP22" si="20">AP4</f>
        <v>542679.35250000004</v>
      </c>
      <c r="AX16" s="17">
        <f t="shared" si="14"/>
        <v>0.24700030455455793</v>
      </c>
      <c r="AY16" s="17">
        <f t="shared" si="15"/>
        <v>0.24488137555391076</v>
      </c>
      <c r="AZ16" s="17">
        <f t="shared" si="16"/>
        <v>0.24760358373870514</v>
      </c>
      <c r="BC16" s="4">
        <f t="shared" ref="BC16:BC22" si="21">BC4</f>
        <v>408185</v>
      </c>
      <c r="BG16" s="4">
        <f t="shared" ref="BG16:BG22" si="22">BG4</f>
        <v>409455</v>
      </c>
      <c r="BK16" s="4">
        <f t="shared" ref="BK16:BK22" si="23">BK4</f>
        <v>408310</v>
      </c>
    </row>
    <row r="17" spans="1:63" ht="15.75" thickBot="1" x14ac:dyDescent="0.3">
      <c r="A17" s="35" t="str">
        <f>A12</f>
        <v>O_{1,2},i</v>
      </c>
      <c r="B17" s="50">
        <v>2000000</v>
      </c>
      <c r="C17" s="35">
        <f>L19-B17</f>
        <v>999999.97600000026</v>
      </c>
      <c r="D17" s="35">
        <v>125000</v>
      </c>
      <c r="E17" s="48" t="b">
        <f>B17&gt;C17</f>
        <v>1</v>
      </c>
      <c r="F17" s="35" t="str">
        <f>F12</f>
        <v>s</v>
      </c>
      <c r="G17" s="35">
        <f>SUM(B17:C17)</f>
        <v>2999999.9760000003</v>
      </c>
      <c r="H17" s="35">
        <f>G17+$M$2</f>
        <v>3000000.9760000003</v>
      </c>
      <c r="I17" s="35">
        <f>L19</f>
        <v>2999999.9760000003</v>
      </c>
      <c r="K17" s="4">
        <f>H17</f>
        <v>3000000.9760000003</v>
      </c>
      <c r="L17" s="12">
        <f>1/M17</f>
        <v>23.999999808000002</v>
      </c>
      <c r="M17" s="12">
        <f>MIN(R48:S48)</f>
        <v>4.1666666999999998E-2</v>
      </c>
      <c r="O17" s="43">
        <f>O18*0.5</f>
        <v>1500000.4880000001</v>
      </c>
      <c r="P17" s="13">
        <v>1</v>
      </c>
      <c r="Q17" s="13">
        <v>2</v>
      </c>
      <c r="R17" s="13">
        <v>3</v>
      </c>
      <c r="S17" s="13">
        <v>4</v>
      </c>
      <c r="T17" s="13">
        <v>5</v>
      </c>
      <c r="V17" s="3">
        <f t="shared" ref="V17:V19" si="24">O17</f>
        <v>1500000.4880000001</v>
      </c>
      <c r="W17" s="6"/>
      <c r="X17" s="6"/>
      <c r="Y17" s="6"/>
      <c r="Z17" s="6"/>
      <c r="AA17" s="6"/>
      <c r="AF17" s="4">
        <f t="shared" si="18"/>
        <v>165000</v>
      </c>
      <c r="AK17" s="4">
        <f t="shared" si="19"/>
        <v>165000</v>
      </c>
      <c r="AP17" s="4">
        <f t="shared" si="20"/>
        <v>165000</v>
      </c>
      <c r="AX17" s="17">
        <f t="shared" si="14"/>
        <v>0</v>
      </c>
      <c r="AY17" s="17">
        <f t="shared" si="15"/>
        <v>0</v>
      </c>
      <c r="AZ17" s="17">
        <f t="shared" si="16"/>
        <v>0</v>
      </c>
      <c r="BC17" s="4">
        <f t="shared" si="21"/>
        <v>165000</v>
      </c>
      <c r="BG17" s="4">
        <f t="shared" si="22"/>
        <v>165000</v>
      </c>
      <c r="BK17" s="4">
        <f t="shared" si="23"/>
        <v>165000</v>
      </c>
    </row>
    <row r="18" spans="1:63" ht="15.75" thickBot="1" x14ac:dyDescent="0.3">
      <c r="A18" s="35" t="str">
        <f>A13</f>
        <v>O_3,i</v>
      </c>
      <c r="B18" s="50">
        <v>3250000</v>
      </c>
      <c r="C18" s="50">
        <v>2500000</v>
      </c>
      <c r="D18" s="35">
        <v>500000</v>
      </c>
      <c r="E18" s="48" t="b">
        <f>B18&gt;C18</f>
        <v>1</v>
      </c>
      <c r="F18" s="35" t="str">
        <f t="shared" ref="F18:F19" si="25">F13</f>
        <v>b</v>
      </c>
      <c r="G18" s="35">
        <f>SUM(B18:C18)</f>
        <v>5750000</v>
      </c>
      <c r="H18" s="35">
        <f>G18+$M$2</f>
        <v>5750001</v>
      </c>
      <c r="I18" s="35"/>
      <c r="K18" s="12">
        <f>H18</f>
        <v>5750001</v>
      </c>
      <c r="L18" s="12"/>
      <c r="M18" s="12"/>
      <c r="O18" s="43">
        <f>H17</f>
        <v>3000000.9760000003</v>
      </c>
      <c r="P18" s="13">
        <v>6</v>
      </c>
      <c r="Q18" s="13">
        <v>7</v>
      </c>
      <c r="R18" s="13">
        <v>8</v>
      </c>
      <c r="S18" s="13">
        <v>9</v>
      </c>
      <c r="T18" s="13">
        <v>10</v>
      </c>
      <c r="V18" s="3">
        <f t="shared" si="24"/>
        <v>3000000.9760000003</v>
      </c>
      <c r="W18" s="6"/>
      <c r="X18" s="6"/>
      <c r="Y18" s="6"/>
      <c r="Z18" s="6"/>
      <c r="AA18" s="6"/>
      <c r="AF18" s="4">
        <f t="shared" si="18"/>
        <v>165000</v>
      </c>
      <c r="AK18" s="4">
        <f t="shared" si="19"/>
        <v>165000</v>
      </c>
      <c r="AP18" s="4">
        <f t="shared" si="20"/>
        <v>165000</v>
      </c>
      <c r="AX18" s="17">
        <f t="shared" si="14"/>
        <v>0</v>
      </c>
      <c r="AY18" s="17">
        <f t="shared" si="15"/>
        <v>0</v>
      </c>
      <c r="AZ18" s="17">
        <f t="shared" si="16"/>
        <v>0</v>
      </c>
      <c r="BC18" s="4">
        <f t="shared" si="21"/>
        <v>165000</v>
      </c>
      <c r="BG18" s="4">
        <f t="shared" si="22"/>
        <v>165000</v>
      </c>
      <c r="BK18" s="4">
        <f t="shared" si="23"/>
        <v>165000</v>
      </c>
    </row>
    <row r="19" spans="1:63" x14ac:dyDescent="0.25">
      <c r="A19" s="34"/>
      <c r="B19" s="34"/>
      <c r="C19" s="34"/>
      <c r="D19" s="34"/>
      <c r="E19" s="34"/>
      <c r="F19" s="35" t="str">
        <f t="shared" si="25"/>
        <v>ch</v>
      </c>
      <c r="G19" s="35">
        <f>SUM(B17:C18)</f>
        <v>8749999.9759999998</v>
      </c>
      <c r="H19" s="35">
        <f>G19+$M$2</f>
        <v>8750000.9759999998</v>
      </c>
      <c r="I19" s="35"/>
      <c r="K19" s="4">
        <f>H19</f>
        <v>8750000.9759999998</v>
      </c>
      <c r="L19" s="12">
        <f>D17/M17</f>
        <v>2999999.9760000003</v>
      </c>
      <c r="M19" s="12"/>
      <c r="O19" s="43">
        <f>O18*1.5</f>
        <v>4500001.4640000006</v>
      </c>
      <c r="P19" s="13">
        <v>11</v>
      </c>
      <c r="Q19" s="13">
        <v>12</v>
      </c>
      <c r="R19" s="13">
        <v>13</v>
      </c>
      <c r="S19" s="13">
        <v>14</v>
      </c>
      <c r="T19" s="13">
        <v>15</v>
      </c>
      <c r="V19" s="3">
        <f t="shared" si="24"/>
        <v>4500001.4640000006</v>
      </c>
      <c r="W19" s="6"/>
      <c r="X19" s="6"/>
      <c r="Y19" s="6"/>
      <c r="Z19" s="6"/>
      <c r="AA19" s="6"/>
      <c r="AF19" s="4">
        <f t="shared" si="18"/>
        <v>165000</v>
      </c>
      <c r="AK19" s="4">
        <f t="shared" si="19"/>
        <v>165000</v>
      </c>
      <c r="AP19" s="4">
        <f t="shared" si="20"/>
        <v>165000</v>
      </c>
      <c r="AX19" s="17">
        <f t="shared" si="14"/>
        <v>0</v>
      </c>
      <c r="AY19" s="17">
        <f t="shared" si="15"/>
        <v>0</v>
      </c>
      <c r="AZ19" s="17">
        <f t="shared" si="16"/>
        <v>0</v>
      </c>
      <c r="BC19" s="4">
        <f t="shared" si="21"/>
        <v>165000</v>
      </c>
      <c r="BG19" s="4">
        <f t="shared" si="22"/>
        <v>165000</v>
      </c>
      <c r="BK19" s="4">
        <f t="shared" si="23"/>
        <v>165000</v>
      </c>
    </row>
    <row r="20" spans="1:63" x14ac:dyDescent="0.25">
      <c r="A20" s="34"/>
      <c r="B20" s="34" t="b">
        <f>B18&gt;B17</f>
        <v>1</v>
      </c>
      <c r="C20" s="34" t="b">
        <f>C18&gt;C17</f>
        <v>1</v>
      </c>
      <c r="D20" s="34"/>
      <c r="E20" s="34"/>
      <c r="F20" s="34"/>
      <c r="G20" s="34"/>
      <c r="H20" s="34"/>
      <c r="I20" s="34"/>
      <c r="K20" s="12"/>
      <c r="L20" s="12"/>
      <c r="Z20" s="7"/>
      <c r="AA20" s="14"/>
      <c r="AF20" s="4">
        <f t="shared" si="18"/>
        <v>165000</v>
      </c>
      <c r="AK20" s="4">
        <f t="shared" si="19"/>
        <v>165000</v>
      </c>
      <c r="AP20" s="4">
        <f t="shared" si="20"/>
        <v>165000</v>
      </c>
      <c r="AX20" s="17">
        <f t="shared" si="14"/>
        <v>0</v>
      </c>
      <c r="AY20" s="17">
        <f t="shared" si="15"/>
        <v>0</v>
      </c>
      <c r="AZ20" s="17">
        <f t="shared" si="16"/>
        <v>0</v>
      </c>
      <c r="BC20" s="4">
        <f t="shared" si="21"/>
        <v>165000</v>
      </c>
      <c r="BG20" s="4">
        <f t="shared" si="22"/>
        <v>165000</v>
      </c>
      <c r="BK20" s="4">
        <f t="shared" si="23"/>
        <v>165000</v>
      </c>
    </row>
    <row r="21" spans="1:63" x14ac:dyDescent="0.25">
      <c r="A21" s="42"/>
      <c r="B21" s="42"/>
      <c r="C21" s="42"/>
      <c r="D21" s="54"/>
      <c r="E21" s="44"/>
      <c r="F21" s="42"/>
      <c r="G21" s="42"/>
      <c r="H21" s="54"/>
      <c r="I21" s="54"/>
      <c r="J21" s="8"/>
      <c r="K21" s="11"/>
      <c r="L21" s="11"/>
      <c r="O21" s="3"/>
      <c r="P21" s="3"/>
      <c r="Q21" s="3"/>
      <c r="R21" s="3"/>
      <c r="S21" s="3"/>
      <c r="T21" s="3"/>
      <c r="V21" s="3"/>
      <c r="W21" s="3"/>
      <c r="X21" s="3"/>
      <c r="Y21" s="3"/>
      <c r="Z21" s="3"/>
      <c r="AA21" s="3"/>
      <c r="AF21" s="4">
        <f t="shared" si="18"/>
        <v>141906.96</v>
      </c>
      <c r="AK21" s="4">
        <f t="shared" si="19"/>
        <v>141949.56</v>
      </c>
      <c r="AP21" s="4">
        <f t="shared" si="20"/>
        <v>141785.70000000001</v>
      </c>
      <c r="AX21" s="18">
        <f t="shared" si="14"/>
        <v>-1.7883223627650116</v>
      </c>
      <c r="AY21" s="18">
        <f t="shared" si="15"/>
        <v>-1.7797521175831756</v>
      </c>
      <c r="AZ21" s="18">
        <f t="shared" si="16"/>
        <v>-1.7865823563307159</v>
      </c>
      <c r="BC21" s="4">
        <f t="shared" si="21"/>
        <v>395682.35</v>
      </c>
      <c r="BG21" s="4">
        <f t="shared" si="22"/>
        <v>394584.59</v>
      </c>
      <c r="BK21" s="4">
        <f t="shared" si="23"/>
        <v>395097.53</v>
      </c>
    </row>
    <row r="22" spans="1:63" x14ac:dyDescent="0.25">
      <c r="A22" s="44"/>
      <c r="B22" s="55"/>
      <c r="C22" s="44"/>
      <c r="D22" s="44"/>
      <c r="E22" s="44" t="s">
        <v>131</v>
      </c>
      <c r="F22" s="44"/>
      <c r="G22" s="44" t="s">
        <v>63</v>
      </c>
      <c r="H22" s="44"/>
      <c r="I22" s="44" t="s">
        <v>130</v>
      </c>
      <c r="J22" s="8"/>
      <c r="K22" s="11"/>
      <c r="L22" s="11"/>
      <c r="O22" s="43"/>
      <c r="P22" s="13"/>
      <c r="Q22" s="13"/>
      <c r="R22" s="13"/>
      <c r="S22" s="13"/>
      <c r="T22" s="13"/>
      <c r="V22" s="33"/>
      <c r="W22" s="6"/>
      <c r="X22" s="6"/>
      <c r="Y22" s="6"/>
      <c r="Z22" s="6"/>
      <c r="AA22" s="6"/>
      <c r="AF22" s="4">
        <f t="shared" si="18"/>
        <v>1090000</v>
      </c>
      <c r="AK22" s="4">
        <f t="shared" si="19"/>
        <v>1090000</v>
      </c>
      <c r="AP22" s="4">
        <f t="shared" si="20"/>
        <v>1090000</v>
      </c>
      <c r="AX22" s="18">
        <f>(BC21-AF21)/BC21</f>
        <v>0.64136141023222293</v>
      </c>
      <c r="AY22" s="18">
        <f>(BG21-AK21)/BG21</f>
        <v>0.64025569270203886</v>
      </c>
      <c r="AZ22" s="18">
        <f>(BK21-AP21)/BK21</f>
        <v>0.64113746800695004</v>
      </c>
      <c r="BC22" s="4">
        <f t="shared" si="21"/>
        <v>1090000</v>
      </c>
      <c r="BG22" s="4">
        <f t="shared" si="22"/>
        <v>1090000</v>
      </c>
      <c r="BK22" s="4">
        <f t="shared" si="23"/>
        <v>1090000</v>
      </c>
    </row>
    <row r="23" spans="1:63" ht="15.75" x14ac:dyDescent="0.25">
      <c r="A23" s="44"/>
      <c r="B23" s="74" t="s">
        <v>169</v>
      </c>
      <c r="C23" s="74" t="s">
        <v>170</v>
      </c>
      <c r="D23" s="75" t="s">
        <v>171</v>
      </c>
      <c r="E23" s="74">
        <f>H4</f>
        <v>131251</v>
      </c>
      <c r="F23" s="74" t="s">
        <v>172</v>
      </c>
      <c r="G23" s="74">
        <f>H3</f>
        <v>86251</v>
      </c>
      <c r="H23" s="75" t="s">
        <v>172</v>
      </c>
      <c r="I23" s="74">
        <f>H2</f>
        <v>45001</v>
      </c>
      <c r="J23" s="75" t="s">
        <v>173</v>
      </c>
      <c r="O23" s="43"/>
      <c r="P23" s="13"/>
      <c r="Q23" s="13"/>
      <c r="R23" s="13"/>
      <c r="S23" s="13"/>
      <c r="T23" s="13"/>
      <c r="V23" s="33"/>
      <c r="W23" s="6"/>
      <c r="X23" s="6"/>
      <c r="Y23" s="6"/>
      <c r="Z23" s="6"/>
      <c r="AA23" s="6"/>
    </row>
    <row r="24" spans="1:63" ht="15.75" x14ac:dyDescent="0.25">
      <c r="A24" s="44"/>
      <c r="B24" s="74" t="s">
        <v>102</v>
      </c>
      <c r="C24" s="74" t="s">
        <v>170</v>
      </c>
      <c r="D24" s="75" t="s">
        <v>171</v>
      </c>
      <c r="E24" s="74">
        <f>H9</f>
        <v>1384616.3846153847</v>
      </c>
      <c r="F24" s="74" t="s">
        <v>172</v>
      </c>
      <c r="G24" s="74">
        <f>H8</f>
        <v>1304616.3846153847</v>
      </c>
      <c r="H24" s="74" t="s">
        <v>172</v>
      </c>
      <c r="I24" s="74">
        <f>H7</f>
        <v>80001</v>
      </c>
      <c r="J24" s="75" t="s">
        <v>173</v>
      </c>
      <c r="O24" s="43"/>
      <c r="P24" s="13"/>
      <c r="Q24" s="13"/>
      <c r="R24" s="13"/>
      <c r="S24" s="13"/>
      <c r="T24" s="13"/>
      <c r="V24" s="33"/>
      <c r="W24" s="6"/>
      <c r="X24" s="6"/>
      <c r="Y24" s="6"/>
      <c r="Z24" s="6"/>
      <c r="AA24" s="6"/>
      <c r="AM24" s="8"/>
      <c r="AN24" s="8"/>
      <c r="AO24" s="8"/>
      <c r="AP24" s="8"/>
      <c r="AQ24" s="8"/>
    </row>
    <row r="25" spans="1:63" ht="15.75" x14ac:dyDescent="0.25">
      <c r="A25" s="44"/>
      <c r="B25" s="74" t="s">
        <v>103</v>
      </c>
      <c r="C25" s="74" t="s">
        <v>170</v>
      </c>
      <c r="D25" s="75" t="s">
        <v>171</v>
      </c>
      <c r="E25" s="74">
        <f>H14</f>
        <v>3080001</v>
      </c>
      <c r="F25" s="74" t="s">
        <v>172</v>
      </c>
      <c r="G25" s="74">
        <f>H13</f>
        <v>3000001</v>
      </c>
      <c r="H25" s="74" t="s">
        <v>172</v>
      </c>
      <c r="I25" s="74">
        <f>H12</f>
        <v>80001</v>
      </c>
      <c r="J25" s="75" t="s">
        <v>173</v>
      </c>
      <c r="Z25" s="8"/>
      <c r="AA25" s="8"/>
      <c r="AB25" s="3" t="s">
        <v>26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7"/>
      <c r="AN25" s="5" t="s">
        <v>19</v>
      </c>
      <c r="AO25" s="5"/>
      <c r="AP25" s="5" t="s">
        <v>20</v>
      </c>
      <c r="AW25" s="3" t="s">
        <v>29</v>
      </c>
      <c r="AX25" s="3" t="s">
        <v>26</v>
      </c>
      <c r="AY25" s="3" t="s">
        <v>30</v>
      </c>
      <c r="AZ25" s="3" t="s">
        <v>21</v>
      </c>
      <c r="BB25" s="3" t="s">
        <v>31</v>
      </c>
      <c r="BC25" s="3" t="s">
        <v>32</v>
      </c>
      <c r="BD25" s="3" t="s">
        <v>33</v>
      </c>
    </row>
    <row r="26" spans="1:63" ht="15.75" x14ac:dyDescent="0.25">
      <c r="A26" s="42"/>
      <c r="B26" s="74" t="s">
        <v>104</v>
      </c>
      <c r="C26" s="74" t="s">
        <v>170</v>
      </c>
      <c r="D26" s="75" t="s">
        <v>171</v>
      </c>
      <c r="E26" s="74">
        <f>H19</f>
        <v>8750000.9759999998</v>
      </c>
      <c r="F26" s="74" t="s">
        <v>172</v>
      </c>
      <c r="G26" s="74">
        <f>H18</f>
        <v>5750001</v>
      </c>
      <c r="H26" s="74" t="s">
        <v>172</v>
      </c>
      <c r="I26" s="74">
        <f>H17</f>
        <v>3000000.9760000003</v>
      </c>
      <c r="J26" s="75" t="s">
        <v>173</v>
      </c>
      <c r="O26" s="3"/>
      <c r="P26" s="3"/>
      <c r="Q26" s="3"/>
      <c r="R26" s="3"/>
      <c r="S26" s="3"/>
      <c r="T26" s="3"/>
      <c r="V26" s="3"/>
      <c r="W26" s="3"/>
      <c r="X26" s="3"/>
      <c r="Y26" s="3"/>
      <c r="Z26" s="3"/>
      <c r="AA26" s="3"/>
      <c r="AB26" s="3" t="s">
        <v>0</v>
      </c>
      <c r="AC26" s="9">
        <v>-1951819.4650000001</v>
      </c>
      <c r="AD26" s="9">
        <v>-3295763.13</v>
      </c>
      <c r="AE26" s="9">
        <v>-4552564.1968750004</v>
      </c>
      <c r="AF26" s="9">
        <v>459405.85125000001</v>
      </c>
      <c r="AG26" s="9">
        <v>392336.52687499998</v>
      </c>
      <c r="AH26" s="9">
        <v>90000</v>
      </c>
      <c r="AI26" s="9">
        <v>-3317529.5750000002</v>
      </c>
      <c r="AJ26" s="9">
        <v>-4532308.1900000004</v>
      </c>
      <c r="AK26" s="9">
        <v>458623.10749999998</v>
      </c>
      <c r="AL26" s="9">
        <v>393958.135625</v>
      </c>
      <c r="AM26" s="14"/>
      <c r="AN26" s="4">
        <f t="shared" ref="AN26:AN33" si="26">MAX(AC26:AM26)</f>
        <v>459405.85125000001</v>
      </c>
      <c r="AP26" s="4">
        <f>HLOOKUP(AN26,AC26:$AL$36,AR26,FALSE)</f>
        <v>4</v>
      </c>
      <c r="AR26" s="4">
        <v>11</v>
      </c>
      <c r="AW26" s="3" t="s">
        <v>0</v>
      </c>
      <c r="AX26" s="6">
        <f>AVERAGE(AF15,AK15,AP15)</f>
        <v>531499.48666666669</v>
      </c>
      <c r="AY26" s="6">
        <f t="shared" ref="AY26:AY33" si="27">AVERAGE(AF26,AK26)</f>
        <v>459014.479375</v>
      </c>
      <c r="AZ26" s="6">
        <f>AVERAGE(BC15,BG15,BK15)</f>
        <v>368343.33333333331</v>
      </c>
      <c r="BB26" s="17">
        <f>-(AX26-AY26)/AX26</f>
        <v>-0.13637832041242617</v>
      </c>
      <c r="BC26" s="17">
        <f>-(AX26-AZ26)/AX26</f>
        <v>-0.30697330369325043</v>
      </c>
      <c r="BD26" s="17">
        <f>-(AY26-AZ26)/AY26</f>
        <v>-0.19753439186738875</v>
      </c>
    </row>
    <row r="27" spans="1:63" ht="15.75" x14ac:dyDescent="0.25">
      <c r="A27" s="44"/>
      <c r="B27" s="55"/>
      <c r="C27" s="44"/>
      <c r="D27" s="44"/>
      <c r="E27" s="74"/>
      <c r="F27" s="74"/>
      <c r="G27" s="74"/>
      <c r="H27" s="74"/>
      <c r="I27" s="74"/>
      <c r="J27" s="74"/>
      <c r="K27" s="74"/>
      <c r="L27" s="74"/>
      <c r="M27" s="75"/>
      <c r="O27" s="43"/>
      <c r="P27" s="13"/>
      <c r="Q27" s="13"/>
      <c r="R27" s="13"/>
      <c r="S27" s="13"/>
      <c r="T27" s="13"/>
      <c r="V27" s="33"/>
      <c r="W27" s="6"/>
      <c r="X27" s="6"/>
      <c r="Y27" s="6"/>
      <c r="Z27" s="6"/>
      <c r="AA27" s="6"/>
      <c r="AB27" s="3" t="s">
        <v>1</v>
      </c>
      <c r="AC27" s="9">
        <v>-1482796.33</v>
      </c>
      <c r="AD27" s="9">
        <v>-2174722.2749999999</v>
      </c>
      <c r="AE27" s="9">
        <v>-3010183.0325000002</v>
      </c>
      <c r="AF27" s="9">
        <v>482660.72499999998</v>
      </c>
      <c r="AG27" s="9">
        <v>430497.5</v>
      </c>
      <c r="AH27" s="9">
        <v>90000</v>
      </c>
      <c r="AI27" s="9">
        <v>-2170910.6850000001</v>
      </c>
      <c r="AJ27" s="9">
        <v>-3026923.395</v>
      </c>
      <c r="AK27" s="9">
        <v>483526.17375000002</v>
      </c>
      <c r="AL27" s="9">
        <v>430439.90187499998</v>
      </c>
      <c r="AM27" s="14"/>
      <c r="AN27" s="4">
        <f t="shared" si="26"/>
        <v>483526.17375000002</v>
      </c>
      <c r="AP27" s="4">
        <f>HLOOKUP(AN27,AC27:$AL$36,AR27,FALSE)</f>
        <v>9</v>
      </c>
      <c r="AR27" s="4">
        <v>10</v>
      </c>
      <c r="AW27" s="3" t="s">
        <v>1</v>
      </c>
      <c r="AX27" s="6">
        <f t="shared" ref="AX27:AX33" si="28">AVERAGE(AF16,AK16,AP16)</f>
        <v>542332.41083333327</v>
      </c>
      <c r="AY27" s="6">
        <f t="shared" si="27"/>
        <v>483093.44937499997</v>
      </c>
      <c r="AZ27" s="6">
        <f t="shared" ref="AZ27:AZ33" si="29">AVERAGE(BC16,BG16,BK16)</f>
        <v>408650</v>
      </c>
      <c r="BB27" s="17">
        <f>-(AX27-AY27)/AX27</f>
        <v>-0.10922998566010156</v>
      </c>
      <c r="BC27" s="17">
        <f>-(AY27-AZ27)/AY27</f>
        <v>-0.15409741007937669</v>
      </c>
      <c r="BD27" s="17">
        <f>-(AY27-AZ27)/AY27</f>
        <v>-0.15409741007937669</v>
      </c>
    </row>
    <row r="28" spans="1:63" x14ac:dyDescent="0.25">
      <c r="A28" s="44"/>
      <c r="B28" s="55"/>
      <c r="C28" s="55"/>
      <c r="D28" s="44"/>
      <c r="E28" s="44"/>
      <c r="F28" s="44"/>
      <c r="G28" s="44"/>
      <c r="H28" s="44"/>
      <c r="I28" s="44"/>
      <c r="J28" s="8"/>
      <c r="K28" s="11"/>
      <c r="L28" s="11"/>
      <c r="O28" s="43"/>
      <c r="P28" s="13"/>
      <c r="Q28" s="13"/>
      <c r="R28" s="13"/>
      <c r="S28" s="13"/>
      <c r="T28" s="13"/>
      <c r="V28" s="33"/>
      <c r="W28" s="6"/>
      <c r="X28" s="6"/>
      <c r="Y28" s="6"/>
      <c r="Z28" s="6"/>
      <c r="AA28" s="6"/>
      <c r="AB28" s="3" t="s">
        <v>2</v>
      </c>
      <c r="AC28" s="9">
        <v>151868.89799999999</v>
      </c>
      <c r="AD28" s="9">
        <v>151860.375</v>
      </c>
      <c r="AE28" s="9">
        <v>151782.72099999999</v>
      </c>
      <c r="AF28" s="9">
        <v>165000</v>
      </c>
      <c r="AG28" s="9">
        <v>165000</v>
      </c>
      <c r="AH28" s="9">
        <v>159680</v>
      </c>
      <c r="AI28" s="9">
        <v>151791.24400000001</v>
      </c>
      <c r="AJ28" s="9">
        <v>151943.71100000001</v>
      </c>
      <c r="AK28" s="9">
        <v>165000</v>
      </c>
      <c r="AL28" s="9">
        <v>165000</v>
      </c>
      <c r="AM28" s="14"/>
      <c r="AN28" s="4">
        <f t="shared" si="26"/>
        <v>165000</v>
      </c>
      <c r="AP28" s="4">
        <f>HLOOKUP(AN28,AC28:$AL$36,AR28,FALSE)</f>
        <v>4</v>
      </c>
      <c r="AR28" s="4">
        <v>9</v>
      </c>
      <c r="AW28" s="3" t="s">
        <v>2</v>
      </c>
      <c r="AX28" s="6">
        <f t="shared" si="28"/>
        <v>165000</v>
      </c>
      <c r="AY28" s="6">
        <f t="shared" si="27"/>
        <v>165000</v>
      </c>
      <c r="AZ28" s="6">
        <f t="shared" si="29"/>
        <v>165000</v>
      </c>
      <c r="BB28" s="17">
        <f t="shared" ref="BB28:BC33" si="30">(AX28-AY28)/AX28</f>
        <v>0</v>
      </c>
      <c r="BC28" s="17">
        <f t="shared" si="30"/>
        <v>0</v>
      </c>
      <c r="BD28" s="17">
        <f t="shared" ref="BD28:BD33" si="31">(AY28-AZ28)/AY28</f>
        <v>0</v>
      </c>
    </row>
    <row r="29" spans="1:63" x14ac:dyDescent="0.25">
      <c r="A29" s="44"/>
      <c r="B29" s="44"/>
      <c r="C29" s="44"/>
      <c r="D29" s="44"/>
      <c r="E29" s="76"/>
      <c r="K29" s="11"/>
      <c r="L29" s="11"/>
      <c r="O29" s="43"/>
      <c r="P29" s="13"/>
      <c r="Q29" s="13"/>
      <c r="R29" s="13"/>
      <c r="S29" s="13"/>
      <c r="T29" s="13"/>
      <c r="V29" s="33"/>
      <c r="W29" s="6"/>
      <c r="X29" s="6"/>
      <c r="Y29" s="6"/>
      <c r="Z29" s="6"/>
      <c r="AA29" s="6"/>
      <c r="AB29" s="3" t="s">
        <v>3</v>
      </c>
      <c r="AC29" s="9">
        <v>151900.149</v>
      </c>
      <c r="AD29" s="9">
        <v>151906.77799999999</v>
      </c>
      <c r="AE29" s="9">
        <v>151889.73199999999</v>
      </c>
      <c r="AF29" s="9">
        <v>165000</v>
      </c>
      <c r="AG29" s="9">
        <v>165000</v>
      </c>
      <c r="AH29" s="9">
        <v>159611.25</v>
      </c>
      <c r="AI29" s="9">
        <v>151825.33600000001</v>
      </c>
      <c r="AJ29" s="9">
        <v>151835.753</v>
      </c>
      <c r="AK29" s="9">
        <v>165000</v>
      </c>
      <c r="AL29" s="9">
        <v>165000</v>
      </c>
      <c r="AM29" s="14"/>
      <c r="AN29" s="4">
        <f t="shared" si="26"/>
        <v>165000</v>
      </c>
      <c r="AP29" s="4">
        <f>HLOOKUP(AN29,AC29:$AL$36,AR29,FALSE)</f>
        <v>4</v>
      </c>
      <c r="AR29" s="4">
        <v>8</v>
      </c>
      <c r="AW29" s="3" t="s">
        <v>3</v>
      </c>
      <c r="AX29" s="6">
        <f t="shared" si="28"/>
        <v>165000</v>
      </c>
      <c r="AY29" s="6">
        <f t="shared" si="27"/>
        <v>165000</v>
      </c>
      <c r="AZ29" s="6">
        <f t="shared" si="29"/>
        <v>165000</v>
      </c>
      <c r="BB29" s="17">
        <f t="shared" si="30"/>
        <v>0</v>
      </c>
      <c r="BC29" s="17">
        <f t="shared" si="30"/>
        <v>0</v>
      </c>
      <c r="BD29" s="17">
        <f t="shared" si="31"/>
        <v>0</v>
      </c>
    </row>
    <row r="30" spans="1:63" x14ac:dyDescent="0.25">
      <c r="Y30" s="7"/>
      <c r="Z30" s="14"/>
      <c r="AA30" s="14"/>
      <c r="AB30" s="3" t="s">
        <v>4</v>
      </c>
      <c r="AC30" s="9">
        <v>155833.98699999999</v>
      </c>
      <c r="AD30" s="9">
        <v>155744.022</v>
      </c>
      <c r="AE30" s="9">
        <v>155782.84899999999</v>
      </c>
      <c r="AF30" s="9">
        <v>165000</v>
      </c>
      <c r="AG30" s="9">
        <v>165000</v>
      </c>
      <c r="AH30" s="9">
        <v>155607.5</v>
      </c>
      <c r="AI30" s="9">
        <v>155594.39600000001</v>
      </c>
      <c r="AJ30" s="9">
        <v>155755.386</v>
      </c>
      <c r="AK30" s="9">
        <v>165000</v>
      </c>
      <c r="AL30" s="9">
        <v>165000</v>
      </c>
      <c r="AM30" s="14"/>
      <c r="AN30" s="4">
        <f t="shared" si="26"/>
        <v>165000</v>
      </c>
      <c r="AP30" s="4">
        <f>HLOOKUP(AN30,AC30:$AL$36,AR30,FALSE)</f>
        <v>4</v>
      </c>
      <c r="AR30" s="4">
        <v>7</v>
      </c>
      <c r="AW30" s="3" t="s">
        <v>4</v>
      </c>
      <c r="AX30" s="6">
        <f t="shared" si="28"/>
        <v>165000</v>
      </c>
      <c r="AY30" s="6">
        <f t="shared" si="27"/>
        <v>165000</v>
      </c>
      <c r="AZ30" s="6">
        <f t="shared" si="29"/>
        <v>165000</v>
      </c>
      <c r="BB30" s="17">
        <f t="shared" si="30"/>
        <v>0</v>
      </c>
      <c r="BC30" s="17">
        <f t="shared" si="30"/>
        <v>0</v>
      </c>
      <c r="BD30" s="17">
        <f t="shared" si="31"/>
        <v>0</v>
      </c>
    </row>
    <row r="31" spans="1:63" x14ac:dyDescent="0.25">
      <c r="B31" s="4" t="s">
        <v>178</v>
      </c>
      <c r="H31" s="4" t="s">
        <v>179</v>
      </c>
      <c r="Y31" s="7"/>
      <c r="Z31" s="14"/>
      <c r="AA31" s="14"/>
      <c r="AB31" s="3" t="s">
        <v>5</v>
      </c>
      <c r="AC31" s="9">
        <v>155798.948</v>
      </c>
      <c r="AD31" s="9">
        <v>155648.375</v>
      </c>
      <c r="AE31" s="9">
        <v>155847.245</v>
      </c>
      <c r="AF31" s="9">
        <v>165000</v>
      </c>
      <c r="AG31" s="9">
        <v>165000</v>
      </c>
      <c r="AH31" s="9">
        <v>155422.5</v>
      </c>
      <c r="AI31" s="9">
        <v>155822.62299999999</v>
      </c>
      <c r="AJ31" s="9">
        <v>155786.63699999999</v>
      </c>
      <c r="AK31" s="9">
        <v>165000</v>
      </c>
      <c r="AL31" s="9">
        <v>165000</v>
      </c>
      <c r="AM31" s="14"/>
      <c r="AN31" s="4">
        <f t="shared" si="26"/>
        <v>165000</v>
      </c>
      <c r="AP31" s="4">
        <f>HLOOKUP(AN31,AC31:$AL$36,AR31,FALSE)</f>
        <v>4</v>
      </c>
      <c r="AR31" s="4">
        <v>6</v>
      </c>
      <c r="AW31" s="3" t="s">
        <v>5</v>
      </c>
      <c r="AX31" s="6">
        <f t="shared" si="28"/>
        <v>165000</v>
      </c>
      <c r="AY31" s="6">
        <f t="shared" si="27"/>
        <v>165000</v>
      </c>
      <c r="AZ31" s="6">
        <f t="shared" si="29"/>
        <v>165000</v>
      </c>
      <c r="BB31" s="17">
        <f t="shared" si="30"/>
        <v>0</v>
      </c>
      <c r="BC31" s="17">
        <f t="shared" si="30"/>
        <v>0</v>
      </c>
      <c r="BD31" s="17">
        <f t="shared" si="31"/>
        <v>0</v>
      </c>
    </row>
    <row r="32" spans="1:63" x14ac:dyDescent="0.25">
      <c r="A32" s="4" t="str">
        <f>B23</f>
        <v>d</v>
      </c>
      <c r="B32" s="76" t="s">
        <v>175</v>
      </c>
      <c r="C32" s="77">
        <f>B3</f>
        <v>75000</v>
      </c>
      <c r="D32" s="76" t="s">
        <v>176</v>
      </c>
      <c r="E32" s="76">
        <f>B2</f>
        <v>40000</v>
      </c>
      <c r="F32" s="78" t="s">
        <v>177</v>
      </c>
      <c r="H32" s="76" t="s">
        <v>175</v>
      </c>
      <c r="I32" s="77">
        <f>C3</f>
        <v>11250</v>
      </c>
      <c r="J32" s="76" t="s">
        <v>176</v>
      </c>
      <c r="K32" s="76">
        <f>C2</f>
        <v>5000</v>
      </c>
      <c r="L32" s="78" t="s">
        <v>177</v>
      </c>
      <c r="Y32" s="7"/>
      <c r="Z32" s="14"/>
      <c r="AA32" s="14"/>
      <c r="AB32" s="3" t="s">
        <v>6</v>
      </c>
      <c r="AC32" s="9">
        <v>167491.84</v>
      </c>
      <c r="AD32" s="9">
        <v>168057.35500000001</v>
      </c>
      <c r="AE32" s="9">
        <v>188699.1925</v>
      </c>
      <c r="AF32" s="9">
        <v>209719.29</v>
      </c>
      <c r="AG32" s="9">
        <v>328874.78562500002</v>
      </c>
      <c r="AH32" s="9">
        <v>87777.571249999994</v>
      </c>
      <c r="AI32" s="9">
        <v>168000.88750000001</v>
      </c>
      <c r="AJ32" s="9">
        <v>188762.83562500001</v>
      </c>
      <c r="AK32" s="9">
        <v>209688.04874999999</v>
      </c>
      <c r="AL32" s="9">
        <v>327751.58500000002</v>
      </c>
      <c r="AM32" s="14"/>
      <c r="AN32" s="4">
        <f t="shared" si="26"/>
        <v>328874.78562500002</v>
      </c>
      <c r="AP32" s="4">
        <f>HLOOKUP(AN32,AC32:$AL$36,AR32,FALSE)</f>
        <v>5</v>
      </c>
      <c r="AR32" s="4">
        <v>5</v>
      </c>
      <c r="AW32" s="3" t="s">
        <v>6</v>
      </c>
      <c r="AX32" s="6">
        <f t="shared" si="28"/>
        <v>141880.74000000002</v>
      </c>
      <c r="AY32" s="6">
        <f t="shared" si="27"/>
        <v>209703.669375</v>
      </c>
      <c r="AZ32" s="6">
        <f t="shared" si="29"/>
        <v>395121.49</v>
      </c>
      <c r="BB32" s="17">
        <f>(AY32-AX32)/AX32</f>
        <v>0.47802773917728347</v>
      </c>
      <c r="BC32" s="17">
        <f>(AZ32-AX32)/AX32</f>
        <v>1.7848846150647364</v>
      </c>
      <c r="BD32" s="17">
        <f>(AZ32-AY32)/AY32</f>
        <v>0.884189681456784</v>
      </c>
    </row>
    <row r="33" spans="1:56" x14ac:dyDescent="0.25">
      <c r="A33" s="4" t="str">
        <f t="shared" ref="A33:A35" si="32">B24</f>
        <v>s1</v>
      </c>
      <c r="B33" s="76" t="s">
        <v>175</v>
      </c>
      <c r="C33" s="77">
        <f>B8</f>
        <v>875000</v>
      </c>
      <c r="D33" s="76" t="s">
        <v>176</v>
      </c>
      <c r="E33" s="76">
        <f>B7</f>
        <v>60000</v>
      </c>
      <c r="F33" s="78" t="s">
        <v>177</v>
      </c>
      <c r="H33" s="76" t="s">
        <v>175</v>
      </c>
      <c r="I33" s="77">
        <f>C8</f>
        <v>429615.38461538474</v>
      </c>
      <c r="J33" s="76" t="s">
        <v>176</v>
      </c>
      <c r="K33" s="76">
        <f>C7</f>
        <v>20000</v>
      </c>
      <c r="L33" s="78" t="s">
        <v>177</v>
      </c>
      <c r="S33" s="21"/>
      <c r="T33" s="20"/>
      <c r="Y33" s="7"/>
      <c r="Z33" s="14"/>
      <c r="AA33" s="14"/>
      <c r="AB33" s="10" t="s">
        <v>23</v>
      </c>
      <c r="AC33" s="6">
        <v>5628928.648</v>
      </c>
      <c r="AD33" s="6">
        <v>7641085.5750000002</v>
      </c>
      <c r="AE33" s="6">
        <v>9712555.2148749996</v>
      </c>
      <c r="AF33" s="6">
        <v>1090000</v>
      </c>
      <c r="AG33" s="6">
        <v>1090000</v>
      </c>
      <c r="AH33" s="6">
        <v>2090000</v>
      </c>
      <c r="AI33" s="6">
        <v>7659486.7235000003</v>
      </c>
      <c r="AJ33" s="6">
        <v>9708901.5123750009</v>
      </c>
      <c r="AK33" s="6">
        <v>1090000</v>
      </c>
      <c r="AL33" s="6">
        <v>1090000</v>
      </c>
      <c r="AM33" s="8"/>
      <c r="AN33" s="4">
        <f t="shared" si="26"/>
        <v>9712555.2148749996</v>
      </c>
      <c r="AP33" s="4">
        <f>HLOOKUP(AN33,AC33:$AL$36,AR33,FALSE)</f>
        <v>3</v>
      </c>
      <c r="AR33" s="4">
        <v>4</v>
      </c>
      <c r="AW33" s="10" t="s">
        <v>23</v>
      </c>
      <c r="AX33" s="6">
        <f t="shared" si="28"/>
        <v>1090000</v>
      </c>
      <c r="AY33" s="6">
        <f t="shared" si="27"/>
        <v>1090000</v>
      </c>
      <c r="AZ33" s="6">
        <f t="shared" si="29"/>
        <v>1090000</v>
      </c>
      <c r="BA33" s="16"/>
      <c r="BB33" s="17">
        <f>(AY33-AX33)/AX33</f>
        <v>0</v>
      </c>
      <c r="BC33" s="17">
        <f t="shared" si="30"/>
        <v>0</v>
      </c>
      <c r="BD33" s="17">
        <f t="shared" si="31"/>
        <v>0</v>
      </c>
    </row>
    <row r="34" spans="1:56" x14ac:dyDescent="0.25">
      <c r="A34" s="4" t="str">
        <f t="shared" si="32"/>
        <v>s2</v>
      </c>
      <c r="B34" s="76" t="s">
        <v>175</v>
      </c>
      <c r="C34" s="77">
        <f>B13</f>
        <v>2000000</v>
      </c>
      <c r="D34" s="76" t="s">
        <v>176</v>
      </c>
      <c r="E34" s="76">
        <f>B12</f>
        <v>60000</v>
      </c>
      <c r="F34" s="78" t="s">
        <v>177</v>
      </c>
      <c r="H34" s="76" t="s">
        <v>175</v>
      </c>
      <c r="I34" s="77">
        <f>C13</f>
        <v>1000000</v>
      </c>
      <c r="J34" s="76" t="s">
        <v>176</v>
      </c>
      <c r="K34" s="76">
        <f>C12</f>
        <v>20000</v>
      </c>
      <c r="L34" s="78" t="s">
        <v>177</v>
      </c>
      <c r="U34" s="20" t="s">
        <v>35</v>
      </c>
      <c r="V34" s="20"/>
      <c r="W34" s="20" t="s">
        <v>34</v>
      </c>
      <c r="X34" s="20"/>
      <c r="Y34" s="12">
        <f>I7*D7</f>
        <v>0</v>
      </c>
      <c r="AA34" s="14"/>
      <c r="AB34" s="10" t="s">
        <v>24</v>
      </c>
      <c r="AC34" s="6">
        <v>0.5</v>
      </c>
      <c r="AD34" s="6">
        <v>0.5</v>
      </c>
      <c r="AE34" s="6">
        <v>0.5</v>
      </c>
      <c r="AF34" s="6">
        <v>0.5</v>
      </c>
      <c r="AG34" s="6">
        <v>0.5</v>
      </c>
      <c r="AH34" s="6">
        <v>0.16666666666666599</v>
      </c>
      <c r="AI34" s="6">
        <v>0.5</v>
      </c>
      <c r="AJ34" s="6">
        <v>0.5</v>
      </c>
      <c r="AK34" s="6">
        <v>0.5</v>
      </c>
      <c r="AL34" s="6">
        <v>0.5</v>
      </c>
      <c r="AM34" s="8"/>
      <c r="AN34" s="5" t="s">
        <v>19</v>
      </c>
      <c r="AO34" s="5" t="s">
        <v>25</v>
      </c>
      <c r="AR34" s="4">
        <v>3</v>
      </c>
      <c r="AX34" s="6"/>
      <c r="AY34" s="6"/>
      <c r="AZ34" s="6"/>
    </row>
    <row r="35" spans="1:56" x14ac:dyDescent="0.25">
      <c r="A35" s="4" t="str">
        <f t="shared" si="32"/>
        <v>s3</v>
      </c>
      <c r="B35" s="76" t="s">
        <v>175</v>
      </c>
      <c r="C35" s="77">
        <f>B18</f>
        <v>3250000</v>
      </c>
      <c r="D35" s="76" t="s">
        <v>176</v>
      </c>
      <c r="E35" s="76">
        <f>B17</f>
        <v>2000000</v>
      </c>
      <c r="F35" s="78" t="s">
        <v>177</v>
      </c>
      <c r="H35" s="76" t="s">
        <v>175</v>
      </c>
      <c r="I35" s="77">
        <f>C18</f>
        <v>2500000</v>
      </c>
      <c r="J35" s="76" t="s">
        <v>176</v>
      </c>
      <c r="K35" s="76">
        <f>C17</f>
        <v>999999.97600000026</v>
      </c>
      <c r="L35" s="78" t="s">
        <v>177</v>
      </c>
      <c r="P35" s="57" t="s">
        <v>118</v>
      </c>
      <c r="Q35" s="57" t="s">
        <v>115</v>
      </c>
      <c r="R35" s="57" t="s">
        <v>116</v>
      </c>
      <c r="S35" s="57" t="s">
        <v>117</v>
      </c>
      <c r="U35" s="20">
        <v>4</v>
      </c>
      <c r="V35" s="20"/>
      <c r="W35" s="20">
        <v>3000000</v>
      </c>
      <c r="X35" s="20"/>
      <c r="Y35" s="12" t="s">
        <v>100</v>
      </c>
      <c r="Z35" s="4" t="s">
        <v>99</v>
      </c>
      <c r="AA35" s="14"/>
      <c r="AN35" s="4">
        <f>MAX(AC34:AM34)</f>
        <v>0.5</v>
      </c>
      <c r="AO35" s="4">
        <f>MIN(AC34:AM34)</f>
        <v>0.16666666666666599</v>
      </c>
    </row>
    <row r="36" spans="1:56" x14ac:dyDescent="0.25">
      <c r="B36" s="76"/>
      <c r="C36" s="77"/>
      <c r="D36" s="76"/>
      <c r="E36" s="76"/>
      <c r="F36" s="78"/>
      <c r="P36" s="57"/>
      <c r="Q36" s="57">
        <f>SUM($U$38:U38)/$W$35</f>
        <v>0.33333333333333331</v>
      </c>
      <c r="R36" s="57">
        <f>SUM($U$38:V38)/$W$35</f>
        <v>0.41666666666666669</v>
      </c>
      <c r="S36" s="57">
        <f>SUM($U$38:W38)/$W$35</f>
        <v>0.5</v>
      </c>
      <c r="U36" s="21"/>
      <c r="V36" s="20"/>
      <c r="W36" s="20"/>
      <c r="X36" s="20"/>
      <c r="Y36" s="12">
        <v>1.62</v>
      </c>
      <c r="Z36" s="4">
        <v>24</v>
      </c>
      <c r="AA36" s="8"/>
      <c r="AC36" s="4">
        <f>AC25</f>
        <v>1</v>
      </c>
      <c r="AD36" s="4">
        <f t="shared" ref="AD36:AL36" si="33">AD25</f>
        <v>2</v>
      </c>
      <c r="AE36" s="4">
        <f t="shared" si="33"/>
        <v>3</v>
      </c>
      <c r="AF36" s="4">
        <f t="shared" si="33"/>
        <v>4</v>
      </c>
      <c r="AG36" s="4">
        <f t="shared" si="33"/>
        <v>5</v>
      </c>
      <c r="AH36" s="4">
        <f t="shared" si="33"/>
        <v>6</v>
      </c>
      <c r="AI36" s="4">
        <f t="shared" si="33"/>
        <v>7</v>
      </c>
      <c r="AJ36" s="4">
        <f t="shared" si="33"/>
        <v>8</v>
      </c>
      <c r="AK36" s="4">
        <f t="shared" si="33"/>
        <v>9</v>
      </c>
      <c r="AL36" s="4">
        <f t="shared" si="33"/>
        <v>10</v>
      </c>
      <c r="AN36" s="4">
        <f>HLOOKUP(AN35,AC34:AM36,AR36,FALSE)</f>
        <v>1</v>
      </c>
      <c r="AO36" s="4">
        <f>HLOOKUP(AO35,AC34:AM36,AR36,FALSE)</f>
        <v>6</v>
      </c>
      <c r="AR36" s="4">
        <v>3</v>
      </c>
    </row>
    <row r="37" spans="1:56" x14ac:dyDescent="0.25">
      <c r="G37" s="4" t="s">
        <v>191</v>
      </c>
      <c r="I37" s="4" t="str">
        <f>CONCATENATE("[",O2,", ",O3,", ",O4,"]")</f>
        <v>[22500.5, 45001, 67501.5]</v>
      </c>
      <c r="P37" s="57"/>
      <c r="Q37" s="57" t="s">
        <v>119</v>
      </c>
      <c r="R37" s="57" t="s">
        <v>120</v>
      </c>
      <c r="S37" s="57" t="s">
        <v>121</v>
      </c>
      <c r="U37" s="19" t="s">
        <v>38</v>
      </c>
      <c r="V37" s="19" t="s">
        <v>36</v>
      </c>
      <c r="W37" s="19" t="s">
        <v>37</v>
      </c>
      <c r="X37" s="19"/>
      <c r="Y37" s="4" t="s">
        <v>111</v>
      </c>
      <c r="Z37" s="4" t="s">
        <v>112</v>
      </c>
      <c r="AA37" s="8"/>
    </row>
    <row r="38" spans="1:56" x14ac:dyDescent="0.25">
      <c r="G38" s="4" t="s">
        <v>192</v>
      </c>
      <c r="I38" s="4" t="str">
        <f>CONCATENATE("[",P1,", ",Q1,", ",R1,", ",S1,", ",T1,"]")</f>
        <v>[43125.5, 86251, 108751, 131251, 196876.5]</v>
      </c>
      <c r="P38" s="57">
        <v>0</v>
      </c>
      <c r="Q38" s="57">
        <f>(1-P38)*Q36</f>
        <v>0.33333333333333331</v>
      </c>
      <c r="R38" s="57">
        <f>(1-Q36)*R36</f>
        <v>0.27777777777777785</v>
      </c>
      <c r="S38" s="57">
        <f>(1-Q36)*(1-R36)*S36</f>
        <v>0.19444444444444445</v>
      </c>
      <c r="U38" s="19">
        <f>500000*2</f>
        <v>1000000</v>
      </c>
      <c r="V38" s="19">
        <f>2*D2</f>
        <v>250000</v>
      </c>
      <c r="W38" s="19">
        <f>V38</f>
        <v>250000</v>
      </c>
      <c r="X38" s="19"/>
      <c r="Y38" s="19"/>
      <c r="AA38" s="8"/>
    </row>
    <row r="39" spans="1:56" x14ac:dyDescent="0.25">
      <c r="G39" s="4" t="s">
        <v>193</v>
      </c>
      <c r="I39" s="4" t="str">
        <f>CONCATENATE("[",O7,", ",O8,", ",O9,"]")</f>
        <v>[40000.5, 80001, 120001.5]</v>
      </c>
      <c r="U39" s="19" t="s">
        <v>39</v>
      </c>
      <c r="V39" s="19" t="s">
        <v>40</v>
      </c>
      <c r="W39" s="19" t="s">
        <v>41</v>
      </c>
      <c r="X39" s="19"/>
      <c r="Y39" s="19"/>
      <c r="Z39" s="19"/>
    </row>
    <row r="40" spans="1:56" x14ac:dyDescent="0.25">
      <c r="G40" s="4" t="s">
        <v>194</v>
      </c>
      <c r="I40" s="4" t="str">
        <f>CONCATENATE("[",P6,", ",Q6,", ",R6,", ",S6,", ",T6,"]")</f>
        <v>[652308.192307692, 1304616.38461538, 1344616.38461538, 1384616.38461538, 2076924.57692308]</v>
      </c>
      <c r="Q40" s="4" t="s">
        <v>122</v>
      </c>
      <c r="R40" s="4" t="s">
        <v>123</v>
      </c>
      <c r="S40" s="4" t="s">
        <v>124</v>
      </c>
      <c r="U40" s="19">
        <v>2</v>
      </c>
      <c r="V40" s="19">
        <v>2</v>
      </c>
      <c r="W40" s="19">
        <v>2</v>
      </c>
      <c r="X40" s="19"/>
      <c r="Y40" s="23"/>
      <c r="Z40" s="19"/>
    </row>
    <row r="41" spans="1:56" x14ac:dyDescent="0.25">
      <c r="G41" s="4" t="s">
        <v>195</v>
      </c>
      <c r="I41" s="4" t="str">
        <f>CONCATENATE("[",O12,", ",O13,", ",O14,"]")</f>
        <v>[40000.5, 80001, 120001.5]</v>
      </c>
      <c r="Q41" s="4">
        <f t="shared" ref="Q41:R41" si="34">Q36/U40</f>
        <v>0.16666666666666666</v>
      </c>
      <c r="R41" s="4">
        <f t="shared" si="34"/>
        <v>0.20833333333333334</v>
      </c>
      <c r="S41" s="4">
        <f>S36/W40</f>
        <v>0.25</v>
      </c>
    </row>
    <row r="42" spans="1:56" x14ac:dyDescent="0.25">
      <c r="G42" s="4" t="s">
        <v>196</v>
      </c>
      <c r="I42" s="4" t="str">
        <f>CONCATENATE("[",P11,", ",Q11,", ",R11,", ",S11,", ",T11,"]")</f>
        <v>[1500000.5, 3000001, 3040001, 3080001, 4620001.5]</v>
      </c>
      <c r="Y42" s="22"/>
    </row>
    <row r="43" spans="1:56" x14ac:dyDescent="0.25">
      <c r="G43" s="4" t="s">
        <v>197</v>
      </c>
      <c r="I43" s="4" t="str">
        <f>CONCATENATE("[",O17,", ",O18,", ",O19,"]")</f>
        <v>[1500000.488, 3000000.976, 4500001.464]</v>
      </c>
      <c r="Q43" s="57" t="s">
        <v>125</v>
      </c>
      <c r="R43" s="57" t="s">
        <v>126</v>
      </c>
      <c r="S43" s="57" t="s">
        <v>127</v>
      </c>
    </row>
    <row r="44" spans="1:56" x14ac:dyDescent="0.25">
      <c r="G44" s="4" t="s">
        <v>198</v>
      </c>
      <c r="I44" s="4" t="str">
        <f>CONCATENATE("[",P16,", ",Q16,", ",R16,", ",S16,", ",T16,"]")</f>
        <v>[2875000.5, 5750001, 7250000.988, 8750000.976, 13125001.464]</v>
      </c>
      <c r="Q44" s="4">
        <f t="shared" ref="Q44:R44" si="35">Q38/U40</f>
        <v>0.16666666666666666</v>
      </c>
      <c r="R44" s="4">
        <f t="shared" si="35"/>
        <v>0.13888888888888892</v>
      </c>
      <c r="S44" s="4">
        <f>S38/W40</f>
        <v>9.7222222222222224E-2</v>
      </c>
      <c r="Y44" s="22"/>
    </row>
    <row r="46" spans="1:56" x14ac:dyDescent="0.25">
      <c r="Q46" s="5"/>
      <c r="T46" s="5"/>
    </row>
    <row r="48" spans="1:56" x14ac:dyDescent="0.25">
      <c r="R48" s="4">
        <v>4.1666666999999998E-2</v>
      </c>
      <c r="S48" s="4">
        <v>7.6388889000000001E-2</v>
      </c>
      <c r="U48" s="4">
        <f>(1-U38/W35)*(1-SUM(U38:V38)/W35)*(1-SUM(U38:W38)/W35)</f>
        <v>0.19444444444444445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G1" zoomScale="115" zoomScaleNormal="115" workbookViewId="0">
      <selection activeCell="N12" sqref="N12:S12"/>
    </sheetView>
  </sheetViews>
  <sheetFormatPr defaultRowHeight="12" x14ac:dyDescent="0.25"/>
  <cols>
    <col min="1" max="1" width="30.5703125" style="34" bestFit="1" customWidth="1"/>
    <col min="2" max="2" width="12" style="39" bestFit="1" customWidth="1"/>
    <col min="3" max="3" width="1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7.85546875" style="34" bestFit="1" customWidth="1"/>
    <col min="15" max="16" width="11.85546875" style="34" bestFit="1" customWidth="1"/>
    <col min="17" max="19" width="13.42578125" style="34" bestFit="1" customWidth="1"/>
    <col min="20" max="20" width="12.5703125" style="34" bestFit="1" customWidth="1"/>
    <col min="21" max="21" width="7.85546875" style="34" bestFit="1" customWidth="1"/>
    <col min="22" max="24" width="10.42578125" style="34" bestFit="1" customWidth="1"/>
    <col min="25" max="25" width="9.5703125" style="34" bestFit="1" customWidth="1"/>
    <col min="26" max="36" width="10.42578125" style="34" bestFit="1" customWidth="1"/>
    <col min="37" max="16384" width="9.140625" style="34"/>
  </cols>
  <sheetData>
    <row r="1" spans="1:20" ht="12.75" x14ac:dyDescent="0.25">
      <c r="A1" s="34" t="s">
        <v>47</v>
      </c>
      <c r="B1" s="39">
        <v>1</v>
      </c>
      <c r="C1" s="36" t="str">
        <f>A2</f>
        <v>(22500.5, 43125.5)</v>
      </c>
      <c r="D1" s="36" t="s">
        <v>11</v>
      </c>
      <c r="E1" s="36" t="s">
        <v>7</v>
      </c>
      <c r="F1" s="36" t="s">
        <v>8</v>
      </c>
      <c r="G1" s="36" t="s">
        <v>9</v>
      </c>
      <c r="H1" s="36" t="s">
        <v>10</v>
      </c>
      <c r="J1" s="26" t="s">
        <v>19</v>
      </c>
      <c r="K1" s="26"/>
      <c r="L1" s="26" t="s">
        <v>20</v>
      </c>
    </row>
    <row r="2" spans="1:20" ht="12.75" x14ac:dyDescent="0.25">
      <c r="A2" s="34" t="s">
        <v>199</v>
      </c>
      <c r="B2" s="36" t="s">
        <v>9</v>
      </c>
      <c r="C2" s="36" t="s">
        <v>44</v>
      </c>
      <c r="D2" s="59">
        <f t="shared" ref="D2:D10" si="0">A3</f>
        <v>-1198754.0135590001</v>
      </c>
      <c r="E2" s="59">
        <f t="shared" ref="E2:E10" si="1">A12</f>
        <v>-80099.829530999996</v>
      </c>
      <c r="F2" s="59">
        <f t="shared" ref="F2:F10" si="2">A21</f>
        <v>-78691.735606000002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20" ht="12.75" x14ac:dyDescent="0.25">
      <c r="A3" s="34">
        <v>-1198754.0135590001</v>
      </c>
      <c r="C3" s="36" t="s">
        <v>45</v>
      </c>
      <c r="D3" s="59">
        <f t="shared" si="0"/>
        <v>-860899.98031999997</v>
      </c>
      <c r="E3" s="59">
        <f t="shared" si="1"/>
        <v>-80550.419586999997</v>
      </c>
      <c r="F3" s="59">
        <f t="shared" si="2"/>
        <v>-79753.840737999999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20" ht="12.75" x14ac:dyDescent="0.25">
      <c r="A4" s="34">
        <v>-860899.98031999997</v>
      </c>
      <c r="C4" s="36" t="s">
        <v>0</v>
      </c>
      <c r="D4" s="59">
        <f t="shared" si="0"/>
        <v>151774.57680000001</v>
      </c>
      <c r="E4" s="59">
        <f t="shared" si="1"/>
        <v>-19181.129240999999</v>
      </c>
      <c r="F4" s="59">
        <f t="shared" si="2"/>
        <v>40000</v>
      </c>
      <c r="G4" s="59">
        <f t="shared" si="3"/>
        <v>109342.13907600001</v>
      </c>
      <c r="H4" s="59">
        <f t="shared" si="4"/>
        <v>40000</v>
      </c>
      <c r="J4" s="25">
        <f t="shared" si="5"/>
        <v>151774.57680000001</v>
      </c>
      <c r="K4" s="25"/>
      <c r="L4" s="25" t="str">
        <f>HLOOKUP(J4,D4:$H$12,N4,FALSE)</f>
        <v>OptOpt_EB</v>
      </c>
      <c r="N4" s="25">
        <v>9</v>
      </c>
    </row>
    <row r="5" spans="1:20" ht="12.75" x14ac:dyDescent="0.25">
      <c r="A5" s="34">
        <v>151774.57680000001</v>
      </c>
      <c r="C5" s="36" t="s">
        <v>1</v>
      </c>
      <c r="D5" s="59">
        <f t="shared" si="0"/>
        <v>151907.5356</v>
      </c>
      <c r="E5" s="59">
        <f t="shared" si="1"/>
        <v>-19598.749398</v>
      </c>
      <c r="F5" s="59">
        <f t="shared" si="2"/>
        <v>40000</v>
      </c>
      <c r="G5" s="59">
        <f t="shared" si="3"/>
        <v>109249.039041</v>
      </c>
      <c r="H5" s="59">
        <f t="shared" si="4"/>
        <v>40000</v>
      </c>
      <c r="J5" s="25">
        <f t="shared" si="5"/>
        <v>151907.5356</v>
      </c>
      <c r="K5" s="25"/>
      <c r="L5" s="25" t="str">
        <f>HLOOKUP(J5,D5:$H$12,N5,FALSE)</f>
        <v>OptOpt_EB</v>
      </c>
      <c r="N5" s="25">
        <v>8</v>
      </c>
    </row>
    <row r="6" spans="1:20" ht="12.75" x14ac:dyDescent="0.25">
      <c r="A6" s="34">
        <v>151907.5356</v>
      </c>
      <c r="C6" s="36" t="s">
        <v>2</v>
      </c>
      <c r="D6" s="59">
        <f t="shared" si="0"/>
        <v>155765.80300000001</v>
      </c>
      <c r="E6" s="59">
        <f t="shared" si="1"/>
        <v>35308.991243999997</v>
      </c>
      <c r="F6" s="59">
        <f t="shared" si="2"/>
        <v>40000</v>
      </c>
      <c r="G6" s="59">
        <f t="shared" si="3"/>
        <v>63326.781776999997</v>
      </c>
      <c r="H6" s="59">
        <f t="shared" si="4"/>
        <v>40000</v>
      </c>
      <c r="J6" s="25">
        <f t="shared" si="5"/>
        <v>155765.80300000001</v>
      </c>
      <c r="K6" s="25"/>
      <c r="L6" s="25" t="str">
        <f>HLOOKUP(J6,D6:$H$12,N6,FALSE)</f>
        <v>OptOpt_EB</v>
      </c>
      <c r="N6" s="25">
        <v>7</v>
      </c>
    </row>
    <row r="7" spans="1:20" ht="12.75" x14ac:dyDescent="0.25">
      <c r="A7" s="34">
        <v>155765.80300000001</v>
      </c>
      <c r="C7" s="36" t="s">
        <v>3</v>
      </c>
      <c r="D7" s="59">
        <f t="shared" si="0"/>
        <v>155846.48740000001</v>
      </c>
      <c r="E7" s="59">
        <f t="shared" si="1"/>
        <v>36242.651595000003</v>
      </c>
      <c r="F7" s="59">
        <f t="shared" si="2"/>
        <v>40000</v>
      </c>
      <c r="G7" s="59">
        <f t="shared" si="3"/>
        <v>63528.941852999997</v>
      </c>
      <c r="H7" s="59">
        <f t="shared" si="4"/>
        <v>40000</v>
      </c>
      <c r="J7" s="25">
        <f t="shared" si="5"/>
        <v>155846.48740000001</v>
      </c>
      <c r="K7" s="25"/>
      <c r="L7" s="25" t="str">
        <f>HLOOKUP(J7,D7:$H$12,N7,FALSE)</f>
        <v>OptOpt_EB</v>
      </c>
      <c r="N7" s="25">
        <v>6</v>
      </c>
    </row>
    <row r="8" spans="1:20" ht="12.75" x14ac:dyDescent="0.25">
      <c r="A8" s="34">
        <v>155846.48740000001</v>
      </c>
      <c r="C8" s="36" t="s">
        <v>6</v>
      </c>
      <c r="D8" s="59">
        <f t="shared" si="0"/>
        <v>126438.325</v>
      </c>
      <c r="E8" s="59">
        <f t="shared" si="1"/>
        <v>101642.89</v>
      </c>
      <c r="F8" s="59">
        <f t="shared" si="2"/>
        <v>83753.539999999994</v>
      </c>
      <c r="G8" s="59">
        <f t="shared" si="3"/>
        <v>77095.179999999993</v>
      </c>
      <c r="H8" s="59">
        <f t="shared" si="4"/>
        <v>70000</v>
      </c>
      <c r="J8" s="25">
        <f t="shared" si="5"/>
        <v>126438.325</v>
      </c>
      <c r="K8" s="25"/>
      <c r="L8" s="25" t="str">
        <f>HLOOKUP(J8,D8:$H$12,N8,FALSE)</f>
        <v>OptOpt_EB</v>
      </c>
      <c r="N8" s="25">
        <v>5</v>
      </c>
    </row>
    <row r="9" spans="1:20" ht="12.75" x14ac:dyDescent="0.25">
      <c r="A9" s="34">
        <v>126438.325</v>
      </c>
      <c r="C9" s="37" t="s">
        <v>23</v>
      </c>
      <c r="D9" s="59">
        <f t="shared" si="0"/>
        <v>4295082.2010789998</v>
      </c>
      <c r="E9" s="59">
        <f t="shared" si="1"/>
        <v>3014021.784918</v>
      </c>
      <c r="F9" s="59">
        <f t="shared" si="2"/>
        <v>2903493.9763440001</v>
      </c>
      <c r="G9" s="59">
        <f t="shared" si="3"/>
        <v>2395092.8582529998</v>
      </c>
      <c r="H9" s="59">
        <f t="shared" si="4"/>
        <v>2590000</v>
      </c>
      <c r="J9" s="25">
        <f t="shared" si="5"/>
        <v>4295082.2010789998</v>
      </c>
      <c r="K9" s="25"/>
      <c r="L9" s="25" t="str">
        <f>HLOOKUP(J9,D9:$H$12,N9,FALSE)</f>
        <v>OptOpt_EB</v>
      </c>
      <c r="N9" s="25">
        <v>4</v>
      </c>
    </row>
    <row r="10" spans="1:20" ht="12.75" x14ac:dyDescent="0.25">
      <c r="A10" s="34">
        <v>4295082.2010789998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20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20" ht="15" x14ac:dyDescent="0.25">
      <c r="A12" s="34">
        <v>-80099.829530999996</v>
      </c>
      <c r="B12" s="39">
        <v>2</v>
      </c>
      <c r="C12" s="36" t="str">
        <f>A48</f>
        <v>(22500.5, 86251)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3" t="str">
        <f>settings_!O1</f>
        <v>B12/B3</v>
      </c>
      <c r="O12" s="3">
        <f>settings_!P1</f>
        <v>43125.5</v>
      </c>
      <c r="P12" s="3">
        <f>settings_!Q1</f>
        <v>86251</v>
      </c>
      <c r="Q12" s="3">
        <f>settings_!R1</f>
        <v>108751</v>
      </c>
      <c r="R12" s="3">
        <f>settings_!S1</f>
        <v>131251</v>
      </c>
      <c r="S12" s="3">
        <f>settings_!T1</f>
        <v>196876.5</v>
      </c>
    </row>
    <row r="13" spans="1:20" ht="15" x14ac:dyDescent="0.25">
      <c r="A13" s="34">
        <v>-80550.419586999997</v>
      </c>
      <c r="B13" s="61" t="s">
        <v>9</v>
      </c>
      <c r="C13" s="36" t="str">
        <f t="shared" ref="C13:C21" si="7">C2</f>
        <v>(3, 0)</v>
      </c>
      <c r="D13" s="59">
        <f t="shared" ref="D13:D21" si="8">A49</f>
        <v>-555278.12521600001</v>
      </c>
      <c r="E13" s="59">
        <f t="shared" ref="E13:E21" si="9">A58</f>
        <v>575634.72344800003</v>
      </c>
      <c r="F13" s="59">
        <f t="shared" ref="F13:F21" si="10">A67</f>
        <v>575642.65853999997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575642.65853999997</v>
      </c>
      <c r="K13" s="25"/>
      <c r="L13" s="25" t="str">
        <f>HLOOKUP(J13,D13:$H$23,N2,FALSE)</f>
        <v>NoneOpt_NBB</v>
      </c>
      <c r="N13" s="3">
        <f>settings_!O2</f>
        <v>22500.5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  <c r="T13" s="8"/>
    </row>
    <row r="14" spans="1:20" ht="15" x14ac:dyDescent="0.25">
      <c r="A14" s="34">
        <v>-19181.129240999999</v>
      </c>
      <c r="C14" s="36" t="str">
        <f t="shared" si="7"/>
        <v>(3, 1)</v>
      </c>
      <c r="D14" s="59">
        <f t="shared" si="8"/>
        <v>-212634.82052800001</v>
      </c>
      <c r="E14" s="59">
        <f t="shared" si="9"/>
        <v>575652.14615000004</v>
      </c>
      <c r="F14" s="59">
        <f t="shared" si="10"/>
        <v>575610.91817199998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575652.14615000004</v>
      </c>
      <c r="K14" s="25"/>
      <c r="L14" s="25" t="str">
        <f>HLOOKUP(J14,D14:$H$23,N3,FALSE)</f>
        <v>OptOpt_BB</v>
      </c>
      <c r="N14" s="3">
        <f>settings_!O3</f>
        <v>45001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  <c r="T14" s="8"/>
    </row>
    <row r="15" spans="1:20" ht="15" x14ac:dyDescent="0.25">
      <c r="A15" s="34">
        <v>-19598.749398</v>
      </c>
      <c r="C15" s="36" t="str">
        <f t="shared" si="7"/>
        <v>(2, 0)</v>
      </c>
      <c r="D15" s="59">
        <f t="shared" si="8"/>
        <v>151832.53320000001</v>
      </c>
      <c r="E15" s="59">
        <f t="shared" si="9"/>
        <v>-20556.349758</v>
      </c>
      <c r="F15" s="59">
        <f t="shared" si="10"/>
        <v>40000</v>
      </c>
      <c r="G15" s="59">
        <f t="shared" si="11"/>
        <v>109576.21916399999</v>
      </c>
      <c r="H15" s="59">
        <f t="shared" si="12"/>
        <v>40000</v>
      </c>
      <c r="J15" s="25">
        <f t="shared" si="13"/>
        <v>151832.53320000001</v>
      </c>
      <c r="K15" s="25"/>
      <c r="L15" s="25" t="str">
        <f>HLOOKUP(J15,D15:$H$23,N4,FALSE)</f>
        <v>OptOpt_EB</v>
      </c>
      <c r="N15" s="3">
        <f>settings_!O4</f>
        <v>67501.5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  <c r="T15" s="8"/>
    </row>
    <row r="16" spans="1:20" ht="12.75" x14ac:dyDescent="0.25">
      <c r="A16" s="34">
        <v>35308.991243999997</v>
      </c>
      <c r="C16" s="36" t="str">
        <f t="shared" si="7"/>
        <v>(2, 1)</v>
      </c>
      <c r="D16" s="59">
        <f t="shared" si="8"/>
        <v>151830.4498</v>
      </c>
      <c r="E16" s="59">
        <f t="shared" si="9"/>
        <v>-20449.949718</v>
      </c>
      <c r="F16" s="59">
        <f t="shared" si="10"/>
        <v>40000</v>
      </c>
      <c r="G16" s="59">
        <f t="shared" si="11"/>
        <v>109812.95925299999</v>
      </c>
      <c r="H16" s="59">
        <f t="shared" si="12"/>
        <v>40000</v>
      </c>
      <c r="J16" s="25">
        <f t="shared" si="13"/>
        <v>151830.4498</v>
      </c>
      <c r="K16" s="25"/>
      <c r="L16" s="25" t="str">
        <f>HLOOKUP(J16,D16:$H$23,N5,FALSE)</f>
        <v>OptOpt_EB</v>
      </c>
    </row>
    <row r="17" spans="1:40" ht="12.75" x14ac:dyDescent="0.25">
      <c r="A17" s="34">
        <v>36242.651595000003</v>
      </c>
      <c r="C17" s="36" t="str">
        <f t="shared" si="7"/>
        <v>(1, 0)</v>
      </c>
      <c r="D17" s="59">
        <f t="shared" si="8"/>
        <v>155826.9792</v>
      </c>
      <c r="E17" s="59">
        <f t="shared" si="9"/>
        <v>36498.011691</v>
      </c>
      <c r="F17" s="59">
        <f t="shared" si="10"/>
        <v>40000</v>
      </c>
      <c r="G17" s="59">
        <f t="shared" si="11"/>
        <v>63744.401934000001</v>
      </c>
      <c r="H17" s="59">
        <f t="shared" si="12"/>
        <v>40000</v>
      </c>
      <c r="J17" s="25">
        <f t="shared" si="13"/>
        <v>155826.9792</v>
      </c>
      <c r="K17" s="25"/>
      <c r="L17" s="25" t="str">
        <f>HLOOKUP(J17,D17:$H$23,N6,FALSE)</f>
        <v>OptOpt_EB</v>
      </c>
      <c r="N17" s="36" t="str">
        <f>N12</f>
        <v>B12/B3</v>
      </c>
      <c r="O17" s="36">
        <f t="shared" ref="O17:S17" si="14">O12</f>
        <v>43125.5</v>
      </c>
      <c r="P17" s="36">
        <f t="shared" si="14"/>
        <v>86251</v>
      </c>
      <c r="Q17" s="36">
        <f t="shared" si="14"/>
        <v>108751</v>
      </c>
      <c r="R17" s="36">
        <f t="shared" si="14"/>
        <v>131251</v>
      </c>
      <c r="S17" s="36">
        <f t="shared" si="14"/>
        <v>196876.5</v>
      </c>
    </row>
    <row r="18" spans="1:40" ht="12.75" x14ac:dyDescent="0.25">
      <c r="A18" s="34">
        <v>101642.89</v>
      </c>
      <c r="C18" s="36" t="str">
        <f t="shared" si="7"/>
        <v>(1, 1)</v>
      </c>
      <c r="D18" s="59">
        <f t="shared" si="8"/>
        <v>155815.04699999999</v>
      </c>
      <c r="E18" s="59">
        <f t="shared" si="9"/>
        <v>36013.891509000001</v>
      </c>
      <c r="F18" s="59">
        <f t="shared" si="10"/>
        <v>40000</v>
      </c>
      <c r="G18" s="59">
        <f t="shared" si="11"/>
        <v>62558.041488000003</v>
      </c>
      <c r="H18" s="59">
        <f t="shared" si="12"/>
        <v>40000</v>
      </c>
      <c r="J18" s="25">
        <f t="shared" si="13"/>
        <v>155815.04699999999</v>
      </c>
      <c r="K18" s="25"/>
      <c r="L18" s="25" t="str">
        <f>HLOOKUP(J18,D18:$H$23,N7,FALSE)</f>
        <v>OptOpt_EB</v>
      </c>
      <c r="N18" s="36">
        <f t="shared" ref="N18:N20" si="15">N13</f>
        <v>22500.5</v>
      </c>
      <c r="O18" s="40" t="str">
        <f>B2</f>
        <v>OptNone_BNB</v>
      </c>
      <c r="P18" s="40" t="str">
        <f>B13</f>
        <v>OptNone_BNB</v>
      </c>
      <c r="Q18" s="40" t="str">
        <f>B24</f>
        <v>OptNone_BNB</v>
      </c>
      <c r="R18" s="40" t="str">
        <f>B35</f>
        <v>OptOpt_EB</v>
      </c>
      <c r="S18" s="40" t="str">
        <f>B46</f>
        <v>OptNone_BNB</v>
      </c>
    </row>
    <row r="19" spans="1:40" ht="12.75" x14ac:dyDescent="0.25">
      <c r="A19" s="34">
        <v>3014021.784918</v>
      </c>
      <c r="C19" s="36" t="str">
        <f t="shared" si="7"/>
        <v>Inspector</v>
      </c>
      <c r="D19" s="59">
        <f t="shared" si="8"/>
        <v>126460.81378</v>
      </c>
      <c r="E19" s="59">
        <f t="shared" si="9"/>
        <v>101654.247902</v>
      </c>
      <c r="F19" s="59">
        <f t="shared" si="10"/>
        <v>83794.093288000004</v>
      </c>
      <c r="G19" s="59">
        <f t="shared" si="11"/>
        <v>77089.66</v>
      </c>
      <c r="H19" s="59">
        <f t="shared" si="12"/>
        <v>70000</v>
      </c>
      <c r="J19" s="25">
        <f t="shared" si="13"/>
        <v>126460.81378</v>
      </c>
      <c r="K19" s="25"/>
      <c r="L19" s="25" t="str">
        <f>HLOOKUP(J19,D19:$H$23,N8,FALSE)</f>
        <v>OptOpt_EB</v>
      </c>
      <c r="N19" s="36">
        <f t="shared" si="15"/>
        <v>45001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OptOpt_EB</v>
      </c>
      <c r="S19" s="40" t="str">
        <f>B101</f>
        <v>OptOpt_EB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2999543.2177639999</v>
      </c>
      <c r="E20" s="59">
        <f t="shared" si="9"/>
        <v>1699592.3162760001</v>
      </c>
      <c r="F20" s="59">
        <f t="shared" si="10"/>
        <v>1590000</v>
      </c>
      <c r="G20" s="59">
        <f t="shared" si="11"/>
        <v>2394855.4981610002</v>
      </c>
      <c r="H20" s="59">
        <f t="shared" si="12"/>
        <v>2590000</v>
      </c>
      <c r="J20" s="25">
        <f t="shared" si="13"/>
        <v>2999543.2177639999</v>
      </c>
      <c r="K20" s="25"/>
      <c r="L20" s="25" t="str">
        <f>HLOOKUP(J20,D20:$H$23,N9,FALSE)</f>
        <v>OptOpt_EB</v>
      </c>
      <c r="N20" s="36">
        <f t="shared" si="15"/>
        <v>67501.5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OptOpt_EB</v>
      </c>
      <c r="S20" s="40" t="str">
        <f>B156</f>
        <v>OptOpt_EB</v>
      </c>
    </row>
    <row r="21" spans="1:40" x14ac:dyDescent="0.25">
      <c r="A21" s="34">
        <v>-78691.735606000002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-79753.840737999999</v>
      </c>
      <c r="D22" s="60"/>
      <c r="E22" s="60"/>
      <c r="F22" s="60"/>
      <c r="G22" s="60"/>
      <c r="H22" s="60"/>
      <c r="U22" s="36" t="s">
        <v>101</v>
      </c>
      <c r="V22" s="36">
        <v>1</v>
      </c>
      <c r="W22" s="36">
        <v>2</v>
      </c>
      <c r="X22" s="36">
        <v>3</v>
      </c>
      <c r="Y22" s="73">
        <v>4</v>
      </c>
      <c r="Z22" s="36">
        <v>5</v>
      </c>
      <c r="AA22" s="36">
        <v>6</v>
      </c>
      <c r="AB22" s="36">
        <v>7</v>
      </c>
      <c r="AC22" s="36">
        <v>8</v>
      </c>
      <c r="AD22" s="73">
        <v>9</v>
      </c>
      <c r="AE22" s="36">
        <v>10</v>
      </c>
      <c r="AF22" s="36">
        <v>11</v>
      </c>
      <c r="AG22" s="36">
        <v>12</v>
      </c>
      <c r="AH22" s="36">
        <v>13</v>
      </c>
      <c r="AI22" s="73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(22500.5, 108751)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531695.41827799997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531593.30500000005</v>
      </c>
      <c r="AE23" s="35">
        <f>HLOOKUP($S$19,$D$100:$H$109,$S23,FALSE)</f>
        <v>502583.29022299999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531645.01789400005</v>
      </c>
      <c r="AJ23" s="35">
        <f>HLOOKUP($S$20,$D$155:$H$164,$S23,FALSE)</f>
        <v>502533.28359200002</v>
      </c>
      <c r="AL23" s="34">
        <f>AVERAGE(V23:AK23)</f>
        <v>233336.68766580004</v>
      </c>
      <c r="AN23" s="34">
        <f>AVERAGE(Y23,AD23,AI23)</f>
        <v>531644.58039066673</v>
      </c>
    </row>
    <row r="24" spans="1:40" ht="12.75" x14ac:dyDescent="0.25">
      <c r="A24" s="34">
        <v>40000</v>
      </c>
      <c r="B24" s="61" t="s">
        <v>9</v>
      </c>
      <c r="C24" s="36" t="str">
        <f t="shared" ref="C24:C32" si="17">C2</f>
        <v>(3, 0)</v>
      </c>
      <c r="D24" s="59">
        <f t="shared" ref="D24:D32" si="18">A95</f>
        <v>-718896.38500600006</v>
      </c>
      <c r="E24" s="59">
        <f t="shared" ref="E24:E32" si="19">A104</f>
        <v>571882.95340799994</v>
      </c>
      <c r="F24" s="59">
        <f t="shared" ref="F24:F32" si="20">A113</f>
        <v>571768.32985400001</v>
      </c>
      <c r="G24" s="59">
        <f t="shared" ref="G24:G32" si="21">A122</f>
        <v>90000</v>
      </c>
      <c r="H24" s="59">
        <f t="shared" ref="H24:H32" si="22">A131</f>
        <v>90000</v>
      </c>
      <c r="J24" s="25">
        <f>MAX(D24:H24)</f>
        <v>571882.95340799994</v>
      </c>
      <c r="K24" s="25"/>
      <c r="L24" s="25" t="str">
        <f>HLOOKUP(J24,D24:$H$34,N2,FALSE)</f>
        <v>OptOpt_BB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542573.50115799997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542719.45227000001</v>
      </c>
      <c r="AE24" s="35">
        <f t="shared" ref="AE24:AE31" si="32">HLOOKUP($S$19,$D$100:$H$109,$S24,FALSE)</f>
        <v>518839.77658100001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542560.90106199996</v>
      </c>
      <c r="AJ24" s="35">
        <f t="shared" ref="AJ24:AJ31" si="37">HLOOKUP($S$20,$D$155:$H$164,$S24,FALSE)</f>
        <v>518676.76283899997</v>
      </c>
      <c r="AL24" s="34">
        <f t="shared" ref="AL24:AL31" si="38">AVERAGE(V24:AK24)</f>
        <v>237691.35959400001</v>
      </c>
      <c r="AN24" s="34">
        <f t="shared" ref="AN24:AN28" si="39">AVERAGE(Y24,AD24,AI24)</f>
        <v>542617.95149666665</v>
      </c>
    </row>
    <row r="25" spans="1:40" ht="12.75" x14ac:dyDescent="0.25">
      <c r="A25" s="34">
        <v>40000</v>
      </c>
      <c r="C25" s="36" t="str">
        <f t="shared" si="17"/>
        <v>(3, 1)</v>
      </c>
      <c r="D25" s="59">
        <f t="shared" si="18"/>
        <v>-332422.79091600003</v>
      </c>
      <c r="E25" s="59">
        <f t="shared" si="19"/>
        <v>571899.04855599999</v>
      </c>
      <c r="F25" s="59">
        <f t="shared" si="20"/>
        <v>571981.26431200001</v>
      </c>
      <c r="G25" s="59">
        <f t="shared" si="21"/>
        <v>90000</v>
      </c>
      <c r="H25" s="59">
        <f t="shared" si="22"/>
        <v>90000</v>
      </c>
      <c r="J25" s="25">
        <f t="shared" ref="J25:J31" si="40">MAX(D25:H25)</f>
        <v>571981.26431200001</v>
      </c>
      <c r="K25" s="25"/>
      <c r="L25" s="25" t="str">
        <f>HLOOKUP(J25,D25:$H$34,N3,FALSE)</f>
        <v>NoneOpt_NBB</v>
      </c>
      <c r="N25" s="25"/>
      <c r="S25" s="34">
        <v>4</v>
      </c>
      <c r="U25" s="36" t="s">
        <v>0</v>
      </c>
      <c r="V25" s="35">
        <f t="shared" si="23"/>
        <v>109342.13907600001</v>
      </c>
      <c r="W25" s="35">
        <f t="shared" si="24"/>
        <v>109576.21916399999</v>
      </c>
      <c r="X25" s="35">
        <f t="shared" si="25"/>
        <v>110004.47932499999</v>
      </c>
      <c r="Y25" s="35">
        <f t="shared" si="26"/>
        <v>165000</v>
      </c>
      <c r="Z25" s="35">
        <f t="shared" si="27"/>
        <v>110334.319449</v>
      </c>
      <c r="AA25" s="35">
        <f t="shared" si="28"/>
        <v>163112.38805400001</v>
      </c>
      <c r="AB25" s="35">
        <f t="shared" si="29"/>
        <v>163151.628926</v>
      </c>
      <c r="AC25" s="35">
        <f t="shared" si="30"/>
        <v>163102.487834</v>
      </c>
      <c r="AD25" s="35">
        <f t="shared" si="31"/>
        <v>165000</v>
      </c>
      <c r="AE25" s="35">
        <f t="shared" si="32"/>
        <v>165000</v>
      </c>
      <c r="AF25" s="35">
        <f t="shared" si="33"/>
        <v>162193.017624</v>
      </c>
      <c r="AG25" s="35">
        <f t="shared" si="34"/>
        <v>162183.16240500001</v>
      </c>
      <c r="AH25" s="35">
        <f t="shared" si="35"/>
        <v>162184.91744399999</v>
      </c>
      <c r="AI25" s="35">
        <f t="shared" si="36"/>
        <v>165000</v>
      </c>
      <c r="AJ25" s="35">
        <f t="shared" si="37"/>
        <v>165000</v>
      </c>
      <c r="AL25" s="34">
        <f t="shared" si="38"/>
        <v>149345.65062006668</v>
      </c>
      <c r="AN25" s="34">
        <f t="shared" si="39"/>
        <v>165000</v>
      </c>
    </row>
    <row r="26" spans="1:40" ht="12.75" x14ac:dyDescent="0.25">
      <c r="A26" s="34">
        <v>40000</v>
      </c>
      <c r="C26" s="36" t="str">
        <f t="shared" si="17"/>
        <v>(2, 0)</v>
      </c>
      <c r="D26" s="59">
        <f t="shared" si="18"/>
        <v>151823.25260000001</v>
      </c>
      <c r="E26" s="59">
        <f t="shared" si="19"/>
        <v>-19513.629366000001</v>
      </c>
      <c r="F26" s="59">
        <f t="shared" si="20"/>
        <v>40000</v>
      </c>
      <c r="G26" s="59">
        <f t="shared" si="21"/>
        <v>110004.47932499999</v>
      </c>
      <c r="H26" s="59">
        <f t="shared" si="22"/>
        <v>40000</v>
      </c>
      <c r="J26" s="25">
        <f t="shared" si="40"/>
        <v>151823.25260000001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109249.039041</v>
      </c>
      <c r="W26" s="35">
        <f t="shared" si="24"/>
        <v>109812.95925299999</v>
      </c>
      <c r="X26" s="35">
        <f t="shared" si="25"/>
        <v>109735.81922400001</v>
      </c>
      <c r="Y26" s="35">
        <f t="shared" si="26"/>
        <v>165000</v>
      </c>
      <c r="Z26" s="35">
        <f t="shared" si="27"/>
        <v>108786.198867</v>
      </c>
      <c r="AA26" s="35">
        <f t="shared" si="28"/>
        <v>163117.33816399999</v>
      </c>
      <c r="AB26" s="35">
        <f t="shared" si="29"/>
        <v>163129.39843199999</v>
      </c>
      <c r="AC26" s="35">
        <f t="shared" si="30"/>
        <v>163140.198672</v>
      </c>
      <c r="AD26" s="35">
        <f t="shared" si="31"/>
        <v>165000</v>
      </c>
      <c r="AE26" s="35">
        <f t="shared" si="32"/>
        <v>165000</v>
      </c>
      <c r="AF26" s="35">
        <f t="shared" si="33"/>
        <v>162198.282741</v>
      </c>
      <c r="AG26" s="35">
        <f t="shared" si="34"/>
        <v>162180.327342</v>
      </c>
      <c r="AH26" s="35">
        <f t="shared" si="35"/>
        <v>162204.35787599999</v>
      </c>
      <c r="AI26" s="35">
        <f t="shared" si="36"/>
        <v>165000</v>
      </c>
      <c r="AJ26" s="35">
        <f t="shared" si="37"/>
        <v>165000</v>
      </c>
      <c r="AL26" s="34">
        <f t="shared" si="38"/>
        <v>149236.92797413332</v>
      </c>
      <c r="AN26" s="34">
        <f t="shared" si="39"/>
        <v>165000</v>
      </c>
    </row>
    <row r="27" spans="1:40" ht="12.75" x14ac:dyDescent="0.25">
      <c r="A27" s="34">
        <v>83753.539999999994</v>
      </c>
      <c r="C27" s="36" t="str">
        <f t="shared" si="17"/>
        <v>(2, 1)</v>
      </c>
      <c r="D27" s="59">
        <f t="shared" si="18"/>
        <v>151874.20120000001</v>
      </c>
      <c r="E27" s="59">
        <f t="shared" si="19"/>
        <v>-20194.589622</v>
      </c>
      <c r="F27" s="59">
        <f t="shared" si="20"/>
        <v>40000</v>
      </c>
      <c r="G27" s="59">
        <f t="shared" si="21"/>
        <v>109735.81922400001</v>
      </c>
      <c r="H27" s="59">
        <f t="shared" si="22"/>
        <v>40000</v>
      </c>
      <c r="J27" s="25">
        <f t="shared" si="40"/>
        <v>151874.20120000001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63326.781776999997</v>
      </c>
      <c r="W27" s="35">
        <f t="shared" si="24"/>
        <v>63744.401934000001</v>
      </c>
      <c r="X27" s="35">
        <f t="shared" si="25"/>
        <v>63486.381837000001</v>
      </c>
      <c r="Y27" s="35">
        <f t="shared" si="26"/>
        <v>165000</v>
      </c>
      <c r="Z27" s="35">
        <f t="shared" si="27"/>
        <v>63938.582006999997</v>
      </c>
      <c r="AA27" s="35">
        <f t="shared" si="28"/>
        <v>161594.234318</v>
      </c>
      <c r="AB27" s="35">
        <f t="shared" si="29"/>
        <v>161553.01340200001</v>
      </c>
      <c r="AC27" s="35">
        <f t="shared" si="30"/>
        <v>161594.50432400001</v>
      </c>
      <c r="AD27" s="35">
        <f t="shared" si="31"/>
        <v>165000</v>
      </c>
      <c r="AE27" s="35">
        <f t="shared" si="32"/>
        <v>165000</v>
      </c>
      <c r="AF27" s="35">
        <f t="shared" si="33"/>
        <v>159834.65021699999</v>
      </c>
      <c r="AG27" s="35">
        <f t="shared" si="34"/>
        <v>159871.64103900001</v>
      </c>
      <c r="AH27" s="35">
        <f t="shared" si="35"/>
        <v>159842.750397</v>
      </c>
      <c r="AI27" s="35">
        <f t="shared" si="36"/>
        <v>165000</v>
      </c>
      <c r="AJ27" s="35">
        <f t="shared" si="37"/>
        <v>165000</v>
      </c>
      <c r="AL27" s="34">
        <f t="shared" si="38"/>
        <v>136252.4627501333</v>
      </c>
      <c r="AN27" s="34">
        <f t="shared" si="39"/>
        <v>165000</v>
      </c>
    </row>
    <row r="28" spans="1:40" ht="12.75" x14ac:dyDescent="0.25">
      <c r="A28" s="34">
        <v>2903493.9763440001</v>
      </c>
      <c r="C28" s="36" t="str">
        <f t="shared" si="17"/>
        <v>(1, 0)</v>
      </c>
      <c r="D28" s="59">
        <f t="shared" si="18"/>
        <v>155768.4546</v>
      </c>
      <c r="E28" s="59">
        <f t="shared" si="19"/>
        <v>35955.371486999997</v>
      </c>
      <c r="F28" s="59">
        <f t="shared" si="20"/>
        <v>40000</v>
      </c>
      <c r="G28" s="59">
        <f t="shared" si="21"/>
        <v>63486.381837000001</v>
      </c>
      <c r="H28" s="59">
        <f t="shared" si="22"/>
        <v>40000</v>
      </c>
      <c r="J28" s="25">
        <f t="shared" si="40"/>
        <v>155768.4546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63528.941852999997</v>
      </c>
      <c r="W28" s="35">
        <f t="shared" si="24"/>
        <v>62558.041488000003</v>
      </c>
      <c r="X28" s="35">
        <f t="shared" si="25"/>
        <v>62925.121626</v>
      </c>
      <c r="Y28" s="35">
        <f t="shared" si="26"/>
        <v>165000</v>
      </c>
      <c r="Z28" s="35">
        <f t="shared" si="27"/>
        <v>63329.441778</v>
      </c>
      <c r="AA28" s="35">
        <f t="shared" si="28"/>
        <v>161546.17324999999</v>
      </c>
      <c r="AB28" s="35">
        <f t="shared" si="29"/>
        <v>161569.39376599999</v>
      </c>
      <c r="AC28" s="35">
        <f t="shared" si="30"/>
        <v>161559.31354199999</v>
      </c>
      <c r="AD28" s="35">
        <f t="shared" si="31"/>
        <v>165000</v>
      </c>
      <c r="AE28" s="35">
        <f t="shared" si="32"/>
        <v>165000</v>
      </c>
      <c r="AF28" s="35">
        <f t="shared" si="33"/>
        <v>159813.99475799999</v>
      </c>
      <c r="AG28" s="35">
        <f t="shared" si="34"/>
        <v>159807.37961100001</v>
      </c>
      <c r="AH28" s="35">
        <f t="shared" si="35"/>
        <v>159849.230541</v>
      </c>
      <c r="AI28" s="35">
        <f t="shared" si="36"/>
        <v>165000</v>
      </c>
      <c r="AJ28" s="35">
        <f t="shared" si="37"/>
        <v>165000</v>
      </c>
      <c r="AL28" s="34">
        <f t="shared" si="38"/>
        <v>136099.13548086665</v>
      </c>
      <c r="AN28" s="34">
        <f t="shared" si="39"/>
        <v>165000</v>
      </c>
    </row>
    <row r="29" spans="1:40" ht="12.75" x14ac:dyDescent="0.25">
      <c r="A29" s="34">
        <v>0.33333333333333298</v>
      </c>
      <c r="C29" s="36" t="str">
        <f t="shared" si="17"/>
        <v>(1, 1)</v>
      </c>
      <c r="D29" s="59">
        <f t="shared" si="18"/>
        <v>155806.71340000001</v>
      </c>
      <c r="E29" s="59">
        <f t="shared" si="19"/>
        <v>34726.451025000002</v>
      </c>
      <c r="F29" s="59">
        <f t="shared" si="20"/>
        <v>40000</v>
      </c>
      <c r="G29" s="59">
        <f t="shared" si="21"/>
        <v>62925.121626</v>
      </c>
      <c r="H29" s="59">
        <f t="shared" si="22"/>
        <v>40000</v>
      </c>
      <c r="J29" s="25">
        <f t="shared" si="40"/>
        <v>155806.71340000001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77095.179999999993</v>
      </c>
      <c r="W29" s="35">
        <f t="shared" si="24"/>
        <v>77089.66</v>
      </c>
      <c r="X29" s="35">
        <f t="shared" si="25"/>
        <v>77079.28</v>
      </c>
      <c r="Y29" s="35">
        <f t="shared" si="26"/>
        <v>141455.43556400001</v>
      </c>
      <c r="Z29" s="35">
        <f t="shared" si="27"/>
        <v>77073.94</v>
      </c>
      <c r="AA29" s="35">
        <f t="shared" si="28"/>
        <v>77086.656214000002</v>
      </c>
      <c r="AB29" s="35">
        <f t="shared" si="29"/>
        <v>77064.455474000002</v>
      </c>
      <c r="AC29" s="35">
        <f t="shared" si="30"/>
        <v>77069.075628000006</v>
      </c>
      <c r="AD29" s="35">
        <f t="shared" si="31"/>
        <v>141431.81023</v>
      </c>
      <c r="AE29" s="35">
        <f t="shared" si="32"/>
        <v>194315.373196</v>
      </c>
      <c r="AF29" s="35">
        <f t="shared" si="33"/>
        <v>82413.454660000003</v>
      </c>
      <c r="AG29" s="35">
        <f t="shared" si="34"/>
        <v>82411.459602999996</v>
      </c>
      <c r="AH29" s="35">
        <f t="shared" si="35"/>
        <v>82381.323741999993</v>
      </c>
      <c r="AI29" s="35">
        <f t="shared" si="36"/>
        <v>141505.836044</v>
      </c>
      <c r="AJ29" s="35">
        <f t="shared" si="37"/>
        <v>194482.36606900001</v>
      </c>
      <c r="AL29" s="34">
        <f t="shared" si="38"/>
        <v>106663.68709493332</v>
      </c>
    </row>
    <row r="30" spans="1:40" ht="12.75" x14ac:dyDescent="0.25">
      <c r="A30" s="34">
        <v>90000</v>
      </c>
      <c r="C30" s="36" t="str">
        <f t="shared" si="17"/>
        <v>Inspector</v>
      </c>
      <c r="D30" s="59">
        <f t="shared" si="18"/>
        <v>133975.52846599999</v>
      </c>
      <c r="E30" s="59">
        <f t="shared" si="19"/>
        <v>109166.59303600001</v>
      </c>
      <c r="F30" s="59">
        <f t="shared" si="20"/>
        <v>91299.123334000004</v>
      </c>
      <c r="G30" s="59">
        <f t="shared" si="21"/>
        <v>77079.28</v>
      </c>
      <c r="H30" s="59">
        <f t="shared" si="22"/>
        <v>70000</v>
      </c>
      <c r="J30" s="25">
        <f t="shared" si="40"/>
        <v>133975.52846599999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2395092.8582529998</v>
      </c>
      <c r="W30" s="35">
        <f t="shared" si="24"/>
        <v>2394855.4981610002</v>
      </c>
      <c r="X30" s="35">
        <f t="shared" si="25"/>
        <v>2394409.1579880002</v>
      </c>
      <c r="Y30" s="35">
        <f t="shared" si="26"/>
        <v>1090000</v>
      </c>
      <c r="Z30" s="35">
        <f t="shared" si="27"/>
        <v>2394179.5378990001</v>
      </c>
      <c r="AA30" s="35">
        <f t="shared" si="28"/>
        <v>2090000</v>
      </c>
      <c r="AB30" s="35">
        <f t="shared" si="29"/>
        <v>2090000</v>
      </c>
      <c r="AC30" s="35">
        <f t="shared" si="30"/>
        <v>2090000</v>
      </c>
      <c r="AD30" s="35">
        <f t="shared" si="31"/>
        <v>1090000</v>
      </c>
      <c r="AE30" s="35">
        <f t="shared" si="32"/>
        <v>1090000</v>
      </c>
      <c r="AF30" s="35">
        <f t="shared" si="33"/>
        <v>2090000</v>
      </c>
      <c r="AG30" s="35">
        <f t="shared" si="34"/>
        <v>2090000</v>
      </c>
      <c r="AH30" s="35">
        <f t="shared" si="35"/>
        <v>2090000</v>
      </c>
      <c r="AI30" s="35">
        <f t="shared" si="36"/>
        <v>1090000</v>
      </c>
      <c r="AJ30" s="35">
        <f t="shared" si="37"/>
        <v>1090000</v>
      </c>
      <c r="AL30" s="34">
        <f t="shared" si="38"/>
        <v>1837902.4701534</v>
      </c>
    </row>
    <row r="31" spans="1:40" ht="12.75" x14ac:dyDescent="0.25">
      <c r="A31" s="34">
        <v>90000</v>
      </c>
      <c r="C31" s="36" t="str">
        <f t="shared" si="17"/>
        <v>State</v>
      </c>
      <c r="D31" s="59">
        <f t="shared" si="18"/>
        <v>3275466.6031559999</v>
      </c>
      <c r="E31" s="59">
        <f t="shared" si="19"/>
        <v>1700108.316476</v>
      </c>
      <c r="F31" s="59">
        <f t="shared" si="20"/>
        <v>1590000</v>
      </c>
      <c r="G31" s="59">
        <f t="shared" si="21"/>
        <v>2394409.1579880002</v>
      </c>
      <c r="H31" s="59">
        <f t="shared" si="22"/>
        <v>2590000</v>
      </c>
      <c r="J31" s="25">
        <f t="shared" si="40"/>
        <v>3275466.6031559999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0.16666666666666599</v>
      </c>
      <c r="W31" s="35">
        <f t="shared" si="24"/>
        <v>0.16666666666666599</v>
      </c>
      <c r="X31" s="35">
        <f t="shared" si="25"/>
        <v>0.16666666666666599</v>
      </c>
      <c r="Y31" s="35">
        <f t="shared" si="26"/>
        <v>0.5</v>
      </c>
      <c r="Z31" s="35">
        <f t="shared" si="27"/>
        <v>0.16666666666666599</v>
      </c>
      <c r="AA31" s="35">
        <f t="shared" si="28"/>
        <v>0.16666666666666599</v>
      </c>
      <c r="AB31" s="35">
        <f t="shared" si="29"/>
        <v>0.16666666666666599</v>
      </c>
      <c r="AC31" s="35">
        <f t="shared" si="30"/>
        <v>0.16666666666666599</v>
      </c>
      <c r="AD31" s="35">
        <f t="shared" si="31"/>
        <v>0.5</v>
      </c>
      <c r="AE31" s="35">
        <f t="shared" si="32"/>
        <v>0.5</v>
      </c>
      <c r="AF31" s="35">
        <f t="shared" si="33"/>
        <v>0.16666666666666599</v>
      </c>
      <c r="AG31" s="35">
        <f t="shared" si="34"/>
        <v>0.16666666666666599</v>
      </c>
      <c r="AH31" s="35">
        <f t="shared" si="35"/>
        <v>0.16666666666666599</v>
      </c>
      <c r="AI31" s="35">
        <f t="shared" si="36"/>
        <v>0.5</v>
      </c>
      <c r="AJ31" s="35">
        <f t="shared" si="37"/>
        <v>0.5</v>
      </c>
      <c r="AL31" s="34">
        <f t="shared" si="38"/>
        <v>0.2777777777777774</v>
      </c>
    </row>
    <row r="32" spans="1:40" x14ac:dyDescent="0.25">
      <c r="A32" s="34">
        <v>109342.13907600001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4" x14ac:dyDescent="0.25">
      <c r="A33" s="34">
        <v>109249.039041</v>
      </c>
      <c r="D33" s="60"/>
      <c r="E33" s="60"/>
      <c r="F33" s="60"/>
      <c r="G33" s="60"/>
      <c r="H33" s="60"/>
    </row>
    <row r="34" spans="1:14" ht="12.75" x14ac:dyDescent="0.25">
      <c r="A34" s="34">
        <v>63326.781776999997</v>
      </c>
      <c r="B34" s="39">
        <v>4</v>
      </c>
      <c r="C34" s="36" t="str">
        <f>A140</f>
        <v>(22500.5, 131251)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63528.941852999997</v>
      </c>
      <c r="B35" s="39" t="s">
        <v>11</v>
      </c>
      <c r="C35" s="36" t="str">
        <f t="shared" ref="C35:C43" si="42">C2</f>
        <v>(3, 0)</v>
      </c>
      <c r="D35" s="59">
        <f t="shared" ref="D35:D43" si="43">A141</f>
        <v>531695.41827799997</v>
      </c>
      <c r="E35" s="59">
        <f t="shared" ref="E35:E43" si="44">A150</f>
        <v>568154.84606200003</v>
      </c>
      <c r="F35" s="59">
        <f t="shared" ref="F35:F43" si="45">A159</f>
        <v>568127.80835599999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568154.84606200003</v>
      </c>
      <c r="K35" s="25"/>
      <c r="L35" s="25" t="str">
        <f>HLOOKUP(J35,D35:$H$45,N2,FALSE)</f>
        <v>OptOpt_BB</v>
      </c>
      <c r="N35" s="25"/>
    </row>
    <row r="36" spans="1:14" ht="12.75" x14ac:dyDescent="0.25">
      <c r="A36" s="34">
        <v>77095.179999999993</v>
      </c>
      <c r="C36" s="36" t="str">
        <f t="shared" si="42"/>
        <v>(3, 1)</v>
      </c>
      <c r="D36" s="59">
        <f t="shared" si="43"/>
        <v>542573.50115799997</v>
      </c>
      <c r="E36" s="59">
        <f t="shared" si="44"/>
        <v>568127.28335200006</v>
      </c>
      <c r="F36" s="59">
        <f t="shared" si="45"/>
        <v>568113.63324800006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568127.28335200006</v>
      </c>
      <c r="K36" s="25"/>
      <c r="L36" s="25" t="str">
        <f>HLOOKUP(J36,D36:$H$45,N3,FALSE)</f>
        <v>OptOpt_BB</v>
      </c>
      <c r="N36" s="25"/>
    </row>
    <row r="37" spans="1:14" ht="12.75" x14ac:dyDescent="0.25">
      <c r="A37" s="34">
        <v>2395092.8582529998</v>
      </c>
      <c r="C37" s="36" t="str">
        <f t="shared" si="42"/>
        <v>(2, 0)</v>
      </c>
      <c r="D37" s="59">
        <f t="shared" si="43"/>
        <v>165000</v>
      </c>
      <c r="E37" s="59">
        <f t="shared" si="44"/>
        <v>-20019.029556000001</v>
      </c>
      <c r="F37" s="59">
        <f t="shared" si="45"/>
        <v>40000</v>
      </c>
      <c r="G37" s="59">
        <f t="shared" si="46"/>
        <v>109892.75928300001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-18755.529081000001</v>
      </c>
      <c r="F38" s="59">
        <f t="shared" si="45"/>
        <v>40000</v>
      </c>
      <c r="G38" s="59">
        <f t="shared" si="46"/>
        <v>109328.83907099999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35910.151469999997</v>
      </c>
      <c r="F39" s="59">
        <f t="shared" si="45"/>
        <v>40000</v>
      </c>
      <c r="G39" s="59">
        <f t="shared" si="46"/>
        <v>63196.441727999998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35989.951500000003</v>
      </c>
      <c r="F40" s="59">
        <f t="shared" si="45"/>
        <v>40000</v>
      </c>
      <c r="G40" s="59">
        <f t="shared" si="46"/>
        <v>63619.381887000003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141455.43556400001</v>
      </c>
      <c r="E41" s="59">
        <f t="shared" si="44"/>
        <v>116616.238086</v>
      </c>
      <c r="F41" s="59">
        <f t="shared" si="45"/>
        <v>98799.363396000001</v>
      </c>
      <c r="G41" s="59">
        <f t="shared" si="46"/>
        <v>77081.86</v>
      </c>
      <c r="H41" s="59">
        <f t="shared" si="47"/>
        <v>70000</v>
      </c>
      <c r="J41" s="25">
        <f t="shared" si="48"/>
        <v>141455.43556400001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1698021.0956669999</v>
      </c>
      <c r="F42" s="59">
        <f t="shared" si="45"/>
        <v>1590000</v>
      </c>
      <c r="G42" s="59">
        <f t="shared" si="46"/>
        <v>2394520.0980309998</v>
      </c>
      <c r="H42" s="59">
        <f t="shared" si="47"/>
        <v>2590000</v>
      </c>
      <c r="J42" s="25">
        <f t="shared" si="48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(22500.5, 196876.5)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61" t="s">
        <v>9</v>
      </c>
      <c r="C46" s="36" t="str">
        <f t="shared" ref="C46:C54" si="50">C2</f>
        <v>(3, 0)</v>
      </c>
      <c r="D46" s="59">
        <f t="shared" ref="D46:D54" si="51">A187</f>
        <v>502311.99440600001</v>
      </c>
      <c r="E46" s="59">
        <f t="shared" ref="E46:E54" si="52">A196</f>
        <v>557141.70590299997</v>
      </c>
      <c r="F46" s="59">
        <f t="shared" ref="F46:F54" si="53">A205</f>
        <v>557466.158375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557466.158375</v>
      </c>
      <c r="K46" s="25"/>
      <c r="L46" s="25" t="str">
        <f>HLOOKUP(J46,D46:$H$56,N2,FALSE)</f>
        <v>NoneOpt_NBB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518974.04635399999</v>
      </c>
      <c r="E47" s="59">
        <f t="shared" si="52"/>
        <v>557275.975676</v>
      </c>
      <c r="F47" s="59">
        <f t="shared" si="53"/>
        <v>557231.48158699996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557275.975676</v>
      </c>
      <c r="K47" s="25"/>
      <c r="L47" s="25" t="str">
        <f>HLOOKUP(J47,D47:$H$56,N3,FALSE)</f>
        <v>OptOpt_BB</v>
      </c>
      <c r="N47" s="25"/>
    </row>
    <row r="48" spans="1:14" ht="12.75" x14ac:dyDescent="0.25">
      <c r="A48" s="34" t="s">
        <v>200</v>
      </c>
      <c r="C48" s="36" t="str">
        <f t="shared" si="50"/>
        <v>(2, 0)</v>
      </c>
      <c r="D48" s="59">
        <f t="shared" si="51"/>
        <v>165000</v>
      </c>
      <c r="E48" s="59">
        <f t="shared" si="52"/>
        <v>-18840.649112999999</v>
      </c>
      <c r="F48" s="59">
        <f t="shared" si="53"/>
        <v>40000</v>
      </c>
      <c r="G48" s="59">
        <f t="shared" si="54"/>
        <v>110334.319449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-555278.12521600001</v>
      </c>
      <c r="C49" s="36" t="str">
        <f t="shared" si="50"/>
        <v>(2, 1)</v>
      </c>
      <c r="D49" s="59">
        <f t="shared" si="51"/>
        <v>165000</v>
      </c>
      <c r="E49" s="59">
        <f t="shared" si="52"/>
        <v>-19497.66936</v>
      </c>
      <c r="F49" s="59">
        <f t="shared" si="53"/>
        <v>40000</v>
      </c>
      <c r="G49" s="59">
        <f t="shared" si="54"/>
        <v>108786.198867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-212634.82052800001</v>
      </c>
      <c r="C50" s="36" t="str">
        <f t="shared" si="50"/>
        <v>(1, 0)</v>
      </c>
      <c r="D50" s="59">
        <f t="shared" si="51"/>
        <v>165000</v>
      </c>
      <c r="E50" s="59">
        <f t="shared" si="52"/>
        <v>35319.631247999998</v>
      </c>
      <c r="F50" s="59">
        <f t="shared" si="53"/>
        <v>40000</v>
      </c>
      <c r="G50" s="59">
        <f t="shared" si="54"/>
        <v>63938.582006999997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151832.53320000001</v>
      </c>
      <c r="C51" s="36" t="str">
        <f t="shared" si="50"/>
        <v>(1, 1)</v>
      </c>
      <c r="D51" s="59">
        <f t="shared" si="51"/>
        <v>165000</v>
      </c>
      <c r="E51" s="59">
        <f t="shared" si="52"/>
        <v>35277.071232000002</v>
      </c>
      <c r="F51" s="59">
        <f t="shared" si="53"/>
        <v>40000</v>
      </c>
      <c r="G51" s="59">
        <f t="shared" si="54"/>
        <v>63329.441778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151830.4498</v>
      </c>
      <c r="C52" s="36" t="str">
        <f t="shared" si="50"/>
        <v>Inspector</v>
      </c>
      <c r="D52" s="59">
        <f t="shared" si="51"/>
        <v>194402.80924</v>
      </c>
      <c r="E52" s="59">
        <f t="shared" si="52"/>
        <v>138499.30092099999</v>
      </c>
      <c r="F52" s="59">
        <f t="shared" si="53"/>
        <v>120393.99503799999</v>
      </c>
      <c r="G52" s="59">
        <f t="shared" si="54"/>
        <v>77073.94</v>
      </c>
      <c r="H52" s="59">
        <f t="shared" si="55"/>
        <v>70000</v>
      </c>
      <c r="J52" s="25">
        <f t="shared" si="56"/>
        <v>194402.80924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155826.9792</v>
      </c>
      <c r="C53" s="36" t="str">
        <f t="shared" si="50"/>
        <v>State</v>
      </c>
      <c r="D53" s="59">
        <f t="shared" si="51"/>
        <v>1090000</v>
      </c>
      <c r="E53" s="59">
        <f t="shared" si="52"/>
        <v>1698862.1759929999</v>
      </c>
      <c r="F53" s="59">
        <f t="shared" si="53"/>
        <v>1590000</v>
      </c>
      <c r="G53" s="59">
        <f t="shared" si="54"/>
        <v>2394179.5378990001</v>
      </c>
      <c r="H53" s="59">
        <f t="shared" si="55"/>
        <v>2590000</v>
      </c>
      <c r="J53" s="25">
        <f t="shared" si="56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155815.04699999999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126460.81378</v>
      </c>
      <c r="D55" s="60"/>
      <c r="E55" s="60"/>
      <c r="F55" s="60"/>
      <c r="G55" s="60"/>
      <c r="H55" s="60"/>
    </row>
    <row r="56" spans="1:14" ht="12.75" x14ac:dyDescent="0.25">
      <c r="A56" s="34">
        <v>2999543.2177639999</v>
      </c>
      <c r="B56" s="39">
        <v>6</v>
      </c>
      <c r="C56" s="36" t="str">
        <f>A232</f>
        <v>(45001, 43125.5)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61" t="s">
        <v>9</v>
      </c>
      <c r="C57" s="36" t="str">
        <f t="shared" ref="C57:C65" si="58">C2</f>
        <v>(3, 0)</v>
      </c>
      <c r="D57" s="59">
        <f>A233</f>
        <v>-1194304.4367559999</v>
      </c>
      <c r="E57" s="59">
        <f>A242</f>
        <v>-75923.825261999998</v>
      </c>
      <c r="F57" s="59">
        <f>A251</f>
        <v>-76841.097876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575634.72344800003</v>
      </c>
      <c r="C58" s="36" t="str">
        <f t="shared" si="58"/>
        <v>(3, 1)</v>
      </c>
      <c r="D58" s="59">
        <f t="shared" ref="D58:D65" si="59">A234</f>
        <v>-866355.33849800006</v>
      </c>
      <c r="E58" s="59">
        <f t="shared" ref="E58:E65" si="60">A243</f>
        <v>-78056.081776999999</v>
      </c>
      <c r="F58" s="59">
        <f t="shared" ref="F58:F65" si="61">A252</f>
        <v>-81298.720929999996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575652.14615000004</v>
      </c>
      <c r="C59" s="36" t="str">
        <f t="shared" si="58"/>
        <v>(2, 0)</v>
      </c>
      <c r="D59" s="59">
        <f t="shared" si="59"/>
        <v>151892.0048</v>
      </c>
      <c r="E59" s="59">
        <f t="shared" si="60"/>
        <v>158708.41019</v>
      </c>
      <c r="F59" s="59">
        <f t="shared" si="61"/>
        <v>40000</v>
      </c>
      <c r="G59" s="59">
        <f t="shared" si="62"/>
        <v>163112.38805400001</v>
      </c>
      <c r="H59" s="59">
        <f t="shared" si="63"/>
        <v>40000</v>
      </c>
      <c r="J59" s="25">
        <f t="shared" si="64"/>
        <v>163112.38805400001</v>
      </c>
      <c r="K59" s="25"/>
      <c r="L59" s="25" t="str">
        <f>HLOOKUP(J59,D59:$H$67,N4,FALSE)</f>
        <v>OptNone_BNB</v>
      </c>
      <c r="N59" s="25"/>
    </row>
    <row r="60" spans="1:14" ht="12.75" x14ac:dyDescent="0.25">
      <c r="A60" s="34">
        <v>-20556.349758</v>
      </c>
      <c r="C60" s="36" t="str">
        <f t="shared" si="58"/>
        <v>(2, 1)</v>
      </c>
      <c r="D60" s="59">
        <f t="shared" si="59"/>
        <v>151834.61660000001</v>
      </c>
      <c r="E60" s="59">
        <f t="shared" si="60"/>
        <v>158787.52194800001</v>
      </c>
      <c r="F60" s="59">
        <f t="shared" si="61"/>
        <v>40000</v>
      </c>
      <c r="G60" s="59">
        <f t="shared" si="62"/>
        <v>163117.33816399999</v>
      </c>
      <c r="H60" s="59">
        <f t="shared" si="63"/>
        <v>40000</v>
      </c>
      <c r="J60" s="25">
        <f t="shared" si="64"/>
        <v>163117.33816399999</v>
      </c>
      <c r="K60" s="25"/>
      <c r="L60" s="25" t="str">
        <f>HLOOKUP(J60,D60:$H$67,N5,FALSE)</f>
        <v>OptNone_BNB</v>
      </c>
      <c r="N60" s="25"/>
    </row>
    <row r="61" spans="1:14" ht="12.75" x14ac:dyDescent="0.25">
      <c r="A61" s="34">
        <v>-20449.949718</v>
      </c>
      <c r="C61" s="36" t="str">
        <f t="shared" si="58"/>
        <v>(1, 0)</v>
      </c>
      <c r="D61" s="59">
        <f t="shared" si="59"/>
        <v>155753.11319999999</v>
      </c>
      <c r="E61" s="59">
        <f t="shared" si="60"/>
        <v>160615.91257799999</v>
      </c>
      <c r="F61" s="59">
        <f t="shared" si="61"/>
        <v>40000</v>
      </c>
      <c r="G61" s="59">
        <f t="shared" si="62"/>
        <v>161594.234318</v>
      </c>
      <c r="H61" s="59">
        <f t="shared" si="63"/>
        <v>40000</v>
      </c>
      <c r="J61" s="25">
        <f t="shared" si="64"/>
        <v>161594.234318</v>
      </c>
      <c r="K61" s="25"/>
      <c r="L61" s="25" t="str">
        <f>HLOOKUP(J61,D61:$H$67,N6,FALSE)</f>
        <v>OptNone_BNB</v>
      </c>
      <c r="N61" s="25"/>
    </row>
    <row r="62" spans="1:14" ht="12.75" x14ac:dyDescent="0.25">
      <c r="A62" s="34">
        <v>36498.011691</v>
      </c>
      <c r="C62" s="36" t="str">
        <f t="shared" si="58"/>
        <v>(1, 1)</v>
      </c>
      <c r="D62" s="59">
        <f t="shared" si="59"/>
        <v>155814.1</v>
      </c>
      <c r="E62" s="59">
        <f t="shared" si="60"/>
        <v>160589.45199</v>
      </c>
      <c r="F62" s="59">
        <f t="shared" si="61"/>
        <v>40000</v>
      </c>
      <c r="G62" s="59">
        <f t="shared" si="62"/>
        <v>161546.17324999999</v>
      </c>
      <c r="H62" s="59">
        <f t="shared" si="63"/>
        <v>40000</v>
      </c>
      <c r="J62" s="25">
        <f t="shared" si="64"/>
        <v>161546.17324999999</v>
      </c>
      <c r="K62" s="25"/>
      <c r="L62" s="25" t="str">
        <f>HLOOKUP(J62,D62:$H$67,N7,FALSE)</f>
        <v>OptNone_BNB</v>
      </c>
      <c r="N62" s="25"/>
    </row>
    <row r="63" spans="1:14" ht="12.75" x14ac:dyDescent="0.25">
      <c r="A63" s="34">
        <v>36013.891509000001</v>
      </c>
      <c r="C63" s="36" t="str">
        <f t="shared" si="58"/>
        <v>Inspector</v>
      </c>
      <c r="D63" s="59">
        <f t="shared" si="59"/>
        <v>126451.63</v>
      </c>
      <c r="E63" s="59">
        <f t="shared" si="60"/>
        <v>101607.138294</v>
      </c>
      <c r="F63" s="59">
        <f t="shared" si="61"/>
        <v>83751.53</v>
      </c>
      <c r="G63" s="59">
        <f t="shared" si="62"/>
        <v>77086.656214000002</v>
      </c>
      <c r="H63" s="59">
        <f t="shared" si="63"/>
        <v>70000</v>
      </c>
      <c r="J63" s="25">
        <f t="shared" si="64"/>
        <v>126451.63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101654.247902</v>
      </c>
      <c r="C64" s="36" t="str">
        <f t="shared" si="58"/>
        <v>State</v>
      </c>
      <c r="D64" s="59">
        <f t="shared" si="59"/>
        <v>4296069.5606540004</v>
      </c>
      <c r="E64" s="59">
        <f t="shared" si="60"/>
        <v>2399111.5570390001</v>
      </c>
      <c r="F64" s="59">
        <f t="shared" si="61"/>
        <v>2903193.9188060001</v>
      </c>
      <c r="G64" s="59">
        <f t="shared" si="62"/>
        <v>2090000</v>
      </c>
      <c r="H64" s="59">
        <f t="shared" si="63"/>
        <v>2590000</v>
      </c>
      <c r="J64" s="25">
        <f t="shared" si="64"/>
        <v>4296069.5606540004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1699592.3162760001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575642.65853999997</v>
      </c>
      <c r="B67" s="39">
        <v>7</v>
      </c>
      <c r="C67" s="36" t="str">
        <f>A278</f>
        <v>(45001, 86251)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575610.91817199998</v>
      </c>
      <c r="B68" s="39" t="s">
        <v>9</v>
      </c>
      <c r="C68" s="36" t="str">
        <f>C57</f>
        <v>(3, 0)</v>
      </c>
      <c r="D68" s="59">
        <f>A279</f>
        <v>-554665.676614</v>
      </c>
      <c r="E68" s="59">
        <f>A288</f>
        <v>575593.66797199997</v>
      </c>
      <c r="F68" s="59">
        <f>A297</f>
        <v>575647.83360000001</v>
      </c>
      <c r="G68" s="59">
        <f>A306</f>
        <v>90000</v>
      </c>
      <c r="H68" s="59">
        <f>A315</f>
        <v>90000</v>
      </c>
      <c r="J68" s="25">
        <f>MAX(D68:H68)</f>
        <v>575647.83360000001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-212959.848474</v>
      </c>
      <c r="E69" s="59">
        <f t="shared" ref="E69:E76" si="68">A289</f>
        <v>575678.538956</v>
      </c>
      <c r="F69" s="59">
        <f t="shared" ref="F69:F76" si="69">A298</f>
        <v>575618.16325600003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575678.538956</v>
      </c>
      <c r="K69" s="25"/>
      <c r="L69" s="25" t="str">
        <f>HLOOKUP(J69,D69:$H$78,N3,FALSE)</f>
        <v>OptOpt_BB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151863.40539999999</v>
      </c>
      <c r="E70" s="59">
        <f t="shared" si="68"/>
        <v>158739.91089</v>
      </c>
      <c r="F70" s="59">
        <f t="shared" si="69"/>
        <v>40000</v>
      </c>
      <c r="G70" s="59">
        <f t="shared" si="70"/>
        <v>163151.628926</v>
      </c>
      <c r="H70" s="59">
        <f t="shared" si="71"/>
        <v>40000</v>
      </c>
      <c r="J70" s="25">
        <f t="shared" si="72"/>
        <v>163151.628926</v>
      </c>
      <c r="K70" s="25"/>
      <c r="L70" s="25" t="str">
        <f>HLOOKUP(J70,D70:$H$78,N4,FALSE)</f>
        <v>OptNone_BNB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151811.88860000001</v>
      </c>
      <c r="E71" s="59">
        <f t="shared" si="68"/>
        <v>158752.51117000001</v>
      </c>
      <c r="F71" s="59">
        <f t="shared" si="69"/>
        <v>40000</v>
      </c>
      <c r="G71" s="59">
        <f t="shared" si="70"/>
        <v>163129.39843199999</v>
      </c>
      <c r="H71" s="59">
        <f t="shared" si="71"/>
        <v>40000</v>
      </c>
      <c r="J71" s="25">
        <f t="shared" si="72"/>
        <v>163129.39843199999</v>
      </c>
      <c r="K71" s="25"/>
      <c r="L71" s="25" t="str">
        <f>HLOOKUP(J71,D71:$H$78,N5,FALSE)</f>
        <v>OptNone_BNB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155725.08199999999</v>
      </c>
      <c r="E72" s="59">
        <f t="shared" si="68"/>
        <v>160586.571926</v>
      </c>
      <c r="F72" s="59">
        <f t="shared" si="69"/>
        <v>40000</v>
      </c>
      <c r="G72" s="59">
        <f t="shared" si="70"/>
        <v>161553.01340200001</v>
      </c>
      <c r="H72" s="59">
        <f t="shared" si="71"/>
        <v>40000</v>
      </c>
      <c r="J72" s="25">
        <f t="shared" si="72"/>
        <v>161553.01340200001</v>
      </c>
      <c r="K72" s="25"/>
      <c r="L72" s="25" t="str">
        <f>HLOOKUP(J72,D72:$H$78,N6,FALSE)</f>
        <v>OptNone_BNB</v>
      </c>
      <c r="N72" s="25"/>
    </row>
    <row r="73" spans="1:14" ht="12.75" x14ac:dyDescent="0.25">
      <c r="A73" s="34">
        <v>83794.093288000004</v>
      </c>
      <c r="C73" s="36" t="str">
        <f t="shared" si="66"/>
        <v>(1, 1)</v>
      </c>
      <c r="D73" s="59">
        <f t="shared" si="67"/>
        <v>155910.12580000001</v>
      </c>
      <c r="E73" s="59">
        <f t="shared" si="68"/>
        <v>160623.29274199999</v>
      </c>
      <c r="F73" s="59">
        <f t="shared" si="69"/>
        <v>40000</v>
      </c>
      <c r="G73" s="59">
        <f t="shared" si="70"/>
        <v>161569.39376599999</v>
      </c>
      <c r="H73" s="59">
        <f t="shared" si="71"/>
        <v>40000</v>
      </c>
      <c r="J73" s="25">
        <f t="shared" si="72"/>
        <v>161569.39376599999</v>
      </c>
      <c r="K73" s="25"/>
      <c r="L73" s="25" t="str">
        <f>HLOOKUP(J73,D73:$H$78,N7,FALSE)</f>
        <v>OptNone_BNB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126424.63318200001</v>
      </c>
      <c r="E74" s="59">
        <f t="shared" si="68"/>
        <v>101685.246344</v>
      </c>
      <c r="F74" s="59">
        <f t="shared" si="69"/>
        <v>83784.173144</v>
      </c>
      <c r="G74" s="59">
        <f t="shared" si="70"/>
        <v>77064.455474000002</v>
      </c>
      <c r="H74" s="59">
        <f t="shared" si="71"/>
        <v>70000</v>
      </c>
      <c r="J74" s="25">
        <f t="shared" si="72"/>
        <v>126424.63318200001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2999308.5526060001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2999308.5526060001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109576.21916399999</v>
      </c>
      <c r="B78" s="39">
        <v>8</v>
      </c>
      <c r="C78" s="36" t="str">
        <f>A324</f>
        <v>(45001, 108751)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109812.95925299999</v>
      </c>
      <c r="B79" s="39" t="s">
        <v>9</v>
      </c>
      <c r="C79" s="36" t="str">
        <f>C68</f>
        <v>(3, 0)</v>
      </c>
      <c r="D79" s="59">
        <f>A325</f>
        <v>-718905.09771999996</v>
      </c>
      <c r="E79" s="59">
        <f>A334</f>
        <v>571874.25332799996</v>
      </c>
      <c r="F79" s="59">
        <f>A343</f>
        <v>571876.210846</v>
      </c>
      <c r="G79" s="59">
        <f>A352</f>
        <v>90000</v>
      </c>
      <c r="H79" s="59">
        <f>A361</f>
        <v>90000</v>
      </c>
      <c r="J79" s="25">
        <f>MAX(D79:H79)</f>
        <v>571876.210846</v>
      </c>
      <c r="K79" s="25"/>
      <c r="L79" s="25" t="str">
        <f>HLOOKUP(J79,D79:$H$89,N2,FALSE)</f>
        <v>NoneOpt_NBB</v>
      </c>
      <c r="N79" s="25"/>
    </row>
    <row r="80" spans="1:14" ht="12.75" x14ac:dyDescent="0.25">
      <c r="A80" s="34">
        <v>63744.401934000001</v>
      </c>
      <c r="C80" s="36" t="str">
        <f t="shared" ref="C80:C87" si="74">C69</f>
        <v>(3, 1)</v>
      </c>
      <c r="D80" s="59">
        <f t="shared" ref="D80:D87" si="75">A326</f>
        <v>-331897.73272799997</v>
      </c>
      <c r="E80" s="59">
        <f t="shared" ref="E80:E87" si="76">A335</f>
        <v>571840.75801999995</v>
      </c>
      <c r="F80" s="59">
        <f t="shared" ref="F80:F87" si="77">A344</f>
        <v>571898.39604999998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571898.39604999998</v>
      </c>
      <c r="K80" s="25"/>
      <c r="L80" s="25" t="str">
        <f>HLOOKUP(J80,D80:$H$89,N3,FALSE)</f>
        <v>NoneOpt_NBB</v>
      </c>
      <c r="N80" s="25"/>
    </row>
    <row r="81" spans="1:14" ht="12.75" x14ac:dyDescent="0.25">
      <c r="A81" s="34">
        <v>62558.041488000003</v>
      </c>
      <c r="C81" s="36" t="str">
        <f t="shared" si="74"/>
        <v>(2, 0)</v>
      </c>
      <c r="D81" s="59">
        <f t="shared" si="75"/>
        <v>151827.41940000001</v>
      </c>
      <c r="E81" s="59">
        <f t="shared" si="76"/>
        <v>158764.75144200001</v>
      </c>
      <c r="F81" s="59">
        <f t="shared" si="77"/>
        <v>40000</v>
      </c>
      <c r="G81" s="59">
        <f t="shared" si="78"/>
        <v>163102.487834</v>
      </c>
      <c r="H81" s="59">
        <f t="shared" si="79"/>
        <v>40000</v>
      </c>
      <c r="J81" s="25">
        <f t="shared" si="80"/>
        <v>163102.487834</v>
      </c>
      <c r="K81" s="25"/>
      <c r="L81" s="25" t="str">
        <f>HLOOKUP(J81,D81:$H$89,N4,FALSE)</f>
        <v>OptNone_BNB</v>
      </c>
      <c r="N81" s="25"/>
    </row>
    <row r="82" spans="1:14" ht="12.75" x14ac:dyDescent="0.25">
      <c r="A82" s="34">
        <v>77089.66</v>
      </c>
      <c r="C82" s="36" t="str">
        <f t="shared" si="74"/>
        <v>(2, 1)</v>
      </c>
      <c r="D82" s="59">
        <f t="shared" si="75"/>
        <v>151870.79199999999</v>
      </c>
      <c r="E82" s="59">
        <f t="shared" si="76"/>
        <v>158733.880756</v>
      </c>
      <c r="F82" s="59">
        <f t="shared" si="77"/>
        <v>40000</v>
      </c>
      <c r="G82" s="59">
        <f t="shared" si="78"/>
        <v>163140.198672</v>
      </c>
      <c r="H82" s="59">
        <f t="shared" si="79"/>
        <v>40000</v>
      </c>
      <c r="J82" s="25">
        <f t="shared" si="80"/>
        <v>163140.198672</v>
      </c>
      <c r="K82" s="25"/>
      <c r="L82" s="25" t="str">
        <f>HLOOKUP(J82,D82:$H$89,N5,FALSE)</f>
        <v>OptNone_BNB</v>
      </c>
      <c r="N82" s="25"/>
    </row>
    <row r="83" spans="1:14" ht="12.75" x14ac:dyDescent="0.25">
      <c r="A83" s="34">
        <v>2394855.4981610002</v>
      </c>
      <c r="C83" s="36" t="str">
        <f t="shared" si="74"/>
        <v>(1, 0)</v>
      </c>
      <c r="D83" s="59">
        <f t="shared" si="75"/>
        <v>155804.4406</v>
      </c>
      <c r="E83" s="59">
        <f t="shared" si="76"/>
        <v>160633.01295800001</v>
      </c>
      <c r="F83" s="59">
        <f t="shared" si="77"/>
        <v>40000</v>
      </c>
      <c r="G83" s="59">
        <f t="shared" si="78"/>
        <v>161594.50432400001</v>
      </c>
      <c r="H83" s="59">
        <f t="shared" si="79"/>
        <v>40000</v>
      </c>
      <c r="J83" s="25">
        <f t="shared" si="80"/>
        <v>161594.50432400001</v>
      </c>
      <c r="K83" s="25"/>
      <c r="L83" s="25" t="str">
        <f>HLOOKUP(J83,D83:$H$89,N6,FALSE)</f>
        <v>OptNone_BNB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155780.008</v>
      </c>
      <c r="E84" s="59">
        <f t="shared" si="76"/>
        <v>160638.14307200001</v>
      </c>
      <c r="F84" s="59">
        <f t="shared" si="77"/>
        <v>40000</v>
      </c>
      <c r="G84" s="59">
        <f t="shared" si="78"/>
        <v>161559.31354199999</v>
      </c>
      <c r="H84" s="59">
        <f t="shared" si="79"/>
        <v>40000</v>
      </c>
      <c r="J84" s="25">
        <f t="shared" si="80"/>
        <v>161559.31354199999</v>
      </c>
      <c r="K84" s="25"/>
      <c r="L84" s="25" t="str">
        <f>HLOOKUP(J84,D84:$H$89,N7,FALSE)</f>
        <v>OptNone_BNB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133950.43324799999</v>
      </c>
      <c r="E85" s="59">
        <f t="shared" si="76"/>
        <v>109177.865424</v>
      </c>
      <c r="F85" s="59">
        <f t="shared" si="77"/>
        <v>91268.813104000001</v>
      </c>
      <c r="G85" s="59">
        <f t="shared" si="78"/>
        <v>77069.075628000006</v>
      </c>
      <c r="H85" s="59">
        <f t="shared" si="79"/>
        <v>70000</v>
      </c>
      <c r="J85" s="25">
        <f t="shared" si="80"/>
        <v>133950.43324799999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3274976.1172000002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3274976.1172000002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(45001, 131251)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11</v>
      </c>
      <c r="C90" s="36" t="str">
        <f>C79</f>
        <v>(3, 0)</v>
      </c>
      <c r="D90" s="59">
        <f>A371</f>
        <v>531593.30500000005</v>
      </c>
      <c r="E90" s="59">
        <f>A380</f>
        <v>568118.35828399996</v>
      </c>
      <c r="F90" s="59">
        <f>A389</f>
        <v>568151.43353599997</v>
      </c>
      <c r="G90" s="59">
        <f>A398</f>
        <v>90000</v>
      </c>
      <c r="H90" s="59">
        <f>A407</f>
        <v>90000</v>
      </c>
      <c r="J90" s="25">
        <f>MAX(D90:H90)</f>
        <v>568151.43353599997</v>
      </c>
      <c r="K90" s="25"/>
      <c r="L90" s="25" t="str">
        <f>HLOOKUP(J90,D90:$H$100,N2,FALSE)</f>
        <v>NoneOpt_NBB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542719.45227000001</v>
      </c>
      <c r="E91" s="59">
        <f t="shared" ref="E91:E98" si="84">A381</f>
        <v>568209.70898</v>
      </c>
      <c r="F91" s="59">
        <f t="shared" ref="F91:F98" si="85">A390</f>
        <v>568172.95869999996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568209.70898</v>
      </c>
      <c r="K91" s="25"/>
      <c r="L91" s="25" t="str">
        <f>HLOOKUP(J91,D91:$H$100,N3,FALSE)</f>
        <v>OptOpt_BB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158750.441124</v>
      </c>
      <c r="F92" s="59">
        <f t="shared" si="85"/>
        <v>40000</v>
      </c>
      <c r="G92" s="59">
        <f t="shared" si="86"/>
        <v>163140.82868599999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158758.72130800001</v>
      </c>
      <c r="F93" s="59">
        <f t="shared" si="85"/>
        <v>40000</v>
      </c>
      <c r="G93" s="59">
        <f t="shared" si="86"/>
        <v>163130.65846000001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201</v>
      </c>
      <c r="C94" s="36" t="str">
        <f t="shared" si="82"/>
        <v>(1, 0)</v>
      </c>
      <c r="D94" s="59">
        <f t="shared" si="83"/>
        <v>165000</v>
      </c>
      <c r="E94" s="59">
        <f t="shared" si="84"/>
        <v>160618.97264600001</v>
      </c>
      <c r="F94" s="59">
        <f t="shared" si="85"/>
        <v>40000</v>
      </c>
      <c r="G94" s="59">
        <f t="shared" si="86"/>
        <v>161580.46401200001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-718896.38500600006</v>
      </c>
      <c r="C95" s="36" t="str">
        <f t="shared" si="82"/>
        <v>(1, 1)</v>
      </c>
      <c r="D95" s="59">
        <f t="shared" si="83"/>
        <v>165000</v>
      </c>
      <c r="E95" s="59">
        <f t="shared" si="84"/>
        <v>160633.372966</v>
      </c>
      <c r="F95" s="59">
        <f t="shared" si="85"/>
        <v>40000</v>
      </c>
      <c r="G95" s="59">
        <f t="shared" si="86"/>
        <v>161549.68332800001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-332422.79091600003</v>
      </c>
      <c r="C96" s="36" t="str">
        <f t="shared" si="82"/>
        <v>Inspector</v>
      </c>
      <c r="D96" s="59">
        <f t="shared" si="83"/>
        <v>141431.81023</v>
      </c>
      <c r="E96" s="59">
        <f t="shared" si="84"/>
        <v>116601.24469199999</v>
      </c>
      <c r="F96" s="59">
        <f t="shared" si="85"/>
        <v>98746.502764000004</v>
      </c>
      <c r="G96" s="59">
        <f t="shared" si="86"/>
        <v>77065.655513999998</v>
      </c>
      <c r="H96" s="59">
        <f t="shared" si="87"/>
        <v>70000</v>
      </c>
      <c r="J96" s="25">
        <f t="shared" si="88"/>
        <v>141431.81023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151823.25260000001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151874.20120000001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155768.4546</v>
      </c>
      <c r="D99" s="60"/>
      <c r="E99" s="60"/>
      <c r="F99" s="60"/>
      <c r="G99" s="60"/>
      <c r="H99" s="60"/>
    </row>
    <row r="100" spans="1:14" ht="12.75" x14ac:dyDescent="0.25">
      <c r="A100" s="34">
        <v>155806.71340000001</v>
      </c>
      <c r="B100" s="39">
        <v>10</v>
      </c>
      <c r="C100" s="36" t="str">
        <f>A416</f>
        <v>(45001, 196876.5)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133975.52846599999</v>
      </c>
      <c r="B101" s="39" t="s">
        <v>11</v>
      </c>
      <c r="C101" s="36" t="str">
        <f>C90</f>
        <v>(3, 0)</v>
      </c>
      <c r="D101" s="59">
        <f>A417</f>
        <v>502583.29022299999</v>
      </c>
      <c r="E101" s="59">
        <f>A426</f>
        <v>557171.631131</v>
      </c>
      <c r="F101" s="59">
        <f>A435</f>
        <v>557221.63776199997</v>
      </c>
      <c r="G101" s="59">
        <f>A444</f>
        <v>90000</v>
      </c>
      <c r="H101" s="59">
        <f>A453</f>
        <v>90000</v>
      </c>
      <c r="J101" s="25">
        <f>MAX(D101:H101)</f>
        <v>557221.63776199997</v>
      </c>
      <c r="K101" s="25"/>
      <c r="L101" s="25" t="str">
        <f>HLOOKUP(J101,D101:$H$111,N2,FALSE)</f>
        <v>NoneOpt_NBB</v>
      </c>
      <c r="N101" s="25"/>
    </row>
    <row r="102" spans="1:14" ht="12.75" x14ac:dyDescent="0.25">
      <c r="A102" s="34">
        <v>3275466.6031559999</v>
      </c>
      <c r="C102" s="36" t="str">
        <f t="shared" ref="C102:C109" si="90">C91</f>
        <v>(3, 1)</v>
      </c>
      <c r="D102" s="59">
        <f t="shared" ref="D102:D109" si="91">A418</f>
        <v>518839.77658100001</v>
      </c>
      <c r="E102" s="59">
        <f t="shared" ref="E102:E109" si="92">A427</f>
        <v>557199.98134699999</v>
      </c>
      <c r="F102" s="59">
        <f t="shared" ref="F102:F109" si="93">A436</f>
        <v>557102.72435599996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557199.98134699999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158753.59119400001</v>
      </c>
      <c r="F103" s="59">
        <f t="shared" si="93"/>
        <v>40000</v>
      </c>
      <c r="G103" s="59">
        <f t="shared" si="94"/>
        <v>163119.94822200001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571882.95340799994</v>
      </c>
      <c r="C104" s="36" t="str">
        <f t="shared" si="90"/>
        <v>(2, 1)</v>
      </c>
      <c r="D104" s="59">
        <f t="shared" si="91"/>
        <v>165000</v>
      </c>
      <c r="E104" s="59">
        <f t="shared" si="92"/>
        <v>158713.45030200001</v>
      </c>
      <c r="F104" s="59">
        <f t="shared" si="93"/>
        <v>40000</v>
      </c>
      <c r="G104" s="59">
        <f t="shared" si="94"/>
        <v>163099.60777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571899.04855599999</v>
      </c>
      <c r="C105" s="36" t="str">
        <f t="shared" si="90"/>
        <v>(1, 0)</v>
      </c>
      <c r="D105" s="59">
        <f t="shared" si="91"/>
        <v>165000</v>
      </c>
      <c r="E105" s="59">
        <f t="shared" si="92"/>
        <v>160629.23287400001</v>
      </c>
      <c r="F105" s="59">
        <f t="shared" si="93"/>
        <v>40000</v>
      </c>
      <c r="G105" s="59">
        <f t="shared" si="94"/>
        <v>161565.52368000001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-19513.629366000001</v>
      </c>
      <c r="C106" s="36" t="str">
        <f t="shared" si="90"/>
        <v>(1, 1)</v>
      </c>
      <c r="D106" s="59">
        <f t="shared" si="91"/>
        <v>165000</v>
      </c>
      <c r="E106" s="59">
        <f t="shared" si="92"/>
        <v>160648.67330600001</v>
      </c>
      <c r="F106" s="59">
        <f t="shared" si="93"/>
        <v>40000</v>
      </c>
      <c r="G106" s="59">
        <f t="shared" si="94"/>
        <v>161537.35305400001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-20194.589622</v>
      </c>
      <c r="C107" s="36" t="str">
        <f t="shared" si="90"/>
        <v>Inspector</v>
      </c>
      <c r="D107" s="59">
        <f t="shared" si="91"/>
        <v>194315.373196</v>
      </c>
      <c r="E107" s="59">
        <f t="shared" si="92"/>
        <v>138548.08484600001</v>
      </c>
      <c r="F107" s="59">
        <f t="shared" si="93"/>
        <v>120705.342882</v>
      </c>
      <c r="G107" s="59">
        <f t="shared" si="94"/>
        <v>77118.457274</v>
      </c>
      <c r="H107" s="59">
        <f t="shared" si="95"/>
        <v>70000</v>
      </c>
      <c r="J107" s="25">
        <f t="shared" si="96"/>
        <v>194315.373196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35955.371486999997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34726.451025000002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109166.59303600001</v>
      </c>
      <c r="D110" s="60"/>
      <c r="E110" s="60"/>
      <c r="F110" s="60"/>
      <c r="G110" s="60"/>
      <c r="H110" s="60"/>
    </row>
    <row r="111" spans="1:14" ht="12.75" x14ac:dyDescent="0.25">
      <c r="A111" s="34">
        <v>1700108.316476</v>
      </c>
      <c r="B111" s="39">
        <v>11</v>
      </c>
      <c r="C111" s="36" t="str">
        <f>A462</f>
        <v>(67501.5, 43125.5)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59">
        <f>A463</f>
        <v>-1195897.594454</v>
      </c>
      <c r="E112" s="59">
        <f>A472</f>
        <v>-82055.068524000002</v>
      </c>
      <c r="F112" s="59">
        <f>A481</f>
        <v>-81355.044687000001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571768.32985400001</v>
      </c>
      <c r="C113" s="36" t="str">
        <f t="shared" ref="C113:C120" si="98">C102</f>
        <v>(3, 1)</v>
      </c>
      <c r="D113" s="59">
        <f t="shared" ref="D113:D120" si="99">A464</f>
        <v>-864005.83320600004</v>
      </c>
      <c r="E113" s="59">
        <f t="shared" ref="E113:E120" si="100">A473</f>
        <v>-80775.714615000004</v>
      </c>
      <c r="F113" s="59">
        <f t="shared" ref="F113:F120" si="101">A482</f>
        <v>-83535.578708000001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571981.26431200001</v>
      </c>
      <c r="C114" s="36" t="str">
        <f t="shared" si="98"/>
        <v>(2, 0)</v>
      </c>
      <c r="D114" s="59">
        <f t="shared" si="99"/>
        <v>151844.46539999999</v>
      </c>
      <c r="E114" s="59">
        <f t="shared" si="100"/>
        <v>155622.01660500001</v>
      </c>
      <c r="F114" s="59">
        <f t="shared" si="101"/>
        <v>40000</v>
      </c>
      <c r="G114" s="59">
        <f t="shared" si="102"/>
        <v>162193.017624</v>
      </c>
      <c r="H114" s="59">
        <f t="shared" si="103"/>
        <v>40000</v>
      </c>
      <c r="J114" s="25">
        <f t="shared" si="104"/>
        <v>162193.017624</v>
      </c>
      <c r="K114" s="25"/>
      <c r="L114" s="25" t="str">
        <f>HLOOKUP(J114,D114:$H$122,N4,FALSE)</f>
        <v>OptNone_BNB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151825.33600000001</v>
      </c>
      <c r="E115" s="59">
        <f t="shared" si="100"/>
        <v>155670.347679</v>
      </c>
      <c r="F115" s="59">
        <f t="shared" si="101"/>
        <v>40000</v>
      </c>
      <c r="G115" s="59">
        <f t="shared" si="102"/>
        <v>162198.282741</v>
      </c>
      <c r="H115" s="59">
        <f t="shared" si="103"/>
        <v>40000</v>
      </c>
      <c r="J115" s="25">
        <f t="shared" si="104"/>
        <v>162198.282741</v>
      </c>
      <c r="K115" s="25"/>
      <c r="L115" s="25" t="str">
        <f>HLOOKUP(J115,D115:$H$122,N5,FALSE)</f>
        <v>OptNone_BNB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155779.43979999999</v>
      </c>
      <c r="E116" s="59">
        <f t="shared" si="100"/>
        <v>158410.638573</v>
      </c>
      <c r="F116" s="59">
        <f t="shared" si="101"/>
        <v>40000</v>
      </c>
      <c r="G116" s="59">
        <f t="shared" si="102"/>
        <v>159834.65021699999</v>
      </c>
      <c r="H116" s="59">
        <f t="shared" si="103"/>
        <v>40000</v>
      </c>
      <c r="J116" s="25">
        <f t="shared" si="104"/>
        <v>159834.65021699999</v>
      </c>
      <c r="K116" s="25"/>
      <c r="L116" s="25" t="str">
        <f>HLOOKUP(J116,D116:$H$122,N6,FALSE)</f>
        <v>OptNone_BNB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155760.8786</v>
      </c>
      <c r="E117" s="59">
        <f t="shared" si="100"/>
        <v>158431.96904699999</v>
      </c>
      <c r="F117" s="59">
        <f t="shared" si="101"/>
        <v>40000</v>
      </c>
      <c r="G117" s="59">
        <f t="shared" si="102"/>
        <v>159813.99475799999</v>
      </c>
      <c r="H117" s="59">
        <f t="shared" si="103"/>
        <v>40000</v>
      </c>
      <c r="J117" s="25">
        <f t="shared" si="104"/>
        <v>159813.99475799999</v>
      </c>
      <c r="K117" s="25"/>
      <c r="L117" s="25" t="str">
        <f>HLOOKUP(J117,D117:$H$122,N7,FALSE)</f>
        <v>OptNone_BNB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126468.28</v>
      </c>
      <c r="E118" s="59">
        <f t="shared" si="100"/>
        <v>112307.413096</v>
      </c>
      <c r="F118" s="59">
        <f t="shared" si="101"/>
        <v>83847.285000000003</v>
      </c>
      <c r="G118" s="59">
        <f t="shared" si="102"/>
        <v>82413.454660000003</v>
      </c>
      <c r="H118" s="59">
        <f t="shared" si="103"/>
        <v>70000</v>
      </c>
      <c r="J118" s="25">
        <f t="shared" si="104"/>
        <v>126468.28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91299.123334000004</v>
      </c>
      <c r="C119" s="36" t="str">
        <f t="shared" si="98"/>
        <v>State</v>
      </c>
      <c r="D119" s="59">
        <f t="shared" si="99"/>
        <v>4295375.6678600004</v>
      </c>
      <c r="E119" s="59">
        <f t="shared" si="100"/>
        <v>2407797.4331390001</v>
      </c>
      <c r="F119" s="59">
        <f t="shared" si="101"/>
        <v>2909818.8733950001</v>
      </c>
      <c r="G119" s="59">
        <f t="shared" si="102"/>
        <v>2090000</v>
      </c>
      <c r="H119" s="59">
        <f t="shared" si="103"/>
        <v>2590000</v>
      </c>
      <c r="J119" s="25">
        <f t="shared" si="104"/>
        <v>4295375.6678600004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(67501.5, 86251)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-553522.93646999996</v>
      </c>
      <c r="E123" s="59">
        <f>A518</f>
        <v>575618.85326400003</v>
      </c>
      <c r="F123" s="59">
        <f>A527</f>
        <v>575603.67308800004</v>
      </c>
      <c r="G123" s="59">
        <f>A536</f>
        <v>90000</v>
      </c>
      <c r="H123" s="59">
        <f>A545</f>
        <v>90000</v>
      </c>
      <c r="J123" s="25">
        <f>MAX(D123:H123)</f>
        <v>575618.85326400003</v>
      </c>
      <c r="K123" s="25"/>
      <c r="L123" s="25" t="str">
        <f>HLOOKUP(J123,D123:$H$133,N2,FALSE)</f>
        <v>OptOpt_BB</v>
      </c>
      <c r="N123" s="25"/>
    </row>
    <row r="124" spans="1:14" ht="12.75" x14ac:dyDescent="0.25">
      <c r="A124" s="34">
        <v>110004.47932499999</v>
      </c>
      <c r="C124" s="36" t="str">
        <f t="shared" ref="C124:C131" si="106">C113</f>
        <v>(3, 1)</v>
      </c>
      <c r="D124" s="59">
        <f t="shared" ref="D124:D131" si="107">A510</f>
        <v>-219249.996548</v>
      </c>
      <c r="E124" s="59">
        <f t="shared" ref="E124:E131" si="108">A519</f>
        <v>575641.62352799997</v>
      </c>
      <c r="F124" s="59">
        <f t="shared" ref="F124:F131" si="109">A528</f>
        <v>575656.97620599996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575656.97620599996</v>
      </c>
      <c r="K124" s="25"/>
      <c r="L124" s="25" t="str">
        <f>HLOOKUP(J124,D124:$H$133,N3,FALSE)</f>
        <v>NoneOpt_NBB</v>
      </c>
      <c r="N124" s="25"/>
    </row>
    <row r="125" spans="1:14" ht="12.75" x14ac:dyDescent="0.25">
      <c r="A125" s="34">
        <v>109735.81922400001</v>
      </c>
      <c r="C125" s="36" t="str">
        <f t="shared" si="106"/>
        <v>(2, 0)</v>
      </c>
      <c r="D125" s="59">
        <f t="shared" si="107"/>
        <v>151919.65719999999</v>
      </c>
      <c r="E125" s="59">
        <f t="shared" si="108"/>
        <v>155576.92560300001</v>
      </c>
      <c r="F125" s="59">
        <f t="shared" si="109"/>
        <v>40000</v>
      </c>
      <c r="G125" s="59">
        <f t="shared" si="110"/>
        <v>162183.16240500001</v>
      </c>
      <c r="H125" s="59">
        <f t="shared" si="111"/>
        <v>40000</v>
      </c>
      <c r="J125" s="25">
        <f t="shared" si="112"/>
        <v>162183.16240500001</v>
      </c>
      <c r="K125" s="25"/>
      <c r="L125" s="25" t="str">
        <f>HLOOKUP(J125,D125:$H$133,N4,FALSE)</f>
        <v>OptNone_BNB</v>
      </c>
      <c r="N125" s="25"/>
    </row>
    <row r="126" spans="1:14" ht="12.75" x14ac:dyDescent="0.25">
      <c r="A126" s="34">
        <v>63486.381837000001</v>
      </c>
      <c r="C126" s="36" t="str">
        <f t="shared" si="106"/>
        <v>(2, 1)</v>
      </c>
      <c r="D126" s="59">
        <f t="shared" si="107"/>
        <v>151782.53159999999</v>
      </c>
      <c r="E126" s="59">
        <f t="shared" si="108"/>
        <v>155614.996449</v>
      </c>
      <c r="F126" s="59">
        <f t="shared" si="109"/>
        <v>40000</v>
      </c>
      <c r="G126" s="59">
        <f t="shared" si="110"/>
        <v>162180.327342</v>
      </c>
      <c r="H126" s="59">
        <f t="shared" si="111"/>
        <v>40000</v>
      </c>
      <c r="J126" s="25">
        <f t="shared" si="112"/>
        <v>162180.327342</v>
      </c>
      <c r="K126" s="25"/>
      <c r="L126" s="25" t="str">
        <f>HLOOKUP(J126,D126:$H$133,N5,FALSE)</f>
        <v>OptNone_BNB</v>
      </c>
      <c r="N126" s="25"/>
    </row>
    <row r="127" spans="1:14" ht="12.75" x14ac:dyDescent="0.25">
      <c r="A127" s="34">
        <v>62925.121626</v>
      </c>
      <c r="C127" s="36" t="str">
        <f t="shared" si="106"/>
        <v>(1, 0)</v>
      </c>
      <c r="D127" s="59">
        <f t="shared" si="107"/>
        <v>155755.95420000001</v>
      </c>
      <c r="E127" s="59">
        <f t="shared" si="108"/>
        <v>158412.25860900001</v>
      </c>
      <c r="F127" s="59">
        <f t="shared" si="109"/>
        <v>40000</v>
      </c>
      <c r="G127" s="59">
        <f t="shared" si="110"/>
        <v>159871.64103900001</v>
      </c>
      <c r="H127" s="59">
        <f t="shared" si="111"/>
        <v>40000</v>
      </c>
      <c r="J127" s="25">
        <f t="shared" si="112"/>
        <v>159871.64103900001</v>
      </c>
      <c r="K127" s="25"/>
      <c r="L127" s="25" t="str">
        <f>HLOOKUP(J127,D127:$H$133,N6,FALSE)</f>
        <v>OptNone_BNB</v>
      </c>
      <c r="N127" s="25"/>
    </row>
    <row r="128" spans="1:14" ht="12.75" x14ac:dyDescent="0.25">
      <c r="A128" s="34">
        <v>77079.28</v>
      </c>
      <c r="C128" s="36" t="str">
        <f t="shared" si="106"/>
        <v>(1, 1)</v>
      </c>
      <c r="D128" s="59">
        <f t="shared" si="107"/>
        <v>155730.764</v>
      </c>
      <c r="E128" s="59">
        <f t="shared" si="108"/>
        <v>158483.945202</v>
      </c>
      <c r="F128" s="59">
        <f t="shared" si="109"/>
        <v>40000</v>
      </c>
      <c r="G128" s="59">
        <f t="shared" si="110"/>
        <v>159807.37961100001</v>
      </c>
      <c r="H128" s="59">
        <f t="shared" si="111"/>
        <v>40000</v>
      </c>
      <c r="J128" s="25">
        <f t="shared" si="112"/>
        <v>159807.37961100001</v>
      </c>
      <c r="K128" s="25"/>
      <c r="L128" s="25" t="str">
        <f>HLOOKUP(J128,D128:$H$133,N7,FALSE)</f>
        <v>OptNone_BNB</v>
      </c>
      <c r="N128" s="25"/>
    </row>
    <row r="129" spans="1:14" ht="12.75" x14ac:dyDescent="0.25">
      <c r="A129" s="34">
        <v>2394409.1579880002</v>
      </c>
      <c r="C129" s="36" t="str">
        <f t="shared" si="106"/>
        <v>Inspector</v>
      </c>
      <c r="D129" s="59">
        <f t="shared" si="107"/>
        <v>126485.72732799999</v>
      </c>
      <c r="E129" s="59">
        <f t="shared" si="108"/>
        <v>112314.25734500001</v>
      </c>
      <c r="F129" s="59">
        <f t="shared" si="109"/>
        <v>83791.988205999995</v>
      </c>
      <c r="G129" s="59">
        <f t="shared" si="110"/>
        <v>82411.459602999996</v>
      </c>
      <c r="H129" s="59">
        <f t="shared" si="111"/>
        <v>70000</v>
      </c>
      <c r="J129" s="25">
        <f t="shared" si="112"/>
        <v>126485.72732799999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3004503.55369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3004503.55369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(67501.5, 108751)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59">
        <f>A555</f>
        <v>-720477.74642400001</v>
      </c>
      <c r="E134" s="59">
        <f>A564</f>
        <v>571865.98825199995</v>
      </c>
      <c r="F134" s="59">
        <f>A573</f>
        <v>571801.17265600001</v>
      </c>
      <c r="G134" s="59">
        <f>A582</f>
        <v>90000</v>
      </c>
      <c r="H134" s="59">
        <f>A591</f>
        <v>90000</v>
      </c>
      <c r="J134" s="25">
        <f>MAX(D134:H134)</f>
        <v>571865.98825199995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-333308.96831800003</v>
      </c>
      <c r="E135" s="59">
        <f t="shared" ref="E135:E142" si="116">A565</f>
        <v>571935.37138999999</v>
      </c>
      <c r="F135" s="59">
        <f t="shared" ref="F135:F142" si="117">A574</f>
        <v>571919.49374399998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571935.37138999999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151784.61499999999</v>
      </c>
      <c r="E136" s="59">
        <f t="shared" si="116"/>
        <v>155664.40754700001</v>
      </c>
      <c r="F136" s="59">
        <f t="shared" si="117"/>
        <v>40000</v>
      </c>
      <c r="G136" s="59">
        <f t="shared" si="118"/>
        <v>162184.91744399999</v>
      </c>
      <c r="H136" s="59">
        <f t="shared" si="119"/>
        <v>40000</v>
      </c>
      <c r="J136" s="25">
        <f t="shared" si="120"/>
        <v>162184.91744399999</v>
      </c>
      <c r="K136" s="25"/>
      <c r="L136" s="25" t="str">
        <f>HLOOKUP(J136,D136:$H$144,N4,FALSE)</f>
        <v>OptNone_BNB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151881.0196</v>
      </c>
      <c r="E137" s="59">
        <f t="shared" si="116"/>
        <v>155650.77224399999</v>
      </c>
      <c r="F137" s="59">
        <f t="shared" si="117"/>
        <v>40000</v>
      </c>
      <c r="G137" s="59">
        <f t="shared" si="118"/>
        <v>162204.35787599999</v>
      </c>
      <c r="H137" s="59">
        <f t="shared" si="119"/>
        <v>40000</v>
      </c>
      <c r="J137" s="25">
        <f t="shared" si="120"/>
        <v>162204.35787599999</v>
      </c>
      <c r="K137" s="25"/>
      <c r="L137" s="25" t="str">
        <f>HLOOKUP(J137,D137:$H$144,N5,FALSE)</f>
        <v>OptNone_BNB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155733.0368</v>
      </c>
      <c r="E138" s="59">
        <f t="shared" si="116"/>
        <v>158398.48830299999</v>
      </c>
      <c r="F138" s="59">
        <f t="shared" si="117"/>
        <v>40000</v>
      </c>
      <c r="G138" s="59">
        <f t="shared" si="118"/>
        <v>159842.750397</v>
      </c>
      <c r="H138" s="59">
        <f t="shared" si="119"/>
        <v>40000</v>
      </c>
      <c r="J138" s="25">
        <f t="shared" si="120"/>
        <v>159842.750397</v>
      </c>
      <c r="K138" s="25"/>
      <c r="L138" s="25" t="str">
        <f>HLOOKUP(J138,D138:$H$144,N6,FALSE)</f>
        <v>OptNone_BNB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155823.75940000001</v>
      </c>
      <c r="E139" s="59">
        <f t="shared" si="116"/>
        <v>158432.91406800001</v>
      </c>
      <c r="F139" s="59">
        <f t="shared" si="117"/>
        <v>40000</v>
      </c>
      <c r="G139" s="59">
        <f t="shared" si="118"/>
        <v>159849.230541</v>
      </c>
      <c r="H139" s="59">
        <f t="shared" si="119"/>
        <v>40000</v>
      </c>
      <c r="J139" s="25">
        <f t="shared" si="120"/>
        <v>159849.230541</v>
      </c>
      <c r="K139" s="25"/>
      <c r="L139" s="25" t="str">
        <f>HLOOKUP(J139,D139:$H$144,N7,FALSE)</f>
        <v>OptNone_BNB</v>
      </c>
      <c r="N139" s="25"/>
    </row>
    <row r="140" spans="1:14" ht="12.75" x14ac:dyDescent="0.25">
      <c r="A140" s="79" t="s">
        <v>202</v>
      </c>
      <c r="C140" s="36" t="str">
        <f t="shared" si="114"/>
        <v>Inspector</v>
      </c>
      <c r="D140" s="59">
        <f t="shared" si="115"/>
        <v>134022.25350600001</v>
      </c>
      <c r="E140" s="59">
        <f t="shared" si="116"/>
        <v>119739.720696</v>
      </c>
      <c r="F140" s="59">
        <f t="shared" si="117"/>
        <v>91321.633600000001</v>
      </c>
      <c r="G140" s="59">
        <f t="shared" si="118"/>
        <v>82381.323741999993</v>
      </c>
      <c r="H140" s="59">
        <f t="shared" si="119"/>
        <v>70000</v>
      </c>
      <c r="J140" s="25">
        <f t="shared" si="120"/>
        <v>134022.25350600001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531695.41827799997</v>
      </c>
      <c r="C141" s="36" t="str">
        <f t="shared" si="114"/>
        <v>State</v>
      </c>
      <c r="D141" s="59">
        <f t="shared" si="115"/>
        <v>3277919.0329359998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3277919.0329359998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542573.50115799997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(67501.5, 131251)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11</v>
      </c>
      <c r="C145" s="36" t="str">
        <f>C134</f>
        <v>(3, 0)</v>
      </c>
      <c r="D145" s="59">
        <f>A601</f>
        <v>531645.01789400005</v>
      </c>
      <c r="E145" s="59">
        <f>A610</f>
        <v>568067.17039400002</v>
      </c>
      <c r="F145" s="59">
        <f>A619</f>
        <v>568041.70770000003</v>
      </c>
      <c r="G145" s="59">
        <f>A628</f>
        <v>90000</v>
      </c>
      <c r="H145" s="59">
        <f>A637</f>
        <v>90000</v>
      </c>
      <c r="J145" s="25">
        <f>MAX(D145:H145)</f>
        <v>568067.17039400002</v>
      </c>
      <c r="K145" s="25"/>
      <c r="L145" s="25" t="str">
        <f>HLOOKUP(J145,D145:$H$155,N2,FALSE)</f>
        <v>OptOpt_BB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542560.90106199996</v>
      </c>
      <c r="E146" s="59">
        <f t="shared" ref="E146:E153" si="124">A611</f>
        <v>568212.85900399997</v>
      </c>
      <c r="F146" s="59">
        <f t="shared" ref="F146:F153" si="125">A620</f>
        <v>568281.89702999999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568281.89702999999</v>
      </c>
      <c r="K146" s="25"/>
      <c r="L146" s="25" t="str">
        <f>HLOOKUP(J146,D146:$H$155,N3,FALSE)</f>
        <v>NoneOpt_NBB</v>
      </c>
      <c r="N146" s="25"/>
    </row>
    <row r="147" spans="1:14" ht="12.75" x14ac:dyDescent="0.25">
      <c r="A147" s="34">
        <v>141455.43556400001</v>
      </c>
      <c r="C147" s="36" t="str">
        <f t="shared" si="122"/>
        <v>(2, 0)</v>
      </c>
      <c r="D147" s="59">
        <f t="shared" si="123"/>
        <v>165000</v>
      </c>
      <c r="E147" s="59">
        <f t="shared" si="124"/>
        <v>155640.10700700001</v>
      </c>
      <c r="F147" s="59">
        <f t="shared" si="125"/>
        <v>40000</v>
      </c>
      <c r="G147" s="59">
        <f t="shared" si="126"/>
        <v>162186.402477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155586.10580700001</v>
      </c>
      <c r="F148" s="59">
        <f t="shared" si="125"/>
        <v>40000</v>
      </c>
      <c r="G148" s="59">
        <f t="shared" si="126"/>
        <v>162202.197828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158407.938513</v>
      </c>
      <c r="F149" s="59">
        <f t="shared" si="125"/>
        <v>40000</v>
      </c>
      <c r="G149" s="59">
        <f t="shared" si="126"/>
        <v>159854.360655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568154.84606200003</v>
      </c>
      <c r="C150" s="36" t="str">
        <f t="shared" si="122"/>
        <v>(1, 1)</v>
      </c>
      <c r="D150" s="59">
        <f t="shared" si="123"/>
        <v>165000</v>
      </c>
      <c r="E150" s="59">
        <f t="shared" si="124"/>
        <v>158438.989203</v>
      </c>
      <c r="F150" s="59">
        <f t="shared" si="125"/>
        <v>40000</v>
      </c>
      <c r="G150" s="59">
        <f t="shared" si="126"/>
        <v>159835.73024100001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568127.28335200006</v>
      </c>
      <c r="C151" s="36" t="str">
        <f t="shared" si="122"/>
        <v>Inspector</v>
      </c>
      <c r="D151" s="59">
        <f t="shared" si="123"/>
        <v>141505.836044</v>
      </c>
      <c r="E151" s="59">
        <f t="shared" si="124"/>
        <v>127309.937572</v>
      </c>
      <c r="F151" s="59">
        <f t="shared" si="125"/>
        <v>98741.907770000005</v>
      </c>
      <c r="G151" s="59">
        <f t="shared" si="126"/>
        <v>82383.318799000001</v>
      </c>
      <c r="H151" s="59">
        <f t="shared" si="127"/>
        <v>70000</v>
      </c>
      <c r="J151" s="25">
        <f t="shared" si="128"/>
        <v>141505.836044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-20019.029556000001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-18755.529081000001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35910.151469999997</v>
      </c>
      <c r="D154" s="60"/>
      <c r="E154" s="60"/>
      <c r="F154" s="60"/>
      <c r="G154" s="60"/>
      <c r="H154" s="60"/>
    </row>
    <row r="155" spans="1:14" ht="12.75" x14ac:dyDescent="0.25">
      <c r="A155" s="34">
        <v>35989.951500000003</v>
      </c>
      <c r="B155" s="39">
        <v>15</v>
      </c>
      <c r="C155" s="36" t="str">
        <f>A646</f>
        <v>(67501.5, 196876.5)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116616.238086</v>
      </c>
      <c r="B156" s="39" t="s">
        <v>11</v>
      </c>
      <c r="C156" s="36" t="str">
        <f>C145</f>
        <v>(3, 0)</v>
      </c>
      <c r="D156" s="59">
        <f>A647</f>
        <v>502533.28359200002</v>
      </c>
      <c r="E156" s="59">
        <f>A656</f>
        <v>557310.62594000006</v>
      </c>
      <c r="F156" s="59">
        <f>A665</f>
        <v>556982.23593800003</v>
      </c>
      <c r="G156" s="59">
        <f>A674</f>
        <v>90000</v>
      </c>
      <c r="H156" s="59">
        <f>A683</f>
        <v>90000</v>
      </c>
      <c r="J156" s="25">
        <f>MAX(D156:H156)</f>
        <v>557310.62594000006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1698021.0956669999</v>
      </c>
      <c r="C157" s="36" t="str">
        <f t="shared" ref="C157:C164" si="130">C146</f>
        <v>(3, 1)</v>
      </c>
      <c r="D157" s="59">
        <f t="shared" ref="D157:D162" si="131">A648</f>
        <v>518676.76283899997</v>
      </c>
      <c r="E157" s="59">
        <f t="shared" ref="E157:E162" si="132">A657</f>
        <v>557036.96760500001</v>
      </c>
      <c r="F157" s="59">
        <f t="shared" ref="F157:F162" si="133">A666</f>
        <v>557127.53079500003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557127.53079500003</v>
      </c>
      <c r="K157" s="25"/>
      <c r="L157" s="25" t="str">
        <f>HLOOKUP(J157,D157:$H$166,N3,FALSE)</f>
        <v>NoneOpt_NBB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155617.15649699999</v>
      </c>
      <c r="F158" s="59">
        <f t="shared" si="133"/>
        <v>40000</v>
      </c>
      <c r="G158" s="59">
        <f t="shared" si="134"/>
        <v>162188.967534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568127.80835599999</v>
      </c>
      <c r="C159" s="36" t="str">
        <f t="shared" si="130"/>
        <v>(2, 1)</v>
      </c>
      <c r="D159" s="59">
        <f t="shared" si="131"/>
        <v>165000</v>
      </c>
      <c r="E159" s="59">
        <f t="shared" si="132"/>
        <v>155586.24080999999</v>
      </c>
      <c r="F159" s="59">
        <f t="shared" si="133"/>
        <v>40000</v>
      </c>
      <c r="G159" s="59">
        <f t="shared" si="134"/>
        <v>162189.102537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568113.63324800006</v>
      </c>
      <c r="C160" s="36" t="str">
        <f t="shared" si="130"/>
        <v>(1, 0)</v>
      </c>
      <c r="D160" s="59">
        <f t="shared" si="131"/>
        <v>165000</v>
      </c>
      <c r="E160" s="59">
        <f t="shared" si="132"/>
        <v>158428.86397800001</v>
      </c>
      <c r="F160" s="59">
        <f t="shared" si="133"/>
        <v>40000</v>
      </c>
      <c r="G160" s="59">
        <f t="shared" si="134"/>
        <v>159802.65450599999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158457.48461399999</v>
      </c>
      <c r="F161" s="59">
        <f t="shared" si="133"/>
        <v>40000</v>
      </c>
      <c r="G161" s="59">
        <f t="shared" si="134"/>
        <v>159840.59034900001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194482.36606900001</v>
      </c>
      <c r="E162" s="59">
        <f t="shared" si="132"/>
        <v>149217.03805599999</v>
      </c>
      <c r="F162" s="59">
        <f t="shared" si="133"/>
        <v>120899.33076700001</v>
      </c>
      <c r="G162" s="59">
        <f t="shared" si="134"/>
        <v>82427.945074000003</v>
      </c>
      <c r="H162" s="59">
        <f t="shared" si="135"/>
        <v>70000</v>
      </c>
      <c r="J162" s="25">
        <f t="shared" si="136"/>
        <v>194482.36606900001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98799.363396000001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109892.75928300001</v>
      </c>
    </row>
    <row r="171" spans="1:14" x14ac:dyDescent="0.25">
      <c r="A171" s="34">
        <v>109328.83907099999</v>
      </c>
    </row>
    <row r="172" spans="1:14" x14ac:dyDescent="0.25">
      <c r="A172" s="34">
        <v>63196.441727999998</v>
      </c>
    </row>
    <row r="173" spans="1:14" x14ac:dyDescent="0.25">
      <c r="A173" s="34">
        <v>63619.381887000003</v>
      </c>
    </row>
    <row r="174" spans="1:14" x14ac:dyDescent="0.25">
      <c r="A174" s="34">
        <v>77081.86</v>
      </c>
    </row>
    <row r="175" spans="1:14" x14ac:dyDescent="0.25">
      <c r="A175" s="34">
        <v>2394520.0980309998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80" t="s">
        <v>203</v>
      </c>
    </row>
    <row r="187" spans="1:1" x14ac:dyDescent="0.25">
      <c r="A187" s="34">
        <v>502311.99440600001</v>
      </c>
    </row>
    <row r="188" spans="1:1" x14ac:dyDescent="0.25">
      <c r="A188" s="34">
        <v>518974.04635399999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194402.80924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557141.70590299997</v>
      </c>
    </row>
    <row r="197" spans="1:1" x14ac:dyDescent="0.25">
      <c r="A197" s="34">
        <v>557275.975676</v>
      </c>
    </row>
    <row r="198" spans="1:1" x14ac:dyDescent="0.25">
      <c r="A198" s="34">
        <v>-18840.649112999999</v>
      </c>
    </row>
    <row r="199" spans="1:1" x14ac:dyDescent="0.25">
      <c r="A199" s="34">
        <v>-19497.66936</v>
      </c>
    </row>
    <row r="200" spans="1:1" x14ac:dyDescent="0.25">
      <c r="A200" s="34">
        <v>35319.631247999998</v>
      </c>
    </row>
    <row r="201" spans="1:1" x14ac:dyDescent="0.25">
      <c r="A201" s="34">
        <v>35277.071232000002</v>
      </c>
    </row>
    <row r="202" spans="1:1" x14ac:dyDescent="0.25">
      <c r="A202" s="34">
        <v>138499.30092099999</v>
      </c>
    </row>
    <row r="203" spans="1:1" x14ac:dyDescent="0.25">
      <c r="A203" s="34">
        <v>1698862.1759929999</v>
      </c>
    </row>
    <row r="204" spans="1:1" x14ac:dyDescent="0.25">
      <c r="A204" s="34">
        <v>0.5</v>
      </c>
    </row>
    <row r="205" spans="1:1" x14ac:dyDescent="0.25">
      <c r="A205" s="34">
        <v>557466.158375</v>
      </c>
    </row>
    <row r="206" spans="1:1" x14ac:dyDescent="0.25">
      <c r="A206" s="34">
        <v>557231.48158699996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120393.99503799999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110334.319449</v>
      </c>
    </row>
    <row r="217" spans="1:1" x14ac:dyDescent="0.25">
      <c r="A217" s="34">
        <v>108786.198867</v>
      </c>
    </row>
    <row r="218" spans="1:1" x14ac:dyDescent="0.25">
      <c r="A218" s="34">
        <v>63938.582006999997</v>
      </c>
    </row>
    <row r="219" spans="1:1" x14ac:dyDescent="0.25">
      <c r="A219" s="34">
        <v>63329.441778</v>
      </c>
    </row>
    <row r="220" spans="1:1" x14ac:dyDescent="0.25">
      <c r="A220" s="34">
        <v>77073.94</v>
      </c>
    </row>
    <row r="221" spans="1:1" x14ac:dyDescent="0.25">
      <c r="A221" s="34">
        <v>2394179.5378990001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79" t="s">
        <v>204</v>
      </c>
    </row>
    <row r="233" spans="1:1" x14ac:dyDescent="0.25">
      <c r="A233" s="34">
        <v>-1194304.4367559999</v>
      </c>
    </row>
    <row r="234" spans="1:1" x14ac:dyDescent="0.25">
      <c r="A234" s="34">
        <v>-866355.33849800006</v>
      </c>
    </row>
    <row r="235" spans="1:1" x14ac:dyDescent="0.25">
      <c r="A235" s="34">
        <v>151892.0048</v>
      </c>
    </row>
    <row r="236" spans="1:1" x14ac:dyDescent="0.25">
      <c r="A236" s="34">
        <v>151834.61660000001</v>
      </c>
    </row>
    <row r="237" spans="1:1" x14ac:dyDescent="0.25">
      <c r="A237" s="34">
        <v>155753.11319999999</v>
      </c>
    </row>
    <row r="238" spans="1:1" x14ac:dyDescent="0.25">
      <c r="A238" s="34">
        <v>155814.1</v>
      </c>
    </row>
    <row r="239" spans="1:1" x14ac:dyDescent="0.25">
      <c r="A239" s="34">
        <v>126451.63</v>
      </c>
    </row>
    <row r="240" spans="1:1" x14ac:dyDescent="0.25">
      <c r="A240" s="34">
        <v>4296069.5606540004</v>
      </c>
    </row>
    <row r="241" spans="1:1" x14ac:dyDescent="0.25">
      <c r="A241" s="34">
        <v>0.5</v>
      </c>
    </row>
    <row r="242" spans="1:1" x14ac:dyDescent="0.25">
      <c r="A242" s="34">
        <v>-75923.825261999998</v>
      </c>
    </row>
    <row r="243" spans="1:1" x14ac:dyDescent="0.25">
      <c r="A243" s="34">
        <v>-78056.081776999999</v>
      </c>
    </row>
    <row r="244" spans="1:1" x14ac:dyDescent="0.25">
      <c r="A244" s="34">
        <v>158708.41019</v>
      </c>
    </row>
    <row r="245" spans="1:1" x14ac:dyDescent="0.25">
      <c r="A245" s="34">
        <v>158787.52194800001</v>
      </c>
    </row>
    <row r="246" spans="1:1" x14ac:dyDescent="0.25">
      <c r="A246" s="34">
        <v>160615.91257799999</v>
      </c>
    </row>
    <row r="247" spans="1:1" x14ac:dyDescent="0.25">
      <c r="A247" s="34">
        <v>160589.45199</v>
      </c>
    </row>
    <row r="248" spans="1:1" x14ac:dyDescent="0.25">
      <c r="A248" s="34">
        <v>101607.138294</v>
      </c>
    </row>
    <row r="249" spans="1:1" x14ac:dyDescent="0.25">
      <c r="A249" s="34">
        <v>2399111.5570390001</v>
      </c>
    </row>
    <row r="250" spans="1:1" x14ac:dyDescent="0.25">
      <c r="A250" s="34">
        <v>0.5</v>
      </c>
    </row>
    <row r="251" spans="1:1" x14ac:dyDescent="0.25">
      <c r="A251" s="34">
        <v>-76841.097876</v>
      </c>
    </row>
    <row r="252" spans="1:1" x14ac:dyDescent="0.25">
      <c r="A252" s="34">
        <v>-81298.720929999996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83751.53</v>
      </c>
    </row>
    <row r="258" spans="1:1" x14ac:dyDescent="0.25">
      <c r="A258" s="34">
        <v>2903193.9188060001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163112.38805400001</v>
      </c>
    </row>
    <row r="263" spans="1:1" x14ac:dyDescent="0.25">
      <c r="A263" s="34">
        <v>163117.33816399999</v>
      </c>
    </row>
    <row r="264" spans="1:1" x14ac:dyDescent="0.25">
      <c r="A264" s="34">
        <v>161594.234318</v>
      </c>
    </row>
    <row r="265" spans="1:1" x14ac:dyDescent="0.25">
      <c r="A265" s="34">
        <v>161546.17324999999</v>
      </c>
    </row>
    <row r="266" spans="1:1" x14ac:dyDescent="0.25">
      <c r="A266" s="34">
        <v>77086.656214000002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79" t="s">
        <v>205</v>
      </c>
    </row>
    <row r="279" spans="1:1" x14ac:dyDescent="0.25">
      <c r="A279" s="34">
        <v>-554665.676614</v>
      </c>
    </row>
    <row r="280" spans="1:1" x14ac:dyDescent="0.25">
      <c r="A280" s="34">
        <v>-212959.848474</v>
      </c>
    </row>
    <row r="281" spans="1:1" x14ac:dyDescent="0.25">
      <c r="A281" s="34">
        <v>151863.40539999999</v>
      </c>
    </row>
    <row r="282" spans="1:1" x14ac:dyDescent="0.25">
      <c r="A282" s="34">
        <v>151811.88860000001</v>
      </c>
    </row>
    <row r="283" spans="1:1" x14ac:dyDescent="0.25">
      <c r="A283" s="34">
        <v>155725.08199999999</v>
      </c>
    </row>
    <row r="284" spans="1:1" x14ac:dyDescent="0.25">
      <c r="A284" s="34">
        <v>155910.12580000001</v>
      </c>
    </row>
    <row r="285" spans="1:1" x14ac:dyDescent="0.25">
      <c r="A285" s="34">
        <v>126424.63318200001</v>
      </c>
    </row>
    <row r="286" spans="1:1" x14ac:dyDescent="0.25">
      <c r="A286" s="34">
        <v>2999308.5526060001</v>
      </c>
    </row>
    <row r="287" spans="1:1" x14ac:dyDescent="0.25">
      <c r="A287" s="34">
        <v>0.5</v>
      </c>
    </row>
    <row r="288" spans="1:1" x14ac:dyDescent="0.25">
      <c r="A288" s="34">
        <v>575593.66797199997</v>
      </c>
    </row>
    <row r="289" spans="1:1" x14ac:dyDescent="0.25">
      <c r="A289" s="34">
        <v>575678.538956</v>
      </c>
    </row>
    <row r="290" spans="1:1" x14ac:dyDescent="0.25">
      <c r="A290" s="34">
        <v>158739.91089</v>
      </c>
    </row>
    <row r="291" spans="1:1" x14ac:dyDescent="0.25">
      <c r="A291" s="34">
        <v>158752.51117000001</v>
      </c>
    </row>
    <row r="292" spans="1:1" x14ac:dyDescent="0.25">
      <c r="A292" s="34">
        <v>160586.571926</v>
      </c>
    </row>
    <row r="293" spans="1:1" x14ac:dyDescent="0.25">
      <c r="A293" s="34">
        <v>160623.29274199999</v>
      </c>
    </row>
    <row r="294" spans="1:1" x14ac:dyDescent="0.25">
      <c r="A294" s="34">
        <v>101685.246344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575647.83360000001</v>
      </c>
    </row>
    <row r="298" spans="1:1" x14ac:dyDescent="0.25">
      <c r="A298" s="34">
        <v>575618.16325600003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83784.173144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163151.628926</v>
      </c>
    </row>
    <row r="309" spans="1:1" x14ac:dyDescent="0.25">
      <c r="A309" s="34">
        <v>163129.39843199999</v>
      </c>
    </row>
    <row r="310" spans="1:1" x14ac:dyDescent="0.25">
      <c r="A310" s="34">
        <v>161553.01340200001</v>
      </c>
    </row>
    <row r="311" spans="1:1" x14ac:dyDescent="0.25">
      <c r="A311" s="34">
        <v>161569.39376599999</v>
      </c>
    </row>
    <row r="312" spans="1:1" x14ac:dyDescent="0.25">
      <c r="A312" s="34">
        <v>77064.455474000002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80" t="s">
        <v>206</v>
      </c>
    </row>
    <row r="325" spans="1:1" x14ac:dyDescent="0.25">
      <c r="A325" s="34">
        <v>-718905.09771999996</v>
      </c>
    </row>
    <row r="326" spans="1:1" x14ac:dyDescent="0.25">
      <c r="A326" s="34">
        <v>-331897.73272799997</v>
      </c>
    </row>
    <row r="327" spans="1:1" x14ac:dyDescent="0.25">
      <c r="A327" s="34">
        <v>151827.41940000001</v>
      </c>
    </row>
    <row r="328" spans="1:1" x14ac:dyDescent="0.25">
      <c r="A328" s="34">
        <v>151870.79199999999</v>
      </c>
    </row>
    <row r="329" spans="1:1" x14ac:dyDescent="0.25">
      <c r="A329" s="34">
        <v>155804.4406</v>
      </c>
    </row>
    <row r="330" spans="1:1" x14ac:dyDescent="0.25">
      <c r="A330" s="34">
        <v>155780.008</v>
      </c>
    </row>
    <row r="331" spans="1:1" x14ac:dyDescent="0.25">
      <c r="A331" s="34">
        <v>133950.43324799999</v>
      </c>
    </row>
    <row r="332" spans="1:1" x14ac:dyDescent="0.25">
      <c r="A332" s="34">
        <v>3274976.1172000002</v>
      </c>
    </row>
    <row r="333" spans="1:1" x14ac:dyDescent="0.25">
      <c r="A333" s="34">
        <v>0.5</v>
      </c>
    </row>
    <row r="334" spans="1:1" x14ac:dyDescent="0.25">
      <c r="A334" s="34">
        <v>571874.25332799996</v>
      </c>
    </row>
    <row r="335" spans="1:1" x14ac:dyDescent="0.25">
      <c r="A335" s="34">
        <v>571840.75801999995</v>
      </c>
    </row>
    <row r="336" spans="1:1" x14ac:dyDescent="0.25">
      <c r="A336" s="34">
        <v>158764.75144200001</v>
      </c>
    </row>
    <row r="337" spans="1:1" x14ac:dyDescent="0.25">
      <c r="A337" s="34">
        <v>158733.880756</v>
      </c>
    </row>
    <row r="338" spans="1:1" x14ac:dyDescent="0.25">
      <c r="A338" s="34">
        <v>160633.01295800001</v>
      </c>
    </row>
    <row r="339" spans="1:1" x14ac:dyDescent="0.25">
      <c r="A339" s="34">
        <v>160638.14307200001</v>
      </c>
    </row>
    <row r="340" spans="1:1" x14ac:dyDescent="0.25">
      <c r="A340" s="34">
        <v>109177.865424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571876.210846</v>
      </c>
    </row>
    <row r="344" spans="1:1" x14ac:dyDescent="0.25">
      <c r="A344" s="34">
        <v>571898.39604999998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91268.813104000001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163102.487834</v>
      </c>
    </row>
    <row r="355" spans="1:1" x14ac:dyDescent="0.25">
      <c r="A355" s="34">
        <v>163140.198672</v>
      </c>
    </row>
    <row r="356" spans="1:1" x14ac:dyDescent="0.25">
      <c r="A356" s="34">
        <v>161594.50432400001</v>
      </c>
    </row>
    <row r="357" spans="1:1" x14ac:dyDescent="0.25">
      <c r="A357" s="34">
        <v>161559.31354199999</v>
      </c>
    </row>
    <row r="358" spans="1:1" x14ac:dyDescent="0.25">
      <c r="A358" s="34">
        <v>77069.075628000006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79" t="s">
        <v>207</v>
      </c>
    </row>
    <row r="371" spans="1:1" x14ac:dyDescent="0.25">
      <c r="A371" s="34">
        <v>531593.30500000005</v>
      </c>
    </row>
    <row r="372" spans="1:1" x14ac:dyDescent="0.25">
      <c r="A372" s="34">
        <v>542719.45227000001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141431.81023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568118.35828399996</v>
      </c>
    </row>
    <row r="381" spans="1:1" x14ac:dyDescent="0.25">
      <c r="A381" s="34">
        <v>568209.70898</v>
      </c>
    </row>
    <row r="382" spans="1:1" x14ac:dyDescent="0.25">
      <c r="A382" s="34">
        <v>158750.441124</v>
      </c>
    </row>
    <row r="383" spans="1:1" x14ac:dyDescent="0.25">
      <c r="A383" s="34">
        <v>158758.72130800001</v>
      </c>
    </row>
    <row r="384" spans="1:1" x14ac:dyDescent="0.25">
      <c r="A384" s="34">
        <v>160618.97264600001</v>
      </c>
    </row>
    <row r="385" spans="1:1" x14ac:dyDescent="0.25">
      <c r="A385" s="34">
        <v>160633.372966</v>
      </c>
    </row>
    <row r="386" spans="1:1" x14ac:dyDescent="0.25">
      <c r="A386" s="34">
        <v>116601.24469199999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568151.43353599997</v>
      </c>
    </row>
    <row r="390" spans="1:1" x14ac:dyDescent="0.25">
      <c r="A390" s="34">
        <v>568172.95869999996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98746.502764000004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163140.82868599999</v>
      </c>
    </row>
    <row r="401" spans="1:1" x14ac:dyDescent="0.25">
      <c r="A401" s="34">
        <v>163130.65846000001</v>
      </c>
    </row>
    <row r="402" spans="1:1" x14ac:dyDescent="0.25">
      <c r="A402" s="34">
        <v>161580.46401200001</v>
      </c>
    </row>
    <row r="403" spans="1:1" x14ac:dyDescent="0.25">
      <c r="A403" s="34">
        <v>161549.68332800001</v>
      </c>
    </row>
    <row r="404" spans="1:1" x14ac:dyDescent="0.25">
      <c r="A404" s="34">
        <v>77065.655513999998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79" t="s">
        <v>208</v>
      </c>
    </row>
    <row r="417" spans="1:1" x14ac:dyDescent="0.25">
      <c r="A417" s="34">
        <v>502583.29022299999</v>
      </c>
    </row>
    <row r="418" spans="1:1" x14ac:dyDescent="0.25">
      <c r="A418" s="34">
        <v>518839.77658100001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194315.373196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557171.631131</v>
      </c>
    </row>
    <row r="427" spans="1:1" x14ac:dyDescent="0.25">
      <c r="A427" s="34">
        <v>557199.98134699999</v>
      </c>
    </row>
    <row r="428" spans="1:1" x14ac:dyDescent="0.25">
      <c r="A428" s="34">
        <v>158753.59119400001</v>
      </c>
    </row>
    <row r="429" spans="1:1" x14ac:dyDescent="0.25">
      <c r="A429" s="34">
        <v>158713.45030200001</v>
      </c>
    </row>
    <row r="430" spans="1:1" x14ac:dyDescent="0.25">
      <c r="A430" s="34">
        <v>160629.23287400001</v>
      </c>
    </row>
    <row r="431" spans="1:1" x14ac:dyDescent="0.25">
      <c r="A431" s="34">
        <v>160648.67330600001</v>
      </c>
    </row>
    <row r="432" spans="1:1" x14ac:dyDescent="0.25">
      <c r="A432" s="34">
        <v>138548.08484600001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557221.63776199997</v>
      </c>
    </row>
    <row r="436" spans="1:1" x14ac:dyDescent="0.25">
      <c r="A436" s="34">
        <v>557102.72435599996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120705.342882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163119.94822200001</v>
      </c>
    </row>
    <row r="447" spans="1:1" x14ac:dyDescent="0.25">
      <c r="A447" s="34">
        <v>163099.60777</v>
      </c>
    </row>
    <row r="448" spans="1:1" x14ac:dyDescent="0.25">
      <c r="A448" s="34">
        <v>161565.52368000001</v>
      </c>
    </row>
    <row r="449" spans="1:1" x14ac:dyDescent="0.25">
      <c r="A449" s="34">
        <v>161537.35305400001</v>
      </c>
    </row>
    <row r="450" spans="1:1" x14ac:dyDescent="0.25">
      <c r="A450" s="34">
        <v>77118.457274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80" t="s">
        <v>209</v>
      </c>
    </row>
    <row r="463" spans="1:1" x14ac:dyDescent="0.25">
      <c r="A463" s="34">
        <v>-1195897.594454</v>
      </c>
    </row>
    <row r="464" spans="1:1" x14ac:dyDescent="0.25">
      <c r="A464" s="34">
        <v>-864005.83320600004</v>
      </c>
    </row>
    <row r="465" spans="1:1" x14ac:dyDescent="0.25">
      <c r="A465" s="34">
        <v>151844.46539999999</v>
      </c>
    </row>
    <row r="466" spans="1:1" x14ac:dyDescent="0.25">
      <c r="A466" s="34">
        <v>151825.33600000001</v>
      </c>
    </row>
    <row r="467" spans="1:1" x14ac:dyDescent="0.25">
      <c r="A467" s="34">
        <v>155779.43979999999</v>
      </c>
    </row>
    <row r="468" spans="1:1" x14ac:dyDescent="0.25">
      <c r="A468" s="34">
        <v>155760.8786</v>
      </c>
    </row>
    <row r="469" spans="1:1" x14ac:dyDescent="0.25">
      <c r="A469" s="34">
        <v>126468.28</v>
      </c>
    </row>
    <row r="470" spans="1:1" x14ac:dyDescent="0.25">
      <c r="A470" s="34">
        <v>4295375.6678600004</v>
      </c>
    </row>
    <row r="471" spans="1:1" x14ac:dyDescent="0.25">
      <c r="A471" s="34">
        <v>0.5</v>
      </c>
    </row>
    <row r="472" spans="1:1" x14ac:dyDescent="0.25">
      <c r="A472" s="34">
        <v>-82055.068524000002</v>
      </c>
    </row>
    <row r="473" spans="1:1" x14ac:dyDescent="0.25">
      <c r="A473" s="34">
        <v>-80775.714615000004</v>
      </c>
    </row>
    <row r="474" spans="1:1" x14ac:dyDescent="0.25">
      <c r="A474" s="34">
        <v>155622.01660500001</v>
      </c>
    </row>
    <row r="475" spans="1:1" x14ac:dyDescent="0.25">
      <c r="A475" s="34">
        <v>155670.347679</v>
      </c>
    </row>
    <row r="476" spans="1:1" x14ac:dyDescent="0.25">
      <c r="A476" s="34">
        <v>158410.638573</v>
      </c>
    </row>
    <row r="477" spans="1:1" x14ac:dyDescent="0.25">
      <c r="A477" s="34">
        <v>158431.96904699999</v>
      </c>
    </row>
    <row r="478" spans="1:1" x14ac:dyDescent="0.25">
      <c r="A478" s="34">
        <v>112307.413096</v>
      </c>
    </row>
    <row r="479" spans="1:1" x14ac:dyDescent="0.25">
      <c r="A479" s="34">
        <v>2407797.4331390001</v>
      </c>
    </row>
    <row r="480" spans="1:1" x14ac:dyDescent="0.25">
      <c r="A480" s="34">
        <v>0.5</v>
      </c>
    </row>
    <row r="481" spans="1:1" x14ac:dyDescent="0.25">
      <c r="A481" s="34">
        <v>-81355.044687000001</v>
      </c>
    </row>
    <row r="482" spans="1:1" x14ac:dyDescent="0.25">
      <c r="A482" s="34">
        <v>-83535.578708000001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83847.285000000003</v>
      </c>
    </row>
    <row r="488" spans="1:1" x14ac:dyDescent="0.25">
      <c r="A488" s="34">
        <v>2909818.8733950001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162193.017624</v>
      </c>
    </row>
    <row r="493" spans="1:1" x14ac:dyDescent="0.25">
      <c r="A493" s="34">
        <v>162198.282741</v>
      </c>
    </row>
    <row r="494" spans="1:1" x14ac:dyDescent="0.25">
      <c r="A494" s="34">
        <v>159834.65021699999</v>
      </c>
    </row>
    <row r="495" spans="1:1" x14ac:dyDescent="0.25">
      <c r="A495" s="34">
        <v>159813.99475799999</v>
      </c>
    </row>
    <row r="496" spans="1:1" x14ac:dyDescent="0.25">
      <c r="A496" s="34">
        <v>82413.454660000003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79" t="s">
        <v>210</v>
      </c>
    </row>
    <row r="509" spans="1:1" x14ac:dyDescent="0.25">
      <c r="A509" s="34">
        <v>-553522.93646999996</v>
      </c>
    </row>
    <row r="510" spans="1:1" x14ac:dyDescent="0.25">
      <c r="A510" s="34">
        <v>-219249.996548</v>
      </c>
    </row>
    <row r="511" spans="1:1" x14ac:dyDescent="0.25">
      <c r="A511" s="34">
        <v>151919.65719999999</v>
      </c>
    </row>
    <row r="512" spans="1:1" x14ac:dyDescent="0.25">
      <c r="A512" s="34">
        <v>151782.53159999999</v>
      </c>
    </row>
    <row r="513" spans="1:1" x14ac:dyDescent="0.25">
      <c r="A513" s="34">
        <v>155755.95420000001</v>
      </c>
    </row>
    <row r="514" spans="1:1" x14ac:dyDescent="0.25">
      <c r="A514" s="34">
        <v>155730.764</v>
      </c>
    </row>
    <row r="515" spans="1:1" x14ac:dyDescent="0.25">
      <c r="A515" s="34">
        <v>126485.72732799999</v>
      </c>
    </row>
    <row r="516" spans="1:1" x14ac:dyDescent="0.25">
      <c r="A516" s="34">
        <v>3004503.55369</v>
      </c>
    </row>
    <row r="517" spans="1:1" x14ac:dyDescent="0.25">
      <c r="A517" s="34">
        <v>0.5</v>
      </c>
    </row>
    <row r="518" spans="1:1" x14ac:dyDescent="0.25">
      <c r="A518" s="34">
        <v>575618.85326400003</v>
      </c>
    </row>
    <row r="519" spans="1:1" x14ac:dyDescent="0.25">
      <c r="A519" s="34">
        <v>575641.62352799997</v>
      </c>
    </row>
    <row r="520" spans="1:1" x14ac:dyDescent="0.25">
      <c r="A520" s="34">
        <v>155576.92560300001</v>
      </c>
    </row>
    <row r="521" spans="1:1" x14ac:dyDescent="0.25">
      <c r="A521" s="34">
        <v>155614.996449</v>
      </c>
    </row>
    <row r="522" spans="1:1" x14ac:dyDescent="0.25">
      <c r="A522" s="34">
        <v>158412.25860900001</v>
      </c>
    </row>
    <row r="523" spans="1:1" x14ac:dyDescent="0.25">
      <c r="A523" s="34">
        <v>158483.945202</v>
      </c>
    </row>
    <row r="524" spans="1:1" x14ac:dyDescent="0.25">
      <c r="A524" s="34">
        <v>112314.25734500001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575603.67308800004</v>
      </c>
    </row>
    <row r="528" spans="1:1" x14ac:dyDescent="0.25">
      <c r="A528" s="34">
        <v>575656.97620599996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83791.988205999995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162183.16240500001</v>
      </c>
    </row>
    <row r="539" spans="1:1" x14ac:dyDescent="0.25">
      <c r="A539" s="34">
        <v>162180.327342</v>
      </c>
    </row>
    <row r="540" spans="1:1" x14ac:dyDescent="0.25">
      <c r="A540" s="34">
        <v>159871.64103900001</v>
      </c>
    </row>
    <row r="541" spans="1:1" x14ac:dyDescent="0.25">
      <c r="A541" s="34">
        <v>159807.37961100001</v>
      </c>
    </row>
    <row r="542" spans="1:1" x14ac:dyDescent="0.25">
      <c r="A542" s="34">
        <v>82411.459602999996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211</v>
      </c>
    </row>
    <row r="555" spans="1:1" x14ac:dyDescent="0.25">
      <c r="A555" s="34">
        <v>-720477.74642400001</v>
      </c>
    </row>
    <row r="556" spans="1:1" x14ac:dyDescent="0.25">
      <c r="A556" s="34">
        <v>-333308.96831800003</v>
      </c>
    </row>
    <row r="557" spans="1:1" x14ac:dyDescent="0.25">
      <c r="A557" s="34">
        <v>151784.61499999999</v>
      </c>
    </row>
    <row r="558" spans="1:1" x14ac:dyDescent="0.25">
      <c r="A558" s="34">
        <v>151881.0196</v>
      </c>
    </row>
    <row r="559" spans="1:1" x14ac:dyDescent="0.25">
      <c r="A559" s="34">
        <v>155733.0368</v>
      </c>
    </row>
    <row r="560" spans="1:1" x14ac:dyDescent="0.25">
      <c r="A560" s="34">
        <v>155823.75940000001</v>
      </c>
    </row>
    <row r="561" spans="1:1" x14ac:dyDescent="0.25">
      <c r="A561" s="34">
        <v>134022.25350600001</v>
      </c>
    </row>
    <row r="562" spans="1:1" x14ac:dyDescent="0.25">
      <c r="A562" s="34">
        <v>3277919.0329359998</v>
      </c>
    </row>
    <row r="563" spans="1:1" x14ac:dyDescent="0.25">
      <c r="A563" s="34">
        <v>0.5</v>
      </c>
    </row>
    <row r="564" spans="1:1" x14ac:dyDescent="0.25">
      <c r="A564" s="34">
        <v>571865.98825199995</v>
      </c>
    </row>
    <row r="565" spans="1:1" x14ac:dyDescent="0.25">
      <c r="A565" s="34">
        <v>571935.37138999999</v>
      </c>
    </row>
    <row r="566" spans="1:1" x14ac:dyDescent="0.25">
      <c r="A566" s="34">
        <v>155664.40754700001</v>
      </c>
    </row>
    <row r="567" spans="1:1" x14ac:dyDescent="0.25">
      <c r="A567" s="34">
        <v>155650.77224399999</v>
      </c>
    </row>
    <row r="568" spans="1:1" x14ac:dyDescent="0.25">
      <c r="A568" s="34">
        <v>158398.48830299999</v>
      </c>
    </row>
    <row r="569" spans="1:1" x14ac:dyDescent="0.25">
      <c r="A569" s="34">
        <v>158432.91406800001</v>
      </c>
    </row>
    <row r="570" spans="1:1" x14ac:dyDescent="0.25">
      <c r="A570" s="34">
        <v>119739.720696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571801.17265600001</v>
      </c>
    </row>
    <row r="574" spans="1:1" x14ac:dyDescent="0.25">
      <c r="A574" s="34">
        <v>571919.49374399998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91321.633600000001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162184.91744399999</v>
      </c>
    </row>
    <row r="585" spans="1:1" x14ac:dyDescent="0.25">
      <c r="A585" s="34">
        <v>162204.35787599999</v>
      </c>
    </row>
    <row r="586" spans="1:1" x14ac:dyDescent="0.25">
      <c r="A586" s="34">
        <v>159842.750397</v>
      </c>
    </row>
    <row r="587" spans="1:1" x14ac:dyDescent="0.25">
      <c r="A587" s="34">
        <v>159849.230541</v>
      </c>
    </row>
    <row r="588" spans="1:1" x14ac:dyDescent="0.25">
      <c r="A588" s="34">
        <v>82381.323741999993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212</v>
      </c>
    </row>
    <row r="601" spans="1:1" x14ac:dyDescent="0.25">
      <c r="A601" s="34">
        <v>531645.01789400005</v>
      </c>
    </row>
    <row r="602" spans="1:1" x14ac:dyDescent="0.25">
      <c r="A602" s="34">
        <v>542560.90106199996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141505.836044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568067.17039400002</v>
      </c>
    </row>
    <row r="611" spans="1:1" x14ac:dyDescent="0.25">
      <c r="A611" s="34">
        <v>568212.85900399997</v>
      </c>
    </row>
    <row r="612" spans="1:1" x14ac:dyDescent="0.25">
      <c r="A612" s="34">
        <v>155640.10700700001</v>
      </c>
    </row>
    <row r="613" spans="1:1" x14ac:dyDescent="0.25">
      <c r="A613" s="34">
        <v>155586.10580700001</v>
      </c>
    </row>
    <row r="614" spans="1:1" x14ac:dyDescent="0.25">
      <c r="A614" s="34">
        <v>158407.938513</v>
      </c>
    </row>
    <row r="615" spans="1:1" x14ac:dyDescent="0.25">
      <c r="A615" s="34">
        <v>158438.989203</v>
      </c>
    </row>
    <row r="616" spans="1:1" x14ac:dyDescent="0.25">
      <c r="A616" s="34">
        <v>127309.937572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568041.70770000003</v>
      </c>
    </row>
    <row r="620" spans="1:1" x14ac:dyDescent="0.25">
      <c r="A620" s="34">
        <v>568281.89702999999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98741.907770000005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162186.402477</v>
      </c>
    </row>
    <row r="631" spans="1:1" x14ac:dyDescent="0.25">
      <c r="A631" s="34">
        <v>162202.197828</v>
      </c>
    </row>
    <row r="632" spans="1:1" x14ac:dyDescent="0.25">
      <c r="A632" s="34">
        <v>159854.360655</v>
      </c>
    </row>
    <row r="633" spans="1:1" x14ac:dyDescent="0.25">
      <c r="A633" s="34">
        <v>159835.73024100001</v>
      </c>
    </row>
    <row r="634" spans="1:1" x14ac:dyDescent="0.25">
      <c r="A634" s="34">
        <v>82383.318799000001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213</v>
      </c>
    </row>
    <row r="647" spans="1:1" x14ac:dyDescent="0.25">
      <c r="A647" s="34">
        <v>502533.28359200002</v>
      </c>
    </row>
    <row r="648" spans="1:1" x14ac:dyDescent="0.25">
      <c r="A648" s="34">
        <v>518676.76283899997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194482.36606900001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557310.62594000006</v>
      </c>
    </row>
    <row r="657" spans="1:1" x14ac:dyDescent="0.25">
      <c r="A657" s="34">
        <v>557036.96760500001</v>
      </c>
    </row>
    <row r="658" spans="1:1" x14ac:dyDescent="0.25">
      <c r="A658" s="34">
        <v>155617.15649699999</v>
      </c>
    </row>
    <row r="659" spans="1:1" x14ac:dyDescent="0.25">
      <c r="A659" s="34">
        <v>155586.24080999999</v>
      </c>
    </row>
    <row r="660" spans="1:1" x14ac:dyDescent="0.25">
      <c r="A660" s="34">
        <v>158428.86397800001</v>
      </c>
    </row>
    <row r="661" spans="1:1" x14ac:dyDescent="0.25">
      <c r="A661" s="34">
        <v>158457.48461399999</v>
      </c>
    </row>
    <row r="662" spans="1:1" x14ac:dyDescent="0.25">
      <c r="A662" s="34">
        <v>149217.03805599999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556982.23593800003</v>
      </c>
    </row>
    <row r="666" spans="1:1" x14ac:dyDescent="0.25">
      <c r="A666" s="34">
        <v>557127.53079500003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120899.33076700001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162188.967534</v>
      </c>
    </row>
    <row r="677" spans="1:1" x14ac:dyDescent="0.25">
      <c r="A677" s="34">
        <v>162189.102537</v>
      </c>
    </row>
    <row r="678" spans="1:1" x14ac:dyDescent="0.25">
      <c r="A678" s="34">
        <v>159802.65450599999</v>
      </c>
    </row>
    <row r="679" spans="1:1" x14ac:dyDescent="0.25">
      <c r="A679" s="34">
        <v>159840.59034900001</v>
      </c>
    </row>
    <row r="680" spans="1:1" x14ac:dyDescent="0.25">
      <c r="A680" s="34">
        <v>82427.945074000003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J1" zoomScaleNormal="100" workbookViewId="0">
      <selection activeCell="O12" sqref="O12:S12"/>
    </sheetView>
  </sheetViews>
  <sheetFormatPr defaultRowHeight="12" x14ac:dyDescent="0.25"/>
  <cols>
    <col min="1" max="1" width="30.5703125" style="34" bestFit="1" customWidth="1"/>
    <col min="2" max="2" width="14.85546875" style="39" bestFit="1" customWidth="1"/>
    <col min="3" max="3" width="23.57031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8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(40000.5, 652308.192307692)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214</v>
      </c>
      <c r="B2" s="45" t="s">
        <v>10</v>
      </c>
      <c r="C2" s="36" t="s">
        <v>44</v>
      </c>
      <c r="D2" s="59">
        <f t="shared" ref="D2:D10" si="0">A3</f>
        <v>-20793188.121540699</v>
      </c>
      <c r="E2" s="59">
        <f t="shared" ref="E2:E10" si="1">A12</f>
        <v>-7403401.1907225205</v>
      </c>
      <c r="F2" s="59">
        <f t="shared" ref="F2:F10" si="2">A21</f>
        <v>-7410043.6663907496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-20793188.121540699</v>
      </c>
      <c r="C3" s="36" t="s">
        <v>45</v>
      </c>
      <c r="D3" s="59">
        <f t="shared" si="0"/>
        <v>-16775164.216566101</v>
      </c>
      <c r="E3" s="59">
        <f t="shared" si="1"/>
        <v>-7452594.0177727202</v>
      </c>
      <c r="F3" s="59">
        <f t="shared" si="2"/>
        <v>-7436517.3013003496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-16775164.216566101</v>
      </c>
      <c r="C4" s="36" t="s">
        <v>0</v>
      </c>
      <c r="D4" s="59">
        <f t="shared" si="0"/>
        <v>151847.4958</v>
      </c>
      <c r="E4" s="59">
        <f t="shared" si="1"/>
        <v>-92011.228455999997</v>
      </c>
      <c r="F4" s="59">
        <f t="shared" si="2"/>
        <v>40000</v>
      </c>
      <c r="G4" s="59">
        <f t="shared" si="3"/>
        <v>87744.396391999995</v>
      </c>
      <c r="H4" s="59">
        <f t="shared" si="4"/>
        <v>40000</v>
      </c>
      <c r="J4" s="25">
        <f t="shared" si="5"/>
        <v>151847.4958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151847.4958</v>
      </c>
      <c r="C5" s="36" t="s">
        <v>1</v>
      </c>
      <c r="D5" s="59">
        <f t="shared" si="0"/>
        <v>151874.01180000001</v>
      </c>
      <c r="E5" s="59">
        <f t="shared" si="1"/>
        <v>-92369.645978</v>
      </c>
      <c r="F5" s="59">
        <f t="shared" si="2"/>
        <v>40000</v>
      </c>
      <c r="G5" s="59">
        <f t="shared" si="3"/>
        <v>87821.991938000006</v>
      </c>
      <c r="H5" s="59">
        <f t="shared" si="4"/>
        <v>40000</v>
      </c>
      <c r="J5" s="25">
        <f t="shared" si="5"/>
        <v>151874.01180000001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151874.01180000001</v>
      </c>
      <c r="C6" s="36" t="s">
        <v>2</v>
      </c>
      <c r="D6" s="59">
        <f t="shared" si="0"/>
        <v>155743.64319999999</v>
      </c>
      <c r="E6" s="59">
        <f t="shared" si="1"/>
        <v>-13669.287204</v>
      </c>
      <c r="F6" s="59">
        <f t="shared" si="2"/>
        <v>40000</v>
      </c>
      <c r="G6" s="59">
        <f t="shared" si="3"/>
        <v>23583.964928000001</v>
      </c>
      <c r="H6" s="59">
        <f t="shared" si="4"/>
        <v>40000</v>
      </c>
      <c r="J6" s="25">
        <f t="shared" si="5"/>
        <v>155743.64319999999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155743.64319999999</v>
      </c>
      <c r="C7" s="36" t="s">
        <v>3</v>
      </c>
      <c r="D7" s="59">
        <f t="shared" si="0"/>
        <v>155845.7298</v>
      </c>
      <c r="E7" s="59">
        <f t="shared" si="1"/>
        <v>-13946.414154</v>
      </c>
      <c r="F7" s="59">
        <f t="shared" si="2"/>
        <v>40000</v>
      </c>
      <c r="G7" s="59">
        <f t="shared" si="3"/>
        <v>24215.814374000001</v>
      </c>
      <c r="H7" s="59">
        <f t="shared" si="4"/>
        <v>40000</v>
      </c>
      <c r="J7" s="25">
        <f t="shared" si="5"/>
        <v>155845.7298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155845.7298</v>
      </c>
      <c r="C8" s="36" t="s">
        <v>6</v>
      </c>
      <c r="D8" s="59">
        <f t="shared" si="0"/>
        <v>779867.83</v>
      </c>
      <c r="E8" s="59">
        <f t="shared" si="1"/>
        <v>377612.98499999999</v>
      </c>
      <c r="F8" s="59">
        <f t="shared" si="2"/>
        <v>350151.375</v>
      </c>
      <c r="G8" s="59">
        <f t="shared" si="3"/>
        <v>81816.800000000003</v>
      </c>
      <c r="H8" s="59">
        <f t="shared" si="4"/>
        <v>70000</v>
      </c>
      <c r="J8" s="25">
        <f t="shared" si="5"/>
        <v>779867.83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779867.83</v>
      </c>
      <c r="C9" s="37" t="s">
        <v>23</v>
      </c>
      <c r="D9" s="59">
        <f t="shared" si="0"/>
        <v>39150341.837442301</v>
      </c>
      <c r="E9" s="59">
        <f t="shared" si="1"/>
        <v>17678162.994367599</v>
      </c>
      <c r="F9" s="59">
        <f t="shared" si="2"/>
        <v>17325222.717769802</v>
      </c>
      <c r="G9" s="59">
        <f t="shared" si="3"/>
        <v>2512453.6723679998</v>
      </c>
      <c r="H9" s="59">
        <f t="shared" si="4"/>
        <v>2590000</v>
      </c>
      <c r="J9" s="25">
        <f t="shared" si="5"/>
        <v>39150341.837442301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39150341.837442301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19" ht="15" x14ac:dyDescent="0.25">
      <c r="A12" s="34">
        <v>-7403401.1907225205</v>
      </c>
      <c r="B12" s="39">
        <v>2</v>
      </c>
      <c r="C12" s="36" t="str">
        <f>A48</f>
        <v>(40000.5, 1304616.38461538)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36" t="s">
        <v>98</v>
      </c>
      <c r="O12" s="3">
        <f>settings_!P6</f>
        <v>652308.19230769237</v>
      </c>
      <c r="P12" s="3">
        <f>settings_!Q6</f>
        <v>1304616.3846153847</v>
      </c>
      <c r="Q12" s="3">
        <f>settings_!R6</f>
        <v>1344616.3846153847</v>
      </c>
      <c r="R12" s="3">
        <f>settings_!S6</f>
        <v>1384616.3846153847</v>
      </c>
      <c r="S12" s="3">
        <f>settings_!T6</f>
        <v>2076924.576923077</v>
      </c>
    </row>
    <row r="13" spans="1:19" ht="15" x14ac:dyDescent="0.25">
      <c r="A13" s="34">
        <v>-7452594.0177727202</v>
      </c>
      <c r="B13" s="45" t="s">
        <v>10</v>
      </c>
      <c r="C13" s="36" t="str">
        <f t="shared" ref="C13:C21" si="7">C2</f>
        <v>(3, 0)</v>
      </c>
      <c r="D13" s="59">
        <f t="shared" ref="D13:D21" si="8">A49</f>
        <v>-29455065.636665601</v>
      </c>
      <c r="E13" s="59">
        <f t="shared" ref="E13:E21" si="9">A58</f>
        <v>373157.10148060898</v>
      </c>
      <c r="F13" s="59">
        <f t="shared" ref="F13:F21" si="10">A67</f>
        <v>371784.64504399401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373157.10148060898</v>
      </c>
      <c r="K13" s="25"/>
      <c r="L13" s="25" t="str">
        <f>HLOOKUP(J13,D13:$H$23,N2,FALSE)</f>
        <v>OptOpt_BB</v>
      </c>
      <c r="N13" s="43">
        <f>settings_!O7</f>
        <v>40000.5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5" x14ac:dyDescent="0.25">
      <c r="A14" s="34">
        <v>-92011.228455999997</v>
      </c>
      <c r="C14" s="36" t="str">
        <f t="shared" si="7"/>
        <v>(3, 1)</v>
      </c>
      <c r="D14" s="59">
        <f t="shared" si="8"/>
        <v>-20462165.438659199</v>
      </c>
      <c r="E14" s="59">
        <f t="shared" si="9"/>
        <v>370743.56116907398</v>
      </c>
      <c r="F14" s="59">
        <f t="shared" si="10"/>
        <v>372011.64829491702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372011.64829491702</v>
      </c>
      <c r="K14" s="25"/>
      <c r="L14" s="25" t="str">
        <f>HLOOKUP(J14,D14:$H$23,N3,FALSE)</f>
        <v>NoneOpt_NBB</v>
      </c>
      <c r="N14" s="43">
        <f>settings_!O8</f>
        <v>80001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5" x14ac:dyDescent="0.25">
      <c r="A15" s="34">
        <v>-92369.645978</v>
      </c>
      <c r="C15" s="36" t="str">
        <f t="shared" si="7"/>
        <v>(2, 0)</v>
      </c>
      <c r="D15" s="59">
        <f t="shared" si="8"/>
        <v>151874.20120000001</v>
      </c>
      <c r="E15" s="59">
        <f t="shared" si="9"/>
        <v>-89775.737726000007</v>
      </c>
      <c r="F15" s="59">
        <f t="shared" si="10"/>
        <v>40000</v>
      </c>
      <c r="G15" s="59">
        <f t="shared" si="11"/>
        <v>88235.834849999999</v>
      </c>
      <c r="H15" s="59">
        <f t="shared" si="12"/>
        <v>40000</v>
      </c>
      <c r="J15" s="25">
        <f t="shared" si="13"/>
        <v>151874.20120000001</v>
      </c>
      <c r="K15" s="25"/>
      <c r="L15" s="25" t="str">
        <f>HLOOKUP(J15,D15:$H$23,N4,FALSE)</f>
        <v>OptOpt_EB</v>
      </c>
      <c r="N15" s="43">
        <f>settings_!O9</f>
        <v>120001.5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-13669.287204</v>
      </c>
      <c r="C16" s="36" t="str">
        <f t="shared" si="7"/>
        <v>(2, 1)</v>
      </c>
      <c r="D16" s="59">
        <f t="shared" si="8"/>
        <v>151848.63219999999</v>
      </c>
      <c r="E16" s="59">
        <f t="shared" si="9"/>
        <v>-91420.024296000003</v>
      </c>
      <c r="F16" s="59">
        <f t="shared" si="10"/>
        <v>40000</v>
      </c>
      <c r="G16" s="59">
        <f t="shared" si="11"/>
        <v>88128.679096000007</v>
      </c>
      <c r="H16" s="59">
        <f t="shared" si="12"/>
        <v>40000</v>
      </c>
      <c r="J16" s="25">
        <f t="shared" si="13"/>
        <v>151848.63219999999</v>
      </c>
      <c r="K16" s="25"/>
      <c r="L16" s="25" t="str">
        <f>HLOOKUP(J16,D16:$H$23,N5,FALSE)</f>
        <v>OptOpt_EB</v>
      </c>
    </row>
    <row r="17" spans="1:40" ht="12.75" x14ac:dyDescent="0.25">
      <c r="A17" s="34">
        <v>-13946.414154</v>
      </c>
      <c r="C17" s="36" t="str">
        <f t="shared" si="7"/>
        <v>(1, 0)</v>
      </c>
      <c r="D17" s="59">
        <f t="shared" si="8"/>
        <v>155805.9558</v>
      </c>
      <c r="E17" s="59">
        <f t="shared" si="9"/>
        <v>-14966.241330000001</v>
      </c>
      <c r="F17" s="59">
        <f t="shared" si="10"/>
        <v>40000</v>
      </c>
      <c r="G17" s="59">
        <f t="shared" si="11"/>
        <v>24090.183489999999</v>
      </c>
      <c r="H17" s="59">
        <f t="shared" si="12"/>
        <v>40000</v>
      </c>
      <c r="J17" s="25">
        <f t="shared" si="13"/>
        <v>155805.9558</v>
      </c>
      <c r="K17" s="25"/>
      <c r="L17" s="25" t="str">
        <f>HLOOKUP(J17,D17:$H$23,N6,FALSE)</f>
        <v>OptOpt_EB</v>
      </c>
      <c r="N17" s="36" t="str">
        <f>N12</f>
        <v>b12\b3</v>
      </c>
      <c r="O17" s="36">
        <f t="shared" ref="O17:S17" si="14">O12</f>
        <v>652308.19230769237</v>
      </c>
      <c r="P17" s="36">
        <f t="shared" si="14"/>
        <v>1304616.3846153847</v>
      </c>
      <c r="Q17" s="36">
        <f t="shared" si="14"/>
        <v>1344616.3846153847</v>
      </c>
      <c r="R17" s="36">
        <f t="shared" si="14"/>
        <v>1384616.3846153847</v>
      </c>
      <c r="S17" s="36">
        <f t="shared" si="14"/>
        <v>2076924.576923077</v>
      </c>
    </row>
    <row r="18" spans="1:40" ht="12.75" x14ac:dyDescent="0.25">
      <c r="A18" s="34">
        <v>377612.98499999999</v>
      </c>
      <c r="C18" s="36" t="str">
        <f t="shared" si="7"/>
        <v>(1, 1)</v>
      </c>
      <c r="D18" s="59">
        <f t="shared" si="8"/>
        <v>155839.47959999999</v>
      </c>
      <c r="E18" s="59">
        <f t="shared" si="9"/>
        <v>-15073.397084</v>
      </c>
      <c r="F18" s="59">
        <f t="shared" si="10"/>
        <v>40000</v>
      </c>
      <c r="G18" s="59">
        <f t="shared" si="11"/>
        <v>23580.269902</v>
      </c>
      <c r="H18" s="59">
        <f t="shared" si="12"/>
        <v>40000</v>
      </c>
      <c r="J18" s="25">
        <f t="shared" si="13"/>
        <v>155839.47959999999</v>
      </c>
      <c r="K18" s="25"/>
      <c r="L18" s="25" t="str">
        <f>HLOOKUP(J18,D18:$H$23,N7,FALSE)</f>
        <v>OptOpt_EB</v>
      </c>
      <c r="N18" s="36">
        <f t="shared" ref="N18:N20" si="15">N13</f>
        <v>40000.5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40" ht="12.75" x14ac:dyDescent="0.25">
      <c r="A19" s="34">
        <v>17678162.994367599</v>
      </c>
      <c r="C19" s="36" t="str">
        <f t="shared" si="7"/>
        <v>Inspector</v>
      </c>
      <c r="D19" s="59">
        <f t="shared" si="8"/>
        <v>780100.43402939895</v>
      </c>
      <c r="E19" s="59">
        <f t="shared" si="9"/>
        <v>378547.51928049797</v>
      </c>
      <c r="F19" s="59">
        <f t="shared" si="10"/>
        <v>351337.999360213</v>
      </c>
      <c r="G19" s="59">
        <f t="shared" si="11"/>
        <v>81798.7</v>
      </c>
      <c r="H19" s="59">
        <f t="shared" si="12"/>
        <v>70000</v>
      </c>
      <c r="J19" s="25">
        <f t="shared" si="13"/>
        <v>780100.43402939895</v>
      </c>
      <c r="K19" s="25"/>
      <c r="L19" s="25" t="str">
        <f>HLOOKUP(J19,D19:$H$23,N8,FALSE)</f>
        <v>OptOpt_EB</v>
      </c>
      <c r="N19" s="36">
        <f t="shared" si="15"/>
        <v>80001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OptNone_BNB</v>
      </c>
      <c r="S19" s="40" t="str">
        <f>B101</f>
        <v>OptNone_BNB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51355427.862982601</v>
      </c>
      <c r="E20" s="59">
        <f t="shared" si="9"/>
        <v>1932941.0804359999</v>
      </c>
      <c r="F20" s="59">
        <f t="shared" si="10"/>
        <v>1590000</v>
      </c>
      <c r="G20" s="59">
        <f t="shared" si="11"/>
        <v>2511806.5926620001</v>
      </c>
      <c r="H20" s="59">
        <f t="shared" si="12"/>
        <v>2590000</v>
      </c>
      <c r="J20" s="25">
        <f t="shared" si="13"/>
        <v>51355427.862982601</v>
      </c>
      <c r="K20" s="25"/>
      <c r="L20" s="25" t="str">
        <f>HLOOKUP(J20,D20:$H$23,N9,FALSE)</f>
        <v>OptOpt_EB</v>
      </c>
      <c r="N20" s="36">
        <f t="shared" si="15"/>
        <v>120001.5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OptNone_BNB</v>
      </c>
      <c r="S20" s="40" t="str">
        <f>B156</f>
        <v>OptNone_BNB</v>
      </c>
    </row>
    <row r="21" spans="1:40" x14ac:dyDescent="0.25">
      <c r="A21" s="34">
        <v>-7410043.6663907496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-7436517.3013003496</v>
      </c>
      <c r="D22" s="60"/>
      <c r="E22" s="60"/>
      <c r="F22" s="60"/>
      <c r="G22" s="60"/>
      <c r="H22" s="60"/>
      <c r="U22" s="36" t="s">
        <v>105</v>
      </c>
      <c r="V22" s="36">
        <v>1</v>
      </c>
      <c r="W22" s="36">
        <v>2</v>
      </c>
      <c r="X22" s="36">
        <v>3</v>
      </c>
      <c r="Y22" s="73">
        <v>4</v>
      </c>
      <c r="Z22" s="36">
        <v>5</v>
      </c>
      <c r="AA22" s="36">
        <v>6</v>
      </c>
      <c r="AB22" s="36">
        <v>7</v>
      </c>
      <c r="AC22" s="36">
        <v>8</v>
      </c>
      <c r="AD22" s="36">
        <v>9</v>
      </c>
      <c r="AE22" s="36">
        <v>10</v>
      </c>
      <c r="AF22" s="36">
        <v>11</v>
      </c>
      <c r="AG22" s="36">
        <v>12</v>
      </c>
      <c r="AH22" s="36">
        <v>13</v>
      </c>
      <c r="AI22" s="73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(40000.5, 1344616.38461538)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  <c r="AN23" s="34">
        <f t="shared" ref="AN23:AN27" si="17">AVERAGE(AA23:AE23)</f>
        <v>90000</v>
      </c>
    </row>
    <row r="24" spans="1:40" ht="12.75" x14ac:dyDescent="0.25">
      <c r="A24" s="34">
        <v>40000</v>
      </c>
      <c r="B24" s="39" t="s">
        <v>10</v>
      </c>
      <c r="C24" s="36" t="str">
        <f t="shared" ref="C24:C32" si="18">C2</f>
        <v>(3, 0)</v>
      </c>
      <c r="D24" s="59">
        <f t="shared" ref="D24:D32" si="19">A95</f>
        <v>-30379529.994998399</v>
      </c>
      <c r="E24" s="59">
        <f t="shared" ref="E24:E32" si="20">A104</f>
        <v>365104.84197506902</v>
      </c>
      <c r="F24" s="59">
        <f t="shared" ref="F24:F32" si="21">A113</f>
        <v>365642.68852891203</v>
      </c>
      <c r="G24" s="59">
        <f t="shared" ref="G24:G32" si="22">A122</f>
        <v>90000</v>
      </c>
      <c r="H24" s="59">
        <f t="shared" ref="H24:H32" si="23">A131</f>
        <v>90000</v>
      </c>
      <c r="J24" s="25">
        <f>MAX(D24:H24)</f>
        <v>365642.68852891203</v>
      </c>
      <c r="K24" s="25"/>
      <c r="L24" s="25" t="str">
        <f>HLOOKUP(J24,D24:$H$34,N2,FALSE)</f>
        <v>NoneOpt_NBB</v>
      </c>
      <c r="N24" s="25"/>
      <c r="S24" s="34">
        <v>3</v>
      </c>
      <c r="U24" s="36" t="s">
        <v>45</v>
      </c>
      <c r="V24" s="35">
        <f t="shared" ref="V24:V31" si="24">HLOOKUP($O$18,$D$1:$H$10,S24,FALSE)</f>
        <v>90000</v>
      </c>
      <c r="W24" s="35">
        <f t="shared" ref="W24:W31" si="25">HLOOKUP($P$18,$D$12:$H$21,S24,FALSE)</f>
        <v>90000</v>
      </c>
      <c r="X24" s="35">
        <f t="shared" ref="X24:X31" si="26">HLOOKUP($Q$18,$D$23:$H$32,S24,FALSE)</f>
        <v>90000</v>
      </c>
      <c r="Y24" s="35">
        <f t="shared" ref="Y24:Y31" si="27">HLOOKUP($R$18,$D$34:$H$43,S24,FALSE)</f>
        <v>90000</v>
      </c>
      <c r="Z24" s="35">
        <f t="shared" ref="Z24:Z31" si="28">HLOOKUP($S$18,$D$45:$H$54,S24,FALSE)</f>
        <v>90000</v>
      </c>
      <c r="AA24" s="35">
        <f t="shared" ref="AA24:AA31" si="29">HLOOKUP($O$19,$D$56:$H$65,S24,FALSE)</f>
        <v>90000</v>
      </c>
      <c r="AB24" s="35">
        <f t="shared" ref="AB24:AB31" si="30">HLOOKUP($P$19,$D$67:$H$76,S24,FALSE)</f>
        <v>90000</v>
      </c>
      <c r="AC24" s="35">
        <f t="shared" ref="AC24:AC31" si="31">HLOOKUP($Q$19,$D$78:$H$87,S24,FALSE)</f>
        <v>90000</v>
      </c>
      <c r="AD24" s="35">
        <f t="shared" ref="AD24:AD31" si="32">HLOOKUP($R$19,$D$89:$H$98,S24,FALSE)</f>
        <v>90000</v>
      </c>
      <c r="AE24" s="35">
        <f t="shared" ref="AE24:AE31" si="33">HLOOKUP($S$19,$D$100:$H$109,$S24,FALSE)</f>
        <v>90000</v>
      </c>
      <c r="AF24" s="35">
        <f t="shared" ref="AF24:AF31" si="34">HLOOKUP($O$20,$D$111:$H$120,$S24,FALSE)</f>
        <v>90000</v>
      </c>
      <c r="AG24" s="35">
        <f t="shared" ref="AG24:AG31" si="35">HLOOKUP($P$20,$D$122:$H$131,$S24,FALSE)</f>
        <v>90000</v>
      </c>
      <c r="AH24" s="35">
        <f t="shared" ref="AH24:AH31" si="36">HLOOKUP($Q$20,$D$133:$H$142,$S24,FALSE)</f>
        <v>90000</v>
      </c>
      <c r="AI24" s="35">
        <f t="shared" ref="AI24:AI31" si="37">HLOOKUP($R$20,$D$144:$H$153,$S24,FALSE)</f>
        <v>90000</v>
      </c>
      <c r="AJ24" s="35">
        <f t="shared" ref="AJ24:AJ31" si="38">HLOOKUP($S$20,$D$155:$H$164,$S24,FALSE)</f>
        <v>90000</v>
      </c>
      <c r="AL24" s="34">
        <f t="shared" ref="AL24:AL31" si="39">AVERAGE(V24:AK24)</f>
        <v>90000</v>
      </c>
      <c r="AN24" s="34">
        <f t="shared" si="17"/>
        <v>90000</v>
      </c>
    </row>
    <row r="25" spans="1:40" ht="12.75" x14ac:dyDescent="0.25">
      <c r="A25" s="34">
        <v>40000</v>
      </c>
      <c r="C25" s="36" t="str">
        <f t="shared" si="18"/>
        <v>(3, 1)</v>
      </c>
      <c r="D25" s="59">
        <f t="shared" si="19"/>
        <v>-21234794.367265299</v>
      </c>
      <c r="E25" s="59">
        <f t="shared" si="20"/>
        <v>366546.27073937497</v>
      </c>
      <c r="F25" s="59">
        <f t="shared" si="21"/>
        <v>366938.89872368303</v>
      </c>
      <c r="G25" s="59">
        <f t="shared" si="22"/>
        <v>90000</v>
      </c>
      <c r="H25" s="59">
        <f t="shared" si="23"/>
        <v>90000</v>
      </c>
      <c r="J25" s="25">
        <f t="shared" ref="J25:J31" si="40">MAX(D25:H25)</f>
        <v>366938.89872368303</v>
      </c>
      <c r="K25" s="25"/>
      <c r="L25" s="25" t="str">
        <f>HLOOKUP(J25,D25:$H$34,N3,FALSE)</f>
        <v>NoneOpt_NBB</v>
      </c>
      <c r="N25" s="25"/>
      <c r="S25" s="34">
        <v>4</v>
      </c>
      <c r="U25" s="36" t="s">
        <v>0</v>
      </c>
      <c r="V25" s="35">
        <f t="shared" si="24"/>
        <v>40000</v>
      </c>
      <c r="W25" s="35">
        <f t="shared" si="25"/>
        <v>40000</v>
      </c>
      <c r="X25" s="35">
        <f t="shared" si="26"/>
        <v>40000</v>
      </c>
      <c r="Y25" s="35">
        <f t="shared" si="27"/>
        <v>40000</v>
      </c>
      <c r="Z25" s="35">
        <f t="shared" si="28"/>
        <v>40000</v>
      </c>
      <c r="AA25" s="35">
        <f t="shared" si="29"/>
        <v>161673.07841399999</v>
      </c>
      <c r="AB25" s="35">
        <f t="shared" si="30"/>
        <v>161656.75821</v>
      </c>
      <c r="AC25" s="35">
        <f t="shared" si="31"/>
        <v>161732.119152</v>
      </c>
      <c r="AD25" s="35">
        <f t="shared" si="32"/>
        <v>161685.23856600001</v>
      </c>
      <c r="AE25" s="35">
        <f t="shared" si="33"/>
        <v>161653.55817</v>
      </c>
      <c r="AF25" s="35">
        <f t="shared" si="34"/>
        <v>160000.01750099999</v>
      </c>
      <c r="AG25" s="35">
        <f t="shared" si="35"/>
        <v>159978.65723400001</v>
      </c>
      <c r="AH25" s="35">
        <f t="shared" si="36"/>
        <v>160006.97758800001</v>
      </c>
      <c r="AI25" s="35">
        <f t="shared" si="37"/>
        <v>160005.05756399999</v>
      </c>
      <c r="AJ25" s="35">
        <f t="shared" si="38"/>
        <v>160017.77772300001</v>
      </c>
      <c r="AL25" s="34">
        <f t="shared" si="39"/>
        <v>120560.61600813332</v>
      </c>
      <c r="AN25" s="34">
        <f t="shared" si="17"/>
        <v>161680.15050239998</v>
      </c>
    </row>
    <row r="26" spans="1:40" ht="12.75" x14ac:dyDescent="0.25">
      <c r="A26" s="34">
        <v>40000</v>
      </c>
      <c r="C26" s="36" t="str">
        <f t="shared" si="18"/>
        <v>(2, 0)</v>
      </c>
      <c r="D26" s="59">
        <f t="shared" si="19"/>
        <v>151776.28140000001</v>
      </c>
      <c r="E26" s="59">
        <f t="shared" si="20"/>
        <v>-91527.180049999995</v>
      </c>
      <c r="F26" s="59">
        <f t="shared" si="21"/>
        <v>40000</v>
      </c>
      <c r="G26" s="59">
        <f t="shared" si="22"/>
        <v>87906.977536000006</v>
      </c>
      <c r="H26" s="59">
        <f t="shared" si="23"/>
        <v>40000</v>
      </c>
      <c r="J26" s="25">
        <f t="shared" si="40"/>
        <v>151776.28140000001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4"/>
        <v>40000</v>
      </c>
      <c r="W26" s="35">
        <f t="shared" si="25"/>
        <v>40000</v>
      </c>
      <c r="X26" s="35">
        <f t="shared" si="26"/>
        <v>40000</v>
      </c>
      <c r="Y26" s="35">
        <f t="shared" si="27"/>
        <v>40000</v>
      </c>
      <c r="Z26" s="35">
        <f t="shared" si="28"/>
        <v>40000</v>
      </c>
      <c r="AA26" s="35">
        <f t="shared" si="29"/>
        <v>161656.278204</v>
      </c>
      <c r="AB26" s="35">
        <f t="shared" si="30"/>
        <v>161669.23836600001</v>
      </c>
      <c r="AC26" s="35">
        <f t="shared" si="31"/>
        <v>161668.27835400001</v>
      </c>
      <c r="AD26" s="35">
        <f t="shared" si="32"/>
        <v>161670.03837600001</v>
      </c>
      <c r="AE26" s="35">
        <f t="shared" si="33"/>
        <v>161684.598558</v>
      </c>
      <c r="AF26" s="35">
        <f t="shared" si="34"/>
        <v>159982.73728500001</v>
      </c>
      <c r="AG26" s="35">
        <f t="shared" si="35"/>
        <v>159950.096877</v>
      </c>
      <c r="AH26" s="35">
        <f t="shared" si="36"/>
        <v>159976.25720399999</v>
      </c>
      <c r="AI26" s="35">
        <f t="shared" si="37"/>
        <v>159979.85724899999</v>
      </c>
      <c r="AJ26" s="35">
        <f t="shared" si="38"/>
        <v>159991.857399</v>
      </c>
      <c r="AL26" s="34">
        <f t="shared" si="39"/>
        <v>120548.61585813334</v>
      </c>
      <c r="AN26" s="34">
        <f t="shared" si="17"/>
        <v>161669.68637160002</v>
      </c>
    </row>
    <row r="27" spans="1:40" ht="12.75" x14ac:dyDescent="0.25">
      <c r="A27" s="34">
        <v>350151.375</v>
      </c>
      <c r="C27" s="36" t="str">
        <f t="shared" si="18"/>
        <v>(2, 1)</v>
      </c>
      <c r="D27" s="59">
        <f t="shared" si="19"/>
        <v>151930.26360000001</v>
      </c>
      <c r="E27" s="59">
        <f t="shared" si="20"/>
        <v>-92417.681316000002</v>
      </c>
      <c r="F27" s="59">
        <f t="shared" si="21"/>
        <v>40000</v>
      </c>
      <c r="G27" s="59">
        <f t="shared" si="22"/>
        <v>87385.978870000006</v>
      </c>
      <c r="H27" s="59">
        <f t="shared" si="23"/>
        <v>40000</v>
      </c>
      <c r="J27" s="25">
        <f t="shared" si="40"/>
        <v>151930.26360000001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4"/>
        <v>40000</v>
      </c>
      <c r="W27" s="35">
        <f t="shared" si="25"/>
        <v>40000</v>
      </c>
      <c r="X27" s="35">
        <f t="shared" si="26"/>
        <v>40000</v>
      </c>
      <c r="Y27" s="35">
        <f t="shared" si="27"/>
        <v>40000</v>
      </c>
      <c r="Z27" s="35">
        <f t="shared" si="28"/>
        <v>40000</v>
      </c>
      <c r="AA27" s="35">
        <f t="shared" si="29"/>
        <v>158899.12374000001</v>
      </c>
      <c r="AB27" s="35">
        <f t="shared" si="30"/>
        <v>158899.763748</v>
      </c>
      <c r="AC27" s="35">
        <f t="shared" si="31"/>
        <v>158849.52312</v>
      </c>
      <c r="AD27" s="35">
        <f t="shared" si="32"/>
        <v>158893.68367200001</v>
      </c>
      <c r="AE27" s="35">
        <f t="shared" si="33"/>
        <v>158876.08345199999</v>
      </c>
      <c r="AF27" s="35">
        <f t="shared" si="34"/>
        <v>155758.20447900001</v>
      </c>
      <c r="AG27" s="35">
        <f t="shared" si="35"/>
        <v>155822.525283</v>
      </c>
      <c r="AH27" s="35">
        <f t="shared" si="36"/>
        <v>155841.245517</v>
      </c>
      <c r="AI27" s="35">
        <f t="shared" si="37"/>
        <v>155854.92568799999</v>
      </c>
      <c r="AJ27" s="35">
        <f t="shared" si="38"/>
        <v>155775.48469499999</v>
      </c>
      <c r="AL27" s="34">
        <f t="shared" si="39"/>
        <v>118231.37089293335</v>
      </c>
      <c r="AN27" s="34">
        <f t="shared" si="17"/>
        <v>158883.63554640004</v>
      </c>
    </row>
    <row r="28" spans="1:40" ht="12.75" x14ac:dyDescent="0.25">
      <c r="A28" s="34">
        <v>17325222.717769802</v>
      </c>
      <c r="C28" s="36" t="str">
        <f t="shared" si="18"/>
        <v>(1, 0)</v>
      </c>
      <c r="D28" s="59">
        <f t="shared" si="19"/>
        <v>155781.902</v>
      </c>
      <c r="E28" s="59">
        <f t="shared" si="20"/>
        <v>-14973.631382</v>
      </c>
      <c r="F28" s="59">
        <f t="shared" si="21"/>
        <v>40000</v>
      </c>
      <c r="G28" s="59">
        <f t="shared" si="22"/>
        <v>23709.595812</v>
      </c>
      <c r="H28" s="59">
        <f t="shared" si="23"/>
        <v>40000</v>
      </c>
      <c r="J28" s="25">
        <f t="shared" si="40"/>
        <v>155781.902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4"/>
        <v>40000</v>
      </c>
      <c r="W28" s="35">
        <f t="shared" si="25"/>
        <v>40000</v>
      </c>
      <c r="X28" s="35">
        <f t="shared" si="26"/>
        <v>40000</v>
      </c>
      <c r="Y28" s="35">
        <f t="shared" si="27"/>
        <v>40000</v>
      </c>
      <c r="Z28" s="35">
        <f t="shared" si="28"/>
        <v>40000</v>
      </c>
      <c r="AA28" s="35">
        <f t="shared" si="29"/>
        <v>158910.64388399999</v>
      </c>
      <c r="AB28" s="35">
        <f t="shared" si="30"/>
        <v>158898.64373400001</v>
      </c>
      <c r="AC28" s="35">
        <f t="shared" si="31"/>
        <v>158858.80323600001</v>
      </c>
      <c r="AD28" s="35">
        <f t="shared" si="32"/>
        <v>158924.56405799999</v>
      </c>
      <c r="AE28" s="35">
        <f t="shared" si="33"/>
        <v>158887.603596</v>
      </c>
      <c r="AF28" s="35">
        <f t="shared" si="34"/>
        <v>155836.44545699999</v>
      </c>
      <c r="AG28" s="35">
        <f t="shared" si="35"/>
        <v>155796.12495299999</v>
      </c>
      <c r="AH28" s="35">
        <f t="shared" si="36"/>
        <v>155835.005439</v>
      </c>
      <c r="AI28" s="35">
        <f t="shared" si="37"/>
        <v>155879.886</v>
      </c>
      <c r="AJ28" s="35">
        <f t="shared" si="38"/>
        <v>155810.52513299999</v>
      </c>
      <c r="AL28" s="34">
        <f t="shared" si="39"/>
        <v>118242.54969933334</v>
      </c>
      <c r="AN28" s="34">
        <f>AVERAGE(AA28:AE28)</f>
        <v>158896.05170160002</v>
      </c>
    </row>
    <row r="29" spans="1:40" ht="12.75" x14ac:dyDescent="0.25">
      <c r="A29" s="34">
        <v>0.33333333333333298</v>
      </c>
      <c r="C29" s="36" t="str">
        <f t="shared" si="18"/>
        <v>(1, 1)</v>
      </c>
      <c r="D29" s="59">
        <f t="shared" si="19"/>
        <v>155744.4008</v>
      </c>
      <c r="E29" s="59">
        <f t="shared" si="20"/>
        <v>-15139.907552000001</v>
      </c>
      <c r="F29" s="59">
        <f t="shared" si="21"/>
        <v>40000</v>
      </c>
      <c r="G29" s="59">
        <f t="shared" si="22"/>
        <v>23628.305240000002</v>
      </c>
      <c r="H29" s="59">
        <f t="shared" si="23"/>
        <v>40000</v>
      </c>
      <c r="J29" s="25">
        <f t="shared" si="40"/>
        <v>155744.4008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4"/>
        <v>70000</v>
      </c>
      <c r="W29" s="35">
        <f t="shared" si="25"/>
        <v>70000</v>
      </c>
      <c r="X29" s="35">
        <f t="shared" si="26"/>
        <v>70000</v>
      </c>
      <c r="Y29" s="35">
        <f t="shared" si="27"/>
        <v>70000</v>
      </c>
      <c r="Z29" s="35">
        <f t="shared" si="28"/>
        <v>70000</v>
      </c>
      <c r="AA29" s="35">
        <f t="shared" si="29"/>
        <v>81788.135758000004</v>
      </c>
      <c r="AB29" s="35">
        <f t="shared" si="30"/>
        <v>81797.335942000005</v>
      </c>
      <c r="AC29" s="35">
        <f t="shared" si="31"/>
        <v>81807.136138000002</v>
      </c>
      <c r="AD29" s="35">
        <f t="shared" si="32"/>
        <v>81766.635328000004</v>
      </c>
      <c r="AE29" s="35">
        <f t="shared" si="33"/>
        <v>81811.436224000005</v>
      </c>
      <c r="AF29" s="35">
        <f t="shared" si="34"/>
        <v>91317.035277999996</v>
      </c>
      <c r="AG29" s="35">
        <f t="shared" si="35"/>
        <v>91339.535652999999</v>
      </c>
      <c r="AH29" s="35">
        <f t="shared" si="36"/>
        <v>91255.474252</v>
      </c>
      <c r="AI29" s="35">
        <f t="shared" si="37"/>
        <v>91210.293499000007</v>
      </c>
      <c r="AJ29" s="35">
        <f t="shared" si="38"/>
        <v>91303.355049999998</v>
      </c>
      <c r="AL29" s="34">
        <f t="shared" si="39"/>
        <v>81026.424874799981</v>
      </c>
    </row>
    <row r="30" spans="1:40" ht="12.75" x14ac:dyDescent="0.25">
      <c r="A30" s="34">
        <v>90000</v>
      </c>
      <c r="C30" s="36" t="str">
        <f t="shared" si="18"/>
        <v>Inspector</v>
      </c>
      <c r="D30" s="59">
        <f t="shared" si="19"/>
        <v>793679.18282728002</v>
      </c>
      <c r="E30" s="59">
        <f t="shared" si="20"/>
        <v>391250.53344660002</v>
      </c>
      <c r="F30" s="59">
        <f t="shared" si="21"/>
        <v>363272.902754315</v>
      </c>
      <c r="G30" s="59">
        <f t="shared" si="22"/>
        <v>81836.7</v>
      </c>
      <c r="H30" s="59">
        <f t="shared" si="23"/>
        <v>70000</v>
      </c>
      <c r="J30" s="25">
        <f t="shared" si="40"/>
        <v>793679.18282728002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4"/>
        <v>2590000</v>
      </c>
      <c r="W30" s="35">
        <f t="shared" si="25"/>
        <v>2590000</v>
      </c>
      <c r="X30" s="35">
        <f t="shared" si="26"/>
        <v>2590000</v>
      </c>
      <c r="Y30" s="35">
        <f t="shared" si="27"/>
        <v>2590000</v>
      </c>
      <c r="Z30" s="35">
        <f t="shared" si="28"/>
        <v>2590000</v>
      </c>
      <c r="AA30" s="35">
        <f t="shared" si="29"/>
        <v>2090000</v>
      </c>
      <c r="AB30" s="35">
        <f t="shared" si="30"/>
        <v>2090000</v>
      </c>
      <c r="AC30" s="35">
        <f t="shared" si="31"/>
        <v>2090000</v>
      </c>
      <c r="AD30" s="35">
        <f t="shared" si="32"/>
        <v>2090000</v>
      </c>
      <c r="AE30" s="35">
        <f t="shared" si="33"/>
        <v>2090000</v>
      </c>
      <c r="AF30" s="35">
        <f t="shared" si="34"/>
        <v>2090000</v>
      </c>
      <c r="AG30" s="35">
        <f t="shared" si="35"/>
        <v>2090000</v>
      </c>
      <c r="AH30" s="35">
        <f t="shared" si="36"/>
        <v>2090000</v>
      </c>
      <c r="AI30" s="35">
        <f t="shared" si="37"/>
        <v>2090000</v>
      </c>
      <c r="AJ30" s="35">
        <f t="shared" si="38"/>
        <v>2090000</v>
      </c>
      <c r="AL30" s="34">
        <f t="shared" si="39"/>
        <v>2256666.6666666665</v>
      </c>
    </row>
    <row r="31" spans="1:40" ht="12.75" x14ac:dyDescent="0.25">
      <c r="A31" s="34">
        <v>90000</v>
      </c>
      <c r="C31" s="36" t="str">
        <f t="shared" si="18"/>
        <v>State</v>
      </c>
      <c r="D31" s="59">
        <f t="shared" si="19"/>
        <v>53039574.789793499</v>
      </c>
      <c r="E31" s="59">
        <f t="shared" si="20"/>
        <v>1935672.4003000001</v>
      </c>
      <c r="F31" s="59">
        <f t="shared" si="21"/>
        <v>1590000</v>
      </c>
      <c r="G31" s="59">
        <f t="shared" si="22"/>
        <v>2513165.1025419999</v>
      </c>
      <c r="H31" s="59">
        <f t="shared" si="23"/>
        <v>2590000</v>
      </c>
      <c r="J31" s="25">
        <f t="shared" si="40"/>
        <v>53039574.789793499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4"/>
        <v>0</v>
      </c>
      <c r="W31" s="35">
        <f t="shared" si="25"/>
        <v>0</v>
      </c>
      <c r="X31" s="35">
        <f t="shared" si="26"/>
        <v>0</v>
      </c>
      <c r="Y31" s="35">
        <f t="shared" si="27"/>
        <v>0</v>
      </c>
      <c r="Z31" s="35">
        <f t="shared" si="28"/>
        <v>0</v>
      </c>
      <c r="AA31" s="35">
        <f t="shared" si="29"/>
        <v>0.16666666666666599</v>
      </c>
      <c r="AB31" s="35">
        <f t="shared" si="30"/>
        <v>0.16666666666666599</v>
      </c>
      <c r="AC31" s="35">
        <f t="shared" si="31"/>
        <v>0.16666666666666599</v>
      </c>
      <c r="AD31" s="35">
        <f t="shared" si="32"/>
        <v>0.16666666666666599</v>
      </c>
      <c r="AE31" s="35">
        <f t="shared" si="33"/>
        <v>0.16666666666666599</v>
      </c>
      <c r="AF31" s="35">
        <f t="shared" si="34"/>
        <v>0.16666666666666599</v>
      </c>
      <c r="AG31" s="35">
        <f t="shared" si="35"/>
        <v>0.16666666666666599</v>
      </c>
      <c r="AH31" s="35">
        <f t="shared" si="36"/>
        <v>0.16666666666666599</v>
      </c>
      <c r="AI31" s="35">
        <f t="shared" si="37"/>
        <v>0.16666666666666599</v>
      </c>
      <c r="AJ31" s="35">
        <f t="shared" si="38"/>
        <v>0.16666666666666599</v>
      </c>
      <c r="AL31" s="34">
        <f t="shared" si="39"/>
        <v>0.11111111111111067</v>
      </c>
    </row>
    <row r="32" spans="1:40" x14ac:dyDescent="0.25">
      <c r="A32" s="34">
        <v>87744.396391999995</v>
      </c>
      <c r="C32" s="36" t="str">
        <f t="shared" si="18"/>
        <v>LoC</v>
      </c>
      <c r="D32" s="59">
        <f t="shared" si="19"/>
        <v>0.5</v>
      </c>
      <c r="E32" s="59">
        <f t="shared" si="20"/>
        <v>0.5</v>
      </c>
      <c r="F32" s="59">
        <f t="shared" si="21"/>
        <v>0.33333333333333298</v>
      </c>
      <c r="G32" s="59">
        <f t="shared" si="22"/>
        <v>0.16666666666666599</v>
      </c>
      <c r="H32" s="59">
        <f t="shared" si="23"/>
        <v>0</v>
      </c>
    </row>
    <row r="33" spans="1:14" x14ac:dyDescent="0.25">
      <c r="A33" s="34">
        <v>87821.991938000006</v>
      </c>
      <c r="D33" s="60"/>
      <c r="E33" s="60"/>
      <c r="F33" s="60"/>
      <c r="G33" s="60"/>
      <c r="H33" s="60"/>
    </row>
    <row r="34" spans="1:14" ht="12.75" x14ac:dyDescent="0.25">
      <c r="A34" s="34">
        <v>23583.964928000001</v>
      </c>
      <c r="B34" s="39">
        <v>4</v>
      </c>
      <c r="C34" s="36" t="str">
        <f>A140</f>
        <v>(40000.5, 1384616.38461538)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24215.814374000001</v>
      </c>
      <c r="B35" s="39" t="s">
        <v>10</v>
      </c>
      <c r="C35" s="36" t="str">
        <f t="shared" ref="C35:C43" si="42">C2</f>
        <v>(3, 0)</v>
      </c>
      <c r="D35" s="59">
        <f t="shared" ref="D35:D43" si="43">A141</f>
        <v>-26824.445483867799</v>
      </c>
      <c r="E35" s="59">
        <f t="shared" ref="E35:E43" si="44">A150</f>
        <v>359796.44912691199</v>
      </c>
      <c r="F35" s="59">
        <f t="shared" ref="F35:F43" si="45">A159</f>
        <v>359256.44873691298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359796.44912691199</v>
      </c>
      <c r="K35" s="25"/>
      <c r="L35" s="25" t="str">
        <f>HLOOKUP(J35,D35:$H$45,N2,FALSE)</f>
        <v>OptOpt_BB</v>
      </c>
      <c r="N35" s="25"/>
    </row>
    <row r="36" spans="1:14" ht="12.75" x14ac:dyDescent="0.25">
      <c r="A36" s="34">
        <v>81816.800000000003</v>
      </c>
      <c r="C36" s="36" t="str">
        <f t="shared" si="42"/>
        <v>(3, 1)</v>
      </c>
      <c r="D36" s="59">
        <f t="shared" si="43"/>
        <v>91064.5627349774</v>
      </c>
      <c r="E36" s="59">
        <f t="shared" si="44"/>
        <v>357755.52457598998</v>
      </c>
      <c r="F36" s="59">
        <f t="shared" si="45"/>
        <v>358677.67908814398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358677.67908814398</v>
      </c>
      <c r="K36" s="25"/>
      <c r="L36" s="25" t="str">
        <f>HLOOKUP(J36,D36:$H$45,N3,FALSE)</f>
        <v>NoneOpt_NBB</v>
      </c>
      <c r="N36" s="25"/>
    </row>
    <row r="37" spans="1:14" ht="12.75" x14ac:dyDescent="0.25">
      <c r="A37" s="34">
        <v>2512453.6723679998</v>
      </c>
      <c r="C37" s="36" t="str">
        <f t="shared" si="42"/>
        <v>(2, 0)</v>
      </c>
      <c r="D37" s="59">
        <f t="shared" si="43"/>
        <v>165000</v>
      </c>
      <c r="E37" s="59">
        <f t="shared" si="44"/>
        <v>-91837.562233999997</v>
      </c>
      <c r="F37" s="59">
        <f t="shared" si="45"/>
        <v>40000</v>
      </c>
      <c r="G37" s="59">
        <f t="shared" si="46"/>
        <v>88760.528542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-91782.136843999993</v>
      </c>
      <c r="F38" s="59">
        <f t="shared" si="45"/>
        <v>40000</v>
      </c>
      <c r="G38" s="59">
        <f t="shared" si="46"/>
        <v>88243.224902000002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-13750.577776</v>
      </c>
      <c r="F39" s="59">
        <f t="shared" si="45"/>
        <v>40000</v>
      </c>
      <c r="G39" s="59">
        <f t="shared" si="46"/>
        <v>22804.314441999999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-13200.018902</v>
      </c>
      <c r="F40" s="59">
        <f t="shared" si="45"/>
        <v>40000</v>
      </c>
      <c r="G40" s="59">
        <f t="shared" si="46"/>
        <v>24522.501531999998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807246.85083856096</v>
      </c>
      <c r="E41" s="59">
        <f t="shared" si="44"/>
        <v>405006.60899673199</v>
      </c>
      <c r="F41" s="59">
        <f t="shared" si="45"/>
        <v>377487.39872047602</v>
      </c>
      <c r="G41" s="59">
        <f t="shared" si="46"/>
        <v>81790.7</v>
      </c>
      <c r="H41" s="59">
        <f t="shared" si="47"/>
        <v>70000</v>
      </c>
      <c r="J41" s="25">
        <f t="shared" si="48"/>
        <v>807246.85083856096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1932297.5757559999</v>
      </c>
      <c r="F42" s="59">
        <f t="shared" si="45"/>
        <v>1590000</v>
      </c>
      <c r="G42" s="59">
        <f t="shared" si="46"/>
        <v>2511520.5905820001</v>
      </c>
      <c r="H42" s="59">
        <f t="shared" si="47"/>
        <v>2590000</v>
      </c>
      <c r="J42" s="25">
        <f t="shared" si="48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(40000.5, 2076924.57692308)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50">C2</f>
        <v>(3, 0)</v>
      </c>
      <c r="D46" s="59">
        <f t="shared" ref="D46:D54" si="51">A187</f>
        <v>-331203.28069755202</v>
      </c>
      <c r="E46" s="59">
        <f t="shared" ref="E46:E54" si="52">A196</f>
        <v>242488.97978964</v>
      </c>
      <c r="F46" s="59">
        <f t="shared" ref="F46:F54" si="53">A205</f>
        <v>246198.367084022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246198.367084022</v>
      </c>
      <c r="K46" s="25"/>
      <c r="L46" s="25" t="str">
        <f>HLOOKUP(J46,D46:$H$56,N2,FALSE)</f>
        <v>NoneOpt_NBB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-161103.15784692601</v>
      </c>
      <c r="E47" s="59">
        <f t="shared" si="52"/>
        <v>244628.212103875</v>
      </c>
      <c r="F47" s="59">
        <f t="shared" si="53"/>
        <v>241114.055719722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244628.212103875</v>
      </c>
      <c r="K47" s="25"/>
      <c r="L47" s="25" t="str">
        <f>HLOOKUP(J47,D47:$H$56,N3,FALSE)</f>
        <v>OptOpt_BB</v>
      </c>
      <c r="N47" s="25"/>
    </row>
    <row r="48" spans="1:14" ht="12.75" x14ac:dyDescent="0.25">
      <c r="A48" s="34" t="s">
        <v>215</v>
      </c>
      <c r="C48" s="36" t="str">
        <f t="shared" si="50"/>
        <v>(2, 0)</v>
      </c>
      <c r="D48" s="59">
        <f t="shared" si="51"/>
        <v>165000</v>
      </c>
      <c r="E48" s="59">
        <f t="shared" si="52"/>
        <v>-91811.697052000003</v>
      </c>
      <c r="F48" s="59">
        <f t="shared" si="53"/>
        <v>40000</v>
      </c>
      <c r="G48" s="59">
        <f t="shared" si="54"/>
        <v>87969.792977999998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-29455065.636665601</v>
      </c>
      <c r="C49" s="36" t="str">
        <f t="shared" si="50"/>
        <v>(2, 1)</v>
      </c>
      <c r="D49" s="59">
        <f t="shared" si="51"/>
        <v>165000</v>
      </c>
      <c r="E49" s="59">
        <f t="shared" si="52"/>
        <v>-92029.703586000003</v>
      </c>
      <c r="F49" s="59">
        <f t="shared" si="53"/>
        <v>40000</v>
      </c>
      <c r="G49" s="59">
        <f t="shared" si="54"/>
        <v>88180.409459999995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-20462165.438659199</v>
      </c>
      <c r="C50" s="36" t="str">
        <f t="shared" si="50"/>
        <v>(1, 0)</v>
      </c>
      <c r="D50" s="59">
        <f t="shared" si="51"/>
        <v>165000</v>
      </c>
      <c r="E50" s="59">
        <f t="shared" si="52"/>
        <v>-14445.242663999999</v>
      </c>
      <c r="F50" s="59">
        <f t="shared" si="53"/>
        <v>40000</v>
      </c>
      <c r="G50" s="59">
        <f t="shared" si="54"/>
        <v>24079.098411999999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151874.20120000001</v>
      </c>
      <c r="C51" s="36" t="str">
        <f t="shared" si="50"/>
        <v>(1, 1)</v>
      </c>
      <c r="D51" s="59">
        <f t="shared" si="51"/>
        <v>165000</v>
      </c>
      <c r="E51" s="59">
        <f t="shared" si="52"/>
        <v>-15121.432422</v>
      </c>
      <c r="F51" s="59">
        <f t="shared" si="53"/>
        <v>40000</v>
      </c>
      <c r="G51" s="59">
        <f t="shared" si="54"/>
        <v>24008.892918000001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151848.63219999999</v>
      </c>
      <c r="C52" s="36" t="str">
        <f t="shared" si="50"/>
        <v>Inspector</v>
      </c>
      <c r="D52" s="59">
        <f t="shared" si="51"/>
        <v>1364129.14471998</v>
      </c>
      <c r="E52" s="59">
        <f t="shared" si="52"/>
        <v>635689.99465049501</v>
      </c>
      <c r="F52" s="59">
        <f t="shared" si="53"/>
        <v>608200.72258641804</v>
      </c>
      <c r="G52" s="59">
        <f t="shared" si="54"/>
        <v>81793.2</v>
      </c>
      <c r="H52" s="59">
        <f t="shared" si="55"/>
        <v>70000</v>
      </c>
      <c r="J52" s="25">
        <f t="shared" si="56"/>
        <v>1364129.14471998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155805.9558</v>
      </c>
      <c r="C53" s="36" t="str">
        <f t="shared" si="50"/>
        <v>State</v>
      </c>
      <c r="D53" s="59">
        <f t="shared" si="51"/>
        <v>1090000</v>
      </c>
      <c r="E53" s="59">
        <f t="shared" si="52"/>
        <v>1935043.195724</v>
      </c>
      <c r="F53" s="59">
        <f t="shared" si="53"/>
        <v>1590000</v>
      </c>
      <c r="G53" s="59">
        <f t="shared" si="54"/>
        <v>2511609.9662319999</v>
      </c>
      <c r="H53" s="59">
        <f t="shared" si="55"/>
        <v>2590000</v>
      </c>
      <c r="J53" s="25">
        <f t="shared" si="56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155839.47959999999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780100.43402939895</v>
      </c>
      <c r="D55" s="60"/>
      <c r="E55" s="60"/>
      <c r="F55" s="60"/>
      <c r="G55" s="60"/>
      <c r="H55" s="60"/>
    </row>
    <row r="56" spans="1:14" ht="12.75" x14ac:dyDescent="0.25">
      <c r="A56" s="34">
        <v>51355427.862982601</v>
      </c>
      <c r="B56" s="39">
        <v>6</v>
      </c>
      <c r="C56" s="36" t="str">
        <f>A232</f>
        <v>(80001, 652308.192307692)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9</v>
      </c>
      <c r="C57" s="36" t="str">
        <f t="shared" ref="C57:C65" si="58">C2</f>
        <v>(3, 0)</v>
      </c>
      <c r="D57" s="59">
        <f>A233</f>
        <v>-20824667.680142701</v>
      </c>
      <c r="E57" s="59">
        <f>A242</f>
        <v>-7426890.5249695797</v>
      </c>
      <c r="F57" s="59">
        <f>A251</f>
        <v>-7435169.5526140397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373157.10148060898</v>
      </c>
      <c r="C58" s="36" t="str">
        <f t="shared" si="58"/>
        <v>(3, 1)</v>
      </c>
      <c r="D58" s="59">
        <f t="shared" ref="D58:D65" si="59">A234</f>
        <v>-16790085.719878901</v>
      </c>
      <c r="E58" s="59">
        <f t="shared" ref="E58:E65" si="60">A243</f>
        <v>-7434399.4105075803</v>
      </c>
      <c r="F58" s="59">
        <f t="shared" ref="F58:F65" si="61">A252</f>
        <v>-7426120.3828631202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370743.56116907398</v>
      </c>
      <c r="C59" s="36" t="str">
        <f t="shared" si="58"/>
        <v>(2, 0)</v>
      </c>
      <c r="D59" s="59">
        <f t="shared" si="59"/>
        <v>151855.07180000001</v>
      </c>
      <c r="E59" s="59">
        <f t="shared" si="60"/>
        <v>153895.38119399999</v>
      </c>
      <c r="F59" s="59">
        <f t="shared" si="61"/>
        <v>40000</v>
      </c>
      <c r="G59" s="59">
        <f t="shared" si="62"/>
        <v>161673.07841399999</v>
      </c>
      <c r="H59" s="59">
        <f t="shared" si="63"/>
        <v>40000</v>
      </c>
      <c r="J59" s="25">
        <f t="shared" si="64"/>
        <v>161673.07841399999</v>
      </c>
      <c r="K59" s="25"/>
      <c r="L59" s="25" t="str">
        <f>HLOOKUP(J59,D59:$H$67,N4,FALSE)</f>
        <v>OptNone_BNB</v>
      </c>
      <c r="N59" s="25"/>
    </row>
    <row r="60" spans="1:14" ht="12.75" x14ac:dyDescent="0.25">
      <c r="A60" s="34">
        <v>-89775.737726000007</v>
      </c>
      <c r="C60" s="36" t="str">
        <f t="shared" si="58"/>
        <v>(2, 1)</v>
      </c>
      <c r="D60" s="59">
        <f t="shared" si="59"/>
        <v>151801.28219999999</v>
      </c>
      <c r="E60" s="59">
        <f t="shared" si="60"/>
        <v>153843.540546</v>
      </c>
      <c r="F60" s="59">
        <f t="shared" si="61"/>
        <v>40000</v>
      </c>
      <c r="G60" s="59">
        <f t="shared" si="62"/>
        <v>161656.278204</v>
      </c>
      <c r="H60" s="59">
        <f t="shared" si="63"/>
        <v>40000</v>
      </c>
      <c r="J60" s="25">
        <f t="shared" si="64"/>
        <v>161656.278204</v>
      </c>
      <c r="K60" s="25"/>
      <c r="L60" s="25" t="str">
        <f>HLOOKUP(J60,D60:$H$67,N5,FALSE)</f>
        <v>OptNone_BNB</v>
      </c>
      <c r="N60" s="25"/>
    </row>
    <row r="61" spans="1:14" ht="12.75" x14ac:dyDescent="0.25">
      <c r="A61" s="34">
        <v>-91420.024296000003</v>
      </c>
      <c r="C61" s="36" t="str">
        <f t="shared" si="58"/>
        <v>(1, 0)</v>
      </c>
      <c r="D61" s="59">
        <f t="shared" si="59"/>
        <v>155786.44760000001</v>
      </c>
      <c r="E61" s="59">
        <f t="shared" si="60"/>
        <v>157173.02216399999</v>
      </c>
      <c r="F61" s="59">
        <f t="shared" si="61"/>
        <v>40000</v>
      </c>
      <c r="G61" s="59">
        <f t="shared" si="62"/>
        <v>158899.12374000001</v>
      </c>
      <c r="H61" s="59">
        <f t="shared" si="63"/>
        <v>40000</v>
      </c>
      <c r="J61" s="25">
        <f t="shared" si="64"/>
        <v>158899.12374000001</v>
      </c>
      <c r="K61" s="25"/>
      <c r="L61" s="25" t="str">
        <f>HLOOKUP(J61,D61:$H$67,N6,FALSE)</f>
        <v>OptNone_BNB</v>
      </c>
      <c r="N61" s="25"/>
    </row>
    <row r="62" spans="1:14" ht="12.75" x14ac:dyDescent="0.25">
      <c r="A62" s="34">
        <v>-14966.241330000001</v>
      </c>
      <c r="C62" s="36" t="str">
        <f t="shared" si="58"/>
        <v>(1, 1)</v>
      </c>
      <c r="D62" s="59">
        <f t="shared" si="59"/>
        <v>155813.15299999999</v>
      </c>
      <c r="E62" s="59">
        <f t="shared" si="60"/>
        <v>157237.982976</v>
      </c>
      <c r="F62" s="59">
        <f t="shared" si="61"/>
        <v>40000</v>
      </c>
      <c r="G62" s="59">
        <f t="shared" si="62"/>
        <v>158910.64388399999</v>
      </c>
      <c r="H62" s="59">
        <f t="shared" si="63"/>
        <v>40000</v>
      </c>
      <c r="J62" s="25">
        <f t="shared" si="64"/>
        <v>158910.64388399999</v>
      </c>
      <c r="K62" s="25"/>
      <c r="L62" s="25" t="str">
        <f>HLOOKUP(J62,D62:$H$67,N7,FALSE)</f>
        <v>OptNone_BNB</v>
      </c>
      <c r="N62" s="25"/>
    </row>
    <row r="63" spans="1:14" ht="12.75" x14ac:dyDescent="0.25">
      <c r="A63" s="34">
        <v>-15073.397084</v>
      </c>
      <c r="C63" s="36" t="str">
        <f t="shared" si="58"/>
        <v>Inspector</v>
      </c>
      <c r="D63" s="59">
        <f t="shared" si="59"/>
        <v>780718.64</v>
      </c>
      <c r="E63" s="59">
        <f t="shared" si="60"/>
        <v>377764.03311999998</v>
      </c>
      <c r="F63" s="59">
        <f t="shared" si="61"/>
        <v>350415.96</v>
      </c>
      <c r="G63" s="59">
        <f t="shared" si="62"/>
        <v>81788.135758000004</v>
      </c>
      <c r="H63" s="59">
        <f t="shared" si="63"/>
        <v>70000</v>
      </c>
      <c r="J63" s="25">
        <f t="shared" si="64"/>
        <v>780718.64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378547.51928049797</v>
      </c>
      <c r="C64" s="36" t="str">
        <f t="shared" si="58"/>
        <v>State</v>
      </c>
      <c r="D64" s="59">
        <f t="shared" si="59"/>
        <v>39195919.525355197</v>
      </c>
      <c r="E64" s="59">
        <f t="shared" si="60"/>
        <v>16839683.935553599</v>
      </c>
      <c r="F64" s="59">
        <f t="shared" si="61"/>
        <v>17339683.935555998</v>
      </c>
      <c r="G64" s="59">
        <f t="shared" si="62"/>
        <v>2090000</v>
      </c>
      <c r="H64" s="59">
        <f t="shared" si="63"/>
        <v>2590000</v>
      </c>
      <c r="J64" s="25">
        <f t="shared" si="64"/>
        <v>39195919.525355197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1932941.0804359999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371784.64504399401</v>
      </c>
      <c r="B67" s="39">
        <v>7</v>
      </c>
      <c r="C67" s="36" t="str">
        <f>A278</f>
        <v>(80001, 1304616.38461538)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372011.64829491702</v>
      </c>
      <c r="B68" s="39" t="s">
        <v>9</v>
      </c>
      <c r="C68" s="36" t="str">
        <f>C57</f>
        <v>(3, 0)</v>
      </c>
      <c r="D68" s="59">
        <f>A279</f>
        <v>-29466253.315856799</v>
      </c>
      <c r="E68" s="59">
        <f>A288</f>
        <v>371265.407722915</v>
      </c>
      <c r="F68" s="59">
        <f>A297</f>
        <v>373984.22826845199</v>
      </c>
      <c r="G68" s="59">
        <f>A306</f>
        <v>90000</v>
      </c>
      <c r="H68" s="59">
        <f>A315</f>
        <v>90000</v>
      </c>
      <c r="J68" s="25">
        <f>MAX(D68:H68)</f>
        <v>373984.22826845199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-20543785.638615001</v>
      </c>
      <c r="E69" s="59">
        <f t="shared" ref="E69:E76" si="68">A289</f>
        <v>370673.11188430298</v>
      </c>
      <c r="F69" s="59">
        <f t="shared" ref="F69:F76" si="69">A298</f>
        <v>373483.25557676097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373483.25557676097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151860.94320000001</v>
      </c>
      <c r="E70" s="59">
        <f t="shared" si="68"/>
        <v>153903.221292</v>
      </c>
      <c r="F70" s="59">
        <f t="shared" si="69"/>
        <v>40000</v>
      </c>
      <c r="G70" s="59">
        <f t="shared" si="70"/>
        <v>161656.75821</v>
      </c>
      <c r="H70" s="59">
        <f t="shared" si="71"/>
        <v>40000</v>
      </c>
      <c r="J70" s="25">
        <f t="shared" si="72"/>
        <v>161656.75821</v>
      </c>
      <c r="K70" s="25"/>
      <c r="L70" s="25" t="str">
        <f>HLOOKUP(J70,D70:$H$78,N4,FALSE)</f>
        <v>OptNone_BNB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151851.47320000001</v>
      </c>
      <c r="E71" s="59">
        <f t="shared" si="68"/>
        <v>153899.701248</v>
      </c>
      <c r="F71" s="59">
        <f t="shared" si="69"/>
        <v>40000</v>
      </c>
      <c r="G71" s="59">
        <f t="shared" si="70"/>
        <v>161669.23836600001</v>
      </c>
      <c r="H71" s="59">
        <f t="shared" si="71"/>
        <v>40000</v>
      </c>
      <c r="J71" s="25">
        <f t="shared" si="72"/>
        <v>161669.23836600001</v>
      </c>
      <c r="K71" s="25"/>
      <c r="L71" s="25" t="str">
        <f>HLOOKUP(J71,D71:$H$78,N5,FALSE)</f>
        <v>OptNone_BNB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155816.37280000001</v>
      </c>
      <c r="E72" s="59">
        <f t="shared" si="68"/>
        <v>157227.90285000001</v>
      </c>
      <c r="F72" s="59">
        <f t="shared" si="69"/>
        <v>40000</v>
      </c>
      <c r="G72" s="59">
        <f t="shared" si="70"/>
        <v>158899.763748</v>
      </c>
      <c r="H72" s="59">
        <f t="shared" si="71"/>
        <v>40000</v>
      </c>
      <c r="J72" s="25">
        <f t="shared" si="72"/>
        <v>158899.763748</v>
      </c>
      <c r="K72" s="25"/>
      <c r="L72" s="25" t="str">
        <f>HLOOKUP(J72,D72:$H$78,N6,FALSE)</f>
        <v>OptNone_BNB</v>
      </c>
      <c r="N72" s="25"/>
    </row>
    <row r="73" spans="1:14" ht="12.75" x14ac:dyDescent="0.25">
      <c r="A73" s="34">
        <v>351337.999360213</v>
      </c>
      <c r="C73" s="36" t="str">
        <f t="shared" si="66"/>
        <v>(1, 1)</v>
      </c>
      <c r="D73" s="59">
        <f t="shared" si="67"/>
        <v>155756.52239999999</v>
      </c>
      <c r="E73" s="59">
        <f t="shared" si="68"/>
        <v>157313.98392599999</v>
      </c>
      <c r="F73" s="59">
        <f t="shared" si="69"/>
        <v>40000</v>
      </c>
      <c r="G73" s="59">
        <f t="shared" si="70"/>
        <v>158898.64373400001</v>
      </c>
      <c r="H73" s="59">
        <f t="shared" si="71"/>
        <v>40000</v>
      </c>
      <c r="J73" s="25">
        <f t="shared" si="72"/>
        <v>158898.64373400001</v>
      </c>
      <c r="K73" s="25"/>
      <c r="L73" s="25" t="str">
        <f>HLOOKUP(J73,D73:$H$78,N7,FALSE)</f>
        <v>OptNone_BNB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780004.42298936401</v>
      </c>
      <c r="E74" s="59">
        <f t="shared" si="68"/>
        <v>379785.75146853499</v>
      </c>
      <c r="F74" s="59">
        <f t="shared" si="69"/>
        <v>348924.781546132</v>
      </c>
      <c r="G74" s="59">
        <f t="shared" si="70"/>
        <v>81797.335942000005</v>
      </c>
      <c r="H74" s="59">
        <f t="shared" si="71"/>
        <v>70000</v>
      </c>
      <c r="J74" s="25">
        <f t="shared" si="72"/>
        <v>780004.42298936401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51448856.440368101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51448856.440368101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88235.834849999999</v>
      </c>
      <c r="B78" s="39">
        <v>8</v>
      </c>
      <c r="C78" s="36" t="str">
        <f>A324</f>
        <v>(80001, 1344616.38461538)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88128.679096000007</v>
      </c>
      <c r="B79" s="39" t="s">
        <v>9</v>
      </c>
      <c r="C79" s="36" t="str">
        <f>C68</f>
        <v>(3, 0)</v>
      </c>
      <c r="D79" s="59">
        <f>A325</f>
        <v>-30380333.450966898</v>
      </c>
      <c r="E79" s="59">
        <f>A334</f>
        <v>366097.16886691301</v>
      </c>
      <c r="F79" s="59">
        <f>A343</f>
        <v>366304.23979014403</v>
      </c>
      <c r="G79" s="59">
        <f>A352</f>
        <v>90000</v>
      </c>
      <c r="H79" s="59">
        <f>A361</f>
        <v>90000</v>
      </c>
      <c r="J79" s="25">
        <f>MAX(D79:H79)</f>
        <v>366304.23979014403</v>
      </c>
      <c r="K79" s="25"/>
      <c r="L79" s="25" t="str">
        <f>HLOOKUP(J79,D79:$H$89,N2,FALSE)</f>
        <v>NoneOpt_NBB</v>
      </c>
      <c r="N79" s="25"/>
    </row>
    <row r="80" spans="1:14" ht="12.75" x14ac:dyDescent="0.25">
      <c r="A80" s="34">
        <v>24090.183489999999</v>
      </c>
      <c r="C80" s="36" t="str">
        <f t="shared" ref="C80:C87" si="74">C69</f>
        <v>(3, 1)</v>
      </c>
      <c r="D80" s="59">
        <f t="shared" ref="D80:D87" si="75">A326</f>
        <v>-21129388.788640499</v>
      </c>
      <c r="E80" s="59">
        <f t="shared" ref="E80:E87" si="76">A335</f>
        <v>364951.55570722301</v>
      </c>
      <c r="F80" s="59">
        <f t="shared" ref="F80:F87" si="77">A344</f>
        <v>365241.99284630001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365241.99284630001</v>
      </c>
      <c r="K80" s="25"/>
      <c r="L80" s="25" t="str">
        <f>HLOOKUP(J80,D80:$H$89,N3,FALSE)</f>
        <v>NoneOpt_NBB</v>
      </c>
      <c r="N80" s="25"/>
    </row>
    <row r="81" spans="1:14" ht="12.75" x14ac:dyDescent="0.25">
      <c r="A81" s="34">
        <v>23580.269902</v>
      </c>
      <c r="C81" s="36" t="str">
        <f t="shared" si="74"/>
        <v>(2, 0)</v>
      </c>
      <c r="D81" s="59">
        <f t="shared" si="75"/>
        <v>151807.15359999999</v>
      </c>
      <c r="E81" s="59">
        <f t="shared" si="76"/>
        <v>153894.26118</v>
      </c>
      <c r="F81" s="59">
        <f t="shared" si="77"/>
        <v>40000</v>
      </c>
      <c r="G81" s="59">
        <f t="shared" si="78"/>
        <v>161732.119152</v>
      </c>
      <c r="H81" s="59">
        <f t="shared" si="79"/>
        <v>40000</v>
      </c>
      <c r="J81" s="25">
        <f t="shared" si="80"/>
        <v>161732.119152</v>
      </c>
      <c r="K81" s="25"/>
      <c r="L81" s="25" t="str">
        <f>HLOOKUP(J81,D81:$H$89,N4,FALSE)</f>
        <v>OptNone_BNB</v>
      </c>
      <c r="N81" s="25"/>
    </row>
    <row r="82" spans="1:14" ht="12.75" x14ac:dyDescent="0.25">
      <c r="A82" s="34">
        <v>81798.7</v>
      </c>
      <c r="C82" s="36" t="str">
        <f t="shared" si="74"/>
        <v>(2, 1)</v>
      </c>
      <c r="D82" s="59">
        <f t="shared" si="75"/>
        <v>151898.44440000001</v>
      </c>
      <c r="E82" s="59">
        <f t="shared" si="76"/>
        <v>153890.42113199999</v>
      </c>
      <c r="F82" s="59">
        <f t="shared" si="77"/>
        <v>40000</v>
      </c>
      <c r="G82" s="59">
        <f t="shared" si="78"/>
        <v>161668.27835400001</v>
      </c>
      <c r="H82" s="59">
        <f t="shared" si="79"/>
        <v>40000</v>
      </c>
      <c r="J82" s="25">
        <f t="shared" si="80"/>
        <v>161668.27835400001</v>
      </c>
      <c r="K82" s="25"/>
      <c r="L82" s="25" t="str">
        <f>HLOOKUP(J82,D82:$H$89,N5,FALSE)</f>
        <v>OptNone_BNB</v>
      </c>
      <c r="N82" s="25"/>
    </row>
    <row r="83" spans="1:14" ht="12.75" x14ac:dyDescent="0.25">
      <c r="A83" s="34">
        <v>2511806.5926620001</v>
      </c>
      <c r="C83" s="36" t="str">
        <f t="shared" si="74"/>
        <v>(1, 0)</v>
      </c>
      <c r="D83" s="59">
        <f t="shared" si="75"/>
        <v>155774.89420000001</v>
      </c>
      <c r="E83" s="59">
        <f t="shared" si="76"/>
        <v>157233.50292</v>
      </c>
      <c r="F83" s="59">
        <f t="shared" si="77"/>
        <v>40000</v>
      </c>
      <c r="G83" s="59">
        <f t="shared" si="78"/>
        <v>158849.52312</v>
      </c>
      <c r="H83" s="59">
        <f t="shared" si="79"/>
        <v>40000</v>
      </c>
      <c r="J83" s="25">
        <f t="shared" si="80"/>
        <v>158849.52312</v>
      </c>
      <c r="K83" s="25"/>
      <c r="L83" s="25" t="str">
        <f>HLOOKUP(J83,D83:$H$89,N6,FALSE)</f>
        <v>OptNone_BNB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155842.69940000001</v>
      </c>
      <c r="E84" s="59">
        <f t="shared" si="76"/>
        <v>157277.50347</v>
      </c>
      <c r="F84" s="59">
        <f t="shared" si="77"/>
        <v>40000</v>
      </c>
      <c r="G84" s="59">
        <f t="shared" si="78"/>
        <v>158858.80323600001</v>
      </c>
      <c r="H84" s="59">
        <f t="shared" si="79"/>
        <v>40000</v>
      </c>
      <c r="J84" s="25">
        <f t="shared" si="80"/>
        <v>158858.80323600001</v>
      </c>
      <c r="K84" s="25"/>
      <c r="L84" s="25" t="str">
        <f>HLOOKUP(J84,D84:$H$89,N7,FALSE)</f>
        <v>OptNone_BNB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793507.20859928196</v>
      </c>
      <c r="E85" s="59">
        <f t="shared" si="76"/>
        <v>391560.74519261101</v>
      </c>
      <c r="F85" s="59">
        <f t="shared" si="77"/>
        <v>363961.18852433498</v>
      </c>
      <c r="G85" s="59">
        <f t="shared" si="78"/>
        <v>81807.136138000002</v>
      </c>
      <c r="H85" s="59">
        <f t="shared" si="79"/>
        <v>70000</v>
      </c>
      <c r="J85" s="25">
        <f t="shared" si="80"/>
        <v>793507.20859928196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52934736.2694901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52934736.2694901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(80001, 1384616.38461538)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9</v>
      </c>
      <c r="C90" s="36" t="str">
        <f>C79</f>
        <v>(3, 0)</v>
      </c>
      <c r="D90" s="59">
        <f>A371</f>
        <v>-25644.752324183999</v>
      </c>
      <c r="E90" s="59">
        <f>A380</f>
        <v>359909.98767045001</v>
      </c>
      <c r="F90" s="59">
        <f>A389</f>
        <v>359583.21820368298</v>
      </c>
      <c r="G90" s="59">
        <f>A398</f>
        <v>90000</v>
      </c>
      <c r="H90" s="59">
        <f>A407</f>
        <v>90000</v>
      </c>
      <c r="J90" s="25">
        <f>MAX(D90:H90)</f>
        <v>359909.98767045001</v>
      </c>
      <c r="K90" s="25"/>
      <c r="L90" s="25" t="str">
        <f>HLOOKUP(J90,D90:$H$100,N2,FALSE)</f>
        <v>OptOpt_BB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89929.1772995918</v>
      </c>
      <c r="E91" s="59">
        <f t="shared" ref="E91:E98" si="84">A381</f>
        <v>358713.679114144</v>
      </c>
      <c r="F91" s="59">
        <f t="shared" ref="F91:F98" si="85">A390</f>
        <v>358946.29466675897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358946.29466675897</v>
      </c>
      <c r="K91" s="25"/>
      <c r="L91" s="25" t="str">
        <f>HLOOKUP(J91,D91:$H$100,N3,FALSE)</f>
        <v>NoneOpt_NBB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153931.38164400001</v>
      </c>
      <c r="F92" s="59">
        <f t="shared" si="85"/>
        <v>40000</v>
      </c>
      <c r="G92" s="59">
        <f t="shared" si="86"/>
        <v>161685.23856600001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153885.301068</v>
      </c>
      <c r="F93" s="59">
        <f t="shared" si="85"/>
        <v>40000</v>
      </c>
      <c r="G93" s="59">
        <f t="shared" si="86"/>
        <v>161670.03837600001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216</v>
      </c>
      <c r="C94" s="36" t="str">
        <f t="shared" si="82"/>
        <v>(1, 0)</v>
      </c>
      <c r="D94" s="59">
        <f t="shared" si="83"/>
        <v>165000</v>
      </c>
      <c r="E94" s="59">
        <f t="shared" si="84"/>
        <v>157199.26249200001</v>
      </c>
      <c r="F94" s="59">
        <f t="shared" si="85"/>
        <v>40000</v>
      </c>
      <c r="G94" s="59">
        <f t="shared" si="86"/>
        <v>158893.68367200001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-30379529.994998399</v>
      </c>
      <c r="C95" s="36" t="str">
        <f t="shared" si="82"/>
        <v>(1, 1)</v>
      </c>
      <c r="D95" s="59">
        <f t="shared" si="83"/>
        <v>165000</v>
      </c>
      <c r="E95" s="59">
        <f t="shared" si="84"/>
        <v>157217.18271600001</v>
      </c>
      <c r="F95" s="59">
        <f t="shared" si="85"/>
        <v>40000</v>
      </c>
      <c r="G95" s="59">
        <f t="shared" si="86"/>
        <v>158924.56405799999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-21234794.367265299</v>
      </c>
      <c r="C96" s="36" t="str">
        <f t="shared" si="82"/>
        <v>Inspector</v>
      </c>
      <c r="D96" s="59">
        <f t="shared" si="83"/>
        <v>807243.05080656102</v>
      </c>
      <c r="E96" s="59">
        <f t="shared" si="84"/>
        <v>404328.72530271299</v>
      </c>
      <c r="F96" s="59">
        <f t="shared" si="85"/>
        <v>377087.80329046497</v>
      </c>
      <c r="G96" s="59">
        <f t="shared" si="86"/>
        <v>81766.635328000004</v>
      </c>
      <c r="H96" s="59">
        <f t="shared" si="87"/>
        <v>70000</v>
      </c>
      <c r="J96" s="25">
        <f t="shared" si="88"/>
        <v>807243.05080656102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151776.28140000001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151930.26360000001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155781.902</v>
      </c>
      <c r="D99" s="60"/>
      <c r="E99" s="60"/>
      <c r="F99" s="60"/>
      <c r="G99" s="60"/>
      <c r="H99" s="60"/>
    </row>
    <row r="100" spans="1:14" ht="12.75" x14ac:dyDescent="0.25">
      <c r="A100" s="34">
        <v>155744.4008</v>
      </c>
      <c r="B100" s="39">
        <v>10</v>
      </c>
      <c r="C100" s="36" t="str">
        <f>A416</f>
        <v>(80001, 2076924.57692308)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793679.18282728002</v>
      </c>
      <c r="B101" s="39" t="s">
        <v>9</v>
      </c>
      <c r="C101" s="36" t="str">
        <f>C90</f>
        <v>(3, 0)</v>
      </c>
      <c r="D101" s="59">
        <f>A417</f>
        <v>-330488.818643087</v>
      </c>
      <c r="E101" s="59">
        <f>A426</f>
        <v>244989.596980256</v>
      </c>
      <c r="F101" s="59">
        <f>A435</f>
        <v>244192.05794271699</v>
      </c>
      <c r="G101" s="59">
        <f>A444</f>
        <v>90000</v>
      </c>
      <c r="H101" s="59">
        <f>A453</f>
        <v>90000</v>
      </c>
      <c r="J101" s="25">
        <f>MAX(D101:H101)</f>
        <v>244989.596980256</v>
      </c>
      <c r="K101" s="25"/>
      <c r="L101" s="25" t="str">
        <f>HLOOKUP(J101,D101:$H$111,N2,FALSE)</f>
        <v>OptOpt_BB</v>
      </c>
      <c r="N101" s="25"/>
    </row>
    <row r="102" spans="1:14" ht="12.75" x14ac:dyDescent="0.25">
      <c r="A102" s="34">
        <v>53039574.789793499</v>
      </c>
      <c r="C102" s="36" t="str">
        <f t="shared" ref="C102:C109" si="90">C91</f>
        <v>(3, 1)</v>
      </c>
      <c r="D102" s="59">
        <f t="shared" ref="D102:D109" si="91">A418</f>
        <v>-160131.157144931</v>
      </c>
      <c r="E102" s="59">
        <f t="shared" ref="E102:E109" si="92">A427</f>
        <v>244212.82718848801</v>
      </c>
      <c r="F102" s="59">
        <f t="shared" ref="F102:F109" si="93">A436</f>
        <v>244005.134730794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244212.82718848801</v>
      </c>
      <c r="K102" s="25"/>
      <c r="L102" s="25" t="str">
        <f>HLOOKUP(J102,D102:$H$111,N3,FALSE)</f>
        <v>OptOpt_BB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153932.66166000001</v>
      </c>
      <c r="F103" s="59">
        <f t="shared" si="93"/>
        <v>40000</v>
      </c>
      <c r="G103" s="59">
        <f t="shared" si="94"/>
        <v>161653.55817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365104.84197506902</v>
      </c>
      <c r="C104" s="36" t="str">
        <f t="shared" si="90"/>
        <v>(2, 1)</v>
      </c>
      <c r="D104" s="59">
        <f t="shared" si="91"/>
        <v>165000</v>
      </c>
      <c r="E104" s="59">
        <f t="shared" si="92"/>
        <v>153868.98086400001</v>
      </c>
      <c r="F104" s="59">
        <f t="shared" si="93"/>
        <v>40000</v>
      </c>
      <c r="G104" s="59">
        <f t="shared" si="94"/>
        <v>161684.598558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366546.27073937497</v>
      </c>
      <c r="C105" s="36" t="str">
        <f t="shared" si="90"/>
        <v>(1, 0)</v>
      </c>
      <c r="D105" s="59">
        <f t="shared" si="91"/>
        <v>165000</v>
      </c>
      <c r="E105" s="59">
        <f t="shared" si="92"/>
        <v>157203.74254800001</v>
      </c>
      <c r="F105" s="59">
        <f t="shared" si="93"/>
        <v>40000</v>
      </c>
      <c r="G105" s="59">
        <f t="shared" si="94"/>
        <v>158876.08345199999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-91527.180049999995</v>
      </c>
      <c r="C106" s="36" t="str">
        <f t="shared" si="90"/>
        <v>(1, 1)</v>
      </c>
      <c r="D106" s="59">
        <f t="shared" si="91"/>
        <v>165000</v>
      </c>
      <c r="E106" s="59">
        <f t="shared" si="92"/>
        <v>157203.90255</v>
      </c>
      <c r="F106" s="59">
        <f t="shared" si="93"/>
        <v>40000</v>
      </c>
      <c r="G106" s="59">
        <f t="shared" si="94"/>
        <v>158887.603596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-92417.681316000002</v>
      </c>
      <c r="C107" s="36" t="str">
        <f t="shared" si="90"/>
        <v>Inspector</v>
      </c>
      <c r="D107" s="59">
        <f t="shared" si="91"/>
        <v>1362831.33965576</v>
      </c>
      <c r="E107" s="59">
        <f t="shared" si="92"/>
        <v>634040.65859940404</v>
      </c>
      <c r="F107" s="59">
        <f t="shared" si="93"/>
        <v>607495.21387048904</v>
      </c>
      <c r="G107" s="59">
        <f t="shared" si="94"/>
        <v>81811.436224000005</v>
      </c>
      <c r="H107" s="59">
        <f t="shared" si="95"/>
        <v>70000</v>
      </c>
      <c r="J107" s="25">
        <f t="shared" si="96"/>
        <v>1362831.33965576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-14973.631382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-15139.907552000001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391250.53344660002</v>
      </c>
      <c r="D110" s="60"/>
      <c r="E110" s="60"/>
      <c r="F110" s="60"/>
      <c r="G110" s="60"/>
      <c r="H110" s="60"/>
    </row>
    <row r="111" spans="1:14" ht="12.75" x14ac:dyDescent="0.25">
      <c r="A111" s="34">
        <v>1935672.4003000001</v>
      </c>
      <c r="B111" s="39">
        <v>11</v>
      </c>
      <c r="C111" s="36" t="str">
        <f>A462</f>
        <v>(120001.5, 652308.192307692)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59">
        <f>A463</f>
        <v>-20860575.555856802</v>
      </c>
      <c r="E112" s="59">
        <f>A472</f>
        <v>-7480415.4013686199</v>
      </c>
      <c r="F112" s="59">
        <f>A481</f>
        <v>-7436421.0335370405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365642.68852891203</v>
      </c>
      <c r="C113" s="36" t="str">
        <f t="shared" ref="C113:C120" si="98">C102</f>
        <v>(3, 1)</v>
      </c>
      <c r="D113" s="59">
        <f t="shared" ref="D113:D120" si="99">A464</f>
        <v>-16768425.473134501</v>
      </c>
      <c r="E113" s="59">
        <f t="shared" ref="E113:E120" si="100">A473</f>
        <v>-7371055.2222511703</v>
      </c>
      <c r="F113" s="59">
        <f t="shared" ref="F113:F120" si="101">A482</f>
        <v>-7412835.4315266702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366938.89872368303</v>
      </c>
      <c r="C114" s="36" t="str">
        <f t="shared" si="98"/>
        <v>(2, 0)</v>
      </c>
      <c r="D114" s="59">
        <f t="shared" si="99"/>
        <v>151812.26740000001</v>
      </c>
      <c r="E114" s="59">
        <f t="shared" si="100"/>
        <v>148349.07186600001</v>
      </c>
      <c r="F114" s="59">
        <f t="shared" si="101"/>
        <v>40000</v>
      </c>
      <c r="G114" s="59">
        <f t="shared" si="102"/>
        <v>160000.01750099999</v>
      </c>
      <c r="H114" s="59">
        <f t="shared" si="103"/>
        <v>40000</v>
      </c>
      <c r="J114" s="25">
        <f t="shared" si="104"/>
        <v>160000.01750099999</v>
      </c>
      <c r="K114" s="25"/>
      <c r="L114" s="25" t="str">
        <f>HLOOKUP(J114,D114:$H$122,N4,FALSE)</f>
        <v>OptNone_BNB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151865.48879999999</v>
      </c>
      <c r="E115" s="59">
        <f t="shared" si="100"/>
        <v>148372.112154</v>
      </c>
      <c r="F115" s="59">
        <f t="shared" si="101"/>
        <v>40000</v>
      </c>
      <c r="G115" s="59">
        <f t="shared" si="102"/>
        <v>159982.73728500001</v>
      </c>
      <c r="H115" s="59">
        <f t="shared" si="103"/>
        <v>40000</v>
      </c>
      <c r="J115" s="25">
        <f t="shared" si="104"/>
        <v>159982.73728500001</v>
      </c>
      <c r="K115" s="25"/>
      <c r="L115" s="25" t="str">
        <f>HLOOKUP(J115,D115:$H$122,N5,FALSE)</f>
        <v>OptNone_BNB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155741.18100000001</v>
      </c>
      <c r="E116" s="59">
        <f t="shared" si="100"/>
        <v>153321.45402</v>
      </c>
      <c r="F116" s="59">
        <f t="shared" si="101"/>
        <v>40000</v>
      </c>
      <c r="G116" s="59">
        <f t="shared" si="102"/>
        <v>155758.20447900001</v>
      </c>
      <c r="H116" s="59">
        <f t="shared" si="103"/>
        <v>40000</v>
      </c>
      <c r="J116" s="25">
        <f t="shared" si="104"/>
        <v>155758.20447900001</v>
      </c>
      <c r="K116" s="25"/>
      <c r="L116" s="25" t="str">
        <f>HLOOKUP(J116,D116:$H$122,N6,FALSE)</f>
        <v>OptNone_BNB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155847.05559999999</v>
      </c>
      <c r="E117" s="59">
        <f t="shared" si="100"/>
        <v>153284.49355799999</v>
      </c>
      <c r="F117" s="59">
        <f t="shared" si="101"/>
        <v>40000</v>
      </c>
      <c r="G117" s="59">
        <f t="shared" si="102"/>
        <v>155836.44545699999</v>
      </c>
      <c r="H117" s="59">
        <f t="shared" si="103"/>
        <v>40000</v>
      </c>
      <c r="J117" s="25">
        <f t="shared" si="104"/>
        <v>155847.05559999999</v>
      </c>
      <c r="K117" s="25"/>
      <c r="L117" s="25" t="str">
        <f>HLOOKUP(J117,D117:$H$122,N7,FALSE)</f>
        <v>OptOpt_EB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780965.68</v>
      </c>
      <c r="E118" s="59">
        <f t="shared" si="100"/>
        <v>396438.47840199998</v>
      </c>
      <c r="F118" s="59">
        <f t="shared" si="101"/>
        <v>350182.33500000002</v>
      </c>
      <c r="G118" s="59">
        <f t="shared" si="102"/>
        <v>91317.035277999996</v>
      </c>
      <c r="H118" s="59">
        <f t="shared" si="103"/>
        <v>70000</v>
      </c>
      <c r="J118" s="25">
        <f t="shared" si="104"/>
        <v>780965.68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363272.902754315</v>
      </c>
      <c r="C119" s="36" t="str">
        <f t="shared" si="98"/>
        <v>State</v>
      </c>
      <c r="D119" s="59">
        <f t="shared" si="99"/>
        <v>39209904.476124302</v>
      </c>
      <c r="E119" s="59">
        <f t="shared" si="100"/>
        <v>16830043.1236961</v>
      </c>
      <c r="F119" s="59">
        <f t="shared" si="101"/>
        <v>17327869.215142399</v>
      </c>
      <c r="G119" s="59">
        <f t="shared" si="102"/>
        <v>2090000</v>
      </c>
      <c r="H119" s="59">
        <f t="shared" si="103"/>
        <v>2590000</v>
      </c>
      <c r="J119" s="25">
        <f t="shared" si="104"/>
        <v>39209904.476124302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(120001.5, 1304616.38461538)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-29442740.267357301</v>
      </c>
      <c r="E123" s="59">
        <f>A518</f>
        <v>372885.74127260898</v>
      </c>
      <c r="F123" s="59">
        <f>A527</f>
        <v>373261.470791378</v>
      </c>
      <c r="G123" s="59">
        <f>A536</f>
        <v>90000</v>
      </c>
      <c r="H123" s="59">
        <f>A545</f>
        <v>90000</v>
      </c>
      <c r="J123" s="25">
        <f>MAX(D123:H123)</f>
        <v>373261.470791378</v>
      </c>
      <c r="K123" s="25"/>
      <c r="L123" s="25" t="str">
        <f>HLOOKUP(J123,D123:$H$133,N2,FALSE)</f>
        <v>NoneOpt_NBB</v>
      </c>
      <c r="N123" s="25"/>
    </row>
    <row r="124" spans="1:14" ht="12.75" x14ac:dyDescent="0.25">
      <c r="A124" s="34">
        <v>87906.977536000006</v>
      </c>
      <c r="C124" s="36" t="str">
        <f t="shared" ref="C124:C131" si="106">C113</f>
        <v>(3, 1)</v>
      </c>
      <c r="D124" s="59">
        <f t="shared" ref="D124:D131" si="107">A510</f>
        <v>-20614657.058183301</v>
      </c>
      <c r="E124" s="59">
        <f t="shared" ref="E124:E131" si="108">A519</f>
        <v>372322.14699445502</v>
      </c>
      <c r="F124" s="59">
        <f t="shared" ref="F124:F131" si="109">A528</f>
        <v>373149.27378229902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373149.27378229902</v>
      </c>
      <c r="K124" s="25"/>
      <c r="L124" s="25" t="str">
        <f>HLOOKUP(J124,D124:$H$133,N3,FALSE)</f>
        <v>NoneOpt_NBB</v>
      </c>
      <c r="N124" s="25"/>
    </row>
    <row r="125" spans="1:14" ht="12.75" x14ac:dyDescent="0.25">
      <c r="A125" s="34">
        <v>87385.978870000006</v>
      </c>
      <c r="C125" s="36" t="str">
        <f t="shared" si="106"/>
        <v>(2, 0)</v>
      </c>
      <c r="D125" s="59">
        <f t="shared" si="107"/>
        <v>151914.16459999999</v>
      </c>
      <c r="E125" s="59">
        <f t="shared" si="108"/>
        <v>148259.070741</v>
      </c>
      <c r="F125" s="59">
        <f t="shared" si="109"/>
        <v>40000</v>
      </c>
      <c r="G125" s="59">
        <f t="shared" si="110"/>
        <v>159978.65723400001</v>
      </c>
      <c r="H125" s="59">
        <f t="shared" si="111"/>
        <v>40000</v>
      </c>
      <c r="J125" s="25">
        <f t="shared" si="112"/>
        <v>159978.65723400001</v>
      </c>
      <c r="K125" s="25"/>
      <c r="L125" s="25" t="str">
        <f>HLOOKUP(J125,D125:$H$133,N4,FALSE)</f>
        <v>OptNone_BNB</v>
      </c>
      <c r="N125" s="25"/>
    </row>
    <row r="126" spans="1:14" ht="12.75" x14ac:dyDescent="0.25">
      <c r="A126" s="34">
        <v>23709.595812</v>
      </c>
      <c r="C126" s="36" t="str">
        <f t="shared" si="106"/>
        <v>(2, 1)</v>
      </c>
      <c r="D126" s="59">
        <f t="shared" si="107"/>
        <v>151818.13879999999</v>
      </c>
      <c r="E126" s="59">
        <f t="shared" si="108"/>
        <v>148382.19227999999</v>
      </c>
      <c r="F126" s="59">
        <f t="shared" si="109"/>
        <v>40000</v>
      </c>
      <c r="G126" s="59">
        <f t="shared" si="110"/>
        <v>159950.096877</v>
      </c>
      <c r="H126" s="59">
        <f t="shared" si="111"/>
        <v>40000</v>
      </c>
      <c r="J126" s="25">
        <f t="shared" si="112"/>
        <v>159950.096877</v>
      </c>
      <c r="K126" s="25"/>
      <c r="L126" s="25" t="str">
        <f>HLOOKUP(J126,D126:$H$133,N5,FALSE)</f>
        <v>OptNone_BNB</v>
      </c>
      <c r="N126" s="25"/>
    </row>
    <row r="127" spans="1:14" ht="12.75" x14ac:dyDescent="0.25">
      <c r="A127" s="34">
        <v>23628.305240000002</v>
      </c>
      <c r="C127" s="36" t="str">
        <f t="shared" si="106"/>
        <v>(1, 0)</v>
      </c>
      <c r="D127" s="59">
        <f t="shared" si="107"/>
        <v>155741.37040000001</v>
      </c>
      <c r="E127" s="59">
        <f t="shared" si="108"/>
        <v>153323.61404700001</v>
      </c>
      <c r="F127" s="59">
        <f t="shared" si="109"/>
        <v>40000</v>
      </c>
      <c r="G127" s="59">
        <f t="shared" si="110"/>
        <v>155822.525283</v>
      </c>
      <c r="H127" s="59">
        <f t="shared" si="111"/>
        <v>40000</v>
      </c>
      <c r="J127" s="25">
        <f t="shared" si="112"/>
        <v>155822.525283</v>
      </c>
      <c r="K127" s="25"/>
      <c r="L127" s="25" t="str">
        <f>HLOOKUP(J127,D127:$H$133,N6,FALSE)</f>
        <v>OptNone_BNB</v>
      </c>
      <c r="N127" s="25"/>
    </row>
    <row r="128" spans="1:14" ht="12.75" x14ac:dyDescent="0.25">
      <c r="A128" s="34">
        <v>81836.7</v>
      </c>
      <c r="C128" s="36" t="str">
        <f t="shared" si="106"/>
        <v>(1, 1)</v>
      </c>
      <c r="D128" s="59">
        <f t="shared" si="107"/>
        <v>155769.78039999999</v>
      </c>
      <c r="E128" s="59">
        <f t="shared" si="108"/>
        <v>153318.333981</v>
      </c>
      <c r="F128" s="59">
        <f t="shared" si="109"/>
        <v>40000</v>
      </c>
      <c r="G128" s="59">
        <f t="shared" si="110"/>
        <v>155796.12495299999</v>
      </c>
      <c r="H128" s="59">
        <f t="shared" si="111"/>
        <v>40000</v>
      </c>
      <c r="J128" s="25">
        <f t="shared" si="112"/>
        <v>155796.12495299999</v>
      </c>
      <c r="K128" s="25"/>
      <c r="L128" s="25" t="str">
        <f>HLOOKUP(J128,D128:$H$133,N7,FALSE)</f>
        <v>OptNone_BNB</v>
      </c>
      <c r="N128" s="25"/>
    </row>
    <row r="129" spans="1:14" ht="12.75" x14ac:dyDescent="0.25">
      <c r="A129" s="34">
        <v>2513165.1025419999</v>
      </c>
      <c r="C129" s="36" t="str">
        <f t="shared" si="106"/>
        <v>Inspector</v>
      </c>
      <c r="D129" s="59">
        <f t="shared" si="107"/>
        <v>780302.73287137097</v>
      </c>
      <c r="E129" s="59">
        <f t="shared" si="108"/>
        <v>396652.48222964699</v>
      </c>
      <c r="F129" s="59">
        <f t="shared" si="109"/>
        <v>349610.76735615602</v>
      </c>
      <c r="G129" s="59">
        <f t="shared" si="110"/>
        <v>91339.535652999999</v>
      </c>
      <c r="H129" s="59">
        <f t="shared" si="111"/>
        <v>70000</v>
      </c>
      <c r="J129" s="25">
        <f t="shared" si="112"/>
        <v>780302.73287137097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51495997.343569502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51495997.343569502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(120001.5, 1344616.38461538)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59">
        <f>A555</f>
        <v>-30308970.657224201</v>
      </c>
      <c r="E134" s="59">
        <f>A564</f>
        <v>367057.22496552899</v>
      </c>
      <c r="F134" s="59">
        <f>A573</f>
        <v>364927.35261230101</v>
      </c>
      <c r="G134" s="59">
        <f>A582</f>
        <v>90000</v>
      </c>
      <c r="H134" s="59">
        <f>A591</f>
        <v>90000</v>
      </c>
      <c r="J134" s="25">
        <f>MAX(D134:H134)</f>
        <v>367057.22496552899</v>
      </c>
      <c r="K134" s="25"/>
      <c r="L134" s="25" t="str">
        <f>HLOOKUP(J134,D134:$H$144,N2,FALSE)</f>
        <v>OptOpt_BB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-21229857.2067465</v>
      </c>
      <c r="E135" s="59">
        <f t="shared" ref="E135:E142" si="116">A565</f>
        <v>366027.24881491502</v>
      </c>
      <c r="F135" s="59">
        <f t="shared" ref="F135:F142" si="117">A574</f>
        <v>365809.42096060602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366027.24881491502</v>
      </c>
      <c r="K135" s="25"/>
      <c r="L135" s="25" t="str">
        <f>HLOOKUP(J135,D135:$H$144,N3,FALSE)</f>
        <v>OptOpt_BB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151854.12479999999</v>
      </c>
      <c r="E136" s="59">
        <f t="shared" si="116"/>
        <v>148367.79209999999</v>
      </c>
      <c r="F136" s="59">
        <f t="shared" si="117"/>
        <v>40000</v>
      </c>
      <c r="G136" s="59">
        <f t="shared" si="118"/>
        <v>160006.97758800001</v>
      </c>
      <c r="H136" s="59">
        <f t="shared" si="119"/>
        <v>40000</v>
      </c>
      <c r="J136" s="25">
        <f t="shared" si="120"/>
        <v>160006.97758800001</v>
      </c>
      <c r="K136" s="25"/>
      <c r="L136" s="25" t="str">
        <f>HLOOKUP(J136,D136:$H$144,N4,FALSE)</f>
        <v>OptNone_BNB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151912.27059999999</v>
      </c>
      <c r="E137" s="59">
        <f t="shared" si="116"/>
        <v>148288.35110699999</v>
      </c>
      <c r="F137" s="59">
        <f t="shared" si="117"/>
        <v>40000</v>
      </c>
      <c r="G137" s="59">
        <f t="shared" si="118"/>
        <v>159976.25720399999</v>
      </c>
      <c r="H137" s="59">
        <f t="shared" si="119"/>
        <v>40000</v>
      </c>
      <c r="J137" s="25">
        <f t="shared" si="120"/>
        <v>159976.25720399999</v>
      </c>
      <c r="K137" s="25"/>
      <c r="L137" s="25" t="str">
        <f>HLOOKUP(J137,D137:$H$144,N5,FALSE)</f>
        <v>OptNone_BNB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155739.47640000001</v>
      </c>
      <c r="E138" s="59">
        <f t="shared" si="116"/>
        <v>153293.13366600001</v>
      </c>
      <c r="F138" s="59">
        <f t="shared" si="117"/>
        <v>40000</v>
      </c>
      <c r="G138" s="59">
        <f t="shared" si="118"/>
        <v>155841.245517</v>
      </c>
      <c r="H138" s="59">
        <f t="shared" si="119"/>
        <v>40000</v>
      </c>
      <c r="J138" s="25">
        <f t="shared" si="120"/>
        <v>155841.245517</v>
      </c>
      <c r="K138" s="25"/>
      <c r="L138" s="25" t="str">
        <f>HLOOKUP(J138,D138:$H$144,N6,FALSE)</f>
        <v>OptNone_BNB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155792.12959999999</v>
      </c>
      <c r="E139" s="59">
        <f t="shared" si="116"/>
        <v>153348.09435299999</v>
      </c>
      <c r="F139" s="59">
        <f t="shared" si="117"/>
        <v>40000</v>
      </c>
      <c r="G139" s="59">
        <f t="shared" si="118"/>
        <v>155835.005439</v>
      </c>
      <c r="H139" s="59">
        <f t="shared" si="119"/>
        <v>40000</v>
      </c>
      <c r="J139" s="25">
        <f t="shared" si="120"/>
        <v>155835.005439</v>
      </c>
      <c r="K139" s="25"/>
      <c r="L139" s="25" t="str">
        <f>HLOOKUP(J139,D139:$H$144,N7,FALSE)</f>
        <v>OptNone_BNB</v>
      </c>
      <c r="N139" s="25"/>
    </row>
    <row r="140" spans="1:14" ht="12.75" x14ac:dyDescent="0.25">
      <c r="A140" s="34" t="s">
        <v>217</v>
      </c>
      <c r="C140" s="36" t="str">
        <f t="shared" si="114"/>
        <v>Inspector</v>
      </c>
      <c r="D140" s="59">
        <f t="shared" si="115"/>
        <v>793515.223339285</v>
      </c>
      <c r="E140" s="59">
        <f t="shared" si="116"/>
        <v>409171.27615473402</v>
      </c>
      <c r="F140" s="59">
        <f t="shared" si="117"/>
        <v>364500.51412635302</v>
      </c>
      <c r="G140" s="59">
        <f t="shared" si="118"/>
        <v>91255.474252</v>
      </c>
      <c r="H140" s="59">
        <f t="shared" si="119"/>
        <v>70000</v>
      </c>
      <c r="J140" s="25">
        <f t="shared" si="120"/>
        <v>793515.223339285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-26824.445483867799</v>
      </c>
      <c r="C141" s="36" t="str">
        <f t="shared" si="114"/>
        <v>State</v>
      </c>
      <c r="D141" s="59">
        <f t="shared" si="115"/>
        <v>52963967.974312603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52963967.974312603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91064.5627349774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(120001.5, 1384616.38461538)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9</v>
      </c>
      <c r="C145" s="36" t="str">
        <f>C134</f>
        <v>(3, 0)</v>
      </c>
      <c r="D145" s="59">
        <f>A601</f>
        <v>-22936.442675881099</v>
      </c>
      <c r="E145" s="59">
        <f>A610</f>
        <v>359710.60291106498</v>
      </c>
      <c r="F145" s="59">
        <f>A619</f>
        <v>358259.52493999002</v>
      </c>
      <c r="G145" s="59">
        <f>A628</f>
        <v>90000</v>
      </c>
      <c r="H145" s="59">
        <f>A637</f>
        <v>90000</v>
      </c>
      <c r="J145" s="25">
        <f>MAX(D145:H145)</f>
        <v>359710.60291106498</v>
      </c>
      <c r="K145" s="25"/>
      <c r="L145" s="25" t="str">
        <f>HLOOKUP(J145,D145:$H$155,N2,FALSE)</f>
        <v>OptOpt_BB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89056.868977258899</v>
      </c>
      <c r="E146" s="59">
        <f t="shared" ref="E146:E153" si="124">A611</f>
        <v>359358.91034937499</v>
      </c>
      <c r="F146" s="59">
        <f t="shared" ref="F146:F153" si="125">A620</f>
        <v>358874.29461475898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359358.91034937499</v>
      </c>
      <c r="K146" s="25"/>
      <c r="L146" s="25" t="str">
        <f>HLOOKUP(J146,D146:$H$155,N3,FALSE)</f>
        <v>OptOpt_BB</v>
      </c>
      <c r="N146" s="25"/>
    </row>
    <row r="147" spans="1:14" ht="12.75" x14ac:dyDescent="0.25">
      <c r="A147" s="34">
        <v>807246.85083856096</v>
      </c>
      <c r="C147" s="36" t="str">
        <f t="shared" si="122"/>
        <v>(2, 0)</v>
      </c>
      <c r="D147" s="59">
        <f t="shared" si="123"/>
        <v>165000</v>
      </c>
      <c r="E147" s="59">
        <f t="shared" si="124"/>
        <v>148416.75271199999</v>
      </c>
      <c r="F147" s="59">
        <f t="shared" si="125"/>
        <v>40000</v>
      </c>
      <c r="G147" s="59">
        <f t="shared" si="126"/>
        <v>160005.05756399999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148288.59111000001</v>
      </c>
      <c r="F148" s="59">
        <f t="shared" si="125"/>
        <v>40000</v>
      </c>
      <c r="G148" s="59">
        <f t="shared" si="126"/>
        <v>159979.85724899999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153312.573909</v>
      </c>
      <c r="F149" s="59">
        <f t="shared" si="125"/>
        <v>40000</v>
      </c>
      <c r="G149" s="59">
        <f t="shared" si="126"/>
        <v>155854.92568799999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359796.44912691199</v>
      </c>
      <c r="C150" s="36" t="str">
        <f t="shared" si="122"/>
        <v>(1, 1)</v>
      </c>
      <c r="D150" s="59">
        <f t="shared" si="123"/>
        <v>165000</v>
      </c>
      <c r="E150" s="59">
        <f t="shared" si="124"/>
        <v>153322.894038</v>
      </c>
      <c r="F150" s="59">
        <f t="shared" si="125"/>
        <v>40000</v>
      </c>
      <c r="G150" s="59">
        <f t="shared" si="126"/>
        <v>155879.886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357755.52457598998</v>
      </c>
      <c r="C151" s="36" t="str">
        <f t="shared" si="122"/>
        <v>Inspector</v>
      </c>
      <c r="D151" s="59">
        <f t="shared" si="123"/>
        <v>806052.99448055797</v>
      </c>
      <c r="E151" s="59">
        <f t="shared" si="124"/>
        <v>422918.55613185797</v>
      </c>
      <c r="F151" s="59">
        <f t="shared" si="125"/>
        <v>378032.98429849301</v>
      </c>
      <c r="G151" s="59">
        <f t="shared" si="126"/>
        <v>91210.293499000007</v>
      </c>
      <c r="H151" s="59">
        <f t="shared" si="127"/>
        <v>70000</v>
      </c>
      <c r="J151" s="25">
        <f t="shared" si="128"/>
        <v>806052.99448055797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-91837.562233999997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-91782.136843999993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-13750.577776</v>
      </c>
      <c r="D154" s="60"/>
      <c r="E154" s="60"/>
      <c r="F154" s="60"/>
      <c r="G154" s="60"/>
      <c r="H154" s="60"/>
    </row>
    <row r="155" spans="1:14" ht="12.75" x14ac:dyDescent="0.25">
      <c r="A155" s="34">
        <v>-13200.018902</v>
      </c>
      <c r="B155" s="39">
        <v>15</v>
      </c>
      <c r="C155" s="36" t="str">
        <f>A646</f>
        <v>(120001.5, 2076924.57692308)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405006.60899673199</v>
      </c>
      <c r="B156" s="39" t="s">
        <v>9</v>
      </c>
      <c r="C156" s="36" t="str">
        <f>C145</f>
        <v>(3, 0)</v>
      </c>
      <c r="D156" s="59">
        <f>A647</f>
        <v>-331743.28108754999</v>
      </c>
      <c r="E156" s="59">
        <f>A656</f>
        <v>244948.05848871701</v>
      </c>
      <c r="F156" s="59">
        <f>A665</f>
        <v>244316.67341733401</v>
      </c>
      <c r="G156" s="59">
        <f>A674</f>
        <v>90000</v>
      </c>
      <c r="H156" s="59">
        <f>A683</f>
        <v>90000</v>
      </c>
      <c r="J156" s="25">
        <f>MAX(D156:H156)</f>
        <v>244948.05848871701</v>
      </c>
      <c r="K156" s="25"/>
      <c r="L156" s="25" t="str">
        <f>HLOOKUP(J156,D156:$H$166,N2,FALSE)</f>
        <v>OptOpt_BB</v>
      </c>
      <c r="N156" s="25"/>
    </row>
    <row r="157" spans="1:14" ht="12.75" x14ac:dyDescent="0.25">
      <c r="A157" s="34">
        <v>1932297.5757559999</v>
      </c>
      <c r="C157" s="36" t="str">
        <f t="shared" ref="C157:C164" si="130">C146</f>
        <v>(3, 1)</v>
      </c>
      <c r="D157" s="59">
        <f t="shared" ref="D157:D162" si="131">A648</f>
        <v>-159404.23354300301</v>
      </c>
      <c r="E157" s="59">
        <f t="shared" ref="E157:E162" si="132">A657</f>
        <v>242480.672091332</v>
      </c>
      <c r="F157" s="59">
        <f t="shared" ref="F157:F162" si="133">A666</f>
        <v>242189.902650562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242480.672091332</v>
      </c>
      <c r="K157" s="25"/>
      <c r="L157" s="25" t="str">
        <f>HLOOKUP(J157,D157:$H$166,N3,FALSE)</f>
        <v>OptOpt_BB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148284.99106500001</v>
      </c>
      <c r="F158" s="59">
        <f t="shared" si="133"/>
        <v>40000</v>
      </c>
      <c r="G158" s="59">
        <f t="shared" si="134"/>
        <v>160017.77772300001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359256.44873691298</v>
      </c>
      <c r="C159" s="36" t="str">
        <f t="shared" si="130"/>
        <v>(2, 1)</v>
      </c>
      <c r="D159" s="59">
        <f t="shared" si="131"/>
        <v>165000</v>
      </c>
      <c r="E159" s="59">
        <f t="shared" si="132"/>
        <v>148337.07171600001</v>
      </c>
      <c r="F159" s="59">
        <f t="shared" si="133"/>
        <v>40000</v>
      </c>
      <c r="G159" s="59">
        <f t="shared" si="134"/>
        <v>159991.857399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358677.67908814398</v>
      </c>
      <c r="C160" s="36" t="str">
        <f t="shared" si="130"/>
        <v>(1, 0)</v>
      </c>
      <c r="D160" s="59">
        <f t="shared" si="131"/>
        <v>165000</v>
      </c>
      <c r="E160" s="59">
        <f t="shared" si="132"/>
        <v>153377.85472500001</v>
      </c>
      <c r="F160" s="59">
        <f t="shared" si="133"/>
        <v>40000</v>
      </c>
      <c r="G160" s="59">
        <f t="shared" si="134"/>
        <v>155775.48469499999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153374.25468000001</v>
      </c>
      <c r="F161" s="59">
        <f t="shared" si="133"/>
        <v>40000</v>
      </c>
      <c r="G161" s="59">
        <f t="shared" si="134"/>
        <v>155810.52513299999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1363213.3811906299</v>
      </c>
      <c r="E162" s="59">
        <f t="shared" si="132"/>
        <v>654278.42108564603</v>
      </c>
      <c r="F162" s="59">
        <f t="shared" si="133"/>
        <v>608833.08855303901</v>
      </c>
      <c r="G162" s="59">
        <f t="shared" si="134"/>
        <v>91303.355049999998</v>
      </c>
      <c r="H162" s="59">
        <f t="shared" si="135"/>
        <v>70000</v>
      </c>
      <c r="J162" s="25">
        <f t="shared" si="136"/>
        <v>1363213.3811906299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377487.39872047602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88760.528542</v>
      </c>
    </row>
    <row r="171" spans="1:14" x14ac:dyDescent="0.25">
      <c r="A171" s="34">
        <v>88243.224902000002</v>
      </c>
    </row>
    <row r="172" spans="1:14" x14ac:dyDescent="0.25">
      <c r="A172" s="34">
        <v>22804.314441999999</v>
      </c>
    </row>
    <row r="173" spans="1:14" x14ac:dyDescent="0.25">
      <c r="A173" s="34">
        <v>24522.501531999998</v>
      </c>
    </row>
    <row r="174" spans="1:14" x14ac:dyDescent="0.25">
      <c r="A174" s="34">
        <v>81790.7</v>
      </c>
    </row>
    <row r="175" spans="1:14" x14ac:dyDescent="0.25">
      <c r="A175" s="34">
        <v>2511520.5905820001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34" t="s">
        <v>218</v>
      </c>
    </row>
    <row r="187" spans="1:1" x14ac:dyDescent="0.25">
      <c r="A187" s="34">
        <v>-331203.28069755202</v>
      </c>
    </row>
    <row r="188" spans="1:1" x14ac:dyDescent="0.25">
      <c r="A188" s="34">
        <v>-161103.15784692601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1364129.14471998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242488.97978964</v>
      </c>
    </row>
    <row r="197" spans="1:1" x14ac:dyDescent="0.25">
      <c r="A197" s="34">
        <v>244628.212103875</v>
      </c>
    </row>
    <row r="198" spans="1:1" x14ac:dyDescent="0.25">
      <c r="A198" s="34">
        <v>-91811.697052000003</v>
      </c>
    </row>
    <row r="199" spans="1:1" x14ac:dyDescent="0.25">
      <c r="A199" s="34">
        <v>-92029.703586000003</v>
      </c>
    </row>
    <row r="200" spans="1:1" x14ac:dyDescent="0.25">
      <c r="A200" s="34">
        <v>-14445.242663999999</v>
      </c>
    </row>
    <row r="201" spans="1:1" x14ac:dyDescent="0.25">
      <c r="A201" s="34">
        <v>-15121.432422</v>
      </c>
    </row>
    <row r="202" spans="1:1" x14ac:dyDescent="0.25">
      <c r="A202" s="34">
        <v>635689.99465049501</v>
      </c>
    </row>
    <row r="203" spans="1:1" x14ac:dyDescent="0.25">
      <c r="A203" s="34">
        <v>1935043.195724</v>
      </c>
    </row>
    <row r="204" spans="1:1" x14ac:dyDescent="0.25">
      <c r="A204" s="34">
        <v>0.5</v>
      </c>
    </row>
    <row r="205" spans="1:1" x14ac:dyDescent="0.25">
      <c r="A205" s="34">
        <v>246198.367084022</v>
      </c>
    </row>
    <row r="206" spans="1:1" x14ac:dyDescent="0.25">
      <c r="A206" s="34">
        <v>241114.055719722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608200.72258641804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87969.792977999998</v>
      </c>
    </row>
    <row r="217" spans="1:1" x14ac:dyDescent="0.25">
      <c r="A217" s="34">
        <v>88180.409459999995</v>
      </c>
    </row>
    <row r="218" spans="1:1" x14ac:dyDescent="0.25">
      <c r="A218" s="34">
        <v>24079.098411999999</v>
      </c>
    </row>
    <row r="219" spans="1:1" x14ac:dyDescent="0.25">
      <c r="A219" s="34">
        <v>24008.892918000001</v>
      </c>
    </row>
    <row r="220" spans="1:1" x14ac:dyDescent="0.25">
      <c r="A220" s="34">
        <v>81793.2</v>
      </c>
    </row>
    <row r="221" spans="1:1" x14ac:dyDescent="0.25">
      <c r="A221" s="34">
        <v>2511609.9662319999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34" t="s">
        <v>219</v>
      </c>
    </row>
    <row r="233" spans="1:1" x14ac:dyDescent="0.25">
      <c r="A233" s="34">
        <v>-20824667.680142701</v>
      </c>
    </row>
    <row r="234" spans="1:1" x14ac:dyDescent="0.25">
      <c r="A234" s="34">
        <v>-16790085.719878901</v>
      </c>
    </row>
    <row r="235" spans="1:1" x14ac:dyDescent="0.25">
      <c r="A235" s="34">
        <v>151855.07180000001</v>
      </c>
    </row>
    <row r="236" spans="1:1" x14ac:dyDescent="0.25">
      <c r="A236" s="34">
        <v>151801.28219999999</v>
      </c>
    </row>
    <row r="237" spans="1:1" x14ac:dyDescent="0.25">
      <c r="A237" s="34">
        <v>155786.44760000001</v>
      </c>
    </row>
    <row r="238" spans="1:1" x14ac:dyDescent="0.25">
      <c r="A238" s="34">
        <v>155813.15299999999</v>
      </c>
    </row>
    <row r="239" spans="1:1" x14ac:dyDescent="0.25">
      <c r="A239" s="34">
        <v>780718.64</v>
      </c>
    </row>
    <row r="240" spans="1:1" x14ac:dyDescent="0.25">
      <c r="A240" s="34">
        <v>39195919.525355197</v>
      </c>
    </row>
    <row r="241" spans="1:1" x14ac:dyDescent="0.25">
      <c r="A241" s="34">
        <v>0.5</v>
      </c>
    </row>
    <row r="242" spans="1:1" x14ac:dyDescent="0.25">
      <c r="A242" s="34">
        <v>-7426890.5249695797</v>
      </c>
    </row>
    <row r="243" spans="1:1" x14ac:dyDescent="0.25">
      <c r="A243" s="34">
        <v>-7434399.4105075803</v>
      </c>
    </row>
    <row r="244" spans="1:1" x14ac:dyDescent="0.25">
      <c r="A244" s="34">
        <v>153895.38119399999</v>
      </c>
    </row>
    <row r="245" spans="1:1" x14ac:dyDescent="0.25">
      <c r="A245" s="34">
        <v>153843.540546</v>
      </c>
    </row>
    <row r="246" spans="1:1" x14ac:dyDescent="0.25">
      <c r="A246" s="34">
        <v>157173.02216399999</v>
      </c>
    </row>
    <row r="247" spans="1:1" x14ac:dyDescent="0.25">
      <c r="A247" s="34">
        <v>157237.982976</v>
      </c>
    </row>
    <row r="248" spans="1:1" x14ac:dyDescent="0.25">
      <c r="A248" s="34">
        <v>377764.03311999998</v>
      </c>
    </row>
    <row r="249" spans="1:1" x14ac:dyDescent="0.25">
      <c r="A249" s="34">
        <v>16839683.935553599</v>
      </c>
    </row>
    <row r="250" spans="1:1" x14ac:dyDescent="0.25">
      <c r="A250" s="34">
        <v>0.5</v>
      </c>
    </row>
    <row r="251" spans="1:1" x14ac:dyDescent="0.25">
      <c r="A251" s="34">
        <v>-7435169.5526140397</v>
      </c>
    </row>
    <row r="252" spans="1:1" x14ac:dyDescent="0.25">
      <c r="A252" s="34">
        <v>-7426120.3828631202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350415.96</v>
      </c>
    </row>
    <row r="258" spans="1:1" x14ac:dyDescent="0.25">
      <c r="A258" s="34">
        <v>17339683.935555998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161673.07841399999</v>
      </c>
    </row>
    <row r="263" spans="1:1" x14ac:dyDescent="0.25">
      <c r="A263" s="34">
        <v>161656.278204</v>
      </c>
    </row>
    <row r="264" spans="1:1" x14ac:dyDescent="0.25">
      <c r="A264" s="34">
        <v>158899.12374000001</v>
      </c>
    </row>
    <row r="265" spans="1:1" x14ac:dyDescent="0.25">
      <c r="A265" s="34">
        <v>158910.64388399999</v>
      </c>
    </row>
    <row r="266" spans="1:1" x14ac:dyDescent="0.25">
      <c r="A266" s="34">
        <v>81788.135758000004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34" t="s">
        <v>220</v>
      </c>
    </row>
    <row r="279" spans="1:1" x14ac:dyDescent="0.25">
      <c r="A279" s="34">
        <v>-29466253.315856799</v>
      </c>
    </row>
    <row r="280" spans="1:1" x14ac:dyDescent="0.25">
      <c r="A280" s="34">
        <v>-20543785.638615001</v>
      </c>
    </row>
    <row r="281" spans="1:1" x14ac:dyDescent="0.25">
      <c r="A281" s="34">
        <v>151860.94320000001</v>
      </c>
    </row>
    <row r="282" spans="1:1" x14ac:dyDescent="0.25">
      <c r="A282" s="34">
        <v>151851.47320000001</v>
      </c>
    </row>
    <row r="283" spans="1:1" x14ac:dyDescent="0.25">
      <c r="A283" s="34">
        <v>155816.37280000001</v>
      </c>
    </row>
    <row r="284" spans="1:1" x14ac:dyDescent="0.25">
      <c r="A284" s="34">
        <v>155756.52239999999</v>
      </c>
    </row>
    <row r="285" spans="1:1" x14ac:dyDescent="0.25">
      <c r="A285" s="34">
        <v>780004.42298936401</v>
      </c>
    </row>
    <row r="286" spans="1:1" x14ac:dyDescent="0.25">
      <c r="A286" s="34">
        <v>51448856.440368101</v>
      </c>
    </row>
    <row r="287" spans="1:1" x14ac:dyDescent="0.25">
      <c r="A287" s="34">
        <v>0.5</v>
      </c>
    </row>
    <row r="288" spans="1:1" x14ac:dyDescent="0.25">
      <c r="A288" s="34">
        <v>371265.407722915</v>
      </c>
    </row>
    <row r="289" spans="1:1" x14ac:dyDescent="0.25">
      <c r="A289" s="34">
        <v>370673.11188430298</v>
      </c>
    </row>
    <row r="290" spans="1:1" x14ac:dyDescent="0.25">
      <c r="A290" s="34">
        <v>153903.221292</v>
      </c>
    </row>
    <row r="291" spans="1:1" x14ac:dyDescent="0.25">
      <c r="A291" s="34">
        <v>153899.701248</v>
      </c>
    </row>
    <row r="292" spans="1:1" x14ac:dyDescent="0.25">
      <c r="A292" s="34">
        <v>157227.90285000001</v>
      </c>
    </row>
    <row r="293" spans="1:1" x14ac:dyDescent="0.25">
      <c r="A293" s="34">
        <v>157313.98392599999</v>
      </c>
    </row>
    <row r="294" spans="1:1" x14ac:dyDescent="0.25">
      <c r="A294" s="34">
        <v>379785.75146853499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373984.22826845199</v>
      </c>
    </row>
    <row r="298" spans="1:1" x14ac:dyDescent="0.25">
      <c r="A298" s="34">
        <v>373483.25557676097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348924.781546132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161656.75821</v>
      </c>
    </row>
    <row r="309" spans="1:1" x14ac:dyDescent="0.25">
      <c r="A309" s="34">
        <v>161669.23836600001</v>
      </c>
    </row>
    <row r="310" spans="1:1" x14ac:dyDescent="0.25">
      <c r="A310" s="34">
        <v>158899.763748</v>
      </c>
    </row>
    <row r="311" spans="1:1" x14ac:dyDescent="0.25">
      <c r="A311" s="34">
        <v>158898.64373400001</v>
      </c>
    </row>
    <row r="312" spans="1:1" x14ac:dyDescent="0.25">
      <c r="A312" s="34">
        <v>81797.335942000005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34" t="s">
        <v>221</v>
      </c>
    </row>
    <row r="325" spans="1:1" x14ac:dyDescent="0.25">
      <c r="A325" s="34">
        <v>-30380333.450966898</v>
      </c>
    </row>
    <row r="326" spans="1:1" x14ac:dyDescent="0.25">
      <c r="A326" s="34">
        <v>-21129388.788640499</v>
      </c>
    </row>
    <row r="327" spans="1:1" x14ac:dyDescent="0.25">
      <c r="A327" s="34">
        <v>151807.15359999999</v>
      </c>
    </row>
    <row r="328" spans="1:1" x14ac:dyDescent="0.25">
      <c r="A328" s="34">
        <v>151898.44440000001</v>
      </c>
    </row>
    <row r="329" spans="1:1" x14ac:dyDescent="0.25">
      <c r="A329" s="34">
        <v>155774.89420000001</v>
      </c>
    </row>
    <row r="330" spans="1:1" x14ac:dyDescent="0.25">
      <c r="A330" s="34">
        <v>155842.69940000001</v>
      </c>
    </row>
    <row r="331" spans="1:1" x14ac:dyDescent="0.25">
      <c r="A331" s="34">
        <v>793507.20859928196</v>
      </c>
    </row>
    <row r="332" spans="1:1" x14ac:dyDescent="0.25">
      <c r="A332" s="34">
        <v>52934736.2694901</v>
      </c>
    </row>
    <row r="333" spans="1:1" x14ac:dyDescent="0.25">
      <c r="A333" s="34">
        <v>0.5</v>
      </c>
    </row>
    <row r="334" spans="1:1" x14ac:dyDescent="0.25">
      <c r="A334" s="34">
        <v>366097.16886691301</v>
      </c>
    </row>
    <row r="335" spans="1:1" x14ac:dyDescent="0.25">
      <c r="A335" s="34">
        <v>364951.55570722301</v>
      </c>
    </row>
    <row r="336" spans="1:1" x14ac:dyDescent="0.25">
      <c r="A336" s="34">
        <v>153894.26118</v>
      </c>
    </row>
    <row r="337" spans="1:1" x14ac:dyDescent="0.25">
      <c r="A337" s="34">
        <v>153890.42113199999</v>
      </c>
    </row>
    <row r="338" spans="1:1" x14ac:dyDescent="0.25">
      <c r="A338" s="34">
        <v>157233.50292</v>
      </c>
    </row>
    <row r="339" spans="1:1" x14ac:dyDescent="0.25">
      <c r="A339" s="34">
        <v>157277.50347</v>
      </c>
    </row>
    <row r="340" spans="1:1" x14ac:dyDescent="0.25">
      <c r="A340" s="34">
        <v>391560.74519261101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366304.23979014403</v>
      </c>
    </row>
    <row r="344" spans="1:1" x14ac:dyDescent="0.25">
      <c r="A344" s="34">
        <v>365241.99284630001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363961.18852433498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161732.119152</v>
      </c>
    </row>
    <row r="355" spans="1:1" x14ac:dyDescent="0.25">
      <c r="A355" s="34">
        <v>161668.27835400001</v>
      </c>
    </row>
    <row r="356" spans="1:1" x14ac:dyDescent="0.25">
      <c r="A356" s="34">
        <v>158849.52312</v>
      </c>
    </row>
    <row r="357" spans="1:1" x14ac:dyDescent="0.25">
      <c r="A357" s="34">
        <v>158858.80323600001</v>
      </c>
    </row>
    <row r="358" spans="1:1" x14ac:dyDescent="0.25">
      <c r="A358" s="34">
        <v>81807.136138000002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34" t="s">
        <v>222</v>
      </c>
    </row>
    <row r="371" spans="1:1" x14ac:dyDescent="0.25">
      <c r="A371" s="34">
        <v>-25644.752324183999</v>
      </c>
    </row>
    <row r="372" spans="1:1" x14ac:dyDescent="0.25">
      <c r="A372" s="34">
        <v>89929.1772995918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807243.05080656102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359909.98767045001</v>
      </c>
    </row>
    <row r="381" spans="1:1" x14ac:dyDescent="0.25">
      <c r="A381" s="34">
        <v>358713.679114144</v>
      </c>
    </row>
    <row r="382" spans="1:1" x14ac:dyDescent="0.25">
      <c r="A382" s="34">
        <v>153931.38164400001</v>
      </c>
    </row>
    <row r="383" spans="1:1" x14ac:dyDescent="0.25">
      <c r="A383" s="34">
        <v>153885.301068</v>
      </c>
    </row>
    <row r="384" spans="1:1" x14ac:dyDescent="0.25">
      <c r="A384" s="34">
        <v>157199.26249200001</v>
      </c>
    </row>
    <row r="385" spans="1:1" x14ac:dyDescent="0.25">
      <c r="A385" s="34">
        <v>157217.18271600001</v>
      </c>
    </row>
    <row r="386" spans="1:1" x14ac:dyDescent="0.25">
      <c r="A386" s="34">
        <v>404328.72530271299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359583.21820368298</v>
      </c>
    </row>
    <row r="390" spans="1:1" x14ac:dyDescent="0.25">
      <c r="A390" s="34">
        <v>358946.29466675897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377087.80329046497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161685.23856600001</v>
      </c>
    </row>
    <row r="401" spans="1:1" x14ac:dyDescent="0.25">
      <c r="A401" s="34">
        <v>161670.03837600001</v>
      </c>
    </row>
    <row r="402" spans="1:1" x14ac:dyDescent="0.25">
      <c r="A402" s="34">
        <v>158893.68367200001</v>
      </c>
    </row>
    <row r="403" spans="1:1" x14ac:dyDescent="0.25">
      <c r="A403" s="34">
        <v>158924.56405799999</v>
      </c>
    </row>
    <row r="404" spans="1:1" x14ac:dyDescent="0.25">
      <c r="A404" s="34">
        <v>81766.635328000004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34" t="s">
        <v>223</v>
      </c>
    </row>
    <row r="417" spans="1:1" x14ac:dyDescent="0.25">
      <c r="A417" s="34">
        <v>-330488.818643087</v>
      </c>
    </row>
    <row r="418" spans="1:1" x14ac:dyDescent="0.25">
      <c r="A418" s="34">
        <v>-160131.157144931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1362831.33965576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244989.596980256</v>
      </c>
    </row>
    <row r="427" spans="1:1" x14ac:dyDescent="0.25">
      <c r="A427" s="34">
        <v>244212.82718848801</v>
      </c>
    </row>
    <row r="428" spans="1:1" x14ac:dyDescent="0.25">
      <c r="A428" s="34">
        <v>153932.66166000001</v>
      </c>
    </row>
    <row r="429" spans="1:1" x14ac:dyDescent="0.25">
      <c r="A429" s="34">
        <v>153868.98086400001</v>
      </c>
    </row>
    <row r="430" spans="1:1" x14ac:dyDescent="0.25">
      <c r="A430" s="34">
        <v>157203.74254800001</v>
      </c>
    </row>
    <row r="431" spans="1:1" x14ac:dyDescent="0.25">
      <c r="A431" s="34">
        <v>157203.90255</v>
      </c>
    </row>
    <row r="432" spans="1:1" x14ac:dyDescent="0.25">
      <c r="A432" s="34">
        <v>634040.65859940404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244192.05794271699</v>
      </c>
    </row>
    <row r="436" spans="1:1" x14ac:dyDescent="0.25">
      <c r="A436" s="34">
        <v>244005.134730794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607495.21387048904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161653.55817</v>
      </c>
    </row>
    <row r="447" spans="1:1" x14ac:dyDescent="0.25">
      <c r="A447" s="34">
        <v>161684.598558</v>
      </c>
    </row>
    <row r="448" spans="1:1" x14ac:dyDescent="0.25">
      <c r="A448" s="34">
        <v>158876.08345199999</v>
      </c>
    </row>
    <row r="449" spans="1:1" x14ac:dyDescent="0.25">
      <c r="A449" s="34">
        <v>158887.603596</v>
      </c>
    </row>
    <row r="450" spans="1:1" x14ac:dyDescent="0.25">
      <c r="A450" s="34">
        <v>81811.436224000005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34" t="s">
        <v>224</v>
      </c>
    </row>
    <row r="463" spans="1:1" x14ac:dyDescent="0.25">
      <c r="A463" s="34">
        <v>-20860575.555856802</v>
      </c>
    </row>
    <row r="464" spans="1:1" x14ac:dyDescent="0.25">
      <c r="A464" s="34">
        <v>-16768425.473134501</v>
      </c>
    </row>
    <row r="465" spans="1:1" x14ac:dyDescent="0.25">
      <c r="A465" s="34">
        <v>151812.26740000001</v>
      </c>
    </row>
    <row r="466" spans="1:1" x14ac:dyDescent="0.25">
      <c r="A466" s="34">
        <v>151865.48879999999</v>
      </c>
    </row>
    <row r="467" spans="1:1" x14ac:dyDescent="0.25">
      <c r="A467" s="34">
        <v>155741.18100000001</v>
      </c>
    </row>
    <row r="468" spans="1:1" x14ac:dyDescent="0.25">
      <c r="A468" s="34">
        <v>155847.05559999999</v>
      </c>
    </row>
    <row r="469" spans="1:1" x14ac:dyDescent="0.25">
      <c r="A469" s="34">
        <v>780965.68</v>
      </c>
    </row>
    <row r="470" spans="1:1" x14ac:dyDescent="0.25">
      <c r="A470" s="34">
        <v>39209904.476124302</v>
      </c>
    </row>
    <row r="471" spans="1:1" x14ac:dyDescent="0.25">
      <c r="A471" s="34">
        <v>0.5</v>
      </c>
    </row>
    <row r="472" spans="1:1" x14ac:dyDescent="0.25">
      <c r="A472" s="34">
        <v>-7480415.4013686199</v>
      </c>
    </row>
    <row r="473" spans="1:1" x14ac:dyDescent="0.25">
      <c r="A473" s="34">
        <v>-7371055.2222511703</v>
      </c>
    </row>
    <row r="474" spans="1:1" x14ac:dyDescent="0.25">
      <c r="A474" s="34">
        <v>148349.07186600001</v>
      </c>
    </row>
    <row r="475" spans="1:1" x14ac:dyDescent="0.25">
      <c r="A475" s="34">
        <v>148372.112154</v>
      </c>
    </row>
    <row r="476" spans="1:1" x14ac:dyDescent="0.25">
      <c r="A476" s="34">
        <v>153321.45402</v>
      </c>
    </row>
    <row r="477" spans="1:1" x14ac:dyDescent="0.25">
      <c r="A477" s="34">
        <v>153284.49355799999</v>
      </c>
    </row>
    <row r="478" spans="1:1" x14ac:dyDescent="0.25">
      <c r="A478" s="34">
        <v>396438.47840199998</v>
      </c>
    </row>
    <row r="479" spans="1:1" x14ac:dyDescent="0.25">
      <c r="A479" s="34">
        <v>16830043.1236961</v>
      </c>
    </row>
    <row r="480" spans="1:1" x14ac:dyDescent="0.25">
      <c r="A480" s="34">
        <v>0.5</v>
      </c>
    </row>
    <row r="481" spans="1:1" x14ac:dyDescent="0.25">
      <c r="A481" s="34">
        <v>-7436421.0335370405</v>
      </c>
    </row>
    <row r="482" spans="1:1" x14ac:dyDescent="0.25">
      <c r="A482" s="34">
        <v>-7412835.4315266702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350182.33500000002</v>
      </c>
    </row>
    <row r="488" spans="1:1" x14ac:dyDescent="0.25">
      <c r="A488" s="34">
        <v>17327869.215142399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160000.01750099999</v>
      </c>
    </row>
    <row r="493" spans="1:1" x14ac:dyDescent="0.25">
      <c r="A493" s="34">
        <v>159982.73728500001</v>
      </c>
    </row>
    <row r="494" spans="1:1" x14ac:dyDescent="0.25">
      <c r="A494" s="34">
        <v>155758.20447900001</v>
      </c>
    </row>
    <row r="495" spans="1:1" x14ac:dyDescent="0.25">
      <c r="A495" s="34">
        <v>155836.44545699999</v>
      </c>
    </row>
    <row r="496" spans="1:1" x14ac:dyDescent="0.25">
      <c r="A496" s="34">
        <v>91317.035277999996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34" t="s">
        <v>225</v>
      </c>
    </row>
    <row r="509" spans="1:1" x14ac:dyDescent="0.25">
      <c r="A509" s="34">
        <v>-29442740.267357301</v>
      </c>
    </row>
    <row r="510" spans="1:1" x14ac:dyDescent="0.25">
      <c r="A510" s="34">
        <v>-20614657.058183301</v>
      </c>
    </row>
    <row r="511" spans="1:1" x14ac:dyDescent="0.25">
      <c r="A511" s="34">
        <v>151914.16459999999</v>
      </c>
    </row>
    <row r="512" spans="1:1" x14ac:dyDescent="0.25">
      <c r="A512" s="34">
        <v>151818.13879999999</v>
      </c>
    </row>
    <row r="513" spans="1:1" x14ac:dyDescent="0.25">
      <c r="A513" s="34">
        <v>155741.37040000001</v>
      </c>
    </row>
    <row r="514" spans="1:1" x14ac:dyDescent="0.25">
      <c r="A514" s="34">
        <v>155769.78039999999</v>
      </c>
    </row>
    <row r="515" spans="1:1" x14ac:dyDescent="0.25">
      <c r="A515" s="34">
        <v>780302.73287137097</v>
      </c>
    </row>
    <row r="516" spans="1:1" x14ac:dyDescent="0.25">
      <c r="A516" s="34">
        <v>51495997.343569502</v>
      </c>
    </row>
    <row r="517" spans="1:1" x14ac:dyDescent="0.25">
      <c r="A517" s="34">
        <v>0.5</v>
      </c>
    </row>
    <row r="518" spans="1:1" x14ac:dyDescent="0.25">
      <c r="A518" s="34">
        <v>372885.74127260898</v>
      </c>
    </row>
    <row r="519" spans="1:1" x14ac:dyDescent="0.25">
      <c r="A519" s="34">
        <v>372322.14699445502</v>
      </c>
    </row>
    <row r="520" spans="1:1" x14ac:dyDescent="0.25">
      <c r="A520" s="34">
        <v>148259.070741</v>
      </c>
    </row>
    <row r="521" spans="1:1" x14ac:dyDescent="0.25">
      <c r="A521" s="34">
        <v>148382.19227999999</v>
      </c>
    </row>
    <row r="522" spans="1:1" x14ac:dyDescent="0.25">
      <c r="A522" s="34">
        <v>153323.61404700001</v>
      </c>
    </row>
    <row r="523" spans="1:1" x14ac:dyDescent="0.25">
      <c r="A523" s="34">
        <v>153318.333981</v>
      </c>
    </row>
    <row r="524" spans="1:1" x14ac:dyDescent="0.25">
      <c r="A524" s="34">
        <v>396652.48222964699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373261.470791378</v>
      </c>
    </row>
    <row r="528" spans="1:1" x14ac:dyDescent="0.25">
      <c r="A528" s="34">
        <v>373149.27378229902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349610.76735615602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159978.65723400001</v>
      </c>
    </row>
    <row r="539" spans="1:1" x14ac:dyDescent="0.25">
      <c r="A539" s="34">
        <v>159950.096877</v>
      </c>
    </row>
    <row r="540" spans="1:1" x14ac:dyDescent="0.25">
      <c r="A540" s="34">
        <v>155822.525283</v>
      </c>
    </row>
    <row r="541" spans="1:1" x14ac:dyDescent="0.25">
      <c r="A541" s="34">
        <v>155796.12495299999</v>
      </c>
    </row>
    <row r="542" spans="1:1" x14ac:dyDescent="0.25">
      <c r="A542" s="34">
        <v>91339.535652999999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226</v>
      </c>
    </row>
    <row r="555" spans="1:1" x14ac:dyDescent="0.25">
      <c r="A555" s="34">
        <v>-30308970.657224201</v>
      </c>
    </row>
    <row r="556" spans="1:1" x14ac:dyDescent="0.25">
      <c r="A556" s="34">
        <v>-21229857.2067465</v>
      </c>
    </row>
    <row r="557" spans="1:1" x14ac:dyDescent="0.25">
      <c r="A557" s="34">
        <v>151854.12479999999</v>
      </c>
    </row>
    <row r="558" spans="1:1" x14ac:dyDescent="0.25">
      <c r="A558" s="34">
        <v>151912.27059999999</v>
      </c>
    </row>
    <row r="559" spans="1:1" x14ac:dyDescent="0.25">
      <c r="A559" s="34">
        <v>155739.47640000001</v>
      </c>
    </row>
    <row r="560" spans="1:1" x14ac:dyDescent="0.25">
      <c r="A560" s="34">
        <v>155792.12959999999</v>
      </c>
    </row>
    <row r="561" spans="1:1" x14ac:dyDescent="0.25">
      <c r="A561" s="34">
        <v>793515.223339285</v>
      </c>
    </row>
    <row r="562" spans="1:1" x14ac:dyDescent="0.25">
      <c r="A562" s="34">
        <v>52963967.974312603</v>
      </c>
    </row>
    <row r="563" spans="1:1" x14ac:dyDescent="0.25">
      <c r="A563" s="34">
        <v>0.5</v>
      </c>
    </row>
    <row r="564" spans="1:1" x14ac:dyDescent="0.25">
      <c r="A564" s="34">
        <v>367057.22496552899</v>
      </c>
    </row>
    <row r="565" spans="1:1" x14ac:dyDescent="0.25">
      <c r="A565" s="34">
        <v>366027.24881491502</v>
      </c>
    </row>
    <row r="566" spans="1:1" x14ac:dyDescent="0.25">
      <c r="A566" s="34">
        <v>148367.79209999999</v>
      </c>
    </row>
    <row r="567" spans="1:1" x14ac:dyDescent="0.25">
      <c r="A567" s="34">
        <v>148288.35110699999</v>
      </c>
    </row>
    <row r="568" spans="1:1" x14ac:dyDescent="0.25">
      <c r="A568" s="34">
        <v>153293.13366600001</v>
      </c>
    </row>
    <row r="569" spans="1:1" x14ac:dyDescent="0.25">
      <c r="A569" s="34">
        <v>153348.09435299999</v>
      </c>
    </row>
    <row r="570" spans="1:1" x14ac:dyDescent="0.25">
      <c r="A570" s="34">
        <v>409171.27615473402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364927.35261230101</v>
      </c>
    </row>
    <row r="574" spans="1:1" x14ac:dyDescent="0.25">
      <c r="A574" s="34">
        <v>365809.42096060602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364500.51412635302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160006.97758800001</v>
      </c>
    </row>
    <row r="585" spans="1:1" x14ac:dyDescent="0.25">
      <c r="A585" s="34">
        <v>159976.25720399999</v>
      </c>
    </row>
    <row r="586" spans="1:1" x14ac:dyDescent="0.25">
      <c r="A586" s="34">
        <v>155841.245517</v>
      </c>
    </row>
    <row r="587" spans="1:1" x14ac:dyDescent="0.25">
      <c r="A587" s="34">
        <v>155835.005439</v>
      </c>
    </row>
    <row r="588" spans="1:1" x14ac:dyDescent="0.25">
      <c r="A588" s="34">
        <v>91255.474252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227</v>
      </c>
    </row>
    <row r="601" spans="1:1" x14ac:dyDescent="0.25">
      <c r="A601" s="34">
        <v>-22936.442675881099</v>
      </c>
    </row>
    <row r="602" spans="1:1" x14ac:dyDescent="0.25">
      <c r="A602" s="34">
        <v>89056.868977258899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806052.99448055797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359710.60291106498</v>
      </c>
    </row>
    <row r="611" spans="1:1" x14ac:dyDescent="0.25">
      <c r="A611" s="34">
        <v>359358.91034937499</v>
      </c>
    </row>
    <row r="612" spans="1:1" x14ac:dyDescent="0.25">
      <c r="A612" s="34">
        <v>148416.75271199999</v>
      </c>
    </row>
    <row r="613" spans="1:1" x14ac:dyDescent="0.25">
      <c r="A613" s="34">
        <v>148288.59111000001</v>
      </c>
    </row>
    <row r="614" spans="1:1" x14ac:dyDescent="0.25">
      <c r="A614" s="34">
        <v>153312.573909</v>
      </c>
    </row>
    <row r="615" spans="1:1" x14ac:dyDescent="0.25">
      <c r="A615" s="34">
        <v>153322.894038</v>
      </c>
    </row>
    <row r="616" spans="1:1" x14ac:dyDescent="0.25">
      <c r="A616" s="34">
        <v>422918.55613185797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358259.52493999002</v>
      </c>
    </row>
    <row r="620" spans="1:1" x14ac:dyDescent="0.25">
      <c r="A620" s="34">
        <v>358874.29461475898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378032.98429849301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160005.05756399999</v>
      </c>
    </row>
    <row r="631" spans="1:1" x14ac:dyDescent="0.25">
      <c r="A631" s="34">
        <v>159979.85724899999</v>
      </c>
    </row>
    <row r="632" spans="1:1" x14ac:dyDescent="0.25">
      <c r="A632" s="34">
        <v>155854.92568799999</v>
      </c>
    </row>
    <row r="633" spans="1:1" x14ac:dyDescent="0.25">
      <c r="A633" s="34">
        <v>155879.886</v>
      </c>
    </row>
    <row r="634" spans="1:1" x14ac:dyDescent="0.25">
      <c r="A634" s="34">
        <v>91210.293499000007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228</v>
      </c>
    </row>
    <row r="647" spans="1:1" x14ac:dyDescent="0.25">
      <c r="A647" s="34">
        <v>-331743.28108754999</v>
      </c>
    </row>
    <row r="648" spans="1:1" x14ac:dyDescent="0.25">
      <c r="A648" s="34">
        <v>-159404.23354300301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1363213.3811906299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244948.05848871701</v>
      </c>
    </row>
    <row r="657" spans="1:1" x14ac:dyDescent="0.25">
      <c r="A657" s="34">
        <v>242480.672091332</v>
      </c>
    </row>
    <row r="658" spans="1:1" x14ac:dyDescent="0.25">
      <c r="A658" s="34">
        <v>148284.99106500001</v>
      </c>
    </row>
    <row r="659" spans="1:1" x14ac:dyDescent="0.25">
      <c r="A659" s="34">
        <v>148337.07171600001</v>
      </c>
    </row>
    <row r="660" spans="1:1" x14ac:dyDescent="0.25">
      <c r="A660" s="34">
        <v>153377.85472500001</v>
      </c>
    </row>
    <row r="661" spans="1:1" x14ac:dyDescent="0.25">
      <c r="A661" s="34">
        <v>153374.25468000001</v>
      </c>
    </row>
    <row r="662" spans="1:1" x14ac:dyDescent="0.25">
      <c r="A662" s="34">
        <v>654278.42108564603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244316.67341733401</v>
      </c>
    </row>
    <row r="666" spans="1:1" x14ac:dyDescent="0.25">
      <c r="A666" s="34">
        <v>242189.902650562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608833.08855303901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160017.77772300001</v>
      </c>
    </row>
    <row r="677" spans="1:1" x14ac:dyDescent="0.25">
      <c r="A677" s="34">
        <v>159991.857399</v>
      </c>
    </row>
    <row r="678" spans="1:1" x14ac:dyDescent="0.25">
      <c r="A678" s="34">
        <v>155775.48469499999</v>
      </c>
    </row>
    <row r="679" spans="1:1" x14ac:dyDescent="0.25">
      <c r="A679" s="34">
        <v>155810.52513299999</v>
      </c>
    </row>
    <row r="680" spans="1:1" x14ac:dyDescent="0.25">
      <c r="A680" s="34">
        <v>91303.355049999998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3"/>
  <sheetViews>
    <sheetView topLeftCell="V1" zoomScale="115" zoomScaleNormal="115" workbookViewId="0">
      <selection activeCell="AL27" sqref="AL27"/>
    </sheetView>
  </sheetViews>
  <sheetFormatPr defaultRowHeight="12" x14ac:dyDescent="0.25"/>
  <cols>
    <col min="1" max="1" width="30.5703125" style="34" bestFit="1" customWidth="1"/>
    <col min="2" max="2" width="26.140625" style="39" bestFit="1" customWidth="1"/>
    <col min="3" max="3" width="17.28515625" style="38" bestFit="1" customWidth="1"/>
    <col min="4" max="4" width="11" style="34" bestFit="1" customWidth="1"/>
    <col min="5" max="5" width="10.42578125" style="34" bestFit="1" customWidth="1"/>
    <col min="6" max="7" width="12.28515625" style="34" bestFit="1" customWidth="1"/>
    <col min="8" max="8" width="14.85546875" style="34" bestFit="1" customWidth="1"/>
    <col min="9" max="9" width="9.140625" style="34"/>
    <col min="10" max="10" width="13.140625" style="34" bestFit="1" customWidth="1"/>
    <col min="11" max="11" width="12.5703125" style="34" bestFit="1" customWidth="1"/>
    <col min="12" max="12" width="16.42578125" style="34" bestFit="1" customWidth="1"/>
    <col min="13" max="13" width="12.5703125" style="34" bestFit="1" customWidth="1"/>
    <col min="14" max="14" width="7.85546875" style="34" bestFit="1" customWidth="1"/>
    <col min="15" max="19" width="14.5703125" style="34" bestFit="1" customWidth="1"/>
    <col min="20" max="21" width="12.5703125" style="34" bestFit="1" customWidth="1"/>
    <col min="22" max="22" width="8.42578125" style="34" bestFit="1" customWidth="1"/>
    <col min="23" max="23" width="9.140625" style="34"/>
    <col min="24" max="24" width="19.5703125" style="34" bestFit="1" customWidth="1"/>
    <col min="25" max="28" width="12.5703125" style="34" bestFit="1" customWidth="1"/>
    <col min="29" max="29" width="8.42578125" style="34" bestFit="1" customWidth="1"/>
    <col min="30" max="30" width="9.140625" style="34"/>
    <col min="31" max="31" width="19.5703125" style="34" bestFit="1" customWidth="1"/>
    <col min="32" max="35" width="12.5703125" style="34" bestFit="1" customWidth="1"/>
    <col min="36" max="36" width="8.42578125" style="34" bestFit="1" customWidth="1"/>
    <col min="37" max="16384" width="9.140625" style="34"/>
  </cols>
  <sheetData>
    <row r="1" spans="1:19" ht="12.75" x14ac:dyDescent="0.25">
      <c r="A1" s="34" t="s">
        <v>47</v>
      </c>
      <c r="B1" s="39">
        <v>1</v>
      </c>
      <c r="C1" s="36" t="str">
        <f>A2</f>
        <v>(40000.5, 1500000.5)</v>
      </c>
      <c r="D1" s="61" t="s">
        <v>11</v>
      </c>
      <c r="E1" s="61" t="s">
        <v>7</v>
      </c>
      <c r="F1" s="61" t="s">
        <v>8</v>
      </c>
      <c r="G1" s="61" t="s">
        <v>9</v>
      </c>
      <c r="H1" s="61" t="s">
        <v>10</v>
      </c>
      <c r="J1" s="26" t="s">
        <v>19</v>
      </c>
      <c r="K1" s="26"/>
      <c r="L1" s="26" t="s">
        <v>20</v>
      </c>
    </row>
    <row r="2" spans="1:19" ht="12.75" x14ac:dyDescent="0.25">
      <c r="A2" s="34" t="s">
        <v>229</v>
      </c>
      <c r="B2" s="39" t="s">
        <v>10</v>
      </c>
      <c r="C2" s="36" t="s">
        <v>44</v>
      </c>
      <c r="D2" s="59">
        <f t="shared" ref="D2:D10" si="0">A3</f>
        <v>-54172237.104672998</v>
      </c>
      <c r="E2" s="59">
        <f t="shared" ref="E2:E10" si="1">A12</f>
        <v>-19909243.692233998</v>
      </c>
      <c r="F2" s="59">
        <f t="shared" ref="F2:F10" si="2">A21</f>
        <v>-20151197.611694999</v>
      </c>
      <c r="G2" s="59">
        <f t="shared" ref="G2:G10" si="3">A30</f>
        <v>90000</v>
      </c>
      <c r="H2" s="59">
        <f t="shared" ref="H2:H10" si="4">A39</f>
        <v>90000</v>
      </c>
      <c r="J2" s="25">
        <f>MAX(D2:H2)</f>
        <v>90000</v>
      </c>
      <c r="K2" s="25"/>
      <c r="L2" s="25" t="str">
        <f>HLOOKUP(J2,D2:$H$12,N2,FALSE)</f>
        <v>OptNone_BNB</v>
      </c>
      <c r="N2" s="25">
        <v>11</v>
      </c>
    </row>
    <row r="3" spans="1:19" ht="12.75" x14ac:dyDescent="0.25">
      <c r="A3" s="34">
        <v>-54172237.104672998</v>
      </c>
      <c r="C3" s="36" t="s">
        <v>45</v>
      </c>
      <c r="D3" s="59">
        <f t="shared" si="0"/>
        <v>-43976629.436295003</v>
      </c>
      <c r="E3" s="59">
        <f t="shared" si="1"/>
        <v>-19956598.587786</v>
      </c>
      <c r="F3" s="59">
        <f t="shared" si="2"/>
        <v>-19858682.475629002</v>
      </c>
      <c r="G3" s="59">
        <f t="shared" si="3"/>
        <v>90000</v>
      </c>
      <c r="H3" s="59">
        <f t="shared" si="4"/>
        <v>90000</v>
      </c>
      <c r="J3" s="25">
        <f t="shared" ref="J3:J9" si="5">MAX(D3:H3)</f>
        <v>90000</v>
      </c>
      <c r="K3" s="25"/>
      <c r="L3" s="25" t="str">
        <f>HLOOKUP(J3,D3:$H$12,N3,FALSE)</f>
        <v>OptNone_BNB</v>
      </c>
      <c r="N3" s="25">
        <v>10</v>
      </c>
    </row>
    <row r="4" spans="1:19" ht="12.75" x14ac:dyDescent="0.25">
      <c r="A4" s="34">
        <v>-43976629.436295003</v>
      </c>
      <c r="C4" s="36" t="s">
        <v>0</v>
      </c>
      <c r="D4" s="59">
        <f t="shared" si="0"/>
        <v>151896.361</v>
      </c>
      <c r="E4" s="59">
        <f t="shared" si="1"/>
        <v>-91704.541297999996</v>
      </c>
      <c r="F4" s="59">
        <f t="shared" si="2"/>
        <v>40000</v>
      </c>
      <c r="G4" s="59">
        <f t="shared" si="3"/>
        <v>88501.876722000001</v>
      </c>
      <c r="H4" s="59">
        <f t="shared" si="4"/>
        <v>40000</v>
      </c>
      <c r="J4" s="25">
        <f t="shared" si="5"/>
        <v>151896.361</v>
      </c>
      <c r="K4" s="25"/>
      <c r="L4" s="25" t="str">
        <f>HLOOKUP(J4,D4:$H$12,N4,FALSE)</f>
        <v>OptOpt_EB</v>
      </c>
      <c r="N4" s="25">
        <v>9</v>
      </c>
    </row>
    <row r="5" spans="1:19" ht="12.75" x14ac:dyDescent="0.25">
      <c r="A5" s="34">
        <v>151896.361</v>
      </c>
      <c r="C5" s="36" t="s">
        <v>1</v>
      </c>
      <c r="D5" s="59">
        <f t="shared" si="0"/>
        <v>151830.4498</v>
      </c>
      <c r="E5" s="59">
        <f t="shared" si="1"/>
        <v>-91589.995492000002</v>
      </c>
      <c r="F5" s="59">
        <f t="shared" si="2"/>
        <v>40000</v>
      </c>
      <c r="G5" s="59">
        <f t="shared" si="3"/>
        <v>87884.807379999998</v>
      </c>
      <c r="H5" s="59">
        <f t="shared" si="4"/>
        <v>40000</v>
      </c>
      <c r="J5" s="25">
        <f t="shared" si="5"/>
        <v>151830.4498</v>
      </c>
      <c r="K5" s="25"/>
      <c r="L5" s="25" t="str">
        <f>HLOOKUP(J5,D5:$H$12,N5,FALSE)</f>
        <v>OptOpt_EB</v>
      </c>
      <c r="N5" s="25">
        <v>8</v>
      </c>
    </row>
    <row r="6" spans="1:19" ht="12.75" x14ac:dyDescent="0.25">
      <c r="A6" s="34">
        <v>151830.4498</v>
      </c>
      <c r="C6" s="36" t="s">
        <v>2</v>
      </c>
      <c r="D6" s="59">
        <f t="shared" si="0"/>
        <v>155795.34940000001</v>
      </c>
      <c r="E6" s="59">
        <f t="shared" si="1"/>
        <v>-13776.442958</v>
      </c>
      <c r="F6" s="59">
        <f t="shared" si="2"/>
        <v>40000</v>
      </c>
      <c r="G6" s="59">
        <f t="shared" si="3"/>
        <v>22553.052673999999</v>
      </c>
      <c r="H6" s="59">
        <f t="shared" si="4"/>
        <v>40000</v>
      </c>
      <c r="J6" s="25">
        <f t="shared" si="5"/>
        <v>155795.34940000001</v>
      </c>
      <c r="K6" s="25"/>
      <c r="L6" s="25" t="str">
        <f>HLOOKUP(J6,D6:$H$12,N6,FALSE)</f>
        <v>OptOpt_EB</v>
      </c>
      <c r="N6" s="25">
        <v>7</v>
      </c>
    </row>
    <row r="7" spans="1:19" ht="12.75" x14ac:dyDescent="0.25">
      <c r="A7" s="34">
        <v>155795.34940000001</v>
      </c>
      <c r="C7" s="36" t="s">
        <v>3</v>
      </c>
      <c r="D7" s="59">
        <f t="shared" si="0"/>
        <v>155764.09839999999</v>
      </c>
      <c r="E7" s="59">
        <f t="shared" si="1"/>
        <v>-15993.458558</v>
      </c>
      <c r="F7" s="59">
        <f t="shared" si="2"/>
        <v>40000</v>
      </c>
      <c r="G7" s="59">
        <f t="shared" si="3"/>
        <v>23218.157353999999</v>
      </c>
      <c r="H7" s="59">
        <f t="shared" si="4"/>
        <v>40000</v>
      </c>
      <c r="J7" s="25">
        <f t="shared" si="5"/>
        <v>155764.09839999999</v>
      </c>
      <c r="K7" s="25"/>
      <c r="L7" s="25" t="str">
        <f>HLOOKUP(J7,D7:$H$12,N7,FALSE)</f>
        <v>OptOpt_EB</v>
      </c>
      <c r="N7" s="25">
        <v>6</v>
      </c>
    </row>
    <row r="8" spans="1:19" ht="12.75" x14ac:dyDescent="0.25">
      <c r="A8" s="34">
        <v>155764.09839999999</v>
      </c>
      <c r="C8" s="36" t="s">
        <v>6</v>
      </c>
      <c r="D8" s="59">
        <f t="shared" si="0"/>
        <v>1686397.34</v>
      </c>
      <c r="E8" s="59">
        <f t="shared" si="1"/>
        <v>751819.2</v>
      </c>
      <c r="F8" s="59">
        <f t="shared" si="2"/>
        <v>726793.5</v>
      </c>
      <c r="G8" s="59">
        <f t="shared" si="3"/>
        <v>81849.5</v>
      </c>
      <c r="H8" s="59">
        <f t="shared" si="4"/>
        <v>70000</v>
      </c>
      <c r="J8" s="25">
        <f t="shared" si="5"/>
        <v>1686397.34</v>
      </c>
      <c r="K8" s="25"/>
      <c r="L8" s="25" t="str">
        <f>HLOOKUP(J8,D8:$H$12,N8,FALSE)</f>
        <v>OptOpt_EB</v>
      </c>
      <c r="N8" s="25">
        <v>5</v>
      </c>
    </row>
    <row r="9" spans="1:19" ht="12.75" x14ac:dyDescent="0.25">
      <c r="A9" s="34">
        <v>1686397.34</v>
      </c>
      <c r="C9" s="37" t="s">
        <v>23</v>
      </c>
      <c r="D9" s="59">
        <f t="shared" si="0"/>
        <v>98824338.562368006</v>
      </c>
      <c r="E9" s="59">
        <f t="shared" si="1"/>
        <v>42314872.998326004</v>
      </c>
      <c r="F9" s="59">
        <f t="shared" si="2"/>
        <v>42111864.087324001</v>
      </c>
      <c r="G9" s="59">
        <f t="shared" si="3"/>
        <v>2513622.7058700002</v>
      </c>
      <c r="H9" s="59">
        <f t="shared" si="4"/>
        <v>2590000</v>
      </c>
      <c r="J9" s="25">
        <f t="shared" si="5"/>
        <v>98824338.562368006</v>
      </c>
      <c r="K9" s="25"/>
      <c r="L9" s="25" t="str">
        <f>HLOOKUP(J9,D9:$H$12,N9,FALSE)</f>
        <v>OptOpt_EB</v>
      </c>
      <c r="N9" s="25">
        <v>4</v>
      </c>
    </row>
    <row r="10" spans="1:19" ht="12.75" x14ac:dyDescent="0.25">
      <c r="A10" s="34">
        <v>98824338.562368006</v>
      </c>
      <c r="C10" s="37" t="s">
        <v>24</v>
      </c>
      <c r="D10" s="59">
        <f t="shared" si="0"/>
        <v>0.5</v>
      </c>
      <c r="E10" s="59">
        <f t="shared" si="1"/>
        <v>0.5</v>
      </c>
      <c r="F10" s="59">
        <f t="shared" si="2"/>
        <v>0.33333333333333298</v>
      </c>
      <c r="G10" s="59">
        <f t="shared" si="3"/>
        <v>0.16666666666666599</v>
      </c>
      <c r="H10" s="59">
        <f t="shared" si="4"/>
        <v>0</v>
      </c>
      <c r="J10" s="26"/>
      <c r="K10" s="26"/>
      <c r="L10" s="25"/>
      <c r="N10" s="25"/>
    </row>
    <row r="11" spans="1:19" ht="12.75" x14ac:dyDescent="0.25">
      <c r="A11" s="34">
        <v>0.5</v>
      </c>
      <c r="D11" s="60"/>
      <c r="E11" s="60"/>
      <c r="F11" s="60"/>
      <c r="G11" s="60"/>
      <c r="H11" s="60"/>
      <c r="J11" s="25"/>
      <c r="K11" s="25"/>
      <c r="L11" s="25"/>
      <c r="N11" s="25"/>
    </row>
    <row r="12" spans="1:19" ht="15" x14ac:dyDescent="0.25">
      <c r="A12" s="34">
        <v>-19909243.692233998</v>
      </c>
      <c r="B12" s="39">
        <v>2</v>
      </c>
      <c r="C12" s="36" t="str">
        <f>A48</f>
        <v>(40000.5, 3000001)</v>
      </c>
      <c r="D12" s="61" t="str">
        <f>D1</f>
        <v>OptOpt_EB</v>
      </c>
      <c r="E12" s="61" t="str">
        <f t="shared" ref="E12:H12" si="6">E1</f>
        <v>OptOpt_BB</v>
      </c>
      <c r="F12" s="61" t="str">
        <f t="shared" si="6"/>
        <v>NoneOpt_NBB</v>
      </c>
      <c r="G12" s="61" t="str">
        <f t="shared" si="6"/>
        <v>OptNone_BNB</v>
      </c>
      <c r="H12" s="61" t="str">
        <f t="shared" si="6"/>
        <v>NoneNone_NBNB</v>
      </c>
      <c r="J12" s="26" t="s">
        <v>19</v>
      </c>
      <c r="K12" s="26"/>
      <c r="L12" s="26" t="s">
        <v>20</v>
      </c>
      <c r="N12" s="43" t="str">
        <f>settings_!O11</f>
        <v>B12/B3</v>
      </c>
      <c r="O12" s="43">
        <f>settings_!P11</f>
        <v>1500000.5</v>
      </c>
      <c r="P12" s="43">
        <f>settings_!Q11</f>
        <v>3000001</v>
      </c>
      <c r="Q12" s="43">
        <f>settings_!R11</f>
        <v>3040001</v>
      </c>
      <c r="R12" s="43">
        <f>settings_!S11</f>
        <v>3080001</v>
      </c>
      <c r="S12" s="43">
        <f>settings_!T11</f>
        <v>4620001.5</v>
      </c>
    </row>
    <row r="13" spans="1:19" ht="15" x14ac:dyDescent="0.25">
      <c r="A13" s="34">
        <v>-19956598.587786</v>
      </c>
      <c r="B13" s="39" t="s">
        <v>10</v>
      </c>
      <c r="C13" s="36" t="str">
        <f t="shared" ref="C13:C21" si="7">C2</f>
        <v>(3, 0)</v>
      </c>
      <c r="D13" s="59">
        <f t="shared" ref="D13:D21" si="8">A49</f>
        <v>-67776749.180736005</v>
      </c>
      <c r="E13" s="59">
        <f t="shared" ref="E13:E21" si="9">A58</f>
        <v>89281.833094000001</v>
      </c>
      <c r="F13" s="59">
        <f t="shared" ref="F13:F21" si="10">A67</f>
        <v>90517.833505999995</v>
      </c>
      <c r="G13" s="59">
        <f t="shared" ref="G13:G21" si="11">A76</f>
        <v>90000</v>
      </c>
      <c r="H13" s="59">
        <f t="shared" ref="H13:H21" si="12">A85</f>
        <v>90000</v>
      </c>
      <c r="J13" s="25">
        <f>MAX(D13:H13)</f>
        <v>90517.833505999995</v>
      </c>
      <c r="K13" s="25"/>
      <c r="L13" s="25" t="str">
        <f>HLOOKUP(J13,D13:$H$23,N2,FALSE)</f>
        <v>NoneOpt_NBB</v>
      </c>
      <c r="N13" s="43">
        <f>settings_!O12</f>
        <v>40000.5</v>
      </c>
      <c r="O13" s="40">
        <v>1</v>
      </c>
      <c r="P13" s="40">
        <v>2</v>
      </c>
      <c r="Q13" s="40">
        <v>3</v>
      </c>
      <c r="R13" s="40">
        <v>4</v>
      </c>
      <c r="S13" s="40">
        <v>5</v>
      </c>
    </row>
    <row r="14" spans="1:19" ht="15" x14ac:dyDescent="0.25">
      <c r="A14" s="34">
        <v>-91704.541297999996</v>
      </c>
      <c r="C14" s="36" t="str">
        <f t="shared" si="7"/>
        <v>(3, 1)</v>
      </c>
      <c r="D14" s="59">
        <f t="shared" si="8"/>
        <v>-47354462.743919998</v>
      </c>
      <c r="E14" s="59">
        <f t="shared" si="9"/>
        <v>87553.832517999996</v>
      </c>
      <c r="F14" s="59">
        <f t="shared" si="10"/>
        <v>90037.833345999999</v>
      </c>
      <c r="G14" s="59">
        <f t="shared" si="11"/>
        <v>90000</v>
      </c>
      <c r="H14" s="59">
        <f t="shared" si="12"/>
        <v>90000</v>
      </c>
      <c r="J14" s="25">
        <f t="shared" ref="J14:J20" si="13">MAX(D14:H14)</f>
        <v>90037.833345999999</v>
      </c>
      <c r="K14" s="25"/>
      <c r="L14" s="25" t="str">
        <f>HLOOKUP(J14,D14:$H$23,N3,FALSE)</f>
        <v>NoneOpt_NBB</v>
      </c>
      <c r="N14" s="43">
        <f>settings_!O13</f>
        <v>80001</v>
      </c>
      <c r="O14" s="40">
        <v>6</v>
      </c>
      <c r="P14" s="40">
        <v>7</v>
      </c>
      <c r="Q14" s="40">
        <v>8</v>
      </c>
      <c r="R14" s="40">
        <v>9</v>
      </c>
      <c r="S14" s="40">
        <v>10</v>
      </c>
    </row>
    <row r="15" spans="1:19" ht="15" x14ac:dyDescent="0.25">
      <c r="A15" s="34">
        <v>-91589.995492000002</v>
      </c>
      <c r="C15" s="36" t="str">
        <f t="shared" si="7"/>
        <v>(2, 0)</v>
      </c>
      <c r="D15" s="59">
        <f t="shared" si="8"/>
        <v>151923.63459999999</v>
      </c>
      <c r="E15" s="59">
        <f t="shared" si="9"/>
        <v>-89687.057102000006</v>
      </c>
      <c r="F15" s="59">
        <f t="shared" si="10"/>
        <v>40000</v>
      </c>
      <c r="G15" s="59">
        <f t="shared" si="11"/>
        <v>88716.18823</v>
      </c>
      <c r="H15" s="59">
        <f t="shared" si="12"/>
        <v>40000</v>
      </c>
      <c r="J15" s="25">
        <f t="shared" si="13"/>
        <v>151923.63459999999</v>
      </c>
      <c r="K15" s="25"/>
      <c r="L15" s="25" t="str">
        <f>HLOOKUP(J15,D15:$H$23,N4,FALSE)</f>
        <v>OptOpt_EB</v>
      </c>
      <c r="N15" s="43">
        <f>settings_!O14</f>
        <v>120001.5</v>
      </c>
      <c r="O15" s="40">
        <v>11</v>
      </c>
      <c r="P15" s="40">
        <v>12</v>
      </c>
      <c r="Q15" s="40">
        <v>13</v>
      </c>
      <c r="R15" s="40">
        <v>14</v>
      </c>
      <c r="S15" s="40">
        <v>15</v>
      </c>
    </row>
    <row r="16" spans="1:19" ht="12.75" x14ac:dyDescent="0.25">
      <c r="A16" s="34">
        <v>-13776.442958</v>
      </c>
      <c r="C16" s="36" t="str">
        <f t="shared" si="7"/>
        <v>(2, 1)</v>
      </c>
      <c r="D16" s="59">
        <f t="shared" si="8"/>
        <v>151824.7678</v>
      </c>
      <c r="E16" s="59">
        <f t="shared" si="9"/>
        <v>-92122.079236000005</v>
      </c>
      <c r="F16" s="59">
        <f t="shared" si="10"/>
        <v>40000</v>
      </c>
      <c r="G16" s="59">
        <f t="shared" si="11"/>
        <v>87489.439597999997</v>
      </c>
      <c r="H16" s="59">
        <f t="shared" si="12"/>
        <v>40000</v>
      </c>
      <c r="J16" s="25">
        <f t="shared" si="13"/>
        <v>151824.7678</v>
      </c>
      <c r="K16" s="25"/>
      <c r="L16" s="25" t="str">
        <f>HLOOKUP(J16,D16:$H$23,N5,FALSE)</f>
        <v>OptOpt_EB</v>
      </c>
    </row>
    <row r="17" spans="1:40" ht="12.75" x14ac:dyDescent="0.25">
      <c r="A17" s="34">
        <v>-15993.458558</v>
      </c>
      <c r="C17" s="36" t="str">
        <f t="shared" si="7"/>
        <v>(1, 0)</v>
      </c>
      <c r="D17" s="59">
        <f t="shared" si="8"/>
        <v>155818.64559999999</v>
      </c>
      <c r="E17" s="59">
        <f t="shared" si="9"/>
        <v>-14995.801538</v>
      </c>
      <c r="F17" s="59">
        <f t="shared" si="10"/>
        <v>40000</v>
      </c>
      <c r="G17" s="59">
        <f t="shared" si="11"/>
        <v>22593.697960000001</v>
      </c>
      <c r="H17" s="59">
        <f t="shared" si="12"/>
        <v>40000</v>
      </c>
      <c r="J17" s="25">
        <f t="shared" si="13"/>
        <v>155818.64559999999</v>
      </c>
      <c r="K17" s="25"/>
      <c r="L17" s="25" t="str">
        <f>HLOOKUP(J17,D17:$H$23,N6,FALSE)</f>
        <v>OptOpt_EB</v>
      </c>
      <c r="N17" s="36" t="str">
        <f>N12</f>
        <v>B12/B3</v>
      </c>
      <c r="O17" s="36">
        <f t="shared" ref="O17:S17" si="14">O12</f>
        <v>1500000.5</v>
      </c>
      <c r="P17" s="36">
        <f t="shared" si="14"/>
        <v>3000001</v>
      </c>
      <c r="Q17" s="36">
        <f t="shared" si="14"/>
        <v>3040001</v>
      </c>
      <c r="R17" s="36">
        <f t="shared" si="14"/>
        <v>3080001</v>
      </c>
      <c r="S17" s="36">
        <f t="shared" si="14"/>
        <v>4620001.5</v>
      </c>
    </row>
    <row r="18" spans="1:40" ht="12.75" x14ac:dyDescent="0.25">
      <c r="A18" s="34">
        <v>751819.2</v>
      </c>
      <c r="C18" s="36" t="str">
        <f t="shared" si="7"/>
        <v>(1, 1)</v>
      </c>
      <c r="D18" s="59">
        <f t="shared" si="8"/>
        <v>155830.00959999999</v>
      </c>
      <c r="E18" s="59">
        <f t="shared" si="9"/>
        <v>-15328.353878</v>
      </c>
      <c r="F18" s="59">
        <f t="shared" si="10"/>
        <v>40000</v>
      </c>
      <c r="G18" s="59">
        <f t="shared" si="11"/>
        <v>23665.255499999999</v>
      </c>
      <c r="H18" s="59">
        <f t="shared" si="12"/>
        <v>40000</v>
      </c>
      <c r="J18" s="25">
        <f t="shared" si="13"/>
        <v>155830.00959999999</v>
      </c>
      <c r="K18" s="25"/>
      <c r="L18" s="25" t="str">
        <f>HLOOKUP(J18,D18:$H$23,N7,FALSE)</f>
        <v>OptOpt_EB</v>
      </c>
      <c r="N18" s="36">
        <f t="shared" ref="N18:N20" si="15">N13</f>
        <v>40000.5</v>
      </c>
      <c r="O18" s="40" t="str">
        <f>B2</f>
        <v>NoneNone_NBNB</v>
      </c>
      <c r="P18" s="40" t="str">
        <f>B13</f>
        <v>NoneNone_NBNB</v>
      </c>
      <c r="Q18" s="40" t="str">
        <f>B24</f>
        <v>NoneNone_NBNB</v>
      </c>
      <c r="R18" s="40" t="str">
        <f>B35</f>
        <v>NoneNone_NBNB</v>
      </c>
      <c r="S18" s="40" t="str">
        <f>B46</f>
        <v>NoneNone_NBNB</v>
      </c>
    </row>
    <row r="19" spans="1:40" ht="12.75" x14ac:dyDescent="0.25">
      <c r="A19" s="34">
        <v>42314872.998326004</v>
      </c>
      <c r="C19" s="36" t="str">
        <f t="shared" si="7"/>
        <v>Inspector</v>
      </c>
      <c r="D19" s="59">
        <f t="shared" si="8"/>
        <v>1686022.774304</v>
      </c>
      <c r="E19" s="59">
        <f t="shared" si="9"/>
        <v>754855.504388</v>
      </c>
      <c r="F19" s="59">
        <f t="shared" si="10"/>
        <v>725092.80314800004</v>
      </c>
      <c r="G19" s="59">
        <f t="shared" si="11"/>
        <v>81841.2</v>
      </c>
      <c r="H19" s="59">
        <f t="shared" si="12"/>
        <v>70000</v>
      </c>
      <c r="J19" s="25">
        <f t="shared" si="13"/>
        <v>1686022.774304</v>
      </c>
      <c r="K19" s="25"/>
      <c r="L19" s="25" t="str">
        <f>HLOOKUP(J19,D19:$H$23,N8,FALSE)</f>
        <v>OptOpt_EB</v>
      </c>
      <c r="N19" s="36">
        <f t="shared" si="15"/>
        <v>80001</v>
      </c>
      <c r="O19" s="40" t="str">
        <f>B57</f>
        <v>OptNone_BNB</v>
      </c>
      <c r="P19" s="40" t="str">
        <f>B68</f>
        <v>OptNone_BNB</v>
      </c>
      <c r="Q19" s="40" t="str">
        <f>B79</f>
        <v>OptNone_BNB</v>
      </c>
      <c r="R19" s="40" t="str">
        <f>B90</f>
        <v>OptNone_BNB</v>
      </c>
      <c r="S19" s="40" t="str">
        <f>B101</f>
        <v>OptNone_BNB</v>
      </c>
    </row>
    <row r="20" spans="1:40" ht="12.75" x14ac:dyDescent="0.25">
      <c r="A20" s="34">
        <v>0.5</v>
      </c>
      <c r="C20" s="36" t="str">
        <f t="shared" si="7"/>
        <v>State</v>
      </c>
      <c r="D20" s="59">
        <f t="shared" si="8"/>
        <v>115472659.012752</v>
      </c>
      <c r="E20" s="59">
        <f t="shared" si="9"/>
        <v>1933809.8117539999</v>
      </c>
      <c r="F20" s="59">
        <f t="shared" si="10"/>
        <v>1590000</v>
      </c>
      <c r="G20" s="59">
        <f t="shared" si="11"/>
        <v>2513325.978712</v>
      </c>
      <c r="H20" s="59">
        <f t="shared" si="12"/>
        <v>2590000</v>
      </c>
      <c r="J20" s="25">
        <f t="shared" si="13"/>
        <v>115472659.012752</v>
      </c>
      <c r="K20" s="25"/>
      <c r="L20" s="25" t="str">
        <f>HLOOKUP(J20,D20:$H$23,N9,FALSE)</f>
        <v>OptOpt_EB</v>
      </c>
      <c r="N20" s="36">
        <f t="shared" si="15"/>
        <v>120001.5</v>
      </c>
      <c r="O20" s="40" t="str">
        <f>B112</f>
        <v>OptNone_BNB</v>
      </c>
      <c r="P20" s="40" t="str">
        <f>B123</f>
        <v>OptNone_BNB</v>
      </c>
      <c r="Q20" s="40" t="str">
        <f>B134</f>
        <v>OptNone_BNB</v>
      </c>
      <c r="R20" s="40" t="str">
        <f>B145</f>
        <v>OptNone_BNB</v>
      </c>
      <c r="S20" s="40" t="str">
        <f>B156</f>
        <v>OptNone_BNB</v>
      </c>
    </row>
    <row r="21" spans="1:40" x14ac:dyDescent="0.25">
      <c r="A21" s="34">
        <v>-20151197.611694999</v>
      </c>
      <c r="C21" s="36" t="str">
        <f t="shared" si="7"/>
        <v>LoC</v>
      </c>
      <c r="D21" s="59">
        <f t="shared" si="8"/>
        <v>0.5</v>
      </c>
      <c r="E21" s="59">
        <f t="shared" si="9"/>
        <v>0.5</v>
      </c>
      <c r="F21" s="59">
        <f t="shared" si="10"/>
        <v>0.33333333333333298</v>
      </c>
      <c r="G21" s="59">
        <f t="shared" si="11"/>
        <v>0.16666666666666599</v>
      </c>
      <c r="H21" s="59">
        <f t="shared" si="12"/>
        <v>0</v>
      </c>
    </row>
    <row r="22" spans="1:40" x14ac:dyDescent="0.25">
      <c r="A22" s="34">
        <v>-19858682.475629002</v>
      </c>
      <c r="D22" s="60"/>
      <c r="E22" s="60"/>
      <c r="F22" s="60"/>
      <c r="G22" s="60"/>
      <c r="H22" s="60"/>
      <c r="U22" s="36" t="s">
        <v>103</v>
      </c>
      <c r="V22" s="36">
        <v>1</v>
      </c>
      <c r="W22" s="36">
        <v>2</v>
      </c>
      <c r="X22" s="36">
        <v>3</v>
      </c>
      <c r="Y22" s="36">
        <v>4</v>
      </c>
      <c r="Z22" s="36">
        <v>5</v>
      </c>
      <c r="AA22" s="73">
        <v>6</v>
      </c>
      <c r="AB22" s="73">
        <v>7</v>
      </c>
      <c r="AC22" s="73">
        <v>8</v>
      </c>
      <c r="AD22" s="73">
        <v>9</v>
      </c>
      <c r="AE22" s="73">
        <v>10</v>
      </c>
      <c r="AF22" s="36">
        <v>11</v>
      </c>
      <c r="AG22" s="36">
        <v>12</v>
      </c>
      <c r="AH22" s="36">
        <v>13</v>
      </c>
      <c r="AI22" s="36">
        <v>14</v>
      </c>
      <c r="AJ22" s="36">
        <v>15</v>
      </c>
    </row>
    <row r="23" spans="1:40" ht="12.75" x14ac:dyDescent="0.25">
      <c r="A23" s="34">
        <v>40000</v>
      </c>
      <c r="B23" s="39">
        <v>3</v>
      </c>
      <c r="C23" s="36" t="str">
        <f>A94</f>
        <v>(40000.5, 3040001)</v>
      </c>
      <c r="D23" s="61" t="str">
        <f>D12</f>
        <v>OptOpt_EB</v>
      </c>
      <c r="E23" s="61" t="str">
        <f t="shared" ref="E23:H23" si="16">E12</f>
        <v>OptOpt_BB</v>
      </c>
      <c r="F23" s="61" t="str">
        <f t="shared" si="16"/>
        <v>NoneOpt_NBB</v>
      </c>
      <c r="G23" s="61" t="str">
        <f t="shared" si="16"/>
        <v>OptNone_BNB</v>
      </c>
      <c r="H23" s="61" t="str">
        <f t="shared" si="16"/>
        <v>NoneNone_NBNB</v>
      </c>
      <c r="J23" s="26" t="s">
        <v>19</v>
      </c>
      <c r="K23" s="26"/>
      <c r="L23" s="26" t="s">
        <v>20</v>
      </c>
      <c r="S23" s="34">
        <v>2</v>
      </c>
      <c r="U23" s="36" t="s">
        <v>44</v>
      </c>
      <c r="V23" s="35">
        <f>HLOOKUP($O$18,$D$1:$H$10,S23,FALSE)</f>
        <v>90000</v>
      </c>
      <c r="W23" s="35">
        <f>HLOOKUP($P$18,$D$12:$H$21,S23,FALSE)</f>
        <v>90000</v>
      </c>
      <c r="X23" s="35">
        <f>HLOOKUP($Q$18,$D$23:$H$32,S23,FALSE)</f>
        <v>90000</v>
      </c>
      <c r="Y23" s="35">
        <f>HLOOKUP($R$18,$D$34:$H$43,S23,FALSE)</f>
        <v>90000</v>
      </c>
      <c r="Z23" s="35">
        <f>HLOOKUP($S$18,$D$45:$H$54,S23,FALSE)</f>
        <v>90000</v>
      </c>
      <c r="AA23" s="35">
        <f>HLOOKUP($O$19,$D$56:$H$65,S23,FALSE)</f>
        <v>90000</v>
      </c>
      <c r="AB23" s="35">
        <f>HLOOKUP($P$19,$D$67:$H$76,S23,FALSE)</f>
        <v>90000</v>
      </c>
      <c r="AC23" s="35">
        <f>HLOOKUP($Q$19,$D$78:$H$87,S23,FALSE)</f>
        <v>90000</v>
      </c>
      <c r="AD23" s="35">
        <f>HLOOKUP($R$19,$D$89:$H$98,S23,FALSE)</f>
        <v>90000</v>
      </c>
      <c r="AE23" s="35">
        <f>HLOOKUP($S$19,$D$100:$H$109,$S23,FALSE)</f>
        <v>90000</v>
      </c>
      <c r="AF23" s="35">
        <f>HLOOKUP($O$20,$D$111:$H$120,$S23,FALSE)</f>
        <v>90000</v>
      </c>
      <c r="AG23" s="35">
        <f>HLOOKUP($P$20,$D$122:$H$131,$S23,FALSE)</f>
        <v>90000</v>
      </c>
      <c r="AH23" s="35">
        <f>HLOOKUP($Q$20,$D$133:$H$142,$S23,FALSE)</f>
        <v>90000</v>
      </c>
      <c r="AI23" s="35">
        <f>HLOOKUP($R$20,$D$144:$H$153,$S23,FALSE)</f>
        <v>90000</v>
      </c>
      <c r="AJ23" s="35">
        <f>HLOOKUP($S$20,$D$155:$H$164,$S23,FALSE)</f>
        <v>90000</v>
      </c>
      <c r="AL23" s="34">
        <f>AVERAGE(V23:AK23)</f>
        <v>90000</v>
      </c>
      <c r="AN23" s="34">
        <f>AVERAGE(AA23:AE23)</f>
        <v>90000</v>
      </c>
    </row>
    <row r="24" spans="1:40" ht="12.75" x14ac:dyDescent="0.25">
      <c r="A24" s="34">
        <v>40000</v>
      </c>
      <c r="B24" s="39" t="s">
        <v>10</v>
      </c>
      <c r="C24" s="36" t="str">
        <f t="shared" ref="C24:C32" si="17">C2</f>
        <v>(3, 0)</v>
      </c>
      <c r="D24" s="59">
        <f t="shared" ref="D24:D32" si="18">A95</f>
        <v>-68643329.928243995</v>
      </c>
      <c r="E24" s="59">
        <f t="shared" ref="E24:E32" si="19">A104</f>
        <v>83578.393414000006</v>
      </c>
      <c r="F24" s="59">
        <f t="shared" ref="F24:F32" si="20">A113</f>
        <v>83657.433439999993</v>
      </c>
      <c r="G24" s="59">
        <f t="shared" ref="G24:G32" si="21">A122</f>
        <v>90000</v>
      </c>
      <c r="H24" s="59">
        <f t="shared" ref="H24:H32" si="22">A131</f>
        <v>90000</v>
      </c>
      <c r="J24" s="25">
        <f>MAX(D24:H24)</f>
        <v>90000</v>
      </c>
      <c r="K24" s="25"/>
      <c r="L24" s="25" t="str">
        <f>HLOOKUP(J24,D24:$H$34,N2,FALSE)</f>
        <v>OptNone_BNB</v>
      </c>
      <c r="N24" s="25"/>
      <c r="S24" s="34">
        <v>3</v>
      </c>
      <c r="U24" s="36" t="s">
        <v>45</v>
      </c>
      <c r="V24" s="35">
        <f t="shared" ref="V24:V31" si="23">HLOOKUP($O$18,$D$1:$H$10,S24,FALSE)</f>
        <v>90000</v>
      </c>
      <c r="W24" s="35">
        <f t="shared" ref="W24:W31" si="24">HLOOKUP($P$18,$D$12:$H$21,S24,FALSE)</f>
        <v>90000</v>
      </c>
      <c r="X24" s="35">
        <f t="shared" ref="X24:X31" si="25">HLOOKUP($Q$18,$D$23:$H$32,S24,FALSE)</f>
        <v>90000</v>
      </c>
      <c r="Y24" s="35">
        <f t="shared" ref="Y24:Y31" si="26">HLOOKUP($R$18,$D$34:$H$43,S24,FALSE)</f>
        <v>90000</v>
      </c>
      <c r="Z24" s="35">
        <f t="shared" ref="Z24:Z31" si="27">HLOOKUP($S$18,$D$45:$H$54,S24,FALSE)</f>
        <v>90000</v>
      </c>
      <c r="AA24" s="35">
        <f t="shared" ref="AA24:AA31" si="28">HLOOKUP($O$19,$D$56:$H$65,S24,FALSE)</f>
        <v>90000</v>
      </c>
      <c r="AB24" s="35">
        <f t="shared" ref="AB24:AB31" si="29">HLOOKUP($P$19,$D$67:$H$76,S24,FALSE)</f>
        <v>90000</v>
      </c>
      <c r="AC24" s="35">
        <f t="shared" ref="AC24:AC31" si="30">HLOOKUP($Q$19,$D$78:$H$87,S24,FALSE)</f>
        <v>90000</v>
      </c>
      <c r="AD24" s="35">
        <f t="shared" ref="AD24:AD31" si="31">HLOOKUP($R$19,$D$89:$H$98,S24,FALSE)</f>
        <v>90000</v>
      </c>
      <c r="AE24" s="35">
        <f t="shared" ref="AE24:AE31" si="32">HLOOKUP($S$19,$D$100:$H$109,$S24,FALSE)</f>
        <v>90000</v>
      </c>
      <c r="AF24" s="35">
        <f t="shared" ref="AF24:AF31" si="33">HLOOKUP($O$20,$D$111:$H$120,$S24,FALSE)</f>
        <v>90000</v>
      </c>
      <c r="AG24" s="35">
        <f t="shared" ref="AG24:AG31" si="34">HLOOKUP($P$20,$D$122:$H$131,$S24,FALSE)</f>
        <v>90000</v>
      </c>
      <c r="AH24" s="35">
        <f t="shared" ref="AH24:AH31" si="35">HLOOKUP($Q$20,$D$133:$H$142,$S24,FALSE)</f>
        <v>90000</v>
      </c>
      <c r="AI24" s="35">
        <f t="shared" ref="AI24:AI31" si="36">HLOOKUP($R$20,$D$144:$H$153,$S24,FALSE)</f>
        <v>90000</v>
      </c>
      <c r="AJ24" s="35">
        <f t="shared" ref="AJ24:AJ31" si="37">HLOOKUP($S$20,$D$155:$H$164,$S24,FALSE)</f>
        <v>90000</v>
      </c>
      <c r="AL24" s="34">
        <f t="shared" ref="AL24:AL31" si="38">AVERAGE(V24:AK24)</f>
        <v>90000</v>
      </c>
      <c r="AN24" s="34">
        <f t="shared" ref="AN24:AN28" si="39">AVERAGE(AA24:AE24)</f>
        <v>90000</v>
      </c>
    </row>
    <row r="25" spans="1:40" ht="12.75" x14ac:dyDescent="0.25">
      <c r="A25" s="34">
        <v>40000</v>
      </c>
      <c r="C25" s="36" t="str">
        <f t="shared" si="17"/>
        <v>(3, 1)</v>
      </c>
      <c r="D25" s="59">
        <f t="shared" si="18"/>
        <v>-48224257.100731999</v>
      </c>
      <c r="E25" s="59">
        <f t="shared" si="19"/>
        <v>83505.433390000006</v>
      </c>
      <c r="F25" s="59">
        <f t="shared" si="20"/>
        <v>84089.113582000005</v>
      </c>
      <c r="G25" s="59">
        <f t="shared" si="21"/>
        <v>90000</v>
      </c>
      <c r="H25" s="59">
        <f t="shared" si="22"/>
        <v>90000</v>
      </c>
      <c r="J25" s="25">
        <f t="shared" ref="J25:J31" si="40">MAX(D25:H25)</f>
        <v>90000</v>
      </c>
      <c r="K25" s="25"/>
      <c r="L25" s="25" t="str">
        <f>HLOOKUP(J25,D25:$H$34,N3,FALSE)</f>
        <v>OptNone_BNB</v>
      </c>
      <c r="N25" s="25"/>
      <c r="S25" s="34">
        <v>4</v>
      </c>
      <c r="U25" s="36" t="s">
        <v>0</v>
      </c>
      <c r="V25" s="35">
        <f t="shared" si="23"/>
        <v>40000</v>
      </c>
      <c r="W25" s="35">
        <f t="shared" si="24"/>
        <v>40000</v>
      </c>
      <c r="X25" s="35">
        <f t="shared" si="25"/>
        <v>40000</v>
      </c>
      <c r="Y25" s="35">
        <f t="shared" si="26"/>
        <v>40000</v>
      </c>
      <c r="Z25" s="35">
        <f t="shared" si="27"/>
        <v>40000</v>
      </c>
      <c r="AA25" s="35">
        <f t="shared" si="28"/>
        <v>161665.55832000001</v>
      </c>
      <c r="AB25" s="35">
        <f t="shared" si="29"/>
        <v>161670.03837600001</v>
      </c>
      <c r="AC25" s="35">
        <f t="shared" si="30"/>
        <v>161678.678484</v>
      </c>
      <c r="AD25" s="35">
        <f t="shared" si="31"/>
        <v>161644.27805399999</v>
      </c>
      <c r="AE25" s="35">
        <f t="shared" si="32"/>
        <v>161663.79829800001</v>
      </c>
      <c r="AF25" s="35">
        <f t="shared" si="33"/>
        <v>160045.618071</v>
      </c>
      <c r="AG25" s="35">
        <f t="shared" si="34"/>
        <v>159963.537045</v>
      </c>
      <c r="AH25" s="35">
        <f t="shared" si="35"/>
        <v>160075.61844600001</v>
      </c>
      <c r="AI25" s="35">
        <f t="shared" si="36"/>
        <v>159966.41708099999</v>
      </c>
      <c r="AJ25" s="35">
        <f t="shared" si="37"/>
        <v>159937.616721</v>
      </c>
      <c r="AL25" s="34">
        <f t="shared" si="38"/>
        <v>120554.07725973333</v>
      </c>
      <c r="AN25" s="34">
        <f>AVERAGE(AA25:AE25)</f>
        <v>161664.47030640001</v>
      </c>
    </row>
    <row r="26" spans="1:40" ht="12.75" x14ac:dyDescent="0.25">
      <c r="A26" s="34">
        <v>40000</v>
      </c>
      <c r="C26" s="36" t="str">
        <f t="shared" si="17"/>
        <v>(2, 0)</v>
      </c>
      <c r="D26" s="59">
        <f t="shared" si="18"/>
        <v>151853.1778</v>
      </c>
      <c r="E26" s="59">
        <f t="shared" si="19"/>
        <v>-92170.114574000007</v>
      </c>
      <c r="F26" s="59">
        <f t="shared" si="20"/>
        <v>40000</v>
      </c>
      <c r="G26" s="59">
        <f t="shared" si="21"/>
        <v>87352.723635999995</v>
      </c>
      <c r="H26" s="59">
        <f t="shared" si="22"/>
        <v>40000</v>
      </c>
      <c r="J26" s="25">
        <f t="shared" si="40"/>
        <v>151853.1778</v>
      </c>
      <c r="K26" s="25"/>
      <c r="L26" s="25" t="str">
        <f>HLOOKUP(J26,D26:$H$34,N4,FALSE)</f>
        <v>OptOpt_EB</v>
      </c>
      <c r="N26" s="25"/>
      <c r="S26" s="34">
        <v>5</v>
      </c>
      <c r="U26" s="36" t="s">
        <v>1</v>
      </c>
      <c r="V26" s="35">
        <f t="shared" si="23"/>
        <v>40000</v>
      </c>
      <c r="W26" s="35">
        <f t="shared" si="24"/>
        <v>40000</v>
      </c>
      <c r="X26" s="35">
        <f t="shared" si="25"/>
        <v>40000</v>
      </c>
      <c r="Y26" s="35">
        <f t="shared" si="26"/>
        <v>40000</v>
      </c>
      <c r="Z26" s="35">
        <f t="shared" si="27"/>
        <v>40000</v>
      </c>
      <c r="AA26" s="35">
        <f t="shared" si="28"/>
        <v>161651.95814999999</v>
      </c>
      <c r="AB26" s="35">
        <f t="shared" si="29"/>
        <v>161682.03852599999</v>
      </c>
      <c r="AC26" s="35">
        <f t="shared" si="30"/>
        <v>161674.83843599999</v>
      </c>
      <c r="AD26" s="35">
        <f t="shared" si="31"/>
        <v>161661.55827000001</v>
      </c>
      <c r="AE26" s="35">
        <f t="shared" si="32"/>
        <v>161631.47789400001</v>
      </c>
      <c r="AF26" s="35">
        <f t="shared" si="33"/>
        <v>159992.57740800001</v>
      </c>
      <c r="AG26" s="35">
        <f t="shared" si="34"/>
        <v>160054.01817600001</v>
      </c>
      <c r="AH26" s="35">
        <f t="shared" si="35"/>
        <v>160000.97751299999</v>
      </c>
      <c r="AI26" s="35">
        <f t="shared" si="36"/>
        <v>159976.25720399999</v>
      </c>
      <c r="AJ26" s="35">
        <f t="shared" si="37"/>
        <v>159996.417456</v>
      </c>
      <c r="AL26" s="34">
        <f>AVERAGE(V26:AK26)</f>
        <v>120554.80793553333</v>
      </c>
      <c r="AN26" s="34">
        <f t="shared" si="39"/>
        <v>161660.37425519997</v>
      </c>
    </row>
    <row r="27" spans="1:40" ht="12.75" x14ac:dyDescent="0.25">
      <c r="A27" s="34">
        <v>726793.5</v>
      </c>
      <c r="C27" s="36" t="str">
        <f t="shared" si="17"/>
        <v>(2, 1)</v>
      </c>
      <c r="D27" s="59">
        <f t="shared" si="18"/>
        <v>151909.4296</v>
      </c>
      <c r="E27" s="59">
        <f t="shared" si="19"/>
        <v>-90400.197119999997</v>
      </c>
      <c r="F27" s="59">
        <f t="shared" si="20"/>
        <v>40000</v>
      </c>
      <c r="G27" s="59">
        <f t="shared" si="21"/>
        <v>87452.489337999999</v>
      </c>
      <c r="H27" s="59">
        <f t="shared" si="22"/>
        <v>40000</v>
      </c>
      <c r="J27" s="25">
        <f t="shared" si="40"/>
        <v>151909.4296</v>
      </c>
      <c r="K27" s="25"/>
      <c r="L27" s="25" t="str">
        <f>HLOOKUP(J27,D27:$H$34,N5,FALSE)</f>
        <v>OptOpt_EB</v>
      </c>
      <c r="N27" s="25"/>
      <c r="S27" s="34">
        <v>6</v>
      </c>
      <c r="U27" s="36" t="s">
        <v>2</v>
      </c>
      <c r="V27" s="35">
        <f t="shared" si="23"/>
        <v>40000</v>
      </c>
      <c r="W27" s="35">
        <f t="shared" si="24"/>
        <v>40000</v>
      </c>
      <c r="X27" s="35">
        <f t="shared" si="25"/>
        <v>40000</v>
      </c>
      <c r="Y27" s="35">
        <f t="shared" si="26"/>
        <v>40000</v>
      </c>
      <c r="Z27" s="35">
        <f t="shared" si="27"/>
        <v>40000</v>
      </c>
      <c r="AA27" s="35">
        <f t="shared" si="28"/>
        <v>158943.12429000001</v>
      </c>
      <c r="AB27" s="35">
        <f t="shared" si="29"/>
        <v>158926.00407600001</v>
      </c>
      <c r="AC27" s="35">
        <f t="shared" si="30"/>
        <v>158891.76364799999</v>
      </c>
      <c r="AD27" s="35">
        <f t="shared" si="31"/>
        <v>158908.56385800001</v>
      </c>
      <c r="AE27" s="35">
        <f t="shared" si="32"/>
        <v>158916.56395800001</v>
      </c>
      <c r="AF27" s="35">
        <f t="shared" si="33"/>
        <v>155783.8848</v>
      </c>
      <c r="AG27" s="35">
        <f t="shared" si="34"/>
        <v>155855.88570000001</v>
      </c>
      <c r="AH27" s="35">
        <f t="shared" si="35"/>
        <v>155825.645322</v>
      </c>
      <c r="AI27" s="35">
        <f t="shared" si="36"/>
        <v>155887.32609300001</v>
      </c>
      <c r="AJ27" s="35">
        <f t="shared" si="37"/>
        <v>155858.28573</v>
      </c>
      <c r="AL27" s="34">
        <f t="shared" si="38"/>
        <v>118253.13649833333</v>
      </c>
      <c r="AN27" s="34">
        <f t="shared" si="39"/>
        <v>158917.203966</v>
      </c>
    </row>
    <row r="28" spans="1:40" ht="12.75" x14ac:dyDescent="0.25">
      <c r="A28" s="34">
        <v>42111864.087324001</v>
      </c>
      <c r="C28" s="36" t="str">
        <f t="shared" si="17"/>
        <v>(1, 0)</v>
      </c>
      <c r="D28" s="59">
        <f t="shared" si="18"/>
        <v>155768.644</v>
      </c>
      <c r="E28" s="59">
        <f t="shared" si="19"/>
        <v>-15982.37348</v>
      </c>
      <c r="F28" s="59">
        <f t="shared" si="20"/>
        <v>40000</v>
      </c>
      <c r="G28" s="59">
        <f t="shared" si="21"/>
        <v>22179.855048000001</v>
      </c>
      <c r="H28" s="59">
        <f t="shared" si="22"/>
        <v>40000</v>
      </c>
      <c r="J28" s="25">
        <f t="shared" si="40"/>
        <v>155768.644</v>
      </c>
      <c r="K28" s="25"/>
      <c r="L28" s="25" t="str">
        <f>HLOOKUP(J28,D28:$H$34,N6,FALSE)</f>
        <v>OptOpt_EB</v>
      </c>
      <c r="N28" s="25"/>
      <c r="S28" s="34">
        <v>7</v>
      </c>
      <c r="U28" s="36" t="s">
        <v>3</v>
      </c>
      <c r="V28" s="35">
        <f t="shared" si="23"/>
        <v>40000</v>
      </c>
      <c r="W28" s="35">
        <f t="shared" si="24"/>
        <v>40000</v>
      </c>
      <c r="X28" s="35">
        <f t="shared" si="25"/>
        <v>40000</v>
      </c>
      <c r="Y28" s="35">
        <f t="shared" si="26"/>
        <v>40000</v>
      </c>
      <c r="Z28" s="35">
        <f t="shared" si="27"/>
        <v>40000</v>
      </c>
      <c r="AA28" s="35">
        <f t="shared" si="28"/>
        <v>158878.00347600001</v>
      </c>
      <c r="AB28" s="35">
        <f t="shared" si="29"/>
        <v>158873.84342399999</v>
      </c>
      <c r="AC28" s="35">
        <f t="shared" si="30"/>
        <v>158866.80333600001</v>
      </c>
      <c r="AD28" s="35">
        <f t="shared" si="31"/>
        <v>158917.04396400001</v>
      </c>
      <c r="AE28" s="35">
        <f t="shared" si="32"/>
        <v>158855.44319399999</v>
      </c>
      <c r="AF28" s="35">
        <f t="shared" si="33"/>
        <v>155835.485445</v>
      </c>
      <c r="AG28" s="35">
        <f t="shared" si="34"/>
        <v>155817.24521699999</v>
      </c>
      <c r="AH28" s="35">
        <f t="shared" si="35"/>
        <v>155782.924788</v>
      </c>
      <c r="AI28" s="35">
        <f t="shared" si="36"/>
        <v>155812.205154</v>
      </c>
      <c r="AJ28" s="35">
        <f t="shared" si="37"/>
        <v>155820.84526199999</v>
      </c>
      <c r="AL28" s="34">
        <f t="shared" si="38"/>
        <v>118230.65621733334</v>
      </c>
      <c r="AN28" s="34">
        <f t="shared" si="39"/>
        <v>158878.22747880002</v>
      </c>
    </row>
    <row r="29" spans="1:40" ht="12.75" x14ac:dyDescent="0.25">
      <c r="A29" s="34">
        <v>0.33333333333333298</v>
      </c>
      <c r="C29" s="36" t="str">
        <f t="shared" si="17"/>
        <v>(1, 1)</v>
      </c>
      <c r="D29" s="59">
        <f t="shared" si="18"/>
        <v>155790.04620000001</v>
      </c>
      <c r="E29" s="59">
        <f t="shared" si="19"/>
        <v>-14818.44029</v>
      </c>
      <c r="F29" s="59">
        <f t="shared" si="20"/>
        <v>40000</v>
      </c>
      <c r="G29" s="59">
        <f t="shared" si="21"/>
        <v>25039.805172</v>
      </c>
      <c r="H29" s="59">
        <f t="shared" si="22"/>
        <v>40000</v>
      </c>
      <c r="J29" s="25">
        <f t="shared" si="40"/>
        <v>155790.04620000001</v>
      </c>
      <c r="K29" s="25"/>
      <c r="L29" s="25" t="str">
        <f>HLOOKUP(J29,D29:$H$34,N7,FALSE)</f>
        <v>OptOpt_EB</v>
      </c>
      <c r="N29" s="25"/>
      <c r="S29" s="34">
        <v>8</v>
      </c>
      <c r="U29" s="36" t="s">
        <v>6</v>
      </c>
      <c r="V29" s="35">
        <f t="shared" si="23"/>
        <v>70000</v>
      </c>
      <c r="W29" s="35">
        <f t="shared" si="24"/>
        <v>70000</v>
      </c>
      <c r="X29" s="35">
        <f t="shared" si="25"/>
        <v>70000</v>
      </c>
      <c r="Y29" s="35">
        <f t="shared" si="26"/>
        <v>70000</v>
      </c>
      <c r="Z29" s="35">
        <f t="shared" si="27"/>
        <v>70000</v>
      </c>
      <c r="AA29" s="35">
        <f t="shared" si="28"/>
        <v>81788.435763999994</v>
      </c>
      <c r="AB29" s="35">
        <f t="shared" si="29"/>
        <v>81780.135597999993</v>
      </c>
      <c r="AC29" s="35">
        <f t="shared" si="30"/>
        <v>81805.036095999996</v>
      </c>
      <c r="AD29" s="35">
        <f t="shared" si="31"/>
        <v>81792.935853999996</v>
      </c>
      <c r="AE29" s="35">
        <f t="shared" si="32"/>
        <v>81833.036655999997</v>
      </c>
      <c r="AF29" s="35">
        <f t="shared" si="33"/>
        <v>91256.914275999996</v>
      </c>
      <c r="AG29" s="35">
        <f t="shared" si="34"/>
        <v>91232.073862000005</v>
      </c>
      <c r="AH29" s="35">
        <f t="shared" si="35"/>
        <v>91236.213931000006</v>
      </c>
      <c r="AI29" s="35">
        <f t="shared" si="36"/>
        <v>91268.434468000007</v>
      </c>
      <c r="AJ29" s="35">
        <f t="shared" si="37"/>
        <v>91290.214831000005</v>
      </c>
      <c r="AL29" s="34">
        <f t="shared" si="38"/>
        <v>81018.89542239999</v>
      </c>
    </row>
    <row r="30" spans="1:40" ht="12.75" x14ac:dyDescent="0.25">
      <c r="A30" s="34">
        <v>90000</v>
      </c>
      <c r="C30" s="36" t="str">
        <f t="shared" si="17"/>
        <v>Inspector</v>
      </c>
      <c r="D30" s="59">
        <f t="shared" si="18"/>
        <v>1700048.533824</v>
      </c>
      <c r="E30" s="59">
        <f t="shared" si="19"/>
        <v>765859.66319600004</v>
      </c>
      <c r="F30" s="59">
        <f t="shared" si="20"/>
        <v>738087.08797800005</v>
      </c>
      <c r="G30" s="59">
        <f t="shared" si="21"/>
        <v>81853.100000000006</v>
      </c>
      <c r="H30" s="59">
        <f t="shared" si="22"/>
        <v>70000</v>
      </c>
      <c r="J30" s="25">
        <f t="shared" si="40"/>
        <v>1700048.533824</v>
      </c>
      <c r="K30" s="25"/>
      <c r="L30" s="25" t="str">
        <f>HLOOKUP(J30,D30:$H$34,N8,FALSE)</f>
        <v>OptOpt_EB</v>
      </c>
      <c r="N30" s="25"/>
      <c r="S30" s="34">
        <v>9</v>
      </c>
      <c r="U30" s="37" t="s">
        <v>23</v>
      </c>
      <c r="V30" s="35">
        <f t="shared" si="23"/>
        <v>2590000</v>
      </c>
      <c r="W30" s="35">
        <f t="shared" si="24"/>
        <v>2590000</v>
      </c>
      <c r="X30" s="35">
        <f t="shared" si="25"/>
        <v>2590000</v>
      </c>
      <c r="Y30" s="35">
        <f t="shared" si="26"/>
        <v>2590000</v>
      </c>
      <c r="Z30" s="35">
        <f t="shared" si="27"/>
        <v>2590000</v>
      </c>
      <c r="AA30" s="35">
        <f t="shared" si="28"/>
        <v>2090000</v>
      </c>
      <c r="AB30" s="35">
        <f t="shared" si="29"/>
        <v>2090000</v>
      </c>
      <c r="AC30" s="35">
        <f t="shared" si="30"/>
        <v>2090000</v>
      </c>
      <c r="AD30" s="35">
        <f t="shared" si="31"/>
        <v>2090000</v>
      </c>
      <c r="AE30" s="35">
        <f t="shared" si="32"/>
        <v>2090000</v>
      </c>
      <c r="AF30" s="35">
        <f t="shared" si="33"/>
        <v>2090000</v>
      </c>
      <c r="AG30" s="35">
        <f t="shared" si="34"/>
        <v>2090000</v>
      </c>
      <c r="AH30" s="35">
        <f t="shared" si="35"/>
        <v>2090000</v>
      </c>
      <c r="AI30" s="35">
        <f t="shared" si="36"/>
        <v>2090000</v>
      </c>
      <c r="AJ30" s="35">
        <f t="shared" si="37"/>
        <v>2090000</v>
      </c>
      <c r="AL30" s="34">
        <f t="shared" si="38"/>
        <v>2256666.6666666665</v>
      </c>
    </row>
    <row r="31" spans="1:40" ht="12.75" x14ac:dyDescent="0.25">
      <c r="A31" s="34">
        <v>90000</v>
      </c>
      <c r="C31" s="36" t="str">
        <f t="shared" si="17"/>
        <v>State</v>
      </c>
      <c r="D31" s="59">
        <f t="shared" si="18"/>
        <v>117195548.91755199</v>
      </c>
      <c r="E31" s="59">
        <f t="shared" si="19"/>
        <v>1935007.4454640001</v>
      </c>
      <c r="F31" s="59">
        <f t="shared" si="20"/>
        <v>1590000</v>
      </c>
      <c r="G31" s="59">
        <f t="shared" si="21"/>
        <v>2513751.406806</v>
      </c>
      <c r="H31" s="59">
        <f t="shared" si="22"/>
        <v>2590000</v>
      </c>
      <c r="J31" s="25">
        <f t="shared" si="40"/>
        <v>117195548.91755199</v>
      </c>
      <c r="K31" s="25"/>
      <c r="L31" s="25" t="str">
        <f>HLOOKUP(J31,D31:$H$34,N9,FALSE)</f>
        <v>OptOpt_EB</v>
      </c>
      <c r="N31" s="25"/>
      <c r="S31" s="34">
        <v>10</v>
      </c>
      <c r="U31" s="37" t="s">
        <v>24</v>
      </c>
      <c r="V31" s="35">
        <f t="shared" si="23"/>
        <v>0</v>
      </c>
      <c r="W31" s="35">
        <f t="shared" si="24"/>
        <v>0</v>
      </c>
      <c r="X31" s="35">
        <f t="shared" si="25"/>
        <v>0</v>
      </c>
      <c r="Y31" s="35">
        <f t="shared" si="26"/>
        <v>0</v>
      </c>
      <c r="Z31" s="35">
        <f t="shared" si="27"/>
        <v>0</v>
      </c>
      <c r="AA31" s="35">
        <f t="shared" si="28"/>
        <v>0.16666666666666599</v>
      </c>
      <c r="AB31" s="35">
        <f t="shared" si="29"/>
        <v>0.16666666666666599</v>
      </c>
      <c r="AC31" s="35">
        <f t="shared" si="30"/>
        <v>0.16666666666666599</v>
      </c>
      <c r="AD31" s="35">
        <f t="shared" si="31"/>
        <v>0.16666666666666599</v>
      </c>
      <c r="AE31" s="35">
        <f t="shared" si="32"/>
        <v>0.16666666666666599</v>
      </c>
      <c r="AF31" s="35">
        <f t="shared" si="33"/>
        <v>0.16666666666666599</v>
      </c>
      <c r="AG31" s="35">
        <f t="shared" si="34"/>
        <v>0.16666666666666599</v>
      </c>
      <c r="AH31" s="35">
        <f t="shared" si="35"/>
        <v>0.16666666666666599</v>
      </c>
      <c r="AI31" s="35">
        <f t="shared" si="36"/>
        <v>0.16666666666666599</v>
      </c>
      <c r="AJ31" s="35">
        <f t="shared" si="37"/>
        <v>0.16666666666666599</v>
      </c>
      <c r="AL31" s="34">
        <f t="shared" si="38"/>
        <v>0.11111111111111067</v>
      </c>
    </row>
    <row r="32" spans="1:40" x14ac:dyDescent="0.25">
      <c r="A32" s="34">
        <v>88501.876722000001</v>
      </c>
      <c r="C32" s="36" t="str">
        <f t="shared" si="17"/>
        <v>LoC</v>
      </c>
      <c r="D32" s="59">
        <f t="shared" si="18"/>
        <v>0.5</v>
      </c>
      <c r="E32" s="59">
        <f t="shared" si="19"/>
        <v>0.5</v>
      </c>
      <c r="F32" s="59">
        <f t="shared" si="20"/>
        <v>0.33333333333333298</v>
      </c>
      <c r="G32" s="59">
        <f t="shared" si="21"/>
        <v>0.16666666666666599</v>
      </c>
      <c r="H32" s="59">
        <f t="shared" si="22"/>
        <v>0</v>
      </c>
    </row>
    <row r="33" spans="1:14" x14ac:dyDescent="0.25">
      <c r="A33" s="34">
        <v>87884.807379999998</v>
      </c>
      <c r="D33" s="60"/>
      <c r="E33" s="60"/>
      <c r="F33" s="60"/>
      <c r="G33" s="60"/>
      <c r="H33" s="60"/>
    </row>
    <row r="34" spans="1:14" ht="12.75" x14ac:dyDescent="0.25">
      <c r="A34" s="34">
        <v>22553.052673999999</v>
      </c>
      <c r="B34" s="39">
        <v>4</v>
      </c>
      <c r="C34" s="36" t="str">
        <f>A140</f>
        <v>(40000.5, 3080001)</v>
      </c>
      <c r="D34" s="61" t="str">
        <f>D23</f>
        <v>OptOpt_EB</v>
      </c>
      <c r="E34" s="61" t="str">
        <f t="shared" ref="E34:H34" si="41">E23</f>
        <v>OptOpt_BB</v>
      </c>
      <c r="F34" s="61" t="str">
        <f t="shared" si="41"/>
        <v>NoneOpt_NBB</v>
      </c>
      <c r="G34" s="61" t="str">
        <f t="shared" si="41"/>
        <v>OptNone_BNB</v>
      </c>
      <c r="H34" s="61" t="str">
        <f t="shared" si="41"/>
        <v>NoneNone_NBNB</v>
      </c>
      <c r="J34" s="26" t="s">
        <v>19</v>
      </c>
      <c r="K34" s="26"/>
      <c r="L34" s="26" t="s">
        <v>20</v>
      </c>
    </row>
    <row r="35" spans="1:14" ht="12.75" x14ac:dyDescent="0.25">
      <c r="A35" s="34">
        <v>23218.157353999999</v>
      </c>
      <c r="B35" s="39" t="s">
        <v>10</v>
      </c>
      <c r="C35" s="36" t="str">
        <f t="shared" ref="C35:C43" si="42">C2</f>
        <v>(3, 0)</v>
      </c>
      <c r="D35" s="59">
        <f t="shared" ref="D35:D43" si="43">A141</f>
        <v>-774409.64298999996</v>
      </c>
      <c r="E35" s="59">
        <f t="shared" ref="E35:E43" si="44">A150</f>
        <v>74481.752624000001</v>
      </c>
      <c r="F35" s="59">
        <f t="shared" ref="F35:F43" si="45">A159</f>
        <v>79385.114216000002</v>
      </c>
      <c r="G35" s="59">
        <f t="shared" ref="G35:G43" si="46">A168</f>
        <v>90000</v>
      </c>
      <c r="H35" s="59">
        <f t="shared" ref="H35:H43" si="47">A177</f>
        <v>90000</v>
      </c>
      <c r="J35" s="25">
        <f>MAX(D35:H35)</f>
        <v>90000</v>
      </c>
      <c r="K35" s="25"/>
      <c r="L35" s="25" t="str">
        <f>HLOOKUP(J35,D35:$H$45,N2,FALSE)</f>
        <v>OptNone_BNB</v>
      </c>
      <c r="N35" s="25"/>
    </row>
    <row r="36" spans="1:14" ht="12.75" x14ac:dyDescent="0.25">
      <c r="A36" s="34">
        <v>81849.5</v>
      </c>
      <c r="C36" s="36" t="str">
        <f t="shared" si="42"/>
        <v>(3, 1)</v>
      </c>
      <c r="D36" s="59">
        <f t="shared" si="43"/>
        <v>-524208.84175600001</v>
      </c>
      <c r="E36" s="59">
        <f t="shared" si="44"/>
        <v>78307.113866</v>
      </c>
      <c r="F36" s="59">
        <f t="shared" si="45"/>
        <v>74808.232730000003</v>
      </c>
      <c r="G36" s="59">
        <f t="shared" si="46"/>
        <v>90000</v>
      </c>
      <c r="H36" s="59">
        <f t="shared" si="47"/>
        <v>90000</v>
      </c>
      <c r="J36" s="25">
        <f t="shared" ref="J36:J42" si="48">MAX(D36:H36)</f>
        <v>90000</v>
      </c>
      <c r="K36" s="25"/>
      <c r="L36" s="25" t="str">
        <f>HLOOKUP(J36,D36:$H$45,N3,FALSE)</f>
        <v>OptNone_BNB</v>
      </c>
      <c r="N36" s="25"/>
    </row>
    <row r="37" spans="1:14" ht="12.75" x14ac:dyDescent="0.25">
      <c r="A37" s="34">
        <v>2513622.7058700002</v>
      </c>
      <c r="C37" s="36" t="str">
        <f t="shared" si="42"/>
        <v>(2, 0)</v>
      </c>
      <c r="D37" s="59">
        <f t="shared" si="43"/>
        <v>165000</v>
      </c>
      <c r="E37" s="59">
        <f t="shared" si="44"/>
        <v>-92003.838403999995</v>
      </c>
      <c r="F37" s="59">
        <f t="shared" si="45"/>
        <v>40000</v>
      </c>
      <c r="G37" s="59">
        <f t="shared" si="46"/>
        <v>88202.579616000003</v>
      </c>
      <c r="H37" s="59">
        <f t="shared" si="47"/>
        <v>40000</v>
      </c>
      <c r="J37" s="25">
        <f t="shared" si="48"/>
        <v>165000</v>
      </c>
      <c r="K37" s="25"/>
      <c r="L37" s="25" t="str">
        <f>HLOOKUP(J37,D37:$H$45,N4,FALSE)</f>
        <v>OptOpt_EB</v>
      </c>
      <c r="N37" s="25"/>
    </row>
    <row r="38" spans="1:14" ht="12.75" x14ac:dyDescent="0.25">
      <c r="A38" s="34">
        <v>0.16666666666666599</v>
      </c>
      <c r="C38" s="36" t="str">
        <f t="shared" si="42"/>
        <v>(2, 1)</v>
      </c>
      <c r="D38" s="59">
        <f t="shared" si="43"/>
        <v>165000</v>
      </c>
      <c r="E38" s="59">
        <f t="shared" si="44"/>
        <v>-90832.515161999996</v>
      </c>
      <c r="F38" s="59">
        <f t="shared" si="45"/>
        <v>40000</v>
      </c>
      <c r="G38" s="59">
        <f t="shared" si="46"/>
        <v>87781.346651999993</v>
      </c>
      <c r="H38" s="59">
        <f t="shared" si="47"/>
        <v>40000</v>
      </c>
      <c r="J38" s="25">
        <f t="shared" si="48"/>
        <v>165000</v>
      </c>
      <c r="K38" s="25"/>
      <c r="L38" s="25" t="str">
        <f>HLOOKUP(J38,D38:$H$45,N5,FALSE)</f>
        <v>OptOpt_EB</v>
      </c>
      <c r="N38" s="25"/>
    </row>
    <row r="39" spans="1:14" ht="12.75" x14ac:dyDescent="0.25">
      <c r="A39" s="34">
        <v>90000</v>
      </c>
      <c r="C39" s="36" t="str">
        <f t="shared" si="42"/>
        <v>(1, 0)</v>
      </c>
      <c r="D39" s="59">
        <f t="shared" si="43"/>
        <v>165000</v>
      </c>
      <c r="E39" s="59">
        <f t="shared" si="44"/>
        <v>-15176.857812</v>
      </c>
      <c r="F39" s="59">
        <f t="shared" si="45"/>
        <v>40000</v>
      </c>
      <c r="G39" s="59">
        <f t="shared" si="46"/>
        <v>23391.823575999999</v>
      </c>
      <c r="H39" s="59">
        <f t="shared" si="47"/>
        <v>40000</v>
      </c>
      <c r="J39" s="25">
        <f t="shared" si="48"/>
        <v>165000</v>
      </c>
      <c r="K39" s="25"/>
      <c r="L39" s="25" t="str">
        <f>HLOOKUP(J39,D39:$H$45,N6,FALSE)</f>
        <v>OptOpt_EB</v>
      </c>
      <c r="N39" s="25"/>
    </row>
    <row r="40" spans="1:14" ht="12.75" x14ac:dyDescent="0.25">
      <c r="A40" s="34">
        <v>90000</v>
      </c>
      <c r="C40" s="36" t="str">
        <f t="shared" si="42"/>
        <v>(1, 1)</v>
      </c>
      <c r="D40" s="59">
        <f t="shared" si="43"/>
        <v>165000</v>
      </c>
      <c r="E40" s="59">
        <f t="shared" si="44"/>
        <v>-13713.627516</v>
      </c>
      <c r="F40" s="59">
        <f t="shared" si="45"/>
        <v>40000</v>
      </c>
      <c r="G40" s="59">
        <f t="shared" si="46"/>
        <v>25043.500198000002</v>
      </c>
      <c r="H40" s="59">
        <f t="shared" si="47"/>
        <v>40000</v>
      </c>
      <c r="J40" s="25">
        <f t="shared" si="48"/>
        <v>165000</v>
      </c>
      <c r="K40" s="25"/>
      <c r="L40" s="25" t="str">
        <f>HLOOKUP(J40,D40:$H$45,N7,FALSE)</f>
        <v>OptOpt_EB</v>
      </c>
      <c r="N40" s="25"/>
    </row>
    <row r="41" spans="1:14" ht="12.75" x14ac:dyDescent="0.25">
      <c r="A41" s="34">
        <v>40000</v>
      </c>
      <c r="C41" s="36" t="str">
        <f t="shared" si="42"/>
        <v>Inspector</v>
      </c>
      <c r="D41" s="59">
        <f t="shared" si="43"/>
        <v>1711622.559746</v>
      </c>
      <c r="E41" s="59">
        <f t="shared" si="44"/>
        <v>779789.05851</v>
      </c>
      <c r="F41" s="59">
        <f t="shared" si="45"/>
        <v>751549.41805400001</v>
      </c>
      <c r="G41" s="59">
        <f t="shared" si="46"/>
        <v>81788.3</v>
      </c>
      <c r="H41" s="59">
        <f t="shared" si="47"/>
        <v>70000</v>
      </c>
      <c r="J41" s="25">
        <f t="shared" si="48"/>
        <v>1711622.559746</v>
      </c>
      <c r="K41" s="25"/>
      <c r="L41" s="25" t="str">
        <f>HLOOKUP(J41,D41:$H$45,N8,FALSE)</f>
        <v>OptOpt_EB</v>
      </c>
      <c r="N41" s="25"/>
    </row>
    <row r="42" spans="1:14" ht="12.75" x14ac:dyDescent="0.25">
      <c r="A42" s="34">
        <v>40000</v>
      </c>
      <c r="C42" s="36" t="str">
        <f t="shared" si="42"/>
        <v>State</v>
      </c>
      <c r="D42" s="59">
        <f t="shared" si="43"/>
        <v>1090000</v>
      </c>
      <c r="E42" s="59">
        <f t="shared" si="44"/>
        <v>1933416.558894</v>
      </c>
      <c r="F42" s="59">
        <f t="shared" si="45"/>
        <v>1590000</v>
      </c>
      <c r="G42" s="59">
        <f t="shared" si="46"/>
        <v>2511434.7899580002</v>
      </c>
      <c r="H42" s="59">
        <f t="shared" si="47"/>
        <v>2590000</v>
      </c>
      <c r="J42" s="25">
        <f t="shared" si="48"/>
        <v>2590000</v>
      </c>
      <c r="K42" s="25"/>
      <c r="L42" s="25" t="str">
        <f>HLOOKUP(J42,D42:$H$45,N9,FALSE)</f>
        <v>NoneNone_NBNB</v>
      </c>
      <c r="N42" s="25"/>
    </row>
    <row r="43" spans="1:14" x14ac:dyDescent="0.25">
      <c r="A43" s="34">
        <v>40000</v>
      </c>
      <c r="C43" s="36" t="str">
        <f t="shared" si="42"/>
        <v>LoC</v>
      </c>
      <c r="D43" s="59">
        <f t="shared" si="43"/>
        <v>0.5</v>
      </c>
      <c r="E43" s="59">
        <f t="shared" si="44"/>
        <v>0.5</v>
      </c>
      <c r="F43" s="59">
        <f t="shared" si="45"/>
        <v>0.33333333333333298</v>
      </c>
      <c r="G43" s="59">
        <f t="shared" si="46"/>
        <v>0.16666666666666599</v>
      </c>
      <c r="H43" s="59">
        <f t="shared" si="47"/>
        <v>0</v>
      </c>
    </row>
    <row r="44" spans="1:14" x14ac:dyDescent="0.25">
      <c r="A44" s="34">
        <v>40000</v>
      </c>
      <c r="D44" s="60"/>
      <c r="E44" s="60"/>
      <c r="F44" s="60"/>
      <c r="G44" s="60"/>
      <c r="H44" s="60"/>
    </row>
    <row r="45" spans="1:14" ht="12.75" x14ac:dyDescent="0.25">
      <c r="A45" s="34">
        <v>70000</v>
      </c>
      <c r="B45" s="39">
        <v>5</v>
      </c>
      <c r="C45" s="36" t="str">
        <f>A186</f>
        <v>(40000.5, 4620001.5)</v>
      </c>
      <c r="D45" s="61" t="str">
        <f>D34</f>
        <v>OptOpt_EB</v>
      </c>
      <c r="E45" s="61" t="str">
        <f t="shared" ref="E45:H45" si="49">E34</f>
        <v>OptOpt_BB</v>
      </c>
      <c r="F45" s="61" t="str">
        <f t="shared" si="49"/>
        <v>NoneOpt_NBB</v>
      </c>
      <c r="G45" s="61" t="str">
        <f t="shared" si="49"/>
        <v>OptNone_BNB</v>
      </c>
      <c r="H45" s="61" t="str">
        <f t="shared" si="49"/>
        <v>NoneNone_NBNB</v>
      </c>
      <c r="J45" s="26" t="s">
        <v>19</v>
      </c>
      <c r="K45" s="26"/>
      <c r="L45" s="26" t="s">
        <v>20</v>
      </c>
    </row>
    <row r="46" spans="1:14" ht="12.75" x14ac:dyDescent="0.25">
      <c r="A46" s="34">
        <v>2590000</v>
      </c>
      <c r="B46" s="39" t="s">
        <v>10</v>
      </c>
      <c r="C46" s="36" t="str">
        <f t="shared" ref="C46:C54" si="50">C2</f>
        <v>(3, 0)</v>
      </c>
      <c r="D46" s="59">
        <f t="shared" ref="D46:D54" si="51">A187</f>
        <v>-1458416.26507</v>
      </c>
      <c r="E46" s="59">
        <f t="shared" ref="E46:E54" si="52">A196</f>
        <v>-180403.73013099999</v>
      </c>
      <c r="F46" s="59">
        <f t="shared" ref="F46:F54" si="53">A205</f>
        <v>-179535.169849</v>
      </c>
      <c r="G46" s="59">
        <f t="shared" ref="G46:G54" si="54">A214</f>
        <v>90000</v>
      </c>
      <c r="H46" s="59">
        <f t="shared" ref="H46:H54" si="55">A223</f>
        <v>90000</v>
      </c>
      <c r="J46" s="25">
        <f>MAX(D46:H46)</f>
        <v>90000</v>
      </c>
      <c r="K46" s="25"/>
      <c r="L46" s="25" t="str">
        <f>HLOOKUP(J46,D46:$H$56,N2,FALSE)</f>
        <v>OptNone_BNB</v>
      </c>
      <c r="N46" s="25"/>
    </row>
    <row r="47" spans="1:14" ht="12.75" x14ac:dyDescent="0.25">
      <c r="A47" s="34">
        <v>0</v>
      </c>
      <c r="C47" s="36" t="str">
        <f t="shared" si="50"/>
        <v>(3, 1)</v>
      </c>
      <c r="D47" s="59">
        <f t="shared" si="51"/>
        <v>-1082976.4631739999</v>
      </c>
      <c r="E47" s="59">
        <f t="shared" si="52"/>
        <v>-178694.32957599999</v>
      </c>
      <c r="F47" s="59">
        <f t="shared" si="53"/>
        <v>-182815.370914</v>
      </c>
      <c r="G47" s="59">
        <f t="shared" si="54"/>
        <v>90000</v>
      </c>
      <c r="H47" s="59">
        <f t="shared" si="55"/>
        <v>90000</v>
      </c>
      <c r="J47" s="25">
        <f t="shared" ref="J47:J53" si="56">MAX(D47:H47)</f>
        <v>90000</v>
      </c>
      <c r="K47" s="25"/>
      <c r="L47" s="25" t="str">
        <f>HLOOKUP(J47,D47:$H$56,N3,FALSE)</f>
        <v>OptNone_BNB</v>
      </c>
      <c r="N47" s="25"/>
    </row>
    <row r="48" spans="1:14" ht="12.75" x14ac:dyDescent="0.25">
      <c r="A48" s="34" t="s">
        <v>230</v>
      </c>
      <c r="C48" s="36" t="str">
        <f t="shared" si="50"/>
        <v>(2, 0)</v>
      </c>
      <c r="D48" s="59">
        <f t="shared" si="51"/>
        <v>165000</v>
      </c>
      <c r="E48" s="59">
        <f t="shared" si="52"/>
        <v>-90352.161781999996</v>
      </c>
      <c r="F48" s="59">
        <f t="shared" si="53"/>
        <v>40000</v>
      </c>
      <c r="G48" s="59">
        <f t="shared" si="54"/>
        <v>88812.258906000003</v>
      </c>
      <c r="H48" s="59">
        <f t="shared" si="55"/>
        <v>40000</v>
      </c>
      <c r="J48" s="25">
        <f t="shared" si="56"/>
        <v>165000</v>
      </c>
      <c r="K48" s="25"/>
      <c r="L48" s="25" t="str">
        <f>HLOOKUP(J48,D48:$H$56,N4,FALSE)</f>
        <v>OptOpt_EB</v>
      </c>
      <c r="N48" s="25"/>
    </row>
    <row r="49" spans="1:14" ht="12.75" x14ac:dyDescent="0.25">
      <c r="A49" s="34">
        <v>-67776749.180736005</v>
      </c>
      <c r="C49" s="36" t="str">
        <f t="shared" si="50"/>
        <v>(2, 1)</v>
      </c>
      <c r="D49" s="59">
        <f t="shared" si="51"/>
        <v>165000</v>
      </c>
      <c r="E49" s="59">
        <f t="shared" si="52"/>
        <v>-92088.824001999994</v>
      </c>
      <c r="F49" s="59">
        <f t="shared" si="53"/>
        <v>40000</v>
      </c>
      <c r="G49" s="59">
        <f t="shared" si="54"/>
        <v>87725.921262000003</v>
      </c>
      <c r="H49" s="59">
        <f t="shared" si="55"/>
        <v>40000</v>
      </c>
      <c r="J49" s="25">
        <f t="shared" si="56"/>
        <v>165000</v>
      </c>
      <c r="K49" s="25"/>
      <c r="L49" s="25" t="str">
        <f>HLOOKUP(J49,D49:$H$56,N5,FALSE)</f>
        <v>OptOpt_EB</v>
      </c>
      <c r="N49" s="25"/>
    </row>
    <row r="50" spans="1:14" ht="12.75" x14ac:dyDescent="0.25">
      <c r="A50" s="34">
        <v>-47354462.743919998</v>
      </c>
      <c r="C50" s="36" t="str">
        <f t="shared" si="50"/>
        <v>(1, 0)</v>
      </c>
      <c r="D50" s="59">
        <f t="shared" si="51"/>
        <v>165000</v>
      </c>
      <c r="E50" s="59">
        <f t="shared" si="52"/>
        <v>-15679.381348000001</v>
      </c>
      <c r="F50" s="59">
        <f t="shared" si="53"/>
        <v>40000</v>
      </c>
      <c r="G50" s="59">
        <f t="shared" si="54"/>
        <v>23613.525136</v>
      </c>
      <c r="H50" s="59">
        <f t="shared" si="55"/>
        <v>40000</v>
      </c>
      <c r="J50" s="25">
        <f t="shared" si="56"/>
        <v>165000</v>
      </c>
      <c r="K50" s="25"/>
      <c r="L50" s="25" t="str">
        <f>HLOOKUP(J50,D50:$H$56,N6,FALSE)</f>
        <v>OptOpt_EB</v>
      </c>
      <c r="N50" s="25"/>
    </row>
    <row r="51" spans="1:14" ht="12.75" x14ac:dyDescent="0.25">
      <c r="A51" s="34">
        <v>151923.63459999999</v>
      </c>
      <c r="C51" s="36" t="str">
        <f t="shared" si="50"/>
        <v>(1, 1)</v>
      </c>
      <c r="D51" s="59">
        <f t="shared" si="51"/>
        <v>165000</v>
      </c>
      <c r="E51" s="59">
        <f t="shared" si="52"/>
        <v>-14659.554172</v>
      </c>
      <c r="F51" s="59">
        <f t="shared" si="53"/>
        <v>40000</v>
      </c>
      <c r="G51" s="59">
        <f t="shared" si="54"/>
        <v>22176.160022</v>
      </c>
      <c r="H51" s="59">
        <f t="shared" si="55"/>
        <v>40000</v>
      </c>
      <c r="J51" s="25">
        <f t="shared" si="56"/>
        <v>165000</v>
      </c>
      <c r="K51" s="25"/>
      <c r="L51" s="25" t="str">
        <f>HLOOKUP(J51,D51:$H$56,N7,FALSE)</f>
        <v>OptOpt_EB</v>
      </c>
      <c r="N51" s="25"/>
    </row>
    <row r="52" spans="1:14" ht="12.75" x14ac:dyDescent="0.25">
      <c r="A52" s="34">
        <v>151824.7678</v>
      </c>
      <c r="C52" s="36" t="str">
        <f t="shared" si="50"/>
        <v>Inspector</v>
      </c>
      <c r="D52" s="59">
        <f t="shared" si="51"/>
        <v>2953620.0282439999</v>
      </c>
      <c r="E52" s="59">
        <f t="shared" si="52"/>
        <v>1292084.8547070001</v>
      </c>
      <c r="F52" s="59">
        <f t="shared" si="53"/>
        <v>1267294.2157630001</v>
      </c>
      <c r="G52" s="59">
        <f t="shared" si="54"/>
        <v>81844.899999999994</v>
      </c>
      <c r="H52" s="59">
        <f t="shared" si="55"/>
        <v>70000</v>
      </c>
      <c r="J52" s="25">
        <f t="shared" si="56"/>
        <v>2953620.0282439999</v>
      </c>
      <c r="K52" s="25"/>
      <c r="L52" s="25" t="str">
        <f>HLOOKUP(J52,D52:$H$56,N8,FALSE)</f>
        <v>OptOpt_EB</v>
      </c>
      <c r="N52" s="25"/>
    </row>
    <row r="53" spans="1:14" ht="12.75" x14ac:dyDescent="0.25">
      <c r="A53" s="34">
        <v>155818.64559999999</v>
      </c>
      <c r="C53" s="36" t="str">
        <f t="shared" si="50"/>
        <v>State</v>
      </c>
      <c r="D53" s="59">
        <f t="shared" si="51"/>
        <v>1090000</v>
      </c>
      <c r="E53" s="59">
        <f t="shared" si="52"/>
        <v>1934435.4413040001</v>
      </c>
      <c r="F53" s="59">
        <f t="shared" si="53"/>
        <v>1590000</v>
      </c>
      <c r="G53" s="59">
        <f t="shared" si="54"/>
        <v>2513458.2546740002</v>
      </c>
      <c r="H53" s="59">
        <f t="shared" si="55"/>
        <v>2590000</v>
      </c>
      <c r="J53" s="25">
        <f t="shared" si="56"/>
        <v>2590000</v>
      </c>
      <c r="K53" s="25"/>
      <c r="L53" s="25" t="str">
        <f>HLOOKUP(J53,D53:$H$56,N9,FALSE)</f>
        <v>NoneNone_NBNB</v>
      </c>
      <c r="N53" s="25"/>
    </row>
    <row r="54" spans="1:14" x14ac:dyDescent="0.25">
      <c r="A54" s="34">
        <v>155830.00959999999</v>
      </c>
      <c r="C54" s="36" t="str">
        <f t="shared" si="50"/>
        <v>LoC</v>
      </c>
      <c r="D54" s="59">
        <f t="shared" si="51"/>
        <v>0.5</v>
      </c>
      <c r="E54" s="59">
        <f t="shared" si="52"/>
        <v>0.5</v>
      </c>
      <c r="F54" s="59">
        <f t="shared" si="53"/>
        <v>0.33333333333333298</v>
      </c>
      <c r="G54" s="59">
        <f t="shared" si="54"/>
        <v>0.16666666666666599</v>
      </c>
      <c r="H54" s="59">
        <f t="shared" si="55"/>
        <v>0</v>
      </c>
    </row>
    <row r="55" spans="1:14" x14ac:dyDescent="0.25">
      <c r="A55" s="34">
        <v>1686022.774304</v>
      </c>
      <c r="D55" s="60"/>
      <c r="E55" s="60"/>
      <c r="F55" s="60"/>
      <c r="G55" s="60"/>
      <c r="H55" s="60"/>
    </row>
    <row r="56" spans="1:14" ht="12.75" x14ac:dyDescent="0.25">
      <c r="A56" s="34">
        <v>115472659.012752</v>
      </c>
      <c r="B56" s="39">
        <v>6</v>
      </c>
      <c r="C56" s="36" t="str">
        <f>A232</f>
        <v>(80001, 1500000.5)</v>
      </c>
      <c r="D56" s="61" t="str">
        <f>D45</f>
        <v>OptOpt_EB</v>
      </c>
      <c r="E56" s="61" t="str">
        <f t="shared" ref="E56:H56" si="57">E45</f>
        <v>OptOpt_BB</v>
      </c>
      <c r="F56" s="61" t="str">
        <f t="shared" si="57"/>
        <v>NoneOpt_NBB</v>
      </c>
      <c r="G56" s="61" t="str">
        <f t="shared" si="57"/>
        <v>OptNone_BNB</v>
      </c>
      <c r="H56" s="61" t="str">
        <f t="shared" si="57"/>
        <v>NoneNone_NBNB</v>
      </c>
      <c r="J56" s="26" t="s">
        <v>19</v>
      </c>
      <c r="K56" s="26"/>
      <c r="L56" s="26" t="s">
        <v>20</v>
      </c>
    </row>
    <row r="57" spans="1:14" ht="12.75" x14ac:dyDescent="0.25">
      <c r="A57" s="34">
        <v>0.5</v>
      </c>
      <c r="B57" s="39" t="s">
        <v>9</v>
      </c>
      <c r="C57" s="36" t="str">
        <f t="shared" ref="C57:C65" si="58">C2</f>
        <v>(3, 0)</v>
      </c>
      <c r="D57" s="59">
        <f>A233</f>
        <v>-54180129.587265</v>
      </c>
      <c r="E57" s="59">
        <f>A242</f>
        <v>-20010859.405606002</v>
      </c>
      <c r="F57" s="59">
        <f>A251</f>
        <v>-19911710.093044002</v>
      </c>
      <c r="G57" s="59">
        <f>A260</f>
        <v>90000</v>
      </c>
      <c r="H57" s="59">
        <f>A269</f>
        <v>90000</v>
      </c>
      <c r="J57" s="25">
        <f>MAX(D57:H57)</f>
        <v>90000</v>
      </c>
      <c r="K57" s="25"/>
      <c r="L57" s="25" t="str">
        <f>HLOOKUP(J57,D57:$H$67,N2,FALSE)</f>
        <v>OptNone_BNB</v>
      </c>
      <c r="N57" s="25"/>
    </row>
    <row r="58" spans="1:14" ht="12.75" x14ac:dyDescent="0.25">
      <c r="A58" s="34">
        <v>89281.833094000001</v>
      </c>
      <c r="C58" s="36" t="str">
        <f t="shared" si="58"/>
        <v>(3, 1)</v>
      </c>
      <c r="D58" s="59">
        <f t="shared" ref="D58:D65" si="59">A234</f>
        <v>-43860215.318062998</v>
      </c>
      <c r="E58" s="59">
        <f t="shared" ref="E58:E65" si="60">A243</f>
        <v>-19887539.365106001</v>
      </c>
      <c r="F58" s="59">
        <f t="shared" ref="F58:F65" si="61">A252</f>
        <v>-20012339.246091999</v>
      </c>
      <c r="G58" s="59">
        <f t="shared" ref="G58:G65" si="62">A261</f>
        <v>90000</v>
      </c>
      <c r="H58" s="59">
        <f t="shared" ref="H58:H65" si="63">A270</f>
        <v>90000</v>
      </c>
      <c r="J58" s="25">
        <f t="shared" ref="J58:J64" si="64">MAX(D58:H58)</f>
        <v>90000</v>
      </c>
      <c r="K58" s="25"/>
      <c r="L58" s="25" t="str">
        <f>HLOOKUP(J58,D58:$H$67,N3,FALSE)</f>
        <v>OptNone_BNB</v>
      </c>
      <c r="N58" s="25"/>
    </row>
    <row r="59" spans="1:14" ht="12.75" x14ac:dyDescent="0.25">
      <c r="A59" s="34">
        <v>87553.832517999996</v>
      </c>
      <c r="C59" s="36" t="str">
        <f t="shared" si="58"/>
        <v>(2, 0)</v>
      </c>
      <c r="D59" s="59">
        <f t="shared" si="59"/>
        <v>151857.34460000001</v>
      </c>
      <c r="E59" s="59">
        <f t="shared" si="60"/>
        <v>153938.26173</v>
      </c>
      <c r="F59" s="59">
        <f t="shared" si="61"/>
        <v>40000</v>
      </c>
      <c r="G59" s="59">
        <f t="shared" si="62"/>
        <v>161665.55832000001</v>
      </c>
      <c r="H59" s="59">
        <f t="shared" si="63"/>
        <v>40000</v>
      </c>
      <c r="J59" s="25">
        <f t="shared" si="64"/>
        <v>161665.55832000001</v>
      </c>
      <c r="K59" s="25"/>
      <c r="L59" s="25" t="str">
        <f>HLOOKUP(J59,D59:$H$67,N4,FALSE)</f>
        <v>OptNone_BNB</v>
      </c>
      <c r="N59" s="25"/>
    </row>
    <row r="60" spans="1:14" ht="12.75" x14ac:dyDescent="0.25">
      <c r="A60" s="34">
        <v>-89687.057102000006</v>
      </c>
      <c r="C60" s="36" t="str">
        <f t="shared" si="58"/>
        <v>(2, 1)</v>
      </c>
      <c r="D60" s="59">
        <f t="shared" si="59"/>
        <v>151871.5496</v>
      </c>
      <c r="E60" s="59">
        <f t="shared" si="60"/>
        <v>153810.26013000001</v>
      </c>
      <c r="F60" s="59">
        <f t="shared" si="61"/>
        <v>40000</v>
      </c>
      <c r="G60" s="59">
        <f t="shared" si="62"/>
        <v>161651.95814999999</v>
      </c>
      <c r="H60" s="59">
        <f t="shared" si="63"/>
        <v>40000</v>
      </c>
      <c r="J60" s="25">
        <f t="shared" si="64"/>
        <v>161651.95814999999</v>
      </c>
      <c r="K60" s="25"/>
      <c r="L60" s="25" t="str">
        <f>HLOOKUP(J60,D60:$H$67,N5,FALSE)</f>
        <v>OptNone_BNB</v>
      </c>
      <c r="N60" s="25"/>
    </row>
    <row r="61" spans="1:14" ht="12.75" x14ac:dyDescent="0.25">
      <c r="A61" s="34">
        <v>-92122.079236000005</v>
      </c>
      <c r="C61" s="36" t="str">
        <f t="shared" si="58"/>
        <v>(1, 0)</v>
      </c>
      <c r="D61" s="59">
        <f t="shared" si="59"/>
        <v>155852.73759999999</v>
      </c>
      <c r="E61" s="59">
        <f t="shared" si="60"/>
        <v>157223.26279199999</v>
      </c>
      <c r="F61" s="59">
        <f t="shared" si="61"/>
        <v>40000</v>
      </c>
      <c r="G61" s="59">
        <f t="shared" si="62"/>
        <v>158943.12429000001</v>
      </c>
      <c r="H61" s="59">
        <f t="shared" si="63"/>
        <v>40000</v>
      </c>
      <c r="J61" s="25">
        <f t="shared" si="64"/>
        <v>158943.12429000001</v>
      </c>
      <c r="K61" s="25"/>
      <c r="L61" s="25" t="str">
        <f>HLOOKUP(J61,D61:$H$67,N6,FALSE)</f>
        <v>OptNone_BNB</v>
      </c>
      <c r="N61" s="25"/>
    </row>
    <row r="62" spans="1:14" ht="12.75" x14ac:dyDescent="0.25">
      <c r="A62" s="34">
        <v>-14995.801538</v>
      </c>
      <c r="C62" s="36" t="str">
        <f t="shared" si="58"/>
        <v>(1, 1)</v>
      </c>
      <c r="D62" s="59">
        <f t="shared" si="59"/>
        <v>155766.18179999999</v>
      </c>
      <c r="E62" s="59">
        <f t="shared" si="60"/>
        <v>157211.10264</v>
      </c>
      <c r="F62" s="59">
        <f t="shared" si="61"/>
        <v>40000</v>
      </c>
      <c r="G62" s="59">
        <f t="shared" si="62"/>
        <v>158878.00347600001</v>
      </c>
      <c r="H62" s="59">
        <f t="shared" si="63"/>
        <v>40000</v>
      </c>
      <c r="J62" s="25">
        <f t="shared" si="64"/>
        <v>158878.00347600001</v>
      </c>
      <c r="K62" s="25"/>
      <c r="L62" s="25" t="str">
        <f>HLOOKUP(J62,D62:$H$67,N7,FALSE)</f>
        <v>OptNone_BNB</v>
      </c>
      <c r="N62" s="25"/>
    </row>
    <row r="63" spans="1:14" ht="12.75" x14ac:dyDescent="0.25">
      <c r="A63" s="34">
        <v>-15328.353878</v>
      </c>
      <c r="C63" s="36" t="str">
        <f t="shared" si="58"/>
        <v>Inspector</v>
      </c>
      <c r="D63" s="59">
        <f t="shared" si="59"/>
        <v>1684624.64</v>
      </c>
      <c r="E63" s="59">
        <f t="shared" si="60"/>
        <v>752349.03270800004</v>
      </c>
      <c r="F63" s="59">
        <f t="shared" si="61"/>
        <v>725421.8</v>
      </c>
      <c r="G63" s="59">
        <f t="shared" si="62"/>
        <v>81788.435763999994</v>
      </c>
      <c r="H63" s="59">
        <f t="shared" si="63"/>
        <v>70000</v>
      </c>
      <c r="J63" s="25">
        <f t="shared" si="64"/>
        <v>1684624.64</v>
      </c>
      <c r="K63" s="25"/>
      <c r="L63" s="25" t="str">
        <f>HLOOKUP(J63,D63:$H$67,N8,FALSE)</f>
        <v>OptOpt_EB</v>
      </c>
      <c r="N63" s="25"/>
    </row>
    <row r="64" spans="1:14" ht="12.75" x14ac:dyDescent="0.25">
      <c r="A64" s="34">
        <v>754855.504388</v>
      </c>
      <c r="C64" s="36" t="str">
        <f t="shared" si="58"/>
        <v>State</v>
      </c>
      <c r="D64" s="59">
        <f t="shared" si="59"/>
        <v>98717554.371728003</v>
      </c>
      <c r="E64" s="59">
        <f t="shared" si="60"/>
        <v>41502190.770712003</v>
      </c>
      <c r="F64" s="59">
        <f t="shared" si="61"/>
        <v>42027425.339135997</v>
      </c>
      <c r="G64" s="59">
        <f t="shared" si="62"/>
        <v>2090000</v>
      </c>
      <c r="H64" s="59">
        <f t="shared" si="63"/>
        <v>2590000</v>
      </c>
      <c r="J64" s="25">
        <f t="shared" si="64"/>
        <v>98717554.371728003</v>
      </c>
      <c r="K64" s="25"/>
      <c r="L64" s="25" t="str">
        <f>HLOOKUP(J64,D64:$H$67,N9,FALSE)</f>
        <v>OptOpt_EB</v>
      </c>
      <c r="N64" s="25"/>
    </row>
    <row r="65" spans="1:14" x14ac:dyDescent="0.25">
      <c r="A65" s="34">
        <v>1933809.8117539999</v>
      </c>
      <c r="C65" s="36" t="str">
        <f t="shared" si="58"/>
        <v>LoC</v>
      </c>
      <c r="D65" s="59">
        <f t="shared" si="59"/>
        <v>0.5</v>
      </c>
      <c r="E65" s="59">
        <f t="shared" si="60"/>
        <v>0.5</v>
      </c>
      <c r="F65" s="59">
        <f t="shared" si="61"/>
        <v>0.33333333333333298</v>
      </c>
      <c r="G65" s="59">
        <f t="shared" si="62"/>
        <v>0.16666666666666599</v>
      </c>
      <c r="H65" s="59">
        <f t="shared" si="63"/>
        <v>0</v>
      </c>
    </row>
    <row r="66" spans="1:14" x14ac:dyDescent="0.25">
      <c r="A66" s="34">
        <v>0.5</v>
      </c>
      <c r="D66" s="60"/>
      <c r="E66" s="60"/>
      <c r="F66" s="60"/>
      <c r="G66" s="60"/>
      <c r="H66" s="60"/>
    </row>
    <row r="67" spans="1:14" ht="12.75" x14ac:dyDescent="0.25">
      <c r="A67" s="34">
        <v>90517.833505999995</v>
      </c>
      <c r="B67" s="39">
        <v>7</v>
      </c>
      <c r="C67" s="36" t="str">
        <f>A278</f>
        <v>(80001, 3000001)</v>
      </c>
      <c r="D67" s="61" t="str">
        <f>D56</f>
        <v>OptOpt_EB</v>
      </c>
      <c r="E67" s="61" t="str">
        <f t="shared" ref="E67:H67" si="65">E56</f>
        <v>OptOpt_BB</v>
      </c>
      <c r="F67" s="61" t="str">
        <f t="shared" si="65"/>
        <v>NoneOpt_NBB</v>
      </c>
      <c r="G67" s="61" t="str">
        <f t="shared" si="65"/>
        <v>OptNone_BNB</v>
      </c>
      <c r="H67" s="61" t="str">
        <f t="shared" si="65"/>
        <v>NoneNone_NBNB</v>
      </c>
      <c r="J67" s="26" t="s">
        <v>19</v>
      </c>
      <c r="K67" s="26"/>
      <c r="L67" s="26" t="s">
        <v>20</v>
      </c>
    </row>
    <row r="68" spans="1:14" ht="12.75" x14ac:dyDescent="0.25">
      <c r="A68" s="34">
        <v>90037.833345999999</v>
      </c>
      <c r="B68" s="39" t="s">
        <v>9</v>
      </c>
      <c r="C68" s="36" t="str">
        <f>C57</f>
        <v>(3, 0)</v>
      </c>
      <c r="D68" s="59">
        <f>A279</f>
        <v>-67945331.756513998</v>
      </c>
      <c r="E68" s="59">
        <f>A288</f>
        <v>91057.833685999998</v>
      </c>
      <c r="F68" s="59">
        <f>A297</f>
        <v>91657.833885999993</v>
      </c>
      <c r="G68" s="59">
        <f>A306</f>
        <v>90000</v>
      </c>
      <c r="H68" s="59">
        <f>A315</f>
        <v>90000</v>
      </c>
      <c r="J68" s="25">
        <f>MAX(D68:H68)</f>
        <v>91657.833885999993</v>
      </c>
      <c r="K68" s="25"/>
      <c r="L68" s="25" t="str">
        <f>HLOOKUP(J68,D68:$H$78,N2,FALSE)</f>
        <v>NoneOpt_NBB</v>
      </c>
      <c r="N68" s="25"/>
    </row>
    <row r="69" spans="1:14" ht="12.75" x14ac:dyDescent="0.25">
      <c r="A69" s="34">
        <v>40000</v>
      </c>
      <c r="C69" s="36" t="str">
        <f t="shared" ref="C69:C76" si="66">C58</f>
        <v>(3, 1)</v>
      </c>
      <c r="D69" s="59">
        <f t="shared" ref="D69:D76" si="67">A280</f>
        <v>-47474636.063671999</v>
      </c>
      <c r="E69" s="59">
        <f t="shared" ref="E69:E76" si="68">A289</f>
        <v>88081.832693999997</v>
      </c>
      <c r="F69" s="59">
        <f t="shared" ref="F69:F76" si="69">A298</f>
        <v>90967.833656000003</v>
      </c>
      <c r="G69" s="59">
        <f t="shared" ref="G69:G76" si="70">A307</f>
        <v>90000</v>
      </c>
      <c r="H69" s="59">
        <f t="shared" ref="H69:H76" si="71">A316</f>
        <v>90000</v>
      </c>
      <c r="J69" s="25">
        <f t="shared" ref="J69:J75" si="72">MAX(D69:H69)</f>
        <v>90967.833656000003</v>
      </c>
      <c r="K69" s="25"/>
      <c r="L69" s="25" t="str">
        <f>HLOOKUP(J69,D69:$H$78,N3,FALSE)</f>
        <v>NoneOpt_NBB</v>
      </c>
      <c r="N69" s="25"/>
    </row>
    <row r="70" spans="1:14" ht="12.75" x14ac:dyDescent="0.25">
      <c r="A70" s="34">
        <v>40000</v>
      </c>
      <c r="C70" s="36" t="str">
        <f t="shared" si="66"/>
        <v>(2, 0)</v>
      </c>
      <c r="D70" s="59">
        <f t="shared" si="67"/>
        <v>151809.6158</v>
      </c>
      <c r="E70" s="59">
        <f t="shared" si="68"/>
        <v>153764.65956</v>
      </c>
      <c r="F70" s="59">
        <f t="shared" si="69"/>
        <v>40000</v>
      </c>
      <c r="G70" s="59">
        <f t="shared" si="70"/>
        <v>161670.03837600001</v>
      </c>
      <c r="H70" s="59">
        <f t="shared" si="71"/>
        <v>40000</v>
      </c>
      <c r="J70" s="25">
        <f t="shared" si="72"/>
        <v>161670.03837600001</v>
      </c>
      <c r="K70" s="25"/>
      <c r="L70" s="25" t="str">
        <f>HLOOKUP(J70,D70:$H$78,N4,FALSE)</f>
        <v>OptNone_BNB</v>
      </c>
      <c r="N70" s="25"/>
    </row>
    <row r="71" spans="1:14" ht="12.75" x14ac:dyDescent="0.25">
      <c r="A71" s="34">
        <v>40000</v>
      </c>
      <c r="C71" s="36" t="str">
        <f t="shared" si="66"/>
        <v>(2, 1)</v>
      </c>
      <c r="D71" s="59">
        <f t="shared" si="67"/>
        <v>151873.8224</v>
      </c>
      <c r="E71" s="59">
        <f t="shared" si="68"/>
        <v>153903.86129999999</v>
      </c>
      <c r="F71" s="59">
        <f t="shared" si="69"/>
        <v>40000</v>
      </c>
      <c r="G71" s="59">
        <f t="shared" si="70"/>
        <v>161682.03852599999</v>
      </c>
      <c r="H71" s="59">
        <f t="shared" si="71"/>
        <v>40000</v>
      </c>
      <c r="J71" s="25">
        <f t="shared" si="72"/>
        <v>161682.03852599999</v>
      </c>
      <c r="K71" s="25"/>
      <c r="L71" s="25" t="str">
        <f>HLOOKUP(J71,D71:$H$78,N5,FALSE)</f>
        <v>OptNone_BNB</v>
      </c>
      <c r="N71" s="25"/>
    </row>
    <row r="72" spans="1:14" ht="12.75" x14ac:dyDescent="0.25">
      <c r="A72" s="34">
        <v>40000</v>
      </c>
      <c r="C72" s="36" t="str">
        <f t="shared" si="66"/>
        <v>(1, 0)</v>
      </c>
      <c r="D72" s="59">
        <f t="shared" si="67"/>
        <v>155796.6752</v>
      </c>
      <c r="E72" s="59">
        <f t="shared" si="68"/>
        <v>157250.143128</v>
      </c>
      <c r="F72" s="59">
        <f t="shared" si="69"/>
        <v>40000</v>
      </c>
      <c r="G72" s="59">
        <f t="shared" si="70"/>
        <v>158926.00407600001</v>
      </c>
      <c r="H72" s="59">
        <f t="shared" si="71"/>
        <v>40000</v>
      </c>
      <c r="J72" s="25">
        <f t="shared" si="72"/>
        <v>158926.00407600001</v>
      </c>
      <c r="K72" s="25"/>
      <c r="L72" s="25" t="str">
        <f>HLOOKUP(J72,D72:$H$78,N6,FALSE)</f>
        <v>OptNone_BNB</v>
      </c>
      <c r="N72" s="25"/>
    </row>
    <row r="73" spans="1:14" ht="12.75" x14ac:dyDescent="0.25">
      <c r="A73" s="34">
        <v>725092.80314800004</v>
      </c>
      <c r="C73" s="36" t="str">
        <f t="shared" si="66"/>
        <v>(1, 1)</v>
      </c>
      <c r="D73" s="59">
        <f t="shared" si="67"/>
        <v>155804.2512</v>
      </c>
      <c r="E73" s="59">
        <f t="shared" si="68"/>
        <v>157255.9032</v>
      </c>
      <c r="F73" s="59">
        <f t="shared" si="69"/>
        <v>40000</v>
      </c>
      <c r="G73" s="59">
        <f t="shared" si="70"/>
        <v>158873.84342399999</v>
      </c>
      <c r="H73" s="59">
        <f t="shared" si="71"/>
        <v>40000</v>
      </c>
      <c r="J73" s="25">
        <f t="shared" si="72"/>
        <v>158873.84342399999</v>
      </c>
      <c r="K73" s="25"/>
      <c r="L73" s="25" t="str">
        <f>HLOOKUP(J73,D73:$H$78,N7,FALSE)</f>
        <v>OptNone_BNB</v>
      </c>
      <c r="N73" s="25"/>
    </row>
    <row r="74" spans="1:14" ht="12.75" x14ac:dyDescent="0.25">
      <c r="A74" s="34">
        <v>1590000</v>
      </c>
      <c r="C74" s="36" t="str">
        <f t="shared" si="66"/>
        <v>Inspector</v>
      </c>
      <c r="D74" s="59">
        <f t="shared" si="67"/>
        <v>1686734.8484439999</v>
      </c>
      <c r="E74" s="59">
        <f t="shared" si="68"/>
        <v>753374.95643200004</v>
      </c>
      <c r="F74" s="59">
        <f t="shared" si="69"/>
        <v>723739.80745800002</v>
      </c>
      <c r="G74" s="59">
        <f t="shared" si="70"/>
        <v>81780.135597999993</v>
      </c>
      <c r="H74" s="59">
        <f t="shared" si="71"/>
        <v>70000</v>
      </c>
      <c r="J74" s="25">
        <f t="shared" si="72"/>
        <v>1686734.8484439999</v>
      </c>
      <c r="K74" s="25"/>
      <c r="L74" s="25" t="str">
        <f>HLOOKUP(J74,D74:$H$78,N8,FALSE)</f>
        <v>OptOpt_EB</v>
      </c>
      <c r="N74" s="25"/>
    </row>
    <row r="75" spans="1:14" ht="12.75" x14ac:dyDescent="0.25">
      <c r="A75" s="34">
        <v>0.33333333333333298</v>
      </c>
      <c r="C75" s="36" t="str">
        <f t="shared" si="66"/>
        <v>State</v>
      </c>
      <c r="D75" s="59">
        <f t="shared" si="67"/>
        <v>115761656.202142</v>
      </c>
      <c r="E75" s="59">
        <f t="shared" si="68"/>
        <v>1090000</v>
      </c>
      <c r="F75" s="59">
        <f t="shared" si="69"/>
        <v>1590000</v>
      </c>
      <c r="G75" s="59">
        <f t="shared" si="70"/>
        <v>2090000</v>
      </c>
      <c r="H75" s="59">
        <f t="shared" si="71"/>
        <v>2590000</v>
      </c>
      <c r="J75" s="25">
        <f t="shared" si="72"/>
        <v>115761656.202142</v>
      </c>
      <c r="K75" s="25"/>
      <c r="L75" s="25" t="str">
        <f>HLOOKUP(J75,D75:$H$78,N9,FALSE)</f>
        <v>OptOpt_EB</v>
      </c>
      <c r="N75" s="25"/>
    </row>
    <row r="76" spans="1:14" ht="12.75" x14ac:dyDescent="0.25">
      <c r="A76" s="34">
        <v>90000</v>
      </c>
      <c r="C76" s="36" t="str">
        <f t="shared" si="66"/>
        <v>LoC</v>
      </c>
      <c r="D76" s="59">
        <f t="shared" si="67"/>
        <v>0.5</v>
      </c>
      <c r="E76" s="59">
        <f t="shared" si="68"/>
        <v>0.5</v>
      </c>
      <c r="F76" s="59">
        <f t="shared" si="69"/>
        <v>0.33333333333333298</v>
      </c>
      <c r="G76" s="59">
        <f t="shared" si="70"/>
        <v>0.16666666666666599</v>
      </c>
      <c r="H76" s="59">
        <f t="shared" si="71"/>
        <v>0</v>
      </c>
      <c r="L76" s="25"/>
    </row>
    <row r="77" spans="1:14" x14ac:dyDescent="0.25">
      <c r="A77" s="34">
        <v>90000</v>
      </c>
      <c r="D77" s="60"/>
      <c r="E77" s="60"/>
      <c r="F77" s="60"/>
      <c r="G77" s="60"/>
      <c r="H77" s="60"/>
    </row>
    <row r="78" spans="1:14" ht="12.75" x14ac:dyDescent="0.25">
      <c r="A78" s="34">
        <v>88716.18823</v>
      </c>
      <c r="B78" s="39">
        <v>8</v>
      </c>
      <c r="C78" s="36" t="str">
        <f>A324</f>
        <v>(80001, 3040001)</v>
      </c>
      <c r="D78" s="61" t="str">
        <f>D67</f>
        <v>OptOpt_EB</v>
      </c>
      <c r="E78" s="61" t="str">
        <f t="shared" ref="E78:H78" si="73">E67</f>
        <v>OptOpt_BB</v>
      </c>
      <c r="F78" s="61" t="str">
        <f t="shared" si="73"/>
        <v>NoneOpt_NBB</v>
      </c>
      <c r="G78" s="61" t="str">
        <f t="shared" si="73"/>
        <v>OptNone_BNB</v>
      </c>
      <c r="H78" s="61" t="str">
        <f t="shared" si="73"/>
        <v>NoneNone_NBNB</v>
      </c>
      <c r="J78" s="26" t="s">
        <v>19</v>
      </c>
      <c r="K78" s="26"/>
      <c r="L78" s="26" t="s">
        <v>20</v>
      </c>
    </row>
    <row r="79" spans="1:14" ht="12.75" x14ac:dyDescent="0.25">
      <c r="A79" s="34">
        <v>87489.439597999997</v>
      </c>
      <c r="B79" s="39" t="s">
        <v>9</v>
      </c>
      <c r="C79" s="36" t="str">
        <f>C68</f>
        <v>(3, 0)</v>
      </c>
      <c r="D79" s="59">
        <f>A325</f>
        <v>-68707009.589031994</v>
      </c>
      <c r="E79" s="59">
        <f>A334</f>
        <v>81827.352838000006</v>
      </c>
      <c r="F79" s="59">
        <f>A343</f>
        <v>84247.193633999996</v>
      </c>
      <c r="G79" s="59">
        <f>A352</f>
        <v>90000</v>
      </c>
      <c r="H79" s="59">
        <f>A361</f>
        <v>90000</v>
      </c>
      <c r="J79" s="25">
        <f>MAX(D79:H79)</f>
        <v>90000</v>
      </c>
      <c r="K79" s="25"/>
      <c r="L79" s="25" t="str">
        <f>HLOOKUP(J79,D79:$H$89,N2,FALSE)</f>
        <v>OptNone_BNB</v>
      </c>
      <c r="N79" s="25"/>
    </row>
    <row r="80" spans="1:14" ht="12.75" x14ac:dyDescent="0.25">
      <c r="A80" s="34">
        <v>22593.697960000001</v>
      </c>
      <c r="C80" s="36" t="str">
        <f t="shared" ref="C80:C87" si="74">C69</f>
        <v>(3, 1)</v>
      </c>
      <c r="D80" s="59">
        <f t="shared" ref="D80:D87" si="75">A326</f>
        <v>-47954930.732787997</v>
      </c>
      <c r="E80" s="59">
        <f t="shared" ref="E80:E87" si="76">A335</f>
        <v>82301.592994000006</v>
      </c>
      <c r="F80" s="59">
        <f t="shared" ref="F80:F87" si="77">A344</f>
        <v>82830.553167999999</v>
      </c>
      <c r="G80" s="59">
        <f t="shared" ref="G80:G87" si="78">A353</f>
        <v>90000</v>
      </c>
      <c r="H80" s="59">
        <f t="shared" ref="H80:H87" si="79">A362</f>
        <v>90000</v>
      </c>
      <c r="J80" s="25">
        <f t="shared" ref="J80:J86" si="80">MAX(D80:H80)</f>
        <v>90000</v>
      </c>
      <c r="K80" s="25"/>
      <c r="L80" s="25" t="str">
        <f>HLOOKUP(J80,D80:$H$89,N3,FALSE)</f>
        <v>OptNone_BNB</v>
      </c>
      <c r="N80" s="25"/>
    </row>
    <row r="81" spans="1:14" ht="12.75" x14ac:dyDescent="0.25">
      <c r="A81" s="34">
        <v>23665.255499999999</v>
      </c>
      <c r="C81" s="36" t="str">
        <f t="shared" si="74"/>
        <v>(2, 0)</v>
      </c>
      <c r="D81" s="59">
        <f t="shared" si="75"/>
        <v>151881.209</v>
      </c>
      <c r="E81" s="59">
        <f t="shared" si="76"/>
        <v>153973.78217399999</v>
      </c>
      <c r="F81" s="59">
        <f t="shared" si="77"/>
        <v>40000</v>
      </c>
      <c r="G81" s="59">
        <f t="shared" si="78"/>
        <v>161678.678484</v>
      </c>
      <c r="H81" s="59">
        <f t="shared" si="79"/>
        <v>40000</v>
      </c>
      <c r="J81" s="25">
        <f t="shared" si="80"/>
        <v>161678.678484</v>
      </c>
      <c r="K81" s="25"/>
      <c r="L81" s="25" t="str">
        <f>HLOOKUP(J81,D81:$H$89,N4,FALSE)</f>
        <v>OptNone_BNB</v>
      </c>
      <c r="N81" s="25"/>
    </row>
    <row r="82" spans="1:14" ht="12.75" x14ac:dyDescent="0.25">
      <c r="A82" s="34">
        <v>81841.2</v>
      </c>
      <c r="C82" s="36" t="str">
        <f t="shared" si="74"/>
        <v>(2, 1)</v>
      </c>
      <c r="D82" s="59">
        <f t="shared" si="75"/>
        <v>151856.20819999999</v>
      </c>
      <c r="E82" s="59">
        <f t="shared" si="76"/>
        <v>153925.94157600001</v>
      </c>
      <c r="F82" s="59">
        <f t="shared" si="77"/>
        <v>40000</v>
      </c>
      <c r="G82" s="59">
        <f t="shared" si="78"/>
        <v>161674.83843599999</v>
      </c>
      <c r="H82" s="59">
        <f t="shared" si="79"/>
        <v>40000</v>
      </c>
      <c r="J82" s="25">
        <f t="shared" si="80"/>
        <v>161674.83843599999</v>
      </c>
      <c r="K82" s="25"/>
      <c r="L82" s="25" t="str">
        <f>HLOOKUP(J82,D82:$H$89,N5,FALSE)</f>
        <v>OptNone_BNB</v>
      </c>
      <c r="N82" s="25"/>
    </row>
    <row r="83" spans="1:14" ht="12.75" x14ac:dyDescent="0.25">
      <c r="A83" s="34">
        <v>2513325.978712</v>
      </c>
      <c r="C83" s="36" t="str">
        <f t="shared" si="74"/>
        <v>(1, 0)</v>
      </c>
      <c r="D83" s="59">
        <f t="shared" si="75"/>
        <v>155809.55439999999</v>
      </c>
      <c r="E83" s="59">
        <f t="shared" si="76"/>
        <v>157211.26264199999</v>
      </c>
      <c r="F83" s="59">
        <f t="shared" si="77"/>
        <v>40000</v>
      </c>
      <c r="G83" s="59">
        <f t="shared" si="78"/>
        <v>158891.76364799999</v>
      </c>
      <c r="H83" s="59">
        <f t="shared" si="79"/>
        <v>40000</v>
      </c>
      <c r="J83" s="25">
        <f t="shared" si="80"/>
        <v>158891.76364799999</v>
      </c>
      <c r="K83" s="25"/>
      <c r="L83" s="25" t="str">
        <f>HLOOKUP(J83,D83:$H$89,N6,FALSE)</f>
        <v>OptNone_BNB</v>
      </c>
      <c r="N83" s="25"/>
    </row>
    <row r="84" spans="1:14" ht="12.75" x14ac:dyDescent="0.25">
      <c r="A84" s="34">
        <v>0.16666666666666599</v>
      </c>
      <c r="C84" s="36" t="str">
        <f t="shared" si="74"/>
        <v>(1, 1)</v>
      </c>
      <c r="D84" s="59">
        <f t="shared" si="75"/>
        <v>155851.98000000001</v>
      </c>
      <c r="E84" s="59">
        <f t="shared" si="76"/>
        <v>157245.663072</v>
      </c>
      <c r="F84" s="59">
        <f t="shared" si="77"/>
        <v>40000</v>
      </c>
      <c r="G84" s="59">
        <f t="shared" si="78"/>
        <v>158866.80333600001</v>
      </c>
      <c r="H84" s="59">
        <f t="shared" si="79"/>
        <v>40000</v>
      </c>
      <c r="J84" s="25">
        <f t="shared" si="80"/>
        <v>158866.80333600001</v>
      </c>
      <c r="K84" s="25"/>
      <c r="L84" s="25" t="str">
        <f>HLOOKUP(J84,D84:$H$89,N7,FALSE)</f>
        <v>OptNone_BNB</v>
      </c>
      <c r="N84" s="25"/>
    </row>
    <row r="85" spans="1:14" ht="12.75" x14ac:dyDescent="0.25">
      <c r="A85" s="34">
        <v>90000</v>
      </c>
      <c r="C85" s="36" t="str">
        <f t="shared" si="74"/>
        <v>Inspector</v>
      </c>
      <c r="D85" s="59">
        <f t="shared" si="75"/>
        <v>1696901.1030880001</v>
      </c>
      <c r="E85" s="59">
        <f t="shared" si="76"/>
        <v>767711.544704</v>
      </c>
      <c r="F85" s="59">
        <f t="shared" si="77"/>
        <v>738519.69819799997</v>
      </c>
      <c r="G85" s="59">
        <f t="shared" si="78"/>
        <v>81805.036095999996</v>
      </c>
      <c r="H85" s="59">
        <f t="shared" si="79"/>
        <v>70000</v>
      </c>
      <c r="J85" s="25">
        <f t="shared" si="80"/>
        <v>1696901.1030880001</v>
      </c>
      <c r="K85" s="25"/>
      <c r="L85" s="25" t="str">
        <f>HLOOKUP(J85,D85:$H$89,N8,FALSE)</f>
        <v>OptOpt_EB</v>
      </c>
      <c r="N85" s="25"/>
    </row>
    <row r="86" spans="1:14" ht="12.75" x14ac:dyDescent="0.25">
      <c r="A86" s="34">
        <v>90000</v>
      </c>
      <c r="C86" s="36" t="str">
        <f t="shared" si="74"/>
        <v>State</v>
      </c>
      <c r="D86" s="59">
        <f t="shared" si="75"/>
        <v>116993751.19713201</v>
      </c>
      <c r="E86" s="59">
        <f t="shared" si="76"/>
        <v>1090000</v>
      </c>
      <c r="F86" s="59">
        <f t="shared" si="77"/>
        <v>1590000</v>
      </c>
      <c r="G86" s="59">
        <f t="shared" si="78"/>
        <v>2090000</v>
      </c>
      <c r="H86" s="59">
        <f t="shared" si="79"/>
        <v>2590000</v>
      </c>
      <c r="J86" s="25">
        <f t="shared" si="80"/>
        <v>116993751.19713201</v>
      </c>
      <c r="K86" s="25"/>
      <c r="L86" s="25" t="str">
        <f>HLOOKUP(J86,D86:$H$89,N9,FALSE)</f>
        <v>OptOpt_EB</v>
      </c>
      <c r="N86" s="25"/>
    </row>
    <row r="87" spans="1:14" x14ac:dyDescent="0.25">
      <c r="A87" s="34">
        <v>40000</v>
      </c>
      <c r="C87" s="36" t="str">
        <f t="shared" si="74"/>
        <v>LoC</v>
      </c>
      <c r="D87" s="59">
        <f t="shared" si="75"/>
        <v>0.5</v>
      </c>
      <c r="E87" s="59">
        <f t="shared" si="76"/>
        <v>0.5</v>
      </c>
      <c r="F87" s="59">
        <f t="shared" si="77"/>
        <v>0.33333333333333298</v>
      </c>
      <c r="G87" s="59">
        <f t="shared" si="78"/>
        <v>0.16666666666666599</v>
      </c>
      <c r="H87" s="59">
        <f t="shared" si="79"/>
        <v>0</v>
      </c>
    </row>
    <row r="88" spans="1:14" x14ac:dyDescent="0.25">
      <c r="A88" s="34">
        <v>40000</v>
      </c>
      <c r="D88" s="60"/>
      <c r="E88" s="60"/>
      <c r="F88" s="60"/>
      <c r="G88" s="60"/>
      <c r="H88" s="60"/>
    </row>
    <row r="89" spans="1:14" ht="12.75" x14ac:dyDescent="0.25">
      <c r="A89" s="34">
        <v>40000</v>
      </c>
      <c r="B89" s="39">
        <v>9</v>
      </c>
      <c r="C89" s="36" t="str">
        <f>A370</f>
        <v>(80001, 3080001)</v>
      </c>
      <c r="D89" s="61" t="str">
        <f>D78</f>
        <v>OptOpt_EB</v>
      </c>
      <c r="E89" s="61" t="str">
        <f t="shared" ref="E89:H89" si="81">E78</f>
        <v>OptOpt_BB</v>
      </c>
      <c r="F89" s="61" t="str">
        <f t="shared" si="81"/>
        <v>NoneOpt_NBB</v>
      </c>
      <c r="G89" s="61" t="str">
        <f t="shared" si="81"/>
        <v>OptNone_BNB</v>
      </c>
      <c r="H89" s="61" t="str">
        <f t="shared" si="81"/>
        <v>NoneNone_NBNB</v>
      </c>
      <c r="J89" s="26" t="s">
        <v>19</v>
      </c>
      <c r="K89" s="26"/>
      <c r="L89" s="26" t="s">
        <v>20</v>
      </c>
    </row>
    <row r="90" spans="1:14" ht="12.75" x14ac:dyDescent="0.25">
      <c r="A90" s="34">
        <v>40000</v>
      </c>
      <c r="B90" s="39" t="s">
        <v>9</v>
      </c>
      <c r="C90" s="36" t="str">
        <f>C79</f>
        <v>(3, 0)</v>
      </c>
      <c r="D90" s="59">
        <f>A371</f>
        <v>-777489.64399000001</v>
      </c>
      <c r="E90" s="59">
        <f>A380</f>
        <v>77179.833499999993</v>
      </c>
      <c r="F90" s="59">
        <f>A389</f>
        <v>78048.393781999999</v>
      </c>
      <c r="G90" s="59">
        <f>A398</f>
        <v>90000</v>
      </c>
      <c r="H90" s="59">
        <f>A407</f>
        <v>90000</v>
      </c>
      <c r="J90" s="25">
        <f>MAX(D90:H90)</f>
        <v>90000</v>
      </c>
      <c r="K90" s="25"/>
      <c r="L90" s="25" t="str">
        <f>HLOOKUP(J90,D90:$H$100,N2,FALSE)</f>
        <v>OptNone_BNB</v>
      </c>
      <c r="N90" s="25"/>
    </row>
    <row r="91" spans="1:14" ht="12.75" x14ac:dyDescent="0.25">
      <c r="A91" s="34">
        <v>70000</v>
      </c>
      <c r="C91" s="36" t="str">
        <f t="shared" ref="C91:C98" si="82">C80</f>
        <v>(3, 1)</v>
      </c>
      <c r="D91" s="59">
        <f t="shared" ref="D91:D98" si="83">A372</f>
        <v>-522102.12107200001</v>
      </c>
      <c r="E91" s="59">
        <f t="shared" ref="E91:E98" si="84">A381</f>
        <v>76841.033389999997</v>
      </c>
      <c r="F91" s="59">
        <f t="shared" ref="F91:F98" si="85">A390</f>
        <v>75424.232929999998</v>
      </c>
      <c r="G91" s="59">
        <f t="shared" ref="G91:G98" si="86">A399</f>
        <v>90000</v>
      </c>
      <c r="H91" s="59">
        <f t="shared" ref="H91:H98" si="87">A408</f>
        <v>90000</v>
      </c>
      <c r="J91" s="25">
        <f t="shared" ref="J91:J97" si="88">MAX(D91:H91)</f>
        <v>90000</v>
      </c>
      <c r="K91" s="25"/>
      <c r="L91" s="25" t="str">
        <f>HLOOKUP(J91,D91:$H$100,N3,FALSE)</f>
        <v>OptNone_BNB</v>
      </c>
      <c r="N91" s="25"/>
    </row>
    <row r="92" spans="1:14" ht="12.75" x14ac:dyDescent="0.25">
      <c r="A92" s="34">
        <v>2590000</v>
      </c>
      <c r="C92" s="36" t="str">
        <f t="shared" si="82"/>
        <v>(2, 0)</v>
      </c>
      <c r="D92" s="59">
        <f t="shared" si="83"/>
        <v>165000</v>
      </c>
      <c r="E92" s="59">
        <f t="shared" si="84"/>
        <v>153919.70149800001</v>
      </c>
      <c r="F92" s="59">
        <f t="shared" si="85"/>
        <v>40000</v>
      </c>
      <c r="G92" s="59">
        <f t="shared" si="86"/>
        <v>161644.27805399999</v>
      </c>
      <c r="H92" s="59">
        <f t="shared" si="87"/>
        <v>40000</v>
      </c>
      <c r="J92" s="25">
        <f t="shared" si="88"/>
        <v>165000</v>
      </c>
      <c r="K92" s="25"/>
      <c r="L92" s="25" t="str">
        <f>HLOOKUP(J92,D92:$H$100,N4,FALSE)</f>
        <v>OptOpt_EB</v>
      </c>
      <c r="N92" s="25"/>
    </row>
    <row r="93" spans="1:14" ht="12.75" x14ac:dyDescent="0.25">
      <c r="A93" s="34">
        <v>0</v>
      </c>
      <c r="C93" s="36" t="str">
        <f t="shared" si="82"/>
        <v>(2, 1)</v>
      </c>
      <c r="D93" s="59">
        <f t="shared" si="83"/>
        <v>165000</v>
      </c>
      <c r="E93" s="59">
        <f t="shared" si="84"/>
        <v>153897.14121599999</v>
      </c>
      <c r="F93" s="59">
        <f t="shared" si="85"/>
        <v>40000</v>
      </c>
      <c r="G93" s="59">
        <f t="shared" si="86"/>
        <v>161661.55827000001</v>
      </c>
      <c r="H93" s="59">
        <f t="shared" si="87"/>
        <v>40000</v>
      </c>
      <c r="J93" s="25">
        <f t="shared" si="88"/>
        <v>165000</v>
      </c>
      <c r="K93" s="25"/>
      <c r="L93" s="25" t="str">
        <f>HLOOKUP(J93,D93:$H$100,N5,FALSE)</f>
        <v>OptOpt_EB</v>
      </c>
      <c r="N93" s="25"/>
    </row>
    <row r="94" spans="1:14" ht="12.75" x14ac:dyDescent="0.25">
      <c r="A94" s="34" t="s">
        <v>231</v>
      </c>
      <c r="C94" s="36" t="str">
        <f t="shared" si="82"/>
        <v>(1, 0)</v>
      </c>
      <c r="D94" s="59">
        <f t="shared" si="83"/>
        <v>165000</v>
      </c>
      <c r="E94" s="59">
        <f t="shared" si="84"/>
        <v>157252.70316</v>
      </c>
      <c r="F94" s="59">
        <f t="shared" si="85"/>
        <v>40000</v>
      </c>
      <c r="G94" s="59">
        <f t="shared" si="86"/>
        <v>158908.56385800001</v>
      </c>
      <c r="H94" s="59">
        <f t="shared" si="87"/>
        <v>40000</v>
      </c>
      <c r="J94" s="25">
        <f t="shared" si="88"/>
        <v>165000</v>
      </c>
      <c r="K94" s="25"/>
      <c r="L94" s="25" t="str">
        <f>HLOOKUP(J94,D94:$H$100,N6,FALSE)</f>
        <v>OptOpt_EB</v>
      </c>
      <c r="N94" s="25"/>
    </row>
    <row r="95" spans="1:14" ht="12.75" x14ac:dyDescent="0.25">
      <c r="A95" s="34">
        <v>-68643329.928243995</v>
      </c>
      <c r="C95" s="36" t="str">
        <f t="shared" si="82"/>
        <v>(1, 1)</v>
      </c>
      <c r="D95" s="59">
        <f t="shared" si="83"/>
        <v>165000</v>
      </c>
      <c r="E95" s="59">
        <f t="shared" si="84"/>
        <v>157206.622584</v>
      </c>
      <c r="F95" s="59">
        <f t="shared" si="85"/>
        <v>40000</v>
      </c>
      <c r="G95" s="59">
        <f t="shared" si="86"/>
        <v>158917.04396400001</v>
      </c>
      <c r="H95" s="59">
        <f t="shared" si="87"/>
        <v>40000</v>
      </c>
      <c r="J95" s="25">
        <f t="shared" si="88"/>
        <v>165000</v>
      </c>
      <c r="K95" s="25"/>
      <c r="L95" s="25" t="str">
        <f>HLOOKUP(J95,D95:$H$100,N7,FALSE)</f>
        <v>OptOpt_EB</v>
      </c>
      <c r="N95" s="25"/>
    </row>
    <row r="96" spans="1:14" ht="12.75" x14ac:dyDescent="0.25">
      <c r="A96" s="34">
        <v>-48224257.100731999</v>
      </c>
      <c r="C96" s="36" t="str">
        <f t="shared" si="82"/>
        <v>Inspector</v>
      </c>
      <c r="D96" s="59">
        <f t="shared" si="83"/>
        <v>1712288.210062</v>
      </c>
      <c r="E96" s="59">
        <f t="shared" si="84"/>
        <v>778951.72965200001</v>
      </c>
      <c r="F96" s="59">
        <f t="shared" si="85"/>
        <v>752032.77328800003</v>
      </c>
      <c r="G96" s="59">
        <f t="shared" si="86"/>
        <v>81792.935853999996</v>
      </c>
      <c r="H96" s="59">
        <f t="shared" si="87"/>
        <v>70000</v>
      </c>
      <c r="J96" s="25">
        <f t="shared" si="88"/>
        <v>1712288.210062</v>
      </c>
      <c r="K96" s="25"/>
      <c r="L96" s="25" t="str">
        <f>HLOOKUP(J96,D96:$H$100,N8,FALSE)</f>
        <v>OptOpt_EB</v>
      </c>
      <c r="N96" s="25"/>
    </row>
    <row r="97" spans="1:14" ht="12.75" x14ac:dyDescent="0.25">
      <c r="A97" s="34">
        <v>151853.1778</v>
      </c>
      <c r="C97" s="36" t="str">
        <f t="shared" si="82"/>
        <v>State</v>
      </c>
      <c r="D97" s="59">
        <f t="shared" si="83"/>
        <v>1090000</v>
      </c>
      <c r="E97" s="59">
        <f t="shared" si="84"/>
        <v>1090000</v>
      </c>
      <c r="F97" s="59">
        <f t="shared" si="85"/>
        <v>1590000</v>
      </c>
      <c r="G97" s="59">
        <f t="shared" si="86"/>
        <v>2090000</v>
      </c>
      <c r="H97" s="59">
        <f t="shared" si="87"/>
        <v>2590000</v>
      </c>
      <c r="J97" s="25">
        <f t="shared" si="88"/>
        <v>2590000</v>
      </c>
      <c r="K97" s="25"/>
      <c r="L97" s="25" t="str">
        <f>HLOOKUP(J97,D97:$H$100,N9,FALSE)</f>
        <v>NoneNone_NBNB</v>
      </c>
      <c r="N97" s="25"/>
    </row>
    <row r="98" spans="1:14" x14ac:dyDescent="0.25">
      <c r="A98" s="34">
        <v>151909.4296</v>
      </c>
      <c r="C98" s="36" t="str">
        <f t="shared" si="82"/>
        <v>LoC</v>
      </c>
      <c r="D98" s="59">
        <f t="shared" si="83"/>
        <v>0.5</v>
      </c>
      <c r="E98" s="59">
        <f t="shared" si="84"/>
        <v>0.5</v>
      </c>
      <c r="F98" s="59">
        <f t="shared" si="85"/>
        <v>0.33333333333333298</v>
      </c>
      <c r="G98" s="59">
        <f t="shared" si="86"/>
        <v>0.16666666666666599</v>
      </c>
      <c r="H98" s="59">
        <f t="shared" si="87"/>
        <v>0</v>
      </c>
    </row>
    <row r="99" spans="1:14" x14ac:dyDescent="0.25">
      <c r="A99" s="34">
        <v>155768.644</v>
      </c>
      <c r="D99" s="60"/>
      <c r="E99" s="60"/>
      <c r="F99" s="60"/>
      <c r="G99" s="60"/>
      <c r="H99" s="60"/>
    </row>
    <row r="100" spans="1:14" ht="12.75" x14ac:dyDescent="0.25">
      <c r="A100" s="34">
        <v>155790.04620000001</v>
      </c>
      <c r="B100" s="39">
        <v>10</v>
      </c>
      <c r="C100" s="36" t="str">
        <f>A416</f>
        <v>(80001, 4620001.5)</v>
      </c>
      <c r="D100" s="61" t="str">
        <f>D89</f>
        <v>OptOpt_EB</v>
      </c>
      <c r="E100" s="61" t="str">
        <f t="shared" ref="E100:H100" si="89">E89</f>
        <v>OptOpt_BB</v>
      </c>
      <c r="F100" s="61" t="str">
        <f t="shared" si="89"/>
        <v>NoneOpt_NBB</v>
      </c>
      <c r="G100" s="61" t="str">
        <f t="shared" si="89"/>
        <v>OptNone_BNB</v>
      </c>
      <c r="H100" s="61" t="str">
        <f t="shared" si="89"/>
        <v>NoneNone_NBNB</v>
      </c>
      <c r="J100" s="26" t="s">
        <v>19</v>
      </c>
      <c r="K100" s="26"/>
      <c r="L100" s="26" t="s">
        <v>20</v>
      </c>
    </row>
    <row r="101" spans="1:14" ht="12.75" x14ac:dyDescent="0.25">
      <c r="A101" s="34">
        <v>1700048.533824</v>
      </c>
      <c r="B101" s="39" t="s">
        <v>9</v>
      </c>
      <c r="C101" s="36" t="str">
        <f>C90</f>
        <v>(3, 0)</v>
      </c>
      <c r="D101" s="59">
        <f>A417</f>
        <v>-1463618.3867589999</v>
      </c>
      <c r="E101" s="59">
        <f>A426</f>
        <v>-180588.530191</v>
      </c>
      <c r="F101" s="59">
        <f>A435</f>
        <v>-182547.41082700001</v>
      </c>
      <c r="G101" s="59">
        <f>A444</f>
        <v>90000</v>
      </c>
      <c r="H101" s="59">
        <f>A453</f>
        <v>90000</v>
      </c>
      <c r="J101" s="25">
        <f>MAX(D101:H101)</f>
        <v>90000</v>
      </c>
      <c r="K101" s="25"/>
      <c r="L101" s="25" t="str">
        <f>HLOOKUP(J101,D101:$H$111,N2,FALSE)</f>
        <v>OptNone_BNB</v>
      </c>
      <c r="N101" s="25"/>
    </row>
    <row r="102" spans="1:14" ht="12.75" x14ac:dyDescent="0.25">
      <c r="A102" s="34">
        <v>117195548.91755199</v>
      </c>
      <c r="C102" s="36" t="str">
        <f t="shared" ref="C102:C109" si="90">C91</f>
        <v>(3, 1)</v>
      </c>
      <c r="D102" s="59">
        <f t="shared" ref="D102:D109" si="91">A418</f>
        <v>-1076240.5009870001</v>
      </c>
      <c r="E102" s="59">
        <f t="shared" ref="E102:E109" si="92">A427</f>
        <v>-177336.04913500001</v>
      </c>
      <c r="F102" s="59">
        <f t="shared" ref="F102:F109" si="93">A436</f>
        <v>-177557.80920700001</v>
      </c>
      <c r="G102" s="59">
        <f t="shared" ref="G102:G109" si="94">A445</f>
        <v>90000</v>
      </c>
      <c r="H102" s="59">
        <f t="shared" ref="H102:H109" si="95">A454</f>
        <v>90000</v>
      </c>
      <c r="J102" s="25">
        <f t="shared" ref="J102:J108" si="96">MAX(D102:H102)</f>
        <v>90000</v>
      </c>
      <c r="K102" s="25"/>
      <c r="L102" s="25" t="str">
        <f>HLOOKUP(J102,D102:$H$111,N3,FALSE)</f>
        <v>OptNone_BNB</v>
      </c>
      <c r="N102" s="25"/>
    </row>
    <row r="103" spans="1:14" ht="12.75" x14ac:dyDescent="0.25">
      <c r="A103" s="34">
        <v>0.5</v>
      </c>
      <c r="C103" s="36" t="str">
        <f t="shared" si="90"/>
        <v>(2, 0)</v>
      </c>
      <c r="D103" s="59">
        <f t="shared" si="91"/>
        <v>165000</v>
      </c>
      <c r="E103" s="59">
        <f t="shared" si="92"/>
        <v>153892.18115399999</v>
      </c>
      <c r="F103" s="59">
        <f t="shared" si="93"/>
        <v>40000</v>
      </c>
      <c r="G103" s="59">
        <f t="shared" si="94"/>
        <v>161663.79829800001</v>
      </c>
      <c r="H103" s="59">
        <f t="shared" si="95"/>
        <v>40000</v>
      </c>
      <c r="J103" s="25">
        <f t="shared" si="96"/>
        <v>165000</v>
      </c>
      <c r="K103" s="25"/>
      <c r="L103" s="25" t="str">
        <f>HLOOKUP(J103,D103:$H$111,N4,FALSE)</f>
        <v>OptOpt_EB</v>
      </c>
      <c r="N103" s="25"/>
    </row>
    <row r="104" spans="1:14" ht="12.75" x14ac:dyDescent="0.25">
      <c r="A104" s="34">
        <v>83578.393414000006</v>
      </c>
      <c r="C104" s="36" t="str">
        <f t="shared" si="90"/>
        <v>(2, 1)</v>
      </c>
      <c r="D104" s="59">
        <f t="shared" si="91"/>
        <v>165000</v>
      </c>
      <c r="E104" s="59">
        <f t="shared" si="92"/>
        <v>153819.380244</v>
      </c>
      <c r="F104" s="59">
        <f t="shared" si="93"/>
        <v>40000</v>
      </c>
      <c r="G104" s="59">
        <f t="shared" si="94"/>
        <v>161631.47789400001</v>
      </c>
      <c r="H104" s="59">
        <f t="shared" si="95"/>
        <v>40000</v>
      </c>
      <c r="J104" s="25">
        <f t="shared" si="96"/>
        <v>165000</v>
      </c>
      <c r="K104" s="25"/>
      <c r="L104" s="25" t="str">
        <f>HLOOKUP(J104,D104:$H$111,N5,FALSE)</f>
        <v>OptOpt_EB</v>
      </c>
      <c r="N104" s="25"/>
    </row>
    <row r="105" spans="1:14" ht="12.75" x14ac:dyDescent="0.25">
      <c r="A105" s="34">
        <v>83505.433390000006</v>
      </c>
      <c r="C105" s="36" t="str">
        <f t="shared" si="90"/>
        <v>(1, 0)</v>
      </c>
      <c r="D105" s="59">
        <f t="shared" si="91"/>
        <v>165000</v>
      </c>
      <c r="E105" s="59">
        <f t="shared" si="92"/>
        <v>157220.70275999999</v>
      </c>
      <c r="F105" s="59">
        <f t="shared" si="93"/>
        <v>40000</v>
      </c>
      <c r="G105" s="59">
        <f t="shared" si="94"/>
        <v>158916.56395800001</v>
      </c>
      <c r="H105" s="59">
        <f t="shared" si="95"/>
        <v>40000</v>
      </c>
      <c r="J105" s="25">
        <f t="shared" si="96"/>
        <v>165000</v>
      </c>
      <c r="K105" s="25"/>
      <c r="L105" s="25" t="str">
        <f>HLOOKUP(J105,D105:$H$111,N6,FALSE)</f>
        <v>OptOpt_EB</v>
      </c>
      <c r="N105" s="25"/>
    </row>
    <row r="106" spans="1:14" ht="12.75" x14ac:dyDescent="0.25">
      <c r="A106" s="34">
        <v>-92170.114574000007</v>
      </c>
      <c r="C106" s="36" t="str">
        <f t="shared" si="90"/>
        <v>(1, 1)</v>
      </c>
      <c r="D106" s="59">
        <f t="shared" si="91"/>
        <v>165000</v>
      </c>
      <c r="E106" s="59">
        <f t="shared" si="92"/>
        <v>157176.542208</v>
      </c>
      <c r="F106" s="59">
        <f t="shared" si="93"/>
        <v>40000</v>
      </c>
      <c r="G106" s="59">
        <f t="shared" si="94"/>
        <v>158855.44319399999</v>
      </c>
      <c r="H106" s="59">
        <f t="shared" si="95"/>
        <v>40000</v>
      </c>
      <c r="J106" s="25">
        <f t="shared" si="96"/>
        <v>165000</v>
      </c>
      <c r="K106" s="25"/>
      <c r="L106" s="25" t="str">
        <f>HLOOKUP(J106,D106:$H$111,N7,FALSE)</f>
        <v>OptOpt_EB</v>
      </c>
      <c r="N106" s="25"/>
    </row>
    <row r="107" spans="1:14" ht="12.75" x14ac:dyDescent="0.25">
      <c r="A107" s="34">
        <v>-90400.197119999997</v>
      </c>
      <c r="C107" s="36" t="str">
        <f t="shared" si="90"/>
        <v>Inspector</v>
      </c>
      <c r="D107" s="59">
        <f t="shared" si="91"/>
        <v>2952431.7777459999</v>
      </c>
      <c r="E107" s="59">
        <f t="shared" si="92"/>
        <v>1291232.8629600001</v>
      </c>
      <c r="F107" s="59">
        <f t="shared" si="93"/>
        <v>1265545.6300339999</v>
      </c>
      <c r="G107" s="59">
        <f t="shared" si="94"/>
        <v>81833.036655999997</v>
      </c>
      <c r="H107" s="59">
        <f t="shared" si="95"/>
        <v>70000</v>
      </c>
      <c r="J107" s="25">
        <f t="shared" si="96"/>
        <v>2952431.7777459999</v>
      </c>
      <c r="K107" s="25"/>
      <c r="L107" s="25" t="str">
        <f>HLOOKUP(J107,D107:$H$111,N8,FALSE)</f>
        <v>OptOpt_EB</v>
      </c>
      <c r="N107" s="25"/>
    </row>
    <row r="108" spans="1:14" ht="12.75" x14ac:dyDescent="0.25">
      <c r="A108" s="34">
        <v>-15982.37348</v>
      </c>
      <c r="C108" s="36" t="str">
        <f t="shared" si="90"/>
        <v>State</v>
      </c>
      <c r="D108" s="59">
        <f t="shared" si="91"/>
        <v>1090000</v>
      </c>
      <c r="E108" s="59">
        <f t="shared" si="92"/>
        <v>1090000</v>
      </c>
      <c r="F108" s="59">
        <f t="shared" si="93"/>
        <v>1590000</v>
      </c>
      <c r="G108" s="59">
        <f t="shared" si="94"/>
        <v>2090000</v>
      </c>
      <c r="H108" s="59">
        <f t="shared" si="95"/>
        <v>2590000</v>
      </c>
      <c r="J108" s="25">
        <f t="shared" si="96"/>
        <v>2590000</v>
      </c>
      <c r="K108" s="25"/>
      <c r="L108" s="25" t="str">
        <f>HLOOKUP(J108,D108:$H$111,N9,FALSE)</f>
        <v>NoneNone_NBNB</v>
      </c>
      <c r="N108" s="25"/>
    </row>
    <row r="109" spans="1:14" x14ac:dyDescent="0.25">
      <c r="A109" s="34">
        <v>-14818.44029</v>
      </c>
      <c r="C109" s="36" t="str">
        <f t="shared" si="90"/>
        <v>LoC</v>
      </c>
      <c r="D109" s="59">
        <f t="shared" si="91"/>
        <v>0.5</v>
      </c>
      <c r="E109" s="59">
        <f t="shared" si="92"/>
        <v>0.5</v>
      </c>
      <c r="F109" s="59">
        <f t="shared" si="93"/>
        <v>0.33333333333333298</v>
      </c>
      <c r="G109" s="59">
        <f t="shared" si="94"/>
        <v>0.16666666666666599</v>
      </c>
      <c r="H109" s="59">
        <f t="shared" si="95"/>
        <v>0</v>
      </c>
    </row>
    <row r="110" spans="1:14" x14ac:dyDescent="0.25">
      <c r="A110" s="34">
        <v>765859.66319600004</v>
      </c>
      <c r="D110" s="60"/>
      <c r="E110" s="60"/>
      <c r="F110" s="60"/>
      <c r="G110" s="60"/>
      <c r="H110" s="60"/>
    </row>
    <row r="111" spans="1:14" ht="12.75" x14ac:dyDescent="0.25">
      <c r="A111" s="34">
        <v>1935007.4454640001</v>
      </c>
      <c r="B111" s="39">
        <v>11</v>
      </c>
      <c r="C111" s="36" t="str">
        <f>A462</f>
        <v>(120001.5, 1500000.5)</v>
      </c>
      <c r="D111" s="61" t="str">
        <f>D100</f>
        <v>OptOpt_EB</v>
      </c>
      <c r="E111" s="61" t="str">
        <f t="shared" ref="E111:H111" si="97">E100</f>
        <v>OptOpt_BB</v>
      </c>
      <c r="F111" s="61" t="str">
        <f t="shared" si="97"/>
        <v>NoneOpt_NBB</v>
      </c>
      <c r="G111" s="61" t="str">
        <f t="shared" si="97"/>
        <v>OptNone_BNB</v>
      </c>
      <c r="H111" s="61" t="str">
        <f t="shared" si="97"/>
        <v>NoneNone_NBNB</v>
      </c>
      <c r="J111" s="26" t="s">
        <v>19</v>
      </c>
      <c r="K111" s="26"/>
      <c r="L111" s="26" t="s">
        <v>20</v>
      </c>
    </row>
    <row r="112" spans="1:14" ht="12.75" x14ac:dyDescent="0.25">
      <c r="A112" s="34">
        <v>0.5</v>
      </c>
      <c r="B112" s="39" t="s">
        <v>9</v>
      </c>
      <c r="C112" s="36" t="str">
        <f>C101</f>
        <v>(3, 0)</v>
      </c>
      <c r="D112" s="59">
        <f>A463</f>
        <v>-54321700.993758999</v>
      </c>
      <c r="E112" s="59">
        <f>A472</f>
        <v>-19974110.033537</v>
      </c>
      <c r="F112" s="59">
        <f>A481</f>
        <v>-20010859.405606002</v>
      </c>
      <c r="G112" s="59">
        <f>A490</f>
        <v>90000</v>
      </c>
      <c r="H112" s="59">
        <f>A499</f>
        <v>90000</v>
      </c>
      <c r="J112" s="25">
        <f>MAX(D112:H112)</f>
        <v>90000</v>
      </c>
      <c r="K112" s="25"/>
      <c r="L112" s="25" t="str">
        <f>HLOOKUP(J112,D112:$H$122,N2,FALSE)</f>
        <v>OptNone_BNB</v>
      </c>
      <c r="N112" s="25"/>
    </row>
    <row r="113" spans="1:14" ht="12.75" x14ac:dyDescent="0.25">
      <c r="A113" s="34">
        <v>83657.433439999993</v>
      </c>
      <c r="C113" s="36" t="str">
        <f t="shared" ref="C113:C120" si="98">C102</f>
        <v>(3, 1)</v>
      </c>
      <c r="D113" s="59">
        <f t="shared" ref="D113:D120" si="99">A464</f>
        <v>-43904857.172724001</v>
      </c>
      <c r="E113" s="59">
        <f t="shared" ref="E113:E120" si="100">A473</f>
        <v>-19842897.510444999</v>
      </c>
      <c r="F113" s="59">
        <f t="shared" ref="F113:F120" si="101">A482</f>
        <v>-19960051.548920002</v>
      </c>
      <c r="G113" s="59">
        <f t="shared" ref="G113:G120" si="102">A491</f>
        <v>90000</v>
      </c>
      <c r="H113" s="59">
        <f t="shared" ref="H113:H120" si="103">A500</f>
        <v>90000</v>
      </c>
      <c r="J113" s="25">
        <f t="shared" ref="J113:J119" si="104">MAX(D113:H113)</f>
        <v>90000</v>
      </c>
      <c r="K113" s="25"/>
      <c r="L113" s="25" t="str">
        <f>HLOOKUP(J113,D113:$H$122,N3,FALSE)</f>
        <v>OptNone_BNB</v>
      </c>
      <c r="N113" s="25"/>
    </row>
    <row r="114" spans="1:14" ht="12.75" x14ac:dyDescent="0.25">
      <c r="A114" s="34">
        <v>84089.113582000005</v>
      </c>
      <c r="C114" s="36" t="str">
        <f t="shared" si="98"/>
        <v>(2, 0)</v>
      </c>
      <c r="D114" s="59">
        <f t="shared" si="99"/>
        <v>151811.5098</v>
      </c>
      <c r="E114" s="59">
        <f t="shared" si="100"/>
        <v>148283.55104699999</v>
      </c>
      <c r="F114" s="59">
        <f t="shared" si="101"/>
        <v>40000</v>
      </c>
      <c r="G114" s="59">
        <f t="shared" si="102"/>
        <v>160045.618071</v>
      </c>
      <c r="H114" s="59">
        <f t="shared" si="103"/>
        <v>40000</v>
      </c>
      <c r="J114" s="25">
        <f t="shared" si="104"/>
        <v>160045.618071</v>
      </c>
      <c r="K114" s="25"/>
      <c r="L114" s="25" t="str">
        <f>HLOOKUP(J114,D114:$H$122,N4,FALSE)</f>
        <v>OptNone_BNB</v>
      </c>
      <c r="N114" s="25"/>
    </row>
    <row r="115" spans="1:14" ht="12.75" x14ac:dyDescent="0.25">
      <c r="A115" s="34">
        <v>40000</v>
      </c>
      <c r="C115" s="36" t="str">
        <f t="shared" si="98"/>
        <v>(2, 1)</v>
      </c>
      <c r="D115" s="59">
        <f t="shared" si="99"/>
        <v>151863.59479999999</v>
      </c>
      <c r="E115" s="59">
        <f t="shared" si="100"/>
        <v>148341.87177600001</v>
      </c>
      <c r="F115" s="59">
        <f t="shared" si="101"/>
        <v>40000</v>
      </c>
      <c r="G115" s="59">
        <f t="shared" si="102"/>
        <v>159992.57740800001</v>
      </c>
      <c r="H115" s="59">
        <f t="shared" si="103"/>
        <v>40000</v>
      </c>
      <c r="J115" s="25">
        <f t="shared" si="104"/>
        <v>159992.57740800001</v>
      </c>
      <c r="K115" s="25"/>
      <c r="L115" s="25" t="str">
        <f>HLOOKUP(J115,D115:$H$122,N5,FALSE)</f>
        <v>OptNone_BNB</v>
      </c>
      <c r="N115" s="25"/>
    </row>
    <row r="116" spans="1:14" ht="12.75" x14ac:dyDescent="0.25">
      <c r="A116" s="34">
        <v>40000</v>
      </c>
      <c r="C116" s="36" t="str">
        <f t="shared" si="98"/>
        <v>(1, 0)</v>
      </c>
      <c r="D116" s="59">
        <f t="shared" si="99"/>
        <v>155782.0914</v>
      </c>
      <c r="E116" s="59">
        <f t="shared" si="100"/>
        <v>153315.213942</v>
      </c>
      <c r="F116" s="59">
        <f t="shared" si="101"/>
        <v>40000</v>
      </c>
      <c r="G116" s="59">
        <f t="shared" si="102"/>
        <v>155783.8848</v>
      </c>
      <c r="H116" s="59">
        <f t="shared" si="103"/>
        <v>40000</v>
      </c>
      <c r="J116" s="25">
        <f t="shared" si="104"/>
        <v>155783.8848</v>
      </c>
      <c r="K116" s="25"/>
      <c r="L116" s="25" t="str">
        <f>HLOOKUP(J116,D116:$H$122,N6,FALSE)</f>
        <v>OptNone_BNB</v>
      </c>
      <c r="N116" s="25"/>
    </row>
    <row r="117" spans="1:14" ht="12.75" x14ac:dyDescent="0.25">
      <c r="A117" s="34">
        <v>40000</v>
      </c>
      <c r="C117" s="36" t="str">
        <f t="shared" si="98"/>
        <v>(1, 1)</v>
      </c>
      <c r="D117" s="59">
        <f t="shared" si="99"/>
        <v>155810.50140000001</v>
      </c>
      <c r="E117" s="59">
        <f t="shared" si="100"/>
        <v>153319.05398999999</v>
      </c>
      <c r="F117" s="59">
        <f t="shared" si="101"/>
        <v>40000</v>
      </c>
      <c r="G117" s="59">
        <f t="shared" si="102"/>
        <v>155835.485445</v>
      </c>
      <c r="H117" s="59">
        <f t="shared" si="103"/>
        <v>40000</v>
      </c>
      <c r="J117" s="25">
        <f t="shared" si="104"/>
        <v>155835.485445</v>
      </c>
      <c r="K117" s="25"/>
      <c r="L117" s="25" t="str">
        <f>HLOOKUP(J117,D117:$H$122,N7,FALSE)</f>
        <v>OptNone_BNB</v>
      </c>
      <c r="N117" s="25"/>
    </row>
    <row r="118" spans="1:14" ht="12.75" x14ac:dyDescent="0.25">
      <c r="A118" s="34">
        <v>40000</v>
      </c>
      <c r="C118" s="36" t="str">
        <f t="shared" si="98"/>
        <v>Inspector</v>
      </c>
      <c r="D118" s="59">
        <f t="shared" si="99"/>
        <v>1687652.9650000001</v>
      </c>
      <c r="E118" s="59">
        <f t="shared" si="100"/>
        <v>769963.419245</v>
      </c>
      <c r="F118" s="59">
        <f t="shared" si="101"/>
        <v>726177.17</v>
      </c>
      <c r="G118" s="59">
        <f t="shared" si="102"/>
        <v>91256.914275999996</v>
      </c>
      <c r="H118" s="59">
        <f t="shared" si="103"/>
        <v>70000</v>
      </c>
      <c r="J118" s="25">
        <f t="shared" si="104"/>
        <v>1687652.9650000001</v>
      </c>
      <c r="K118" s="25"/>
      <c r="L118" s="25" t="str">
        <f>HLOOKUP(J118,D118:$H$122,N8,FALSE)</f>
        <v>OptOpt_EB</v>
      </c>
      <c r="N118" s="25"/>
    </row>
    <row r="119" spans="1:14" ht="12.75" x14ac:dyDescent="0.25">
      <c r="A119" s="34">
        <v>738087.08797800005</v>
      </c>
      <c r="C119" s="36" t="str">
        <f t="shared" si="98"/>
        <v>State</v>
      </c>
      <c r="D119" s="59">
        <f t="shared" si="99"/>
        <v>98900776.989083007</v>
      </c>
      <c r="E119" s="59">
        <f t="shared" si="100"/>
        <v>41422119.543981999</v>
      </c>
      <c r="F119" s="59">
        <f t="shared" si="101"/>
        <v>42073526.954526</v>
      </c>
      <c r="G119" s="59">
        <f t="shared" si="102"/>
        <v>2090000</v>
      </c>
      <c r="H119" s="59">
        <f t="shared" si="103"/>
        <v>2590000</v>
      </c>
      <c r="J119" s="25">
        <f t="shared" si="104"/>
        <v>98900776.989083007</v>
      </c>
      <c r="K119" s="25"/>
      <c r="L119" s="25" t="str">
        <f>HLOOKUP(J119,D119:$H$122,N9,FALSE)</f>
        <v>OptOpt_EB</v>
      </c>
      <c r="N119" s="25"/>
    </row>
    <row r="120" spans="1:14" x14ac:dyDescent="0.25">
      <c r="A120" s="34">
        <v>1590000</v>
      </c>
      <c r="C120" s="36" t="str">
        <f t="shared" si="98"/>
        <v>LoC</v>
      </c>
      <c r="D120" s="59">
        <f t="shared" si="99"/>
        <v>0.5</v>
      </c>
      <c r="E120" s="59">
        <f t="shared" si="100"/>
        <v>0.5</v>
      </c>
      <c r="F120" s="59">
        <f t="shared" si="101"/>
        <v>0.33333333333333298</v>
      </c>
      <c r="G120" s="59">
        <f t="shared" si="102"/>
        <v>0.16666666666666599</v>
      </c>
      <c r="H120" s="59">
        <f t="shared" si="103"/>
        <v>0</v>
      </c>
    </row>
    <row r="121" spans="1:14" x14ac:dyDescent="0.25">
      <c r="A121" s="34">
        <v>0.33333333333333298</v>
      </c>
      <c r="D121" s="60"/>
      <c r="E121" s="60"/>
      <c r="F121" s="60"/>
      <c r="G121" s="60"/>
      <c r="H121" s="60"/>
    </row>
    <row r="122" spans="1:14" ht="12.75" x14ac:dyDescent="0.25">
      <c r="A122" s="34">
        <v>90000</v>
      </c>
      <c r="B122" s="39">
        <v>12</v>
      </c>
      <c r="C122" s="36" t="str">
        <f>A508</f>
        <v>(120001.5, 3000001)</v>
      </c>
      <c r="D122" s="61" t="str">
        <f>D111</f>
        <v>OptOpt_EB</v>
      </c>
      <c r="E122" s="61" t="str">
        <f t="shared" ref="E122:H122" si="105">E111</f>
        <v>OptOpt_BB</v>
      </c>
      <c r="F122" s="61" t="str">
        <f t="shared" si="105"/>
        <v>NoneOpt_NBB</v>
      </c>
      <c r="G122" s="61" t="str">
        <f t="shared" si="105"/>
        <v>OptNone_BNB</v>
      </c>
      <c r="H122" s="61" t="str">
        <f t="shared" si="105"/>
        <v>NoneNone_NBNB</v>
      </c>
      <c r="J122" s="26" t="s">
        <v>19</v>
      </c>
      <c r="K122" s="26"/>
      <c r="L122" s="26" t="s">
        <v>20</v>
      </c>
    </row>
    <row r="123" spans="1:14" ht="12.75" x14ac:dyDescent="0.25">
      <c r="A123" s="34">
        <v>90000</v>
      </c>
      <c r="B123" s="39" t="s">
        <v>9</v>
      </c>
      <c r="C123" s="36" t="str">
        <f>C112</f>
        <v>(3, 0)</v>
      </c>
      <c r="D123" s="59">
        <f>A509</f>
        <v>-67815583.313580006</v>
      </c>
      <c r="E123" s="59">
        <f>A518</f>
        <v>89407.833136000001</v>
      </c>
      <c r="F123" s="59">
        <f>A527</f>
        <v>88855.832951999997</v>
      </c>
      <c r="G123" s="59">
        <f>A536</f>
        <v>90000</v>
      </c>
      <c r="H123" s="59">
        <f>A545</f>
        <v>90000</v>
      </c>
      <c r="J123" s="25">
        <f>MAX(D123:H123)</f>
        <v>90000</v>
      </c>
      <c r="K123" s="25"/>
      <c r="L123" s="25" t="str">
        <f>HLOOKUP(J123,D123:$H$133,N2,FALSE)</f>
        <v>OptNone_BNB</v>
      </c>
      <c r="N123" s="25"/>
    </row>
    <row r="124" spans="1:14" ht="12.75" x14ac:dyDescent="0.25">
      <c r="A124" s="34">
        <v>87352.723635999995</v>
      </c>
      <c r="C124" s="36" t="str">
        <f t="shared" ref="C124:C131" si="106">C113</f>
        <v>(3, 1)</v>
      </c>
      <c r="D124" s="59">
        <f t="shared" ref="D124:D131" si="107">A510</f>
        <v>-47701797.818832003</v>
      </c>
      <c r="E124" s="59">
        <f t="shared" ref="E124:E131" si="108">A519</f>
        <v>90397.833465999996</v>
      </c>
      <c r="F124" s="59">
        <f t="shared" ref="F124:F131" si="109">A528</f>
        <v>89125.833041999998</v>
      </c>
      <c r="G124" s="59">
        <f t="shared" ref="G124:G131" si="110">A537</f>
        <v>90000</v>
      </c>
      <c r="H124" s="59">
        <f t="shared" ref="H124:H131" si="111">A546</f>
        <v>90000</v>
      </c>
      <c r="J124" s="25">
        <f t="shared" ref="J124:J130" si="112">MAX(D124:H124)</f>
        <v>90397.833465999996</v>
      </c>
      <c r="K124" s="25"/>
      <c r="L124" s="25" t="str">
        <f>HLOOKUP(J124,D124:$H$133,N3,FALSE)</f>
        <v>OptOpt_BB</v>
      </c>
      <c r="N124" s="25"/>
    </row>
    <row r="125" spans="1:14" ht="12.75" x14ac:dyDescent="0.25">
      <c r="A125" s="34">
        <v>87452.489337999999</v>
      </c>
      <c r="C125" s="36" t="str">
        <f t="shared" si="106"/>
        <v>(2, 0)</v>
      </c>
      <c r="D125" s="59">
        <f t="shared" si="107"/>
        <v>151862.269</v>
      </c>
      <c r="E125" s="59">
        <f t="shared" si="108"/>
        <v>148392.51240899999</v>
      </c>
      <c r="F125" s="59">
        <f t="shared" si="109"/>
        <v>40000</v>
      </c>
      <c r="G125" s="59">
        <f t="shared" si="110"/>
        <v>159963.537045</v>
      </c>
      <c r="H125" s="59">
        <f t="shared" si="111"/>
        <v>40000</v>
      </c>
      <c r="J125" s="25">
        <f t="shared" si="112"/>
        <v>159963.537045</v>
      </c>
      <c r="K125" s="25"/>
      <c r="L125" s="25" t="str">
        <f>HLOOKUP(J125,D125:$H$133,N4,FALSE)</f>
        <v>OptNone_BNB</v>
      </c>
      <c r="N125" s="25"/>
    </row>
    <row r="126" spans="1:14" ht="12.75" x14ac:dyDescent="0.25">
      <c r="A126" s="34">
        <v>22179.855048000001</v>
      </c>
      <c r="C126" s="36" t="str">
        <f t="shared" si="106"/>
        <v>(2, 1)</v>
      </c>
      <c r="D126" s="59">
        <f t="shared" si="107"/>
        <v>151870.41320000001</v>
      </c>
      <c r="E126" s="59">
        <f t="shared" si="108"/>
        <v>148304.431308</v>
      </c>
      <c r="F126" s="59">
        <f t="shared" si="109"/>
        <v>40000</v>
      </c>
      <c r="G126" s="59">
        <f t="shared" si="110"/>
        <v>160054.01817600001</v>
      </c>
      <c r="H126" s="59">
        <f t="shared" si="111"/>
        <v>40000</v>
      </c>
      <c r="J126" s="25">
        <f t="shared" si="112"/>
        <v>160054.01817600001</v>
      </c>
      <c r="K126" s="25"/>
      <c r="L126" s="25" t="str">
        <f>HLOOKUP(J126,D126:$H$133,N5,FALSE)</f>
        <v>OptNone_BNB</v>
      </c>
      <c r="N126" s="25"/>
    </row>
    <row r="127" spans="1:14" ht="12.75" x14ac:dyDescent="0.25">
      <c r="A127" s="34">
        <v>25039.805172</v>
      </c>
      <c r="C127" s="36" t="str">
        <f t="shared" si="106"/>
        <v>(1, 0)</v>
      </c>
      <c r="D127" s="59">
        <f t="shared" si="107"/>
        <v>155704.6268</v>
      </c>
      <c r="E127" s="59">
        <f t="shared" si="108"/>
        <v>153373.534671</v>
      </c>
      <c r="F127" s="59">
        <f t="shared" si="109"/>
        <v>40000</v>
      </c>
      <c r="G127" s="59">
        <f t="shared" si="110"/>
        <v>155855.88570000001</v>
      </c>
      <c r="H127" s="59">
        <f t="shared" si="111"/>
        <v>40000</v>
      </c>
      <c r="J127" s="25">
        <f t="shared" si="112"/>
        <v>155855.88570000001</v>
      </c>
      <c r="K127" s="25"/>
      <c r="L127" s="25" t="str">
        <f>HLOOKUP(J127,D127:$H$133,N6,FALSE)</f>
        <v>OptNone_BNB</v>
      </c>
      <c r="N127" s="25"/>
    </row>
    <row r="128" spans="1:14" ht="12.75" x14ac:dyDescent="0.25">
      <c r="A128" s="34">
        <v>81853.100000000006</v>
      </c>
      <c r="C128" s="36" t="str">
        <f t="shared" si="106"/>
        <v>(1, 1)</v>
      </c>
      <c r="D128" s="59">
        <f t="shared" si="107"/>
        <v>155808.79680000001</v>
      </c>
      <c r="E128" s="59">
        <f t="shared" si="108"/>
        <v>153267.213342</v>
      </c>
      <c r="F128" s="59">
        <f t="shared" si="109"/>
        <v>40000</v>
      </c>
      <c r="G128" s="59">
        <f t="shared" si="110"/>
        <v>155817.24521699999</v>
      </c>
      <c r="H128" s="59">
        <f t="shared" si="111"/>
        <v>40000</v>
      </c>
      <c r="J128" s="25">
        <f t="shared" si="112"/>
        <v>155817.24521699999</v>
      </c>
      <c r="K128" s="25"/>
      <c r="L128" s="25" t="str">
        <f>HLOOKUP(J128,D128:$H$133,N7,FALSE)</f>
        <v>OptNone_BNB</v>
      </c>
      <c r="N128" s="25"/>
    </row>
    <row r="129" spans="1:14" ht="12.75" x14ac:dyDescent="0.25">
      <c r="A129" s="34">
        <v>2513751.406806</v>
      </c>
      <c r="C129" s="36" t="str">
        <f t="shared" si="106"/>
        <v>Inspector</v>
      </c>
      <c r="D129" s="59">
        <f t="shared" si="107"/>
        <v>1686569.162946</v>
      </c>
      <c r="E129" s="59">
        <f t="shared" si="108"/>
        <v>771791.78666800004</v>
      </c>
      <c r="F129" s="59">
        <f t="shared" si="109"/>
        <v>726798.65900600003</v>
      </c>
      <c r="G129" s="59">
        <f t="shared" si="110"/>
        <v>91232.073862000005</v>
      </c>
      <c r="H129" s="59">
        <f t="shared" si="111"/>
        <v>70000</v>
      </c>
      <c r="J129" s="25">
        <f t="shared" si="112"/>
        <v>1686569.162946</v>
      </c>
      <c r="K129" s="25"/>
      <c r="L129" s="25" t="str">
        <f>HLOOKUP(J129,D129:$H$133,N8,FALSE)</f>
        <v>OptOpt_EB</v>
      </c>
      <c r="N129" s="25"/>
    </row>
    <row r="130" spans="1:14" ht="12.75" x14ac:dyDescent="0.25">
      <c r="A130" s="34">
        <v>0.16666666666666599</v>
      </c>
      <c r="C130" s="36" t="str">
        <f t="shared" si="106"/>
        <v>State</v>
      </c>
      <c r="D130" s="59">
        <f t="shared" si="107"/>
        <v>115859769.533666</v>
      </c>
      <c r="E130" s="59">
        <f t="shared" si="108"/>
        <v>1090000</v>
      </c>
      <c r="F130" s="59">
        <f t="shared" si="109"/>
        <v>1590000</v>
      </c>
      <c r="G130" s="59">
        <f t="shared" si="110"/>
        <v>2090000</v>
      </c>
      <c r="H130" s="59">
        <f t="shared" si="111"/>
        <v>2590000</v>
      </c>
      <c r="J130" s="25">
        <f t="shared" si="112"/>
        <v>115859769.533666</v>
      </c>
      <c r="K130" s="25"/>
      <c r="L130" s="25" t="str">
        <f>HLOOKUP(J130,D130:$H$133,N9,FALSE)</f>
        <v>OptOpt_EB</v>
      </c>
      <c r="N130" s="25"/>
    </row>
    <row r="131" spans="1:14" x14ac:dyDescent="0.25">
      <c r="A131" s="34">
        <v>90000</v>
      </c>
      <c r="C131" s="36" t="str">
        <f t="shared" si="106"/>
        <v>LoC</v>
      </c>
      <c r="D131" s="59">
        <f t="shared" si="107"/>
        <v>0.5</v>
      </c>
      <c r="E131" s="59">
        <f t="shared" si="108"/>
        <v>0.5</v>
      </c>
      <c r="F131" s="59">
        <f t="shared" si="109"/>
        <v>0.33333333333333298</v>
      </c>
      <c r="G131" s="59">
        <f t="shared" si="110"/>
        <v>0.16666666666666599</v>
      </c>
      <c r="H131" s="59">
        <f t="shared" si="111"/>
        <v>0</v>
      </c>
    </row>
    <row r="132" spans="1:14" x14ac:dyDescent="0.25">
      <c r="A132" s="34">
        <v>90000</v>
      </c>
      <c r="D132" s="60"/>
      <c r="E132" s="60"/>
      <c r="F132" s="60"/>
      <c r="G132" s="60"/>
      <c r="H132" s="60"/>
    </row>
    <row r="133" spans="1:14" ht="12.75" x14ac:dyDescent="0.25">
      <c r="A133" s="34">
        <v>40000</v>
      </c>
      <c r="B133" s="39">
        <v>13</v>
      </c>
      <c r="C133" s="36" t="str">
        <f>A554</f>
        <v>(120001.5, 3040001)</v>
      </c>
      <c r="D133" s="61" t="str">
        <f>D122</f>
        <v>OptOpt_EB</v>
      </c>
      <c r="E133" s="61" t="str">
        <f t="shared" ref="E133:H133" si="113">E122</f>
        <v>OptOpt_BB</v>
      </c>
      <c r="F133" s="61" t="str">
        <f t="shared" si="113"/>
        <v>NoneOpt_NBB</v>
      </c>
      <c r="G133" s="61" t="str">
        <f t="shared" si="113"/>
        <v>OptNone_BNB</v>
      </c>
      <c r="H133" s="61" t="str">
        <f t="shared" si="113"/>
        <v>NoneNone_NBNB</v>
      </c>
      <c r="J133" s="26" t="s">
        <v>19</v>
      </c>
      <c r="K133" s="26"/>
      <c r="L133" s="26" t="s">
        <v>20</v>
      </c>
    </row>
    <row r="134" spans="1:14" ht="12.75" x14ac:dyDescent="0.25">
      <c r="A134" s="34">
        <v>40000</v>
      </c>
      <c r="B134" s="39" t="s">
        <v>9</v>
      </c>
      <c r="C134" s="36" t="str">
        <f>C123</f>
        <v>(3, 0)</v>
      </c>
      <c r="D134" s="59">
        <f>A555</f>
        <v>-69038000.817118004</v>
      </c>
      <c r="E134" s="59">
        <f>A564</f>
        <v>81377.432690000001</v>
      </c>
      <c r="F134" s="59">
        <f>A573</f>
        <v>81632.792774000001</v>
      </c>
      <c r="G134" s="59">
        <f>A582</f>
        <v>90000</v>
      </c>
      <c r="H134" s="59">
        <f>A591</f>
        <v>90000</v>
      </c>
      <c r="J134" s="25">
        <f>MAX(D134:H134)</f>
        <v>90000</v>
      </c>
      <c r="K134" s="25"/>
      <c r="L134" s="25" t="str">
        <f>HLOOKUP(J134,D134:$H$144,N2,FALSE)</f>
        <v>OptNone_BNB</v>
      </c>
      <c r="N134" s="25"/>
    </row>
    <row r="135" spans="1:14" ht="12.75" x14ac:dyDescent="0.25">
      <c r="A135" s="34">
        <v>40000</v>
      </c>
      <c r="C135" s="36" t="str">
        <f t="shared" ref="C135:C142" si="114">C124</f>
        <v>(3, 1)</v>
      </c>
      <c r="D135" s="59">
        <f t="shared" ref="D135:D142" si="115">A556</f>
        <v>-48101408.940609999</v>
      </c>
      <c r="E135" s="59">
        <f t="shared" ref="E135:E142" si="116">A565</f>
        <v>82915.673196000003</v>
      </c>
      <c r="F135" s="59">
        <f t="shared" ref="F135:F142" si="117">A574</f>
        <v>84988.953878</v>
      </c>
      <c r="G135" s="59">
        <f t="shared" ref="G135:G142" si="118">A583</f>
        <v>90000</v>
      </c>
      <c r="H135" s="59">
        <f t="shared" ref="H135:H142" si="119">A592</f>
        <v>90000</v>
      </c>
      <c r="J135" s="25">
        <f t="shared" ref="J135:J141" si="120">MAX(D135:H135)</f>
        <v>90000</v>
      </c>
      <c r="K135" s="25"/>
      <c r="L135" s="25" t="str">
        <f>HLOOKUP(J135,D135:$H$144,N3,FALSE)</f>
        <v>OptNone_BNB</v>
      </c>
      <c r="N135" s="25"/>
    </row>
    <row r="136" spans="1:14" ht="12.75" x14ac:dyDescent="0.25">
      <c r="A136" s="34">
        <v>40000</v>
      </c>
      <c r="C136" s="36" t="str">
        <f t="shared" si="114"/>
        <v>(2, 0)</v>
      </c>
      <c r="D136" s="59">
        <f t="shared" si="115"/>
        <v>151768.89480000001</v>
      </c>
      <c r="E136" s="59">
        <f t="shared" si="116"/>
        <v>148373.31216900001</v>
      </c>
      <c r="F136" s="59">
        <f t="shared" si="117"/>
        <v>40000</v>
      </c>
      <c r="G136" s="59">
        <f t="shared" si="118"/>
        <v>160075.61844600001</v>
      </c>
      <c r="H136" s="59">
        <f t="shared" si="119"/>
        <v>40000</v>
      </c>
      <c r="J136" s="25">
        <f t="shared" si="120"/>
        <v>160075.61844600001</v>
      </c>
      <c r="K136" s="25"/>
      <c r="L136" s="25" t="str">
        <f>HLOOKUP(J136,D136:$H$144,N4,FALSE)</f>
        <v>OptNone_BNB</v>
      </c>
      <c r="N136" s="25"/>
    </row>
    <row r="137" spans="1:14" ht="12.75" x14ac:dyDescent="0.25">
      <c r="A137" s="34">
        <v>70000</v>
      </c>
      <c r="C137" s="36" t="str">
        <f t="shared" si="114"/>
        <v>(2, 1)</v>
      </c>
      <c r="D137" s="59">
        <f t="shared" si="115"/>
        <v>151843.13959999999</v>
      </c>
      <c r="E137" s="59">
        <f t="shared" si="116"/>
        <v>148367.07209100001</v>
      </c>
      <c r="F137" s="59">
        <f t="shared" si="117"/>
        <v>40000</v>
      </c>
      <c r="G137" s="59">
        <f t="shared" si="118"/>
        <v>160000.97751299999</v>
      </c>
      <c r="H137" s="59">
        <f t="shared" si="119"/>
        <v>40000</v>
      </c>
      <c r="J137" s="25">
        <f t="shared" si="120"/>
        <v>160000.97751299999</v>
      </c>
      <c r="K137" s="25"/>
      <c r="L137" s="25" t="str">
        <f>HLOOKUP(J137,D137:$H$144,N5,FALSE)</f>
        <v>OptNone_BNB</v>
      </c>
      <c r="N137" s="25"/>
    </row>
    <row r="138" spans="1:14" ht="12.75" x14ac:dyDescent="0.25">
      <c r="A138" s="34">
        <v>2590000</v>
      </c>
      <c r="C138" s="36" t="str">
        <f t="shared" si="114"/>
        <v>(1, 0)</v>
      </c>
      <c r="D138" s="59">
        <f t="shared" si="115"/>
        <v>155725.08199999999</v>
      </c>
      <c r="E138" s="59">
        <f t="shared" si="116"/>
        <v>153329.614122</v>
      </c>
      <c r="F138" s="59">
        <f t="shared" si="117"/>
        <v>40000</v>
      </c>
      <c r="G138" s="59">
        <f t="shared" si="118"/>
        <v>155825.645322</v>
      </c>
      <c r="H138" s="59">
        <f t="shared" si="119"/>
        <v>40000</v>
      </c>
      <c r="J138" s="25">
        <f t="shared" si="120"/>
        <v>155825.645322</v>
      </c>
      <c r="K138" s="25"/>
      <c r="L138" s="25" t="str">
        <f>HLOOKUP(J138,D138:$H$144,N6,FALSE)</f>
        <v>OptNone_BNB</v>
      </c>
      <c r="N138" s="25"/>
    </row>
    <row r="139" spans="1:14" ht="12.75" x14ac:dyDescent="0.25">
      <c r="A139" s="34">
        <v>0</v>
      </c>
      <c r="C139" s="36" t="str">
        <f t="shared" si="114"/>
        <v>(1, 1)</v>
      </c>
      <c r="D139" s="59">
        <f t="shared" si="115"/>
        <v>155879.2536</v>
      </c>
      <c r="E139" s="59">
        <f t="shared" si="116"/>
        <v>153349.05436499999</v>
      </c>
      <c r="F139" s="59">
        <f t="shared" si="117"/>
        <v>40000</v>
      </c>
      <c r="G139" s="59">
        <f t="shared" si="118"/>
        <v>155782.924788</v>
      </c>
      <c r="H139" s="59">
        <f t="shared" si="119"/>
        <v>40000</v>
      </c>
      <c r="J139" s="25">
        <f t="shared" si="120"/>
        <v>155879.2536</v>
      </c>
      <c r="K139" s="25"/>
      <c r="L139" s="25" t="str">
        <f>HLOOKUP(J139,D139:$H$144,N7,FALSE)</f>
        <v>OptOpt_EB</v>
      </c>
      <c r="N139" s="25"/>
    </row>
    <row r="140" spans="1:14" ht="12.75" x14ac:dyDescent="0.25">
      <c r="A140" s="79" t="s">
        <v>232</v>
      </c>
      <c r="C140" s="36" t="str">
        <f t="shared" si="114"/>
        <v>Inspector</v>
      </c>
      <c r="D140" s="59">
        <f t="shared" si="115"/>
        <v>1700285.5728279999</v>
      </c>
      <c r="E140" s="59">
        <f t="shared" si="116"/>
        <v>786511.21636700002</v>
      </c>
      <c r="F140" s="59">
        <f t="shared" si="117"/>
        <v>738824.503348</v>
      </c>
      <c r="G140" s="59">
        <f t="shared" si="118"/>
        <v>91236.213931000006</v>
      </c>
      <c r="H140" s="59">
        <f t="shared" si="119"/>
        <v>70000</v>
      </c>
      <c r="J140" s="25">
        <f t="shared" si="120"/>
        <v>1700285.5728279999</v>
      </c>
      <c r="K140" s="25"/>
      <c r="L140" s="25" t="str">
        <f>HLOOKUP(J140,D140:$H$144,N8,FALSE)</f>
        <v>OptOpt_EB</v>
      </c>
      <c r="N140" s="25"/>
    </row>
    <row r="141" spans="1:14" ht="12.75" x14ac:dyDescent="0.25">
      <c r="A141" s="34">
        <v>-774409.64298999996</v>
      </c>
      <c r="C141" s="36" t="str">
        <f t="shared" si="114"/>
        <v>State</v>
      </c>
      <c r="D141" s="59">
        <f t="shared" si="115"/>
        <v>117468221.9349</v>
      </c>
      <c r="E141" s="59">
        <f t="shared" si="116"/>
        <v>1090000</v>
      </c>
      <c r="F141" s="59">
        <f t="shared" si="117"/>
        <v>1590000</v>
      </c>
      <c r="G141" s="59">
        <f t="shared" si="118"/>
        <v>2090000</v>
      </c>
      <c r="H141" s="59">
        <f t="shared" si="119"/>
        <v>2590000</v>
      </c>
      <c r="J141" s="25">
        <f t="shared" si="120"/>
        <v>117468221.9349</v>
      </c>
      <c r="K141" s="25"/>
      <c r="L141" s="25" t="str">
        <f>HLOOKUP(J141,D141:$H$144,N9,FALSE)</f>
        <v>OptOpt_EB</v>
      </c>
      <c r="N141" s="25"/>
    </row>
    <row r="142" spans="1:14" x14ac:dyDescent="0.25">
      <c r="A142" s="34">
        <v>-524208.84175600001</v>
      </c>
      <c r="C142" s="36" t="str">
        <f t="shared" si="114"/>
        <v>LoC</v>
      </c>
      <c r="D142" s="59">
        <f t="shared" si="115"/>
        <v>0.5</v>
      </c>
      <c r="E142" s="59">
        <f t="shared" si="116"/>
        <v>0.5</v>
      </c>
      <c r="F142" s="59">
        <f t="shared" si="117"/>
        <v>0.33333333333333298</v>
      </c>
      <c r="G142" s="59">
        <f t="shared" si="118"/>
        <v>0.16666666666666599</v>
      </c>
      <c r="H142" s="59">
        <f t="shared" si="119"/>
        <v>0</v>
      </c>
    </row>
    <row r="143" spans="1:14" x14ac:dyDescent="0.25">
      <c r="A143" s="34">
        <v>165000</v>
      </c>
      <c r="D143" s="60"/>
      <c r="E143" s="60"/>
      <c r="F143" s="60"/>
      <c r="G143" s="60"/>
      <c r="H143" s="60"/>
    </row>
    <row r="144" spans="1:14" ht="12.75" x14ac:dyDescent="0.25">
      <c r="A144" s="34">
        <v>165000</v>
      </c>
      <c r="B144" s="39">
        <v>14</v>
      </c>
      <c r="C144" s="36" t="str">
        <f>A600</f>
        <v>(120001.5, 3080001)</v>
      </c>
      <c r="D144" s="61" t="str">
        <f>D133</f>
        <v>OptOpt_EB</v>
      </c>
      <c r="E144" s="61" t="str">
        <f t="shared" ref="E144:H144" si="121">E133</f>
        <v>OptOpt_BB</v>
      </c>
      <c r="F144" s="61" t="str">
        <f t="shared" si="121"/>
        <v>NoneOpt_NBB</v>
      </c>
      <c r="G144" s="61" t="str">
        <f t="shared" si="121"/>
        <v>OptNone_BNB</v>
      </c>
      <c r="H144" s="61" t="str">
        <f t="shared" si="121"/>
        <v>NoneNone_NBNB</v>
      </c>
      <c r="J144" s="26" t="s">
        <v>19</v>
      </c>
      <c r="K144" s="26"/>
      <c r="L144" s="26" t="s">
        <v>20</v>
      </c>
    </row>
    <row r="145" spans="1:14" ht="12.75" x14ac:dyDescent="0.25">
      <c r="A145" s="34">
        <v>165000</v>
      </c>
      <c r="B145" s="39" t="s">
        <v>9</v>
      </c>
      <c r="C145" s="36" t="str">
        <f>C134</f>
        <v>(3, 0)</v>
      </c>
      <c r="D145" s="59">
        <f>A601</f>
        <v>-783711.24601</v>
      </c>
      <c r="E145" s="59">
        <f>A610</f>
        <v>76452.953263999996</v>
      </c>
      <c r="F145" s="59">
        <f>A619</f>
        <v>75350.312906000006</v>
      </c>
      <c r="G145" s="59">
        <f>A628</f>
        <v>90000</v>
      </c>
      <c r="H145" s="59">
        <f>A637</f>
        <v>90000</v>
      </c>
      <c r="J145" s="25">
        <f>MAX(D145:H145)</f>
        <v>90000</v>
      </c>
      <c r="K145" s="25"/>
      <c r="L145" s="25" t="str">
        <f>HLOOKUP(J145,D145:$H$155,N2,FALSE)</f>
        <v>OptNone_BNB</v>
      </c>
      <c r="N145" s="25"/>
    </row>
    <row r="146" spans="1:14" ht="12.75" x14ac:dyDescent="0.25">
      <c r="A146" s="34">
        <v>165000</v>
      </c>
      <c r="C146" s="36" t="str">
        <f t="shared" ref="C146:C153" si="122">C135</f>
        <v>(3, 1)</v>
      </c>
      <c r="D146" s="59">
        <f t="shared" ref="D146:D153" si="123">A602</f>
        <v>-518646.35995000001</v>
      </c>
      <c r="E146" s="59">
        <f t="shared" ref="E146:E153" si="124">A611</f>
        <v>74832.872738000005</v>
      </c>
      <c r="F146" s="59">
        <f t="shared" ref="F146:F153" si="125">A620</f>
        <v>76914.953414000003</v>
      </c>
      <c r="G146" s="59">
        <f t="shared" ref="G146:G153" si="126">A629</f>
        <v>90000</v>
      </c>
      <c r="H146" s="59">
        <f t="shared" ref="H146:H153" si="127">A638</f>
        <v>90000</v>
      </c>
      <c r="J146" s="25">
        <f t="shared" ref="J146:J152" si="128">MAX(D146:H146)</f>
        <v>90000</v>
      </c>
      <c r="K146" s="25"/>
      <c r="L146" s="25" t="str">
        <f>HLOOKUP(J146,D146:$H$155,N3,FALSE)</f>
        <v>OptNone_BNB</v>
      </c>
      <c r="N146" s="25"/>
    </row>
    <row r="147" spans="1:14" ht="12.75" x14ac:dyDescent="0.25">
      <c r="A147" s="34">
        <v>1711622.559746</v>
      </c>
      <c r="C147" s="36" t="str">
        <f t="shared" si="122"/>
        <v>(2, 0)</v>
      </c>
      <c r="D147" s="59">
        <f t="shared" si="123"/>
        <v>165000</v>
      </c>
      <c r="E147" s="59">
        <f t="shared" si="124"/>
        <v>148350.75188699999</v>
      </c>
      <c r="F147" s="59">
        <f t="shared" si="125"/>
        <v>40000</v>
      </c>
      <c r="G147" s="59">
        <f t="shared" si="126"/>
        <v>159966.41708099999</v>
      </c>
      <c r="H147" s="59">
        <f t="shared" si="127"/>
        <v>40000</v>
      </c>
      <c r="J147" s="25">
        <f t="shared" si="128"/>
        <v>165000</v>
      </c>
      <c r="K147" s="25"/>
      <c r="L147" s="25" t="str">
        <f>HLOOKUP(J147,D147:$H$155,N4,FALSE)</f>
        <v>OptOpt_EB</v>
      </c>
      <c r="N147" s="25"/>
    </row>
    <row r="148" spans="1:14" ht="12.75" x14ac:dyDescent="0.25">
      <c r="A148" s="34">
        <v>1090000</v>
      </c>
      <c r="C148" s="36" t="str">
        <f t="shared" si="122"/>
        <v>(2, 1)</v>
      </c>
      <c r="D148" s="59">
        <f t="shared" si="123"/>
        <v>165000</v>
      </c>
      <c r="E148" s="59">
        <f t="shared" si="124"/>
        <v>148323.631548</v>
      </c>
      <c r="F148" s="59">
        <f t="shared" si="125"/>
        <v>40000</v>
      </c>
      <c r="G148" s="59">
        <f t="shared" si="126"/>
        <v>159976.25720399999</v>
      </c>
      <c r="H148" s="59">
        <f t="shared" si="127"/>
        <v>40000</v>
      </c>
      <c r="J148" s="25">
        <f t="shared" si="128"/>
        <v>165000</v>
      </c>
      <c r="K148" s="25"/>
      <c r="L148" s="25" t="str">
        <f>HLOOKUP(J148,D148:$H$155,N5,FALSE)</f>
        <v>OptOpt_EB</v>
      </c>
      <c r="N148" s="25"/>
    </row>
    <row r="149" spans="1:14" ht="12.75" x14ac:dyDescent="0.25">
      <c r="A149" s="34">
        <v>0.5</v>
      </c>
      <c r="C149" s="36" t="str">
        <f t="shared" si="122"/>
        <v>(1, 0)</v>
      </c>
      <c r="D149" s="59">
        <f t="shared" si="123"/>
        <v>165000</v>
      </c>
      <c r="E149" s="59">
        <f t="shared" si="124"/>
        <v>153377.134716</v>
      </c>
      <c r="F149" s="59">
        <f t="shared" si="125"/>
        <v>40000</v>
      </c>
      <c r="G149" s="59">
        <f t="shared" si="126"/>
        <v>155887.32609300001</v>
      </c>
      <c r="H149" s="59">
        <f t="shared" si="127"/>
        <v>40000</v>
      </c>
      <c r="J149" s="25">
        <f t="shared" si="128"/>
        <v>165000</v>
      </c>
      <c r="K149" s="25"/>
      <c r="L149" s="25" t="str">
        <f>HLOOKUP(J149,D149:$H$155,N6,FALSE)</f>
        <v>OptOpt_EB</v>
      </c>
      <c r="N149" s="25"/>
    </row>
    <row r="150" spans="1:14" ht="12.75" x14ac:dyDescent="0.25">
      <c r="A150" s="34">
        <v>74481.752624000001</v>
      </c>
      <c r="C150" s="36" t="str">
        <f t="shared" si="122"/>
        <v>(1, 1)</v>
      </c>
      <c r="D150" s="59">
        <f t="shared" si="123"/>
        <v>165000</v>
      </c>
      <c r="E150" s="59">
        <f t="shared" si="124"/>
        <v>153287.373594</v>
      </c>
      <c r="F150" s="59">
        <f t="shared" si="125"/>
        <v>40000</v>
      </c>
      <c r="G150" s="59">
        <f t="shared" si="126"/>
        <v>155812.205154</v>
      </c>
      <c r="H150" s="59">
        <f t="shared" si="127"/>
        <v>40000</v>
      </c>
      <c r="J150" s="25">
        <f t="shared" si="128"/>
        <v>165000</v>
      </c>
      <c r="K150" s="25"/>
      <c r="L150" s="25" t="str">
        <f>HLOOKUP(J150,D150:$H$155,N7,FALSE)</f>
        <v>OptOpt_EB</v>
      </c>
      <c r="N150" s="25"/>
    </row>
    <row r="151" spans="1:14" ht="12.75" x14ac:dyDescent="0.25">
      <c r="A151" s="34">
        <v>78307.113866</v>
      </c>
      <c r="C151" s="36" t="str">
        <f t="shared" si="122"/>
        <v>Inspector</v>
      </c>
      <c r="D151" s="59">
        <f t="shared" si="123"/>
        <v>1714076.56596</v>
      </c>
      <c r="E151" s="59">
        <f t="shared" si="124"/>
        <v>799697.22725300002</v>
      </c>
      <c r="F151" s="59">
        <f t="shared" si="125"/>
        <v>752850.55368000001</v>
      </c>
      <c r="G151" s="59">
        <f t="shared" si="126"/>
        <v>91268.434468000007</v>
      </c>
      <c r="H151" s="59">
        <f t="shared" si="127"/>
        <v>70000</v>
      </c>
      <c r="J151" s="25">
        <f t="shared" si="128"/>
        <v>1714076.56596</v>
      </c>
      <c r="K151" s="25"/>
      <c r="L151" s="25" t="str">
        <f>HLOOKUP(J151,D151:$H$155,N8,FALSE)</f>
        <v>OptOpt_EB</v>
      </c>
      <c r="N151" s="25"/>
    </row>
    <row r="152" spans="1:14" ht="12.75" x14ac:dyDescent="0.25">
      <c r="A152" s="34">
        <v>-92003.838403999995</v>
      </c>
      <c r="C152" s="36" t="str">
        <f t="shared" si="122"/>
        <v>State</v>
      </c>
      <c r="D152" s="59">
        <f t="shared" si="123"/>
        <v>1090000</v>
      </c>
      <c r="E152" s="59">
        <f t="shared" si="124"/>
        <v>1090000</v>
      </c>
      <c r="F152" s="59">
        <f t="shared" si="125"/>
        <v>1590000</v>
      </c>
      <c r="G152" s="59">
        <f t="shared" si="126"/>
        <v>2090000</v>
      </c>
      <c r="H152" s="59">
        <f t="shared" si="127"/>
        <v>2590000</v>
      </c>
      <c r="J152" s="25">
        <f t="shared" si="128"/>
        <v>2590000</v>
      </c>
      <c r="K152" s="25"/>
      <c r="L152" s="25" t="str">
        <f>HLOOKUP(J152,D152:$H$155,N9,FALSE)</f>
        <v>NoneNone_NBNB</v>
      </c>
      <c r="N152" s="25"/>
    </row>
    <row r="153" spans="1:14" x14ac:dyDescent="0.25">
      <c r="A153" s="34">
        <v>-90832.515161999996</v>
      </c>
      <c r="C153" s="36" t="str">
        <f t="shared" si="122"/>
        <v>LoC</v>
      </c>
      <c r="D153" s="59">
        <f t="shared" si="123"/>
        <v>0.5</v>
      </c>
      <c r="E153" s="59">
        <f t="shared" si="124"/>
        <v>0.5</v>
      </c>
      <c r="F153" s="59">
        <f t="shared" si="125"/>
        <v>0.33333333333333298</v>
      </c>
      <c r="G153" s="59">
        <f t="shared" si="126"/>
        <v>0.16666666666666599</v>
      </c>
      <c r="H153" s="59">
        <f t="shared" si="127"/>
        <v>0</v>
      </c>
    </row>
    <row r="154" spans="1:14" x14ac:dyDescent="0.25">
      <c r="A154" s="34">
        <v>-15176.857812</v>
      </c>
      <c r="D154" s="60"/>
      <c r="E154" s="60"/>
      <c r="F154" s="60"/>
      <c r="G154" s="60"/>
      <c r="H154" s="60"/>
    </row>
    <row r="155" spans="1:14" ht="12.75" x14ac:dyDescent="0.25">
      <c r="A155" s="34">
        <v>-13713.627516</v>
      </c>
      <c r="B155" s="39">
        <v>15</v>
      </c>
      <c r="C155" s="36" t="str">
        <f>A646</f>
        <v>(120001.5, 4620001.5)</v>
      </c>
      <c r="D155" s="61" t="str">
        <f>D144</f>
        <v>OptOpt_EB</v>
      </c>
      <c r="E155" s="61" t="str">
        <f t="shared" ref="E155:H155" si="129">E144</f>
        <v>OptOpt_BB</v>
      </c>
      <c r="F155" s="61" t="str">
        <f t="shared" si="129"/>
        <v>NoneOpt_NBB</v>
      </c>
      <c r="G155" s="61" t="str">
        <f t="shared" si="129"/>
        <v>OptNone_BNB</v>
      </c>
      <c r="H155" s="61" t="str">
        <f t="shared" si="129"/>
        <v>NoneNone_NBNB</v>
      </c>
      <c r="J155" s="26" t="s">
        <v>19</v>
      </c>
      <c r="K155" s="26"/>
      <c r="L155" s="26" t="s">
        <v>20</v>
      </c>
    </row>
    <row r="156" spans="1:14" ht="12.75" x14ac:dyDescent="0.25">
      <c r="A156" s="34">
        <v>779789.05851</v>
      </c>
      <c r="B156" s="39" t="s">
        <v>9</v>
      </c>
      <c r="C156" s="36" t="str">
        <f>C145</f>
        <v>(3, 0)</v>
      </c>
      <c r="D156" s="59">
        <f>A647</f>
        <v>-1460328.945691</v>
      </c>
      <c r="E156" s="59">
        <f>A656</f>
        <v>-179405.80980700001</v>
      </c>
      <c r="F156" s="59">
        <f>A665</f>
        <v>-180754.85024500001</v>
      </c>
      <c r="G156" s="59">
        <f>A674</f>
        <v>90000</v>
      </c>
      <c r="H156" s="59">
        <f>A683</f>
        <v>90000</v>
      </c>
      <c r="J156" s="25">
        <f>MAX(D156:H156)</f>
        <v>90000</v>
      </c>
      <c r="K156" s="25"/>
      <c r="L156" s="25" t="str">
        <f>HLOOKUP(J156,D156:$H$166,N2,FALSE)</f>
        <v>OptNone_BNB</v>
      </c>
      <c r="N156" s="25"/>
    </row>
    <row r="157" spans="1:14" ht="12.75" x14ac:dyDescent="0.25">
      <c r="A157" s="34">
        <v>1933416.558894</v>
      </c>
      <c r="C157" s="36" t="str">
        <f t="shared" ref="C157:C164" si="130">C146</f>
        <v>(3, 1)</v>
      </c>
      <c r="D157" s="59">
        <f t="shared" ref="D157:D162" si="131">A648</f>
        <v>-1078642.9017670001</v>
      </c>
      <c r="E157" s="59">
        <f t="shared" ref="E157:E162" si="132">A657</f>
        <v>-179599.84987000001</v>
      </c>
      <c r="F157" s="59">
        <f t="shared" ref="F157:F162" si="133">A666</f>
        <v>-182085.41067700001</v>
      </c>
      <c r="G157" s="59">
        <f t="shared" ref="G157:G162" si="134">A675</f>
        <v>90000</v>
      </c>
      <c r="H157" s="59">
        <f t="shared" ref="H157:H162" si="135">A684</f>
        <v>90000</v>
      </c>
      <c r="J157" s="25">
        <f t="shared" ref="J157:J163" si="136">MAX(D157:H157)</f>
        <v>90000</v>
      </c>
      <c r="K157" s="25"/>
      <c r="L157" s="25" t="str">
        <f>HLOOKUP(J157,D157:$H$166,N3,FALSE)</f>
        <v>OptNone_BNB</v>
      </c>
      <c r="N157" s="25"/>
    </row>
    <row r="158" spans="1:14" ht="12.75" x14ac:dyDescent="0.25">
      <c r="A158" s="34">
        <v>0.5</v>
      </c>
      <c r="C158" s="36" t="str">
        <f t="shared" si="130"/>
        <v>(2, 0)</v>
      </c>
      <c r="D158" s="59">
        <f t="shared" si="131"/>
        <v>165000</v>
      </c>
      <c r="E158" s="59">
        <f t="shared" si="132"/>
        <v>148382.432283</v>
      </c>
      <c r="F158" s="59">
        <f t="shared" si="133"/>
        <v>40000</v>
      </c>
      <c r="G158" s="59">
        <f t="shared" si="134"/>
        <v>159937.616721</v>
      </c>
      <c r="H158" s="59">
        <f t="shared" si="135"/>
        <v>40000</v>
      </c>
      <c r="J158" s="25">
        <f t="shared" si="136"/>
        <v>165000</v>
      </c>
      <c r="K158" s="25"/>
      <c r="L158" s="25" t="str">
        <f>HLOOKUP(J158,D158:$H$166,N4,FALSE)</f>
        <v>OptOpt_EB</v>
      </c>
      <c r="N158" s="25"/>
    </row>
    <row r="159" spans="1:14" ht="12.75" x14ac:dyDescent="0.25">
      <c r="A159" s="34">
        <v>79385.114216000002</v>
      </c>
      <c r="C159" s="36" t="str">
        <f t="shared" si="130"/>
        <v>(2, 1)</v>
      </c>
      <c r="D159" s="59">
        <f t="shared" si="131"/>
        <v>165000</v>
      </c>
      <c r="E159" s="59">
        <f t="shared" si="132"/>
        <v>148297.47122100001</v>
      </c>
      <c r="F159" s="59">
        <f t="shared" si="133"/>
        <v>40000</v>
      </c>
      <c r="G159" s="59">
        <f t="shared" si="134"/>
        <v>159996.417456</v>
      </c>
      <c r="H159" s="59">
        <f t="shared" si="135"/>
        <v>40000</v>
      </c>
      <c r="J159" s="25">
        <f t="shared" si="136"/>
        <v>165000</v>
      </c>
      <c r="K159" s="25"/>
      <c r="L159" s="25" t="str">
        <f>HLOOKUP(J159,D159:$H$166,N5,FALSE)</f>
        <v>OptOpt_EB</v>
      </c>
      <c r="N159" s="25"/>
    </row>
    <row r="160" spans="1:14" ht="12.75" x14ac:dyDescent="0.25">
      <c r="A160" s="34">
        <v>74808.232730000003</v>
      </c>
      <c r="C160" s="36" t="str">
        <f t="shared" si="130"/>
        <v>(1, 0)</v>
      </c>
      <c r="D160" s="59">
        <f t="shared" si="131"/>
        <v>165000</v>
      </c>
      <c r="E160" s="59">
        <f t="shared" si="132"/>
        <v>153296.73371100001</v>
      </c>
      <c r="F160" s="59">
        <f t="shared" si="133"/>
        <v>40000</v>
      </c>
      <c r="G160" s="59">
        <f t="shared" si="134"/>
        <v>155858.28573</v>
      </c>
      <c r="H160" s="59">
        <f t="shared" si="135"/>
        <v>40000</v>
      </c>
      <c r="J160" s="25">
        <f t="shared" si="136"/>
        <v>165000</v>
      </c>
      <c r="K160" s="25"/>
      <c r="L160" s="25" t="str">
        <f>HLOOKUP(J160,D160:$H$166,N6,FALSE)</f>
        <v>OptOpt_EB</v>
      </c>
      <c r="N160" s="25"/>
    </row>
    <row r="161" spans="1:14" ht="12.75" x14ac:dyDescent="0.25">
      <c r="A161" s="34">
        <v>40000</v>
      </c>
      <c r="C161" s="36" t="str">
        <f t="shared" si="130"/>
        <v>(1, 1)</v>
      </c>
      <c r="D161" s="59">
        <f t="shared" si="131"/>
        <v>165000</v>
      </c>
      <c r="E161" s="59">
        <f t="shared" si="132"/>
        <v>153321.45402</v>
      </c>
      <c r="F161" s="59">
        <f t="shared" si="133"/>
        <v>40000</v>
      </c>
      <c r="G161" s="59">
        <f t="shared" si="134"/>
        <v>155820.84526199999</v>
      </c>
      <c r="H161" s="59">
        <f t="shared" si="135"/>
        <v>40000</v>
      </c>
      <c r="J161" s="25">
        <f t="shared" si="136"/>
        <v>165000</v>
      </c>
      <c r="K161" s="25"/>
      <c r="L161" s="25" t="str">
        <f>HLOOKUP(J161,D161:$H$166,N7,FALSE)</f>
        <v>OptOpt_EB</v>
      </c>
      <c r="N161" s="25"/>
    </row>
    <row r="162" spans="1:14" ht="12.75" x14ac:dyDescent="0.25">
      <c r="A162" s="34">
        <v>40000</v>
      </c>
      <c r="C162" s="36" t="str">
        <f t="shared" si="130"/>
        <v>Inspector</v>
      </c>
      <c r="D162" s="59">
        <f t="shared" si="131"/>
        <v>2951742.737458</v>
      </c>
      <c r="E162" s="59">
        <f t="shared" si="132"/>
        <v>1310919.113442</v>
      </c>
      <c r="F162" s="59">
        <f t="shared" si="133"/>
        <v>1267688.3709219999</v>
      </c>
      <c r="G162" s="59">
        <f t="shared" si="134"/>
        <v>91290.214831000005</v>
      </c>
      <c r="H162" s="59">
        <f t="shared" si="135"/>
        <v>70000</v>
      </c>
      <c r="J162" s="25">
        <f t="shared" si="136"/>
        <v>2951742.737458</v>
      </c>
      <c r="K162" s="25"/>
      <c r="L162" s="25" t="str">
        <f>HLOOKUP(J162,D162:$H$166,N8,FALSE)</f>
        <v>OptOpt_EB</v>
      </c>
      <c r="N162" s="25"/>
    </row>
    <row r="163" spans="1:14" ht="12.75" x14ac:dyDescent="0.25">
      <c r="A163" s="34">
        <v>40000</v>
      </c>
      <c r="C163" s="36" t="str">
        <f>C152</f>
        <v>State</v>
      </c>
      <c r="D163" s="59">
        <f>A654</f>
        <v>1090000</v>
      </c>
      <c r="E163" s="59">
        <f>A663</f>
        <v>1090000</v>
      </c>
      <c r="F163" s="59">
        <f>A672</f>
        <v>1590000</v>
      </c>
      <c r="G163" s="59">
        <f>A681</f>
        <v>2090000</v>
      </c>
      <c r="H163" s="59">
        <f>A690</f>
        <v>2590000</v>
      </c>
      <c r="J163" s="25">
        <f t="shared" si="136"/>
        <v>2590000</v>
      </c>
      <c r="K163" s="25"/>
      <c r="L163" s="25" t="str">
        <f>HLOOKUP(J163,D163:$H$166,N9,FALSE)</f>
        <v>NoneNone_NBNB</v>
      </c>
      <c r="N163" s="25"/>
    </row>
    <row r="164" spans="1:14" x14ac:dyDescent="0.25">
      <c r="A164" s="34">
        <v>40000</v>
      </c>
      <c r="C164" s="36" t="str">
        <f t="shared" si="130"/>
        <v>LoC</v>
      </c>
      <c r="D164" s="59">
        <f t="shared" ref="D164" si="137">A655</f>
        <v>0.5</v>
      </c>
      <c r="E164" s="59">
        <f t="shared" ref="E164" si="138">A664</f>
        <v>0.5</v>
      </c>
      <c r="F164" s="59">
        <f t="shared" ref="F164" si="139">A673</f>
        <v>0.33333333333333298</v>
      </c>
      <c r="G164" s="59">
        <f t="shared" ref="G164" si="140">A682</f>
        <v>0.16666666666666599</v>
      </c>
      <c r="H164" s="59">
        <f t="shared" ref="H164" si="141">A691</f>
        <v>0</v>
      </c>
    </row>
    <row r="165" spans="1:14" x14ac:dyDescent="0.25">
      <c r="A165" s="34">
        <v>751549.41805400001</v>
      </c>
    </row>
    <row r="166" spans="1:14" x14ac:dyDescent="0.25">
      <c r="A166" s="34">
        <v>1590000</v>
      </c>
      <c r="D166" s="34" t="str">
        <f>D155</f>
        <v>OptOpt_EB</v>
      </c>
      <c r="E166" s="34" t="str">
        <f t="shared" ref="E166:H166" si="142">E155</f>
        <v>OptOpt_BB</v>
      </c>
      <c r="F166" s="34" t="str">
        <f t="shared" si="142"/>
        <v>NoneOpt_NBB</v>
      </c>
      <c r="G166" s="34" t="str">
        <f t="shared" si="142"/>
        <v>OptNone_BNB</v>
      </c>
      <c r="H166" s="34" t="str">
        <f t="shared" si="142"/>
        <v>NoneNone_NBNB</v>
      </c>
    </row>
    <row r="167" spans="1:14" x14ac:dyDescent="0.25">
      <c r="A167" s="34">
        <v>0.33333333333333298</v>
      </c>
    </row>
    <row r="168" spans="1:14" x14ac:dyDescent="0.25">
      <c r="A168" s="34">
        <v>90000</v>
      </c>
    </row>
    <row r="169" spans="1:14" x14ac:dyDescent="0.25">
      <c r="A169" s="34">
        <v>90000</v>
      </c>
    </row>
    <row r="170" spans="1:14" x14ac:dyDescent="0.25">
      <c r="A170" s="34">
        <v>88202.579616000003</v>
      </c>
    </row>
    <row r="171" spans="1:14" x14ac:dyDescent="0.25">
      <c r="A171" s="34">
        <v>87781.346651999993</v>
      </c>
    </row>
    <row r="172" spans="1:14" x14ac:dyDescent="0.25">
      <c r="A172" s="34">
        <v>23391.823575999999</v>
      </c>
    </row>
    <row r="173" spans="1:14" x14ac:dyDescent="0.25">
      <c r="A173" s="34">
        <v>25043.500198000002</v>
      </c>
    </row>
    <row r="174" spans="1:14" x14ac:dyDescent="0.25">
      <c r="A174" s="34">
        <v>81788.3</v>
      </c>
    </row>
    <row r="175" spans="1:14" x14ac:dyDescent="0.25">
      <c r="A175" s="34">
        <v>2511434.7899580002</v>
      </c>
    </row>
    <row r="176" spans="1:14" x14ac:dyDescent="0.25">
      <c r="A176" s="34">
        <v>0.16666666666666599</v>
      </c>
    </row>
    <row r="177" spans="1:1" x14ac:dyDescent="0.25">
      <c r="A177" s="34">
        <v>90000</v>
      </c>
    </row>
    <row r="178" spans="1:1" x14ac:dyDescent="0.25">
      <c r="A178" s="34">
        <v>90000</v>
      </c>
    </row>
    <row r="179" spans="1:1" x14ac:dyDescent="0.25">
      <c r="A179" s="34">
        <v>40000</v>
      </c>
    </row>
    <row r="180" spans="1:1" x14ac:dyDescent="0.25">
      <c r="A180" s="34">
        <v>40000</v>
      </c>
    </row>
    <row r="181" spans="1:1" x14ac:dyDescent="0.25">
      <c r="A181" s="34">
        <v>40000</v>
      </c>
    </row>
    <row r="182" spans="1:1" x14ac:dyDescent="0.25">
      <c r="A182" s="34">
        <v>40000</v>
      </c>
    </row>
    <row r="183" spans="1:1" x14ac:dyDescent="0.25">
      <c r="A183" s="34">
        <v>70000</v>
      </c>
    </row>
    <row r="184" spans="1:1" x14ac:dyDescent="0.25">
      <c r="A184" s="34">
        <v>2590000</v>
      </c>
    </row>
    <row r="185" spans="1:1" x14ac:dyDescent="0.25">
      <c r="A185" s="34">
        <v>0</v>
      </c>
    </row>
    <row r="186" spans="1:1" x14ac:dyDescent="0.25">
      <c r="A186" s="80" t="s">
        <v>233</v>
      </c>
    </row>
    <row r="187" spans="1:1" x14ac:dyDescent="0.25">
      <c r="A187" s="34">
        <v>-1458416.26507</v>
      </c>
    </row>
    <row r="188" spans="1:1" x14ac:dyDescent="0.25">
      <c r="A188" s="34">
        <v>-1082976.4631739999</v>
      </c>
    </row>
    <row r="189" spans="1:1" x14ac:dyDescent="0.25">
      <c r="A189" s="34">
        <v>165000</v>
      </c>
    </row>
    <row r="190" spans="1:1" x14ac:dyDescent="0.25">
      <c r="A190" s="34">
        <v>165000</v>
      </c>
    </row>
    <row r="191" spans="1:1" x14ac:dyDescent="0.25">
      <c r="A191" s="34">
        <v>165000</v>
      </c>
    </row>
    <row r="192" spans="1:1" x14ac:dyDescent="0.25">
      <c r="A192" s="34">
        <v>165000</v>
      </c>
    </row>
    <row r="193" spans="1:1" x14ac:dyDescent="0.25">
      <c r="A193" s="34">
        <v>2953620.0282439999</v>
      </c>
    </row>
    <row r="194" spans="1:1" x14ac:dyDescent="0.25">
      <c r="A194" s="34">
        <v>1090000</v>
      </c>
    </row>
    <row r="195" spans="1:1" x14ac:dyDescent="0.25">
      <c r="A195" s="34">
        <v>0.5</v>
      </c>
    </row>
    <row r="196" spans="1:1" x14ac:dyDescent="0.25">
      <c r="A196" s="34">
        <v>-180403.73013099999</v>
      </c>
    </row>
    <row r="197" spans="1:1" x14ac:dyDescent="0.25">
      <c r="A197" s="34">
        <v>-178694.32957599999</v>
      </c>
    </row>
    <row r="198" spans="1:1" x14ac:dyDescent="0.25">
      <c r="A198" s="34">
        <v>-90352.161781999996</v>
      </c>
    </row>
    <row r="199" spans="1:1" x14ac:dyDescent="0.25">
      <c r="A199" s="34">
        <v>-92088.824001999994</v>
      </c>
    </row>
    <row r="200" spans="1:1" x14ac:dyDescent="0.25">
      <c r="A200" s="34">
        <v>-15679.381348000001</v>
      </c>
    </row>
    <row r="201" spans="1:1" x14ac:dyDescent="0.25">
      <c r="A201" s="34">
        <v>-14659.554172</v>
      </c>
    </row>
    <row r="202" spans="1:1" x14ac:dyDescent="0.25">
      <c r="A202" s="34">
        <v>1292084.8547070001</v>
      </c>
    </row>
    <row r="203" spans="1:1" x14ac:dyDescent="0.25">
      <c r="A203" s="34">
        <v>1934435.4413040001</v>
      </c>
    </row>
    <row r="204" spans="1:1" x14ac:dyDescent="0.25">
      <c r="A204" s="34">
        <v>0.5</v>
      </c>
    </row>
    <row r="205" spans="1:1" x14ac:dyDescent="0.25">
      <c r="A205" s="34">
        <v>-179535.169849</v>
      </c>
    </row>
    <row r="206" spans="1:1" x14ac:dyDescent="0.25">
      <c r="A206" s="34">
        <v>-182815.370914</v>
      </c>
    </row>
    <row r="207" spans="1:1" x14ac:dyDescent="0.25">
      <c r="A207" s="34">
        <v>40000</v>
      </c>
    </row>
    <row r="208" spans="1:1" x14ac:dyDescent="0.25">
      <c r="A208" s="34">
        <v>40000</v>
      </c>
    </row>
    <row r="209" spans="1:1" x14ac:dyDescent="0.25">
      <c r="A209" s="34">
        <v>40000</v>
      </c>
    </row>
    <row r="210" spans="1:1" x14ac:dyDescent="0.25">
      <c r="A210" s="34">
        <v>40000</v>
      </c>
    </row>
    <row r="211" spans="1:1" x14ac:dyDescent="0.25">
      <c r="A211" s="34">
        <v>1267294.2157630001</v>
      </c>
    </row>
    <row r="212" spans="1:1" x14ac:dyDescent="0.25">
      <c r="A212" s="34">
        <v>1590000</v>
      </c>
    </row>
    <row r="213" spans="1:1" x14ac:dyDescent="0.25">
      <c r="A213" s="34">
        <v>0.33333333333333298</v>
      </c>
    </row>
    <row r="214" spans="1:1" x14ac:dyDescent="0.25">
      <c r="A214" s="34">
        <v>90000</v>
      </c>
    </row>
    <row r="215" spans="1:1" x14ac:dyDescent="0.25">
      <c r="A215" s="34">
        <v>90000</v>
      </c>
    </row>
    <row r="216" spans="1:1" x14ac:dyDescent="0.25">
      <c r="A216" s="34">
        <v>88812.258906000003</v>
      </c>
    </row>
    <row r="217" spans="1:1" x14ac:dyDescent="0.25">
      <c r="A217" s="34">
        <v>87725.921262000003</v>
      </c>
    </row>
    <row r="218" spans="1:1" x14ac:dyDescent="0.25">
      <c r="A218" s="34">
        <v>23613.525136</v>
      </c>
    </row>
    <row r="219" spans="1:1" x14ac:dyDescent="0.25">
      <c r="A219" s="34">
        <v>22176.160022</v>
      </c>
    </row>
    <row r="220" spans="1:1" x14ac:dyDescent="0.25">
      <c r="A220" s="34">
        <v>81844.899999999994</v>
      </c>
    </row>
    <row r="221" spans="1:1" x14ac:dyDescent="0.25">
      <c r="A221" s="34">
        <v>2513458.2546740002</v>
      </c>
    </row>
    <row r="222" spans="1:1" x14ac:dyDescent="0.25">
      <c r="A222" s="34">
        <v>0.16666666666666599</v>
      </c>
    </row>
    <row r="223" spans="1:1" x14ac:dyDescent="0.25">
      <c r="A223" s="34">
        <v>90000</v>
      </c>
    </row>
    <row r="224" spans="1:1" x14ac:dyDescent="0.25">
      <c r="A224" s="34">
        <v>90000</v>
      </c>
    </row>
    <row r="225" spans="1:1" x14ac:dyDescent="0.25">
      <c r="A225" s="34">
        <v>40000</v>
      </c>
    </row>
    <row r="226" spans="1:1" x14ac:dyDescent="0.25">
      <c r="A226" s="34">
        <v>40000</v>
      </c>
    </row>
    <row r="227" spans="1:1" x14ac:dyDescent="0.25">
      <c r="A227" s="34">
        <v>40000</v>
      </c>
    </row>
    <row r="228" spans="1:1" x14ac:dyDescent="0.25">
      <c r="A228" s="34">
        <v>40000</v>
      </c>
    </row>
    <row r="229" spans="1:1" x14ac:dyDescent="0.25">
      <c r="A229" s="34">
        <v>70000</v>
      </c>
    </row>
    <row r="230" spans="1:1" x14ac:dyDescent="0.25">
      <c r="A230" s="34">
        <v>2590000</v>
      </c>
    </row>
    <row r="231" spans="1:1" x14ac:dyDescent="0.25">
      <c r="A231" s="34">
        <v>0</v>
      </c>
    </row>
    <row r="232" spans="1:1" x14ac:dyDescent="0.25">
      <c r="A232" s="79" t="s">
        <v>234</v>
      </c>
    </row>
    <row r="233" spans="1:1" x14ac:dyDescent="0.25">
      <c r="A233" s="34">
        <v>-54180129.587265</v>
      </c>
    </row>
    <row r="234" spans="1:1" x14ac:dyDescent="0.25">
      <c r="A234" s="34">
        <v>-43860215.318062998</v>
      </c>
    </row>
    <row r="235" spans="1:1" x14ac:dyDescent="0.25">
      <c r="A235" s="34">
        <v>151857.34460000001</v>
      </c>
    </row>
    <row r="236" spans="1:1" x14ac:dyDescent="0.25">
      <c r="A236" s="34">
        <v>151871.5496</v>
      </c>
    </row>
    <row r="237" spans="1:1" x14ac:dyDescent="0.25">
      <c r="A237" s="34">
        <v>155852.73759999999</v>
      </c>
    </row>
    <row r="238" spans="1:1" x14ac:dyDescent="0.25">
      <c r="A238" s="34">
        <v>155766.18179999999</v>
      </c>
    </row>
    <row r="239" spans="1:1" x14ac:dyDescent="0.25">
      <c r="A239" s="34">
        <v>1684624.64</v>
      </c>
    </row>
    <row r="240" spans="1:1" x14ac:dyDescent="0.25">
      <c r="A240" s="34">
        <v>98717554.371728003</v>
      </c>
    </row>
    <row r="241" spans="1:1" x14ac:dyDescent="0.25">
      <c r="A241" s="34">
        <v>0.5</v>
      </c>
    </row>
    <row r="242" spans="1:1" x14ac:dyDescent="0.25">
      <c r="A242" s="34">
        <v>-20010859.405606002</v>
      </c>
    </row>
    <row r="243" spans="1:1" x14ac:dyDescent="0.25">
      <c r="A243" s="34">
        <v>-19887539.365106001</v>
      </c>
    </row>
    <row r="244" spans="1:1" x14ac:dyDescent="0.25">
      <c r="A244" s="34">
        <v>153938.26173</v>
      </c>
    </row>
    <row r="245" spans="1:1" x14ac:dyDescent="0.25">
      <c r="A245" s="34">
        <v>153810.26013000001</v>
      </c>
    </row>
    <row r="246" spans="1:1" x14ac:dyDescent="0.25">
      <c r="A246" s="34">
        <v>157223.26279199999</v>
      </c>
    </row>
    <row r="247" spans="1:1" x14ac:dyDescent="0.25">
      <c r="A247" s="34">
        <v>157211.10264</v>
      </c>
    </row>
    <row r="248" spans="1:1" x14ac:dyDescent="0.25">
      <c r="A248" s="34">
        <v>752349.03270800004</v>
      </c>
    </row>
    <row r="249" spans="1:1" x14ac:dyDescent="0.25">
      <c r="A249" s="34">
        <v>41502190.770712003</v>
      </c>
    </row>
    <row r="250" spans="1:1" x14ac:dyDescent="0.25">
      <c r="A250" s="34">
        <v>0.5</v>
      </c>
    </row>
    <row r="251" spans="1:1" x14ac:dyDescent="0.25">
      <c r="A251" s="34">
        <v>-19911710.093044002</v>
      </c>
    </row>
    <row r="252" spans="1:1" x14ac:dyDescent="0.25">
      <c r="A252" s="34">
        <v>-20012339.246091999</v>
      </c>
    </row>
    <row r="253" spans="1:1" x14ac:dyDescent="0.25">
      <c r="A253" s="34">
        <v>40000</v>
      </c>
    </row>
    <row r="254" spans="1:1" x14ac:dyDescent="0.25">
      <c r="A254" s="34">
        <v>40000</v>
      </c>
    </row>
    <row r="255" spans="1:1" x14ac:dyDescent="0.25">
      <c r="A255" s="34">
        <v>40000</v>
      </c>
    </row>
    <row r="256" spans="1:1" x14ac:dyDescent="0.25">
      <c r="A256" s="34">
        <v>40000</v>
      </c>
    </row>
    <row r="257" spans="1:1" x14ac:dyDescent="0.25">
      <c r="A257" s="34">
        <v>725421.8</v>
      </c>
    </row>
    <row r="258" spans="1:1" x14ac:dyDescent="0.25">
      <c r="A258" s="34">
        <v>42027425.339135997</v>
      </c>
    </row>
    <row r="259" spans="1:1" x14ac:dyDescent="0.25">
      <c r="A259" s="34">
        <v>0.33333333333333298</v>
      </c>
    </row>
    <row r="260" spans="1:1" x14ac:dyDescent="0.25">
      <c r="A260" s="34">
        <v>90000</v>
      </c>
    </row>
    <row r="261" spans="1:1" x14ac:dyDescent="0.25">
      <c r="A261" s="34">
        <v>90000</v>
      </c>
    </row>
    <row r="262" spans="1:1" x14ac:dyDescent="0.25">
      <c r="A262" s="34">
        <v>161665.55832000001</v>
      </c>
    </row>
    <row r="263" spans="1:1" x14ac:dyDescent="0.25">
      <c r="A263" s="34">
        <v>161651.95814999999</v>
      </c>
    </row>
    <row r="264" spans="1:1" x14ac:dyDescent="0.25">
      <c r="A264" s="34">
        <v>158943.12429000001</v>
      </c>
    </row>
    <row r="265" spans="1:1" x14ac:dyDescent="0.25">
      <c r="A265" s="34">
        <v>158878.00347600001</v>
      </c>
    </row>
    <row r="266" spans="1:1" x14ac:dyDescent="0.25">
      <c r="A266" s="34">
        <v>81788.435763999994</v>
      </c>
    </row>
    <row r="267" spans="1:1" x14ac:dyDescent="0.25">
      <c r="A267" s="34">
        <v>2090000</v>
      </c>
    </row>
    <row r="268" spans="1:1" x14ac:dyDescent="0.25">
      <c r="A268" s="34">
        <v>0.16666666666666599</v>
      </c>
    </row>
    <row r="269" spans="1:1" x14ac:dyDescent="0.25">
      <c r="A269" s="34">
        <v>90000</v>
      </c>
    </row>
    <row r="270" spans="1:1" x14ac:dyDescent="0.25">
      <c r="A270" s="34">
        <v>90000</v>
      </c>
    </row>
    <row r="271" spans="1:1" x14ac:dyDescent="0.25">
      <c r="A271" s="34">
        <v>40000</v>
      </c>
    </row>
    <row r="272" spans="1:1" x14ac:dyDescent="0.25">
      <c r="A272" s="34">
        <v>40000</v>
      </c>
    </row>
    <row r="273" spans="1:1" x14ac:dyDescent="0.25">
      <c r="A273" s="34">
        <v>40000</v>
      </c>
    </row>
    <row r="274" spans="1:1" x14ac:dyDescent="0.25">
      <c r="A274" s="34">
        <v>40000</v>
      </c>
    </row>
    <row r="275" spans="1:1" x14ac:dyDescent="0.25">
      <c r="A275" s="34">
        <v>70000</v>
      </c>
    </row>
    <row r="276" spans="1:1" x14ac:dyDescent="0.25">
      <c r="A276" s="34">
        <v>2590000</v>
      </c>
    </row>
    <row r="277" spans="1:1" x14ac:dyDescent="0.25">
      <c r="A277" s="34">
        <v>0</v>
      </c>
    </row>
    <row r="278" spans="1:1" x14ac:dyDescent="0.25">
      <c r="A278" s="79" t="s">
        <v>235</v>
      </c>
    </row>
    <row r="279" spans="1:1" x14ac:dyDescent="0.25">
      <c r="A279" s="34">
        <v>-67945331.756513998</v>
      </c>
    </row>
    <row r="280" spans="1:1" x14ac:dyDescent="0.25">
      <c r="A280" s="34">
        <v>-47474636.063671999</v>
      </c>
    </row>
    <row r="281" spans="1:1" x14ac:dyDescent="0.25">
      <c r="A281" s="34">
        <v>151809.6158</v>
      </c>
    </row>
    <row r="282" spans="1:1" x14ac:dyDescent="0.25">
      <c r="A282" s="34">
        <v>151873.8224</v>
      </c>
    </row>
    <row r="283" spans="1:1" x14ac:dyDescent="0.25">
      <c r="A283" s="34">
        <v>155796.6752</v>
      </c>
    </row>
    <row r="284" spans="1:1" x14ac:dyDescent="0.25">
      <c r="A284" s="34">
        <v>155804.2512</v>
      </c>
    </row>
    <row r="285" spans="1:1" x14ac:dyDescent="0.25">
      <c r="A285" s="34">
        <v>1686734.8484439999</v>
      </c>
    </row>
    <row r="286" spans="1:1" x14ac:dyDescent="0.25">
      <c r="A286" s="34">
        <v>115761656.202142</v>
      </c>
    </row>
    <row r="287" spans="1:1" x14ac:dyDescent="0.25">
      <c r="A287" s="34">
        <v>0.5</v>
      </c>
    </row>
    <row r="288" spans="1:1" x14ac:dyDescent="0.25">
      <c r="A288" s="34">
        <v>91057.833685999998</v>
      </c>
    </row>
    <row r="289" spans="1:1" x14ac:dyDescent="0.25">
      <c r="A289" s="34">
        <v>88081.832693999997</v>
      </c>
    </row>
    <row r="290" spans="1:1" x14ac:dyDescent="0.25">
      <c r="A290" s="34">
        <v>153764.65956</v>
      </c>
    </row>
    <row r="291" spans="1:1" x14ac:dyDescent="0.25">
      <c r="A291" s="34">
        <v>153903.86129999999</v>
      </c>
    </row>
    <row r="292" spans="1:1" x14ac:dyDescent="0.25">
      <c r="A292" s="34">
        <v>157250.143128</v>
      </c>
    </row>
    <row r="293" spans="1:1" x14ac:dyDescent="0.25">
      <c r="A293" s="34">
        <v>157255.9032</v>
      </c>
    </row>
    <row r="294" spans="1:1" x14ac:dyDescent="0.25">
      <c r="A294" s="34">
        <v>753374.95643200004</v>
      </c>
    </row>
    <row r="295" spans="1:1" x14ac:dyDescent="0.25">
      <c r="A295" s="34">
        <v>1090000</v>
      </c>
    </row>
    <row r="296" spans="1:1" x14ac:dyDescent="0.25">
      <c r="A296" s="34">
        <v>0.5</v>
      </c>
    </row>
    <row r="297" spans="1:1" x14ac:dyDescent="0.25">
      <c r="A297" s="34">
        <v>91657.833885999993</v>
      </c>
    </row>
    <row r="298" spans="1:1" x14ac:dyDescent="0.25">
      <c r="A298" s="34">
        <v>90967.833656000003</v>
      </c>
    </row>
    <row r="299" spans="1:1" x14ac:dyDescent="0.25">
      <c r="A299" s="34">
        <v>40000</v>
      </c>
    </row>
    <row r="300" spans="1:1" x14ac:dyDescent="0.25">
      <c r="A300" s="34">
        <v>40000</v>
      </c>
    </row>
    <row r="301" spans="1:1" x14ac:dyDescent="0.25">
      <c r="A301" s="34">
        <v>40000</v>
      </c>
    </row>
    <row r="302" spans="1:1" x14ac:dyDescent="0.25">
      <c r="A302" s="34">
        <v>40000</v>
      </c>
    </row>
    <row r="303" spans="1:1" x14ac:dyDescent="0.25">
      <c r="A303" s="34">
        <v>723739.80745800002</v>
      </c>
    </row>
    <row r="304" spans="1:1" x14ac:dyDescent="0.25">
      <c r="A304" s="34">
        <v>1590000</v>
      </c>
    </row>
    <row r="305" spans="1:1" x14ac:dyDescent="0.25">
      <c r="A305" s="34">
        <v>0.33333333333333298</v>
      </c>
    </row>
    <row r="306" spans="1:1" x14ac:dyDescent="0.25">
      <c r="A306" s="34">
        <v>90000</v>
      </c>
    </row>
    <row r="307" spans="1:1" x14ac:dyDescent="0.25">
      <c r="A307" s="34">
        <v>90000</v>
      </c>
    </row>
    <row r="308" spans="1:1" x14ac:dyDescent="0.25">
      <c r="A308" s="34">
        <v>161670.03837600001</v>
      </c>
    </row>
    <row r="309" spans="1:1" x14ac:dyDescent="0.25">
      <c r="A309" s="34">
        <v>161682.03852599999</v>
      </c>
    </row>
    <row r="310" spans="1:1" x14ac:dyDescent="0.25">
      <c r="A310" s="34">
        <v>158926.00407600001</v>
      </c>
    </row>
    <row r="311" spans="1:1" x14ac:dyDescent="0.25">
      <c r="A311" s="34">
        <v>158873.84342399999</v>
      </c>
    </row>
    <row r="312" spans="1:1" x14ac:dyDescent="0.25">
      <c r="A312" s="34">
        <v>81780.135597999993</v>
      </c>
    </row>
    <row r="313" spans="1:1" x14ac:dyDescent="0.25">
      <c r="A313" s="34">
        <v>2090000</v>
      </c>
    </row>
    <row r="314" spans="1:1" x14ac:dyDescent="0.25">
      <c r="A314" s="34">
        <v>0.16666666666666599</v>
      </c>
    </row>
    <row r="315" spans="1:1" x14ac:dyDescent="0.25">
      <c r="A315" s="34">
        <v>90000</v>
      </c>
    </row>
    <row r="316" spans="1:1" x14ac:dyDescent="0.25">
      <c r="A316" s="34">
        <v>90000</v>
      </c>
    </row>
    <row r="317" spans="1:1" x14ac:dyDescent="0.25">
      <c r="A317" s="34">
        <v>40000</v>
      </c>
    </row>
    <row r="318" spans="1:1" x14ac:dyDescent="0.25">
      <c r="A318" s="34">
        <v>40000</v>
      </c>
    </row>
    <row r="319" spans="1:1" x14ac:dyDescent="0.25">
      <c r="A319" s="34">
        <v>40000</v>
      </c>
    </row>
    <row r="320" spans="1:1" x14ac:dyDescent="0.25">
      <c r="A320" s="34">
        <v>40000</v>
      </c>
    </row>
    <row r="321" spans="1:1" x14ac:dyDescent="0.25">
      <c r="A321" s="34">
        <v>70000</v>
      </c>
    </row>
    <row r="322" spans="1:1" x14ac:dyDescent="0.25">
      <c r="A322" s="34">
        <v>2590000</v>
      </c>
    </row>
    <row r="323" spans="1:1" x14ac:dyDescent="0.25">
      <c r="A323" s="34">
        <v>0</v>
      </c>
    </row>
    <row r="324" spans="1:1" x14ac:dyDescent="0.25">
      <c r="A324" s="80" t="s">
        <v>236</v>
      </c>
    </row>
    <row r="325" spans="1:1" x14ac:dyDescent="0.25">
      <c r="A325" s="34">
        <v>-68707009.589031994</v>
      </c>
    </row>
    <row r="326" spans="1:1" x14ac:dyDescent="0.25">
      <c r="A326" s="34">
        <v>-47954930.732787997</v>
      </c>
    </row>
    <row r="327" spans="1:1" x14ac:dyDescent="0.25">
      <c r="A327" s="34">
        <v>151881.209</v>
      </c>
    </row>
    <row r="328" spans="1:1" x14ac:dyDescent="0.25">
      <c r="A328" s="34">
        <v>151856.20819999999</v>
      </c>
    </row>
    <row r="329" spans="1:1" x14ac:dyDescent="0.25">
      <c r="A329" s="34">
        <v>155809.55439999999</v>
      </c>
    </row>
    <row r="330" spans="1:1" x14ac:dyDescent="0.25">
      <c r="A330" s="34">
        <v>155851.98000000001</v>
      </c>
    </row>
    <row r="331" spans="1:1" x14ac:dyDescent="0.25">
      <c r="A331" s="34">
        <v>1696901.1030880001</v>
      </c>
    </row>
    <row r="332" spans="1:1" x14ac:dyDescent="0.25">
      <c r="A332" s="34">
        <v>116993751.19713201</v>
      </c>
    </row>
    <row r="333" spans="1:1" x14ac:dyDescent="0.25">
      <c r="A333" s="34">
        <v>0.5</v>
      </c>
    </row>
    <row r="334" spans="1:1" x14ac:dyDescent="0.25">
      <c r="A334" s="34">
        <v>81827.352838000006</v>
      </c>
    </row>
    <row r="335" spans="1:1" x14ac:dyDescent="0.25">
      <c r="A335" s="34">
        <v>82301.592994000006</v>
      </c>
    </row>
    <row r="336" spans="1:1" x14ac:dyDescent="0.25">
      <c r="A336" s="34">
        <v>153973.78217399999</v>
      </c>
    </row>
    <row r="337" spans="1:1" x14ac:dyDescent="0.25">
      <c r="A337" s="34">
        <v>153925.94157600001</v>
      </c>
    </row>
    <row r="338" spans="1:1" x14ac:dyDescent="0.25">
      <c r="A338" s="34">
        <v>157211.26264199999</v>
      </c>
    </row>
    <row r="339" spans="1:1" x14ac:dyDescent="0.25">
      <c r="A339" s="34">
        <v>157245.663072</v>
      </c>
    </row>
    <row r="340" spans="1:1" x14ac:dyDescent="0.25">
      <c r="A340" s="34">
        <v>767711.544704</v>
      </c>
    </row>
    <row r="341" spans="1:1" x14ac:dyDescent="0.25">
      <c r="A341" s="34">
        <v>1090000</v>
      </c>
    </row>
    <row r="342" spans="1:1" x14ac:dyDescent="0.25">
      <c r="A342" s="34">
        <v>0.5</v>
      </c>
    </row>
    <row r="343" spans="1:1" x14ac:dyDescent="0.25">
      <c r="A343" s="34">
        <v>84247.193633999996</v>
      </c>
    </row>
    <row r="344" spans="1:1" x14ac:dyDescent="0.25">
      <c r="A344" s="34">
        <v>82830.553167999999</v>
      </c>
    </row>
    <row r="345" spans="1:1" x14ac:dyDescent="0.25">
      <c r="A345" s="34">
        <v>40000</v>
      </c>
    </row>
    <row r="346" spans="1:1" x14ac:dyDescent="0.25">
      <c r="A346" s="34">
        <v>40000</v>
      </c>
    </row>
    <row r="347" spans="1:1" x14ac:dyDescent="0.25">
      <c r="A347" s="34">
        <v>40000</v>
      </c>
    </row>
    <row r="348" spans="1:1" x14ac:dyDescent="0.25">
      <c r="A348" s="34">
        <v>40000</v>
      </c>
    </row>
    <row r="349" spans="1:1" x14ac:dyDescent="0.25">
      <c r="A349" s="34">
        <v>738519.69819799997</v>
      </c>
    </row>
    <row r="350" spans="1:1" x14ac:dyDescent="0.25">
      <c r="A350" s="34">
        <v>1590000</v>
      </c>
    </row>
    <row r="351" spans="1:1" x14ac:dyDescent="0.25">
      <c r="A351" s="34">
        <v>0.33333333333333298</v>
      </c>
    </row>
    <row r="352" spans="1:1" x14ac:dyDescent="0.25">
      <c r="A352" s="34">
        <v>90000</v>
      </c>
    </row>
    <row r="353" spans="1:1" x14ac:dyDescent="0.25">
      <c r="A353" s="34">
        <v>90000</v>
      </c>
    </row>
    <row r="354" spans="1:1" x14ac:dyDescent="0.25">
      <c r="A354" s="34">
        <v>161678.678484</v>
      </c>
    </row>
    <row r="355" spans="1:1" x14ac:dyDescent="0.25">
      <c r="A355" s="34">
        <v>161674.83843599999</v>
      </c>
    </row>
    <row r="356" spans="1:1" x14ac:dyDescent="0.25">
      <c r="A356" s="34">
        <v>158891.76364799999</v>
      </c>
    </row>
    <row r="357" spans="1:1" x14ac:dyDescent="0.25">
      <c r="A357" s="34">
        <v>158866.80333600001</v>
      </c>
    </row>
    <row r="358" spans="1:1" x14ac:dyDescent="0.25">
      <c r="A358" s="34">
        <v>81805.036095999996</v>
      </c>
    </row>
    <row r="359" spans="1:1" x14ac:dyDescent="0.25">
      <c r="A359" s="34">
        <v>2090000</v>
      </c>
    </row>
    <row r="360" spans="1:1" x14ac:dyDescent="0.25">
      <c r="A360" s="34">
        <v>0.16666666666666599</v>
      </c>
    </row>
    <row r="361" spans="1:1" x14ac:dyDescent="0.25">
      <c r="A361" s="34">
        <v>90000</v>
      </c>
    </row>
    <row r="362" spans="1:1" x14ac:dyDescent="0.25">
      <c r="A362" s="34">
        <v>90000</v>
      </c>
    </row>
    <row r="363" spans="1:1" x14ac:dyDescent="0.25">
      <c r="A363" s="34">
        <v>40000</v>
      </c>
    </row>
    <row r="364" spans="1:1" x14ac:dyDescent="0.25">
      <c r="A364" s="34">
        <v>40000</v>
      </c>
    </row>
    <row r="365" spans="1:1" x14ac:dyDescent="0.25">
      <c r="A365" s="34">
        <v>40000</v>
      </c>
    </row>
    <row r="366" spans="1:1" x14ac:dyDescent="0.25">
      <c r="A366" s="34">
        <v>40000</v>
      </c>
    </row>
    <row r="367" spans="1:1" x14ac:dyDescent="0.25">
      <c r="A367" s="34">
        <v>70000</v>
      </c>
    </row>
    <row r="368" spans="1:1" x14ac:dyDescent="0.25">
      <c r="A368" s="34">
        <v>2590000</v>
      </c>
    </row>
    <row r="369" spans="1:1" x14ac:dyDescent="0.25">
      <c r="A369" s="34">
        <v>0</v>
      </c>
    </row>
    <row r="370" spans="1:1" x14ac:dyDescent="0.25">
      <c r="A370" s="79" t="s">
        <v>237</v>
      </c>
    </row>
    <row r="371" spans="1:1" x14ac:dyDescent="0.25">
      <c r="A371" s="34">
        <v>-777489.64399000001</v>
      </c>
    </row>
    <row r="372" spans="1:1" x14ac:dyDescent="0.25">
      <c r="A372" s="34">
        <v>-522102.12107200001</v>
      </c>
    </row>
    <row r="373" spans="1:1" x14ac:dyDescent="0.25">
      <c r="A373" s="34">
        <v>165000</v>
      </c>
    </row>
    <row r="374" spans="1:1" x14ac:dyDescent="0.25">
      <c r="A374" s="34">
        <v>165000</v>
      </c>
    </row>
    <row r="375" spans="1:1" x14ac:dyDescent="0.25">
      <c r="A375" s="34">
        <v>165000</v>
      </c>
    </row>
    <row r="376" spans="1:1" x14ac:dyDescent="0.25">
      <c r="A376" s="34">
        <v>165000</v>
      </c>
    </row>
    <row r="377" spans="1:1" x14ac:dyDescent="0.25">
      <c r="A377" s="34">
        <v>1712288.210062</v>
      </c>
    </row>
    <row r="378" spans="1:1" x14ac:dyDescent="0.25">
      <c r="A378" s="34">
        <v>1090000</v>
      </c>
    </row>
    <row r="379" spans="1:1" x14ac:dyDescent="0.25">
      <c r="A379" s="34">
        <v>0.5</v>
      </c>
    </row>
    <row r="380" spans="1:1" x14ac:dyDescent="0.25">
      <c r="A380" s="34">
        <v>77179.833499999993</v>
      </c>
    </row>
    <row r="381" spans="1:1" x14ac:dyDescent="0.25">
      <c r="A381" s="34">
        <v>76841.033389999997</v>
      </c>
    </row>
    <row r="382" spans="1:1" x14ac:dyDescent="0.25">
      <c r="A382" s="34">
        <v>153919.70149800001</v>
      </c>
    </row>
    <row r="383" spans="1:1" x14ac:dyDescent="0.25">
      <c r="A383" s="34">
        <v>153897.14121599999</v>
      </c>
    </row>
    <row r="384" spans="1:1" x14ac:dyDescent="0.25">
      <c r="A384" s="34">
        <v>157252.70316</v>
      </c>
    </row>
    <row r="385" spans="1:1" x14ac:dyDescent="0.25">
      <c r="A385" s="34">
        <v>157206.622584</v>
      </c>
    </row>
    <row r="386" spans="1:1" x14ac:dyDescent="0.25">
      <c r="A386" s="34">
        <v>778951.72965200001</v>
      </c>
    </row>
    <row r="387" spans="1:1" x14ac:dyDescent="0.25">
      <c r="A387" s="34">
        <v>1090000</v>
      </c>
    </row>
    <row r="388" spans="1:1" x14ac:dyDescent="0.25">
      <c r="A388" s="34">
        <v>0.5</v>
      </c>
    </row>
    <row r="389" spans="1:1" x14ac:dyDescent="0.25">
      <c r="A389" s="34">
        <v>78048.393781999999</v>
      </c>
    </row>
    <row r="390" spans="1:1" x14ac:dyDescent="0.25">
      <c r="A390" s="34">
        <v>75424.232929999998</v>
      </c>
    </row>
    <row r="391" spans="1:1" x14ac:dyDescent="0.25">
      <c r="A391" s="34">
        <v>40000</v>
      </c>
    </row>
    <row r="392" spans="1:1" x14ac:dyDescent="0.25">
      <c r="A392" s="34">
        <v>40000</v>
      </c>
    </row>
    <row r="393" spans="1:1" x14ac:dyDescent="0.25">
      <c r="A393" s="34">
        <v>40000</v>
      </c>
    </row>
    <row r="394" spans="1:1" x14ac:dyDescent="0.25">
      <c r="A394" s="34">
        <v>40000</v>
      </c>
    </row>
    <row r="395" spans="1:1" x14ac:dyDescent="0.25">
      <c r="A395" s="34">
        <v>752032.77328800003</v>
      </c>
    </row>
    <row r="396" spans="1:1" x14ac:dyDescent="0.25">
      <c r="A396" s="34">
        <v>1590000</v>
      </c>
    </row>
    <row r="397" spans="1:1" x14ac:dyDescent="0.25">
      <c r="A397" s="34">
        <v>0.33333333333333298</v>
      </c>
    </row>
    <row r="398" spans="1:1" x14ac:dyDescent="0.25">
      <c r="A398" s="34">
        <v>90000</v>
      </c>
    </row>
    <row r="399" spans="1:1" x14ac:dyDescent="0.25">
      <c r="A399" s="34">
        <v>90000</v>
      </c>
    </row>
    <row r="400" spans="1:1" x14ac:dyDescent="0.25">
      <c r="A400" s="34">
        <v>161644.27805399999</v>
      </c>
    </row>
    <row r="401" spans="1:1" x14ac:dyDescent="0.25">
      <c r="A401" s="34">
        <v>161661.55827000001</v>
      </c>
    </row>
    <row r="402" spans="1:1" x14ac:dyDescent="0.25">
      <c r="A402" s="34">
        <v>158908.56385800001</v>
      </c>
    </row>
    <row r="403" spans="1:1" x14ac:dyDescent="0.25">
      <c r="A403" s="34">
        <v>158917.04396400001</v>
      </c>
    </row>
    <row r="404" spans="1:1" x14ac:dyDescent="0.25">
      <c r="A404" s="34">
        <v>81792.935853999996</v>
      </c>
    </row>
    <row r="405" spans="1:1" x14ac:dyDescent="0.25">
      <c r="A405" s="34">
        <v>2090000</v>
      </c>
    </row>
    <row r="406" spans="1:1" x14ac:dyDescent="0.25">
      <c r="A406" s="34">
        <v>0.16666666666666599</v>
      </c>
    </row>
    <row r="407" spans="1:1" x14ac:dyDescent="0.25">
      <c r="A407" s="34">
        <v>90000</v>
      </c>
    </row>
    <row r="408" spans="1:1" x14ac:dyDescent="0.25">
      <c r="A408" s="34">
        <v>90000</v>
      </c>
    </row>
    <row r="409" spans="1:1" x14ac:dyDescent="0.25">
      <c r="A409" s="34">
        <v>40000</v>
      </c>
    </row>
    <row r="410" spans="1:1" x14ac:dyDescent="0.25">
      <c r="A410" s="34">
        <v>40000</v>
      </c>
    </row>
    <row r="411" spans="1:1" x14ac:dyDescent="0.25">
      <c r="A411" s="34">
        <v>40000</v>
      </c>
    </row>
    <row r="412" spans="1:1" x14ac:dyDescent="0.25">
      <c r="A412" s="34">
        <v>40000</v>
      </c>
    </row>
    <row r="413" spans="1:1" x14ac:dyDescent="0.25">
      <c r="A413" s="34">
        <v>70000</v>
      </c>
    </row>
    <row r="414" spans="1:1" x14ac:dyDescent="0.25">
      <c r="A414" s="34">
        <v>2590000</v>
      </c>
    </row>
    <row r="415" spans="1:1" x14ac:dyDescent="0.25">
      <c r="A415" s="34">
        <v>0</v>
      </c>
    </row>
    <row r="416" spans="1:1" x14ac:dyDescent="0.25">
      <c r="A416" s="79" t="s">
        <v>238</v>
      </c>
    </row>
    <row r="417" spans="1:1" x14ac:dyDescent="0.25">
      <c r="A417" s="34">
        <v>-1463618.3867589999</v>
      </c>
    </row>
    <row r="418" spans="1:1" x14ac:dyDescent="0.25">
      <c r="A418" s="34">
        <v>-1076240.5009870001</v>
      </c>
    </row>
    <row r="419" spans="1:1" x14ac:dyDescent="0.25">
      <c r="A419" s="34">
        <v>165000</v>
      </c>
    </row>
    <row r="420" spans="1:1" x14ac:dyDescent="0.25">
      <c r="A420" s="34">
        <v>165000</v>
      </c>
    </row>
    <row r="421" spans="1:1" x14ac:dyDescent="0.25">
      <c r="A421" s="34">
        <v>165000</v>
      </c>
    </row>
    <row r="422" spans="1:1" x14ac:dyDescent="0.25">
      <c r="A422" s="34">
        <v>165000</v>
      </c>
    </row>
    <row r="423" spans="1:1" x14ac:dyDescent="0.25">
      <c r="A423" s="34">
        <v>2952431.7777459999</v>
      </c>
    </row>
    <row r="424" spans="1:1" x14ac:dyDescent="0.25">
      <c r="A424" s="34">
        <v>1090000</v>
      </c>
    </row>
    <row r="425" spans="1:1" x14ac:dyDescent="0.25">
      <c r="A425" s="34">
        <v>0.5</v>
      </c>
    </row>
    <row r="426" spans="1:1" x14ac:dyDescent="0.25">
      <c r="A426" s="34">
        <v>-180588.530191</v>
      </c>
    </row>
    <row r="427" spans="1:1" x14ac:dyDescent="0.25">
      <c r="A427" s="34">
        <v>-177336.04913500001</v>
      </c>
    </row>
    <row r="428" spans="1:1" x14ac:dyDescent="0.25">
      <c r="A428" s="34">
        <v>153892.18115399999</v>
      </c>
    </row>
    <row r="429" spans="1:1" x14ac:dyDescent="0.25">
      <c r="A429" s="34">
        <v>153819.380244</v>
      </c>
    </row>
    <row r="430" spans="1:1" x14ac:dyDescent="0.25">
      <c r="A430" s="34">
        <v>157220.70275999999</v>
      </c>
    </row>
    <row r="431" spans="1:1" x14ac:dyDescent="0.25">
      <c r="A431" s="34">
        <v>157176.542208</v>
      </c>
    </row>
    <row r="432" spans="1:1" x14ac:dyDescent="0.25">
      <c r="A432" s="34">
        <v>1291232.8629600001</v>
      </c>
    </row>
    <row r="433" spans="1:1" x14ac:dyDescent="0.25">
      <c r="A433" s="34">
        <v>1090000</v>
      </c>
    </row>
    <row r="434" spans="1:1" x14ac:dyDescent="0.25">
      <c r="A434" s="34">
        <v>0.5</v>
      </c>
    </row>
    <row r="435" spans="1:1" x14ac:dyDescent="0.25">
      <c r="A435" s="34">
        <v>-182547.41082700001</v>
      </c>
    </row>
    <row r="436" spans="1:1" x14ac:dyDescent="0.25">
      <c r="A436" s="34">
        <v>-177557.80920700001</v>
      </c>
    </row>
    <row r="437" spans="1:1" x14ac:dyDescent="0.25">
      <c r="A437" s="34">
        <v>40000</v>
      </c>
    </row>
    <row r="438" spans="1:1" x14ac:dyDescent="0.25">
      <c r="A438" s="34">
        <v>40000</v>
      </c>
    </row>
    <row r="439" spans="1:1" x14ac:dyDescent="0.25">
      <c r="A439" s="34">
        <v>40000</v>
      </c>
    </row>
    <row r="440" spans="1:1" x14ac:dyDescent="0.25">
      <c r="A440" s="34">
        <v>40000</v>
      </c>
    </row>
    <row r="441" spans="1:1" x14ac:dyDescent="0.25">
      <c r="A441" s="34">
        <v>1265545.6300339999</v>
      </c>
    </row>
    <row r="442" spans="1:1" x14ac:dyDescent="0.25">
      <c r="A442" s="34">
        <v>1590000</v>
      </c>
    </row>
    <row r="443" spans="1:1" x14ac:dyDescent="0.25">
      <c r="A443" s="34">
        <v>0.33333333333333298</v>
      </c>
    </row>
    <row r="444" spans="1:1" x14ac:dyDescent="0.25">
      <c r="A444" s="34">
        <v>90000</v>
      </c>
    </row>
    <row r="445" spans="1:1" x14ac:dyDescent="0.25">
      <c r="A445" s="34">
        <v>90000</v>
      </c>
    </row>
    <row r="446" spans="1:1" x14ac:dyDescent="0.25">
      <c r="A446" s="34">
        <v>161663.79829800001</v>
      </c>
    </row>
    <row r="447" spans="1:1" x14ac:dyDescent="0.25">
      <c r="A447" s="34">
        <v>161631.47789400001</v>
      </c>
    </row>
    <row r="448" spans="1:1" x14ac:dyDescent="0.25">
      <c r="A448" s="34">
        <v>158916.56395800001</v>
      </c>
    </row>
    <row r="449" spans="1:1" x14ac:dyDescent="0.25">
      <c r="A449" s="34">
        <v>158855.44319399999</v>
      </c>
    </row>
    <row r="450" spans="1:1" x14ac:dyDescent="0.25">
      <c r="A450" s="34">
        <v>81833.036655999997</v>
      </c>
    </row>
    <row r="451" spans="1:1" x14ac:dyDescent="0.25">
      <c r="A451" s="34">
        <v>2090000</v>
      </c>
    </row>
    <row r="452" spans="1:1" x14ac:dyDescent="0.25">
      <c r="A452" s="34">
        <v>0.16666666666666599</v>
      </c>
    </row>
    <row r="453" spans="1:1" x14ac:dyDescent="0.25">
      <c r="A453" s="34">
        <v>90000</v>
      </c>
    </row>
    <row r="454" spans="1:1" x14ac:dyDescent="0.25">
      <c r="A454" s="34">
        <v>90000</v>
      </c>
    </row>
    <row r="455" spans="1:1" x14ac:dyDescent="0.25">
      <c r="A455" s="34">
        <v>40000</v>
      </c>
    </row>
    <row r="456" spans="1:1" x14ac:dyDescent="0.25">
      <c r="A456" s="34">
        <v>40000</v>
      </c>
    </row>
    <row r="457" spans="1:1" x14ac:dyDescent="0.25">
      <c r="A457" s="34">
        <v>40000</v>
      </c>
    </row>
    <row r="458" spans="1:1" x14ac:dyDescent="0.25">
      <c r="A458" s="34">
        <v>40000</v>
      </c>
    </row>
    <row r="459" spans="1:1" x14ac:dyDescent="0.25">
      <c r="A459" s="34">
        <v>70000</v>
      </c>
    </row>
    <row r="460" spans="1:1" x14ac:dyDescent="0.25">
      <c r="A460" s="34">
        <v>2590000</v>
      </c>
    </row>
    <row r="461" spans="1:1" x14ac:dyDescent="0.25">
      <c r="A461" s="34">
        <v>0</v>
      </c>
    </row>
    <row r="462" spans="1:1" x14ac:dyDescent="0.25">
      <c r="A462" s="80" t="s">
        <v>239</v>
      </c>
    </row>
    <row r="463" spans="1:1" x14ac:dyDescent="0.25">
      <c r="A463" s="34">
        <v>-54321700.993758999</v>
      </c>
    </row>
    <row r="464" spans="1:1" x14ac:dyDescent="0.25">
      <c r="A464" s="34">
        <v>-43904857.172724001</v>
      </c>
    </row>
    <row r="465" spans="1:1" x14ac:dyDescent="0.25">
      <c r="A465" s="34">
        <v>151811.5098</v>
      </c>
    </row>
    <row r="466" spans="1:1" x14ac:dyDescent="0.25">
      <c r="A466" s="34">
        <v>151863.59479999999</v>
      </c>
    </row>
    <row r="467" spans="1:1" x14ac:dyDescent="0.25">
      <c r="A467" s="34">
        <v>155782.0914</v>
      </c>
    </row>
    <row r="468" spans="1:1" x14ac:dyDescent="0.25">
      <c r="A468" s="34">
        <v>155810.50140000001</v>
      </c>
    </row>
    <row r="469" spans="1:1" x14ac:dyDescent="0.25">
      <c r="A469" s="34">
        <v>1687652.9650000001</v>
      </c>
    </row>
    <row r="470" spans="1:1" x14ac:dyDescent="0.25">
      <c r="A470" s="34">
        <v>98900776.989083007</v>
      </c>
    </row>
    <row r="471" spans="1:1" x14ac:dyDescent="0.25">
      <c r="A471" s="34">
        <v>0.5</v>
      </c>
    </row>
    <row r="472" spans="1:1" x14ac:dyDescent="0.25">
      <c r="A472" s="34">
        <v>-19974110.033537</v>
      </c>
    </row>
    <row r="473" spans="1:1" x14ac:dyDescent="0.25">
      <c r="A473" s="34">
        <v>-19842897.510444999</v>
      </c>
    </row>
    <row r="474" spans="1:1" x14ac:dyDescent="0.25">
      <c r="A474" s="34">
        <v>148283.55104699999</v>
      </c>
    </row>
    <row r="475" spans="1:1" x14ac:dyDescent="0.25">
      <c r="A475" s="34">
        <v>148341.87177600001</v>
      </c>
    </row>
    <row r="476" spans="1:1" x14ac:dyDescent="0.25">
      <c r="A476" s="34">
        <v>153315.213942</v>
      </c>
    </row>
    <row r="477" spans="1:1" x14ac:dyDescent="0.25">
      <c r="A477" s="34">
        <v>153319.05398999999</v>
      </c>
    </row>
    <row r="478" spans="1:1" x14ac:dyDescent="0.25">
      <c r="A478" s="34">
        <v>769963.419245</v>
      </c>
    </row>
    <row r="479" spans="1:1" x14ac:dyDescent="0.25">
      <c r="A479" s="34">
        <v>41422119.543981999</v>
      </c>
    </row>
    <row r="480" spans="1:1" x14ac:dyDescent="0.25">
      <c r="A480" s="34">
        <v>0.5</v>
      </c>
    </row>
    <row r="481" spans="1:1" x14ac:dyDescent="0.25">
      <c r="A481" s="34">
        <v>-20010859.405606002</v>
      </c>
    </row>
    <row r="482" spans="1:1" x14ac:dyDescent="0.25">
      <c r="A482" s="34">
        <v>-19960051.548920002</v>
      </c>
    </row>
    <row r="483" spans="1:1" x14ac:dyDescent="0.25">
      <c r="A483" s="34">
        <v>40000</v>
      </c>
    </row>
    <row r="484" spans="1:1" x14ac:dyDescent="0.25">
      <c r="A484" s="34">
        <v>40000</v>
      </c>
    </row>
    <row r="485" spans="1:1" x14ac:dyDescent="0.25">
      <c r="A485" s="34">
        <v>40000</v>
      </c>
    </row>
    <row r="486" spans="1:1" x14ac:dyDescent="0.25">
      <c r="A486" s="34">
        <v>40000</v>
      </c>
    </row>
    <row r="487" spans="1:1" x14ac:dyDescent="0.25">
      <c r="A487" s="34">
        <v>726177.17</v>
      </c>
    </row>
    <row r="488" spans="1:1" x14ac:dyDescent="0.25">
      <c r="A488" s="34">
        <v>42073526.954526</v>
      </c>
    </row>
    <row r="489" spans="1:1" x14ac:dyDescent="0.25">
      <c r="A489" s="34">
        <v>0.33333333333333298</v>
      </c>
    </row>
    <row r="490" spans="1:1" x14ac:dyDescent="0.25">
      <c r="A490" s="34">
        <v>90000</v>
      </c>
    </row>
    <row r="491" spans="1:1" x14ac:dyDescent="0.25">
      <c r="A491" s="34">
        <v>90000</v>
      </c>
    </row>
    <row r="492" spans="1:1" x14ac:dyDescent="0.25">
      <c r="A492" s="34">
        <v>160045.618071</v>
      </c>
    </row>
    <row r="493" spans="1:1" x14ac:dyDescent="0.25">
      <c r="A493" s="34">
        <v>159992.57740800001</v>
      </c>
    </row>
    <row r="494" spans="1:1" x14ac:dyDescent="0.25">
      <c r="A494" s="34">
        <v>155783.8848</v>
      </c>
    </row>
    <row r="495" spans="1:1" x14ac:dyDescent="0.25">
      <c r="A495" s="34">
        <v>155835.485445</v>
      </c>
    </row>
    <row r="496" spans="1:1" x14ac:dyDescent="0.25">
      <c r="A496" s="34">
        <v>91256.914275999996</v>
      </c>
    </row>
    <row r="497" spans="1:1" x14ac:dyDescent="0.25">
      <c r="A497" s="34">
        <v>2090000</v>
      </c>
    </row>
    <row r="498" spans="1:1" x14ac:dyDescent="0.25">
      <c r="A498" s="34">
        <v>0.16666666666666599</v>
      </c>
    </row>
    <row r="499" spans="1:1" x14ac:dyDescent="0.25">
      <c r="A499" s="34">
        <v>90000</v>
      </c>
    </row>
    <row r="500" spans="1:1" x14ac:dyDescent="0.25">
      <c r="A500" s="34">
        <v>90000</v>
      </c>
    </row>
    <row r="501" spans="1:1" x14ac:dyDescent="0.25">
      <c r="A501" s="34">
        <v>40000</v>
      </c>
    </row>
    <row r="502" spans="1:1" x14ac:dyDescent="0.25">
      <c r="A502" s="34">
        <v>40000</v>
      </c>
    </row>
    <row r="503" spans="1:1" x14ac:dyDescent="0.25">
      <c r="A503" s="34">
        <v>40000</v>
      </c>
    </row>
    <row r="504" spans="1:1" x14ac:dyDescent="0.25">
      <c r="A504" s="34">
        <v>40000</v>
      </c>
    </row>
    <row r="505" spans="1:1" x14ac:dyDescent="0.25">
      <c r="A505" s="34">
        <v>70000</v>
      </c>
    </row>
    <row r="506" spans="1:1" x14ac:dyDescent="0.25">
      <c r="A506" s="34">
        <v>2590000</v>
      </c>
    </row>
    <row r="507" spans="1:1" x14ac:dyDescent="0.25">
      <c r="A507" s="34">
        <v>0</v>
      </c>
    </row>
    <row r="508" spans="1:1" x14ac:dyDescent="0.25">
      <c r="A508" s="79" t="s">
        <v>240</v>
      </c>
    </row>
    <row r="509" spans="1:1" x14ac:dyDescent="0.25">
      <c r="A509" s="34">
        <v>-67815583.313580006</v>
      </c>
    </row>
    <row r="510" spans="1:1" x14ac:dyDescent="0.25">
      <c r="A510" s="34">
        <v>-47701797.818832003</v>
      </c>
    </row>
    <row r="511" spans="1:1" x14ac:dyDescent="0.25">
      <c r="A511" s="34">
        <v>151862.269</v>
      </c>
    </row>
    <row r="512" spans="1:1" x14ac:dyDescent="0.25">
      <c r="A512" s="34">
        <v>151870.41320000001</v>
      </c>
    </row>
    <row r="513" spans="1:1" x14ac:dyDescent="0.25">
      <c r="A513" s="34">
        <v>155704.6268</v>
      </c>
    </row>
    <row r="514" spans="1:1" x14ac:dyDescent="0.25">
      <c r="A514" s="34">
        <v>155808.79680000001</v>
      </c>
    </row>
    <row r="515" spans="1:1" x14ac:dyDescent="0.25">
      <c r="A515" s="34">
        <v>1686569.162946</v>
      </c>
    </row>
    <row r="516" spans="1:1" x14ac:dyDescent="0.25">
      <c r="A516" s="34">
        <v>115859769.533666</v>
      </c>
    </row>
    <row r="517" spans="1:1" x14ac:dyDescent="0.25">
      <c r="A517" s="34">
        <v>0.5</v>
      </c>
    </row>
    <row r="518" spans="1:1" x14ac:dyDescent="0.25">
      <c r="A518" s="34">
        <v>89407.833136000001</v>
      </c>
    </row>
    <row r="519" spans="1:1" x14ac:dyDescent="0.25">
      <c r="A519" s="34">
        <v>90397.833465999996</v>
      </c>
    </row>
    <row r="520" spans="1:1" x14ac:dyDescent="0.25">
      <c r="A520" s="34">
        <v>148392.51240899999</v>
      </c>
    </row>
    <row r="521" spans="1:1" x14ac:dyDescent="0.25">
      <c r="A521" s="34">
        <v>148304.431308</v>
      </c>
    </row>
    <row r="522" spans="1:1" x14ac:dyDescent="0.25">
      <c r="A522" s="34">
        <v>153373.534671</v>
      </c>
    </row>
    <row r="523" spans="1:1" x14ac:dyDescent="0.25">
      <c r="A523" s="34">
        <v>153267.213342</v>
      </c>
    </row>
    <row r="524" spans="1:1" x14ac:dyDescent="0.25">
      <c r="A524" s="34">
        <v>771791.78666800004</v>
      </c>
    </row>
    <row r="525" spans="1:1" x14ac:dyDescent="0.25">
      <c r="A525" s="34">
        <v>1090000</v>
      </c>
    </row>
    <row r="526" spans="1:1" x14ac:dyDescent="0.25">
      <c r="A526" s="34">
        <v>0.5</v>
      </c>
    </row>
    <row r="527" spans="1:1" x14ac:dyDescent="0.25">
      <c r="A527" s="34">
        <v>88855.832951999997</v>
      </c>
    </row>
    <row r="528" spans="1:1" x14ac:dyDescent="0.25">
      <c r="A528" s="34">
        <v>89125.833041999998</v>
      </c>
    </row>
    <row r="529" spans="1:1" x14ac:dyDescent="0.25">
      <c r="A529" s="34">
        <v>40000</v>
      </c>
    </row>
    <row r="530" spans="1:1" x14ac:dyDescent="0.25">
      <c r="A530" s="34">
        <v>40000</v>
      </c>
    </row>
    <row r="531" spans="1:1" x14ac:dyDescent="0.25">
      <c r="A531" s="34">
        <v>40000</v>
      </c>
    </row>
    <row r="532" spans="1:1" x14ac:dyDescent="0.25">
      <c r="A532" s="34">
        <v>40000</v>
      </c>
    </row>
    <row r="533" spans="1:1" x14ac:dyDescent="0.25">
      <c r="A533" s="34">
        <v>726798.65900600003</v>
      </c>
    </row>
    <row r="534" spans="1:1" x14ac:dyDescent="0.25">
      <c r="A534" s="34">
        <v>1590000</v>
      </c>
    </row>
    <row r="535" spans="1:1" x14ac:dyDescent="0.25">
      <c r="A535" s="34">
        <v>0.33333333333333298</v>
      </c>
    </row>
    <row r="536" spans="1:1" x14ac:dyDescent="0.25">
      <c r="A536" s="34">
        <v>90000</v>
      </c>
    </row>
    <row r="537" spans="1:1" x14ac:dyDescent="0.25">
      <c r="A537" s="34">
        <v>90000</v>
      </c>
    </row>
    <row r="538" spans="1:1" x14ac:dyDescent="0.25">
      <c r="A538" s="34">
        <v>159963.537045</v>
      </c>
    </row>
    <row r="539" spans="1:1" x14ac:dyDescent="0.25">
      <c r="A539" s="34">
        <v>160054.01817600001</v>
      </c>
    </row>
    <row r="540" spans="1:1" x14ac:dyDescent="0.25">
      <c r="A540" s="34">
        <v>155855.88570000001</v>
      </c>
    </row>
    <row r="541" spans="1:1" x14ac:dyDescent="0.25">
      <c r="A541" s="34">
        <v>155817.24521699999</v>
      </c>
    </row>
    <row r="542" spans="1:1" x14ac:dyDescent="0.25">
      <c r="A542" s="34">
        <v>91232.073862000005</v>
      </c>
    </row>
    <row r="543" spans="1:1" x14ac:dyDescent="0.25">
      <c r="A543" s="34">
        <v>2090000</v>
      </c>
    </row>
    <row r="544" spans="1:1" x14ac:dyDescent="0.25">
      <c r="A544" s="34">
        <v>0.16666666666666599</v>
      </c>
    </row>
    <row r="545" spans="1:1" x14ac:dyDescent="0.25">
      <c r="A545" s="34">
        <v>90000</v>
      </c>
    </row>
    <row r="546" spans="1:1" x14ac:dyDescent="0.25">
      <c r="A546" s="34">
        <v>90000</v>
      </c>
    </row>
    <row r="547" spans="1:1" x14ac:dyDescent="0.25">
      <c r="A547" s="34">
        <v>40000</v>
      </c>
    </row>
    <row r="548" spans="1:1" x14ac:dyDescent="0.25">
      <c r="A548" s="34">
        <v>40000</v>
      </c>
    </row>
    <row r="549" spans="1:1" x14ac:dyDescent="0.25">
      <c r="A549" s="34">
        <v>40000</v>
      </c>
    </row>
    <row r="550" spans="1:1" x14ac:dyDescent="0.25">
      <c r="A550" s="34">
        <v>40000</v>
      </c>
    </row>
    <row r="551" spans="1:1" x14ac:dyDescent="0.25">
      <c r="A551" s="34">
        <v>70000</v>
      </c>
    </row>
    <row r="552" spans="1:1" x14ac:dyDescent="0.25">
      <c r="A552" s="34">
        <v>2590000</v>
      </c>
    </row>
    <row r="553" spans="1:1" x14ac:dyDescent="0.25">
      <c r="A553" s="34">
        <v>0</v>
      </c>
    </row>
    <row r="554" spans="1:1" x14ac:dyDescent="0.25">
      <c r="A554" s="34" t="s">
        <v>241</v>
      </c>
    </row>
    <row r="555" spans="1:1" x14ac:dyDescent="0.25">
      <c r="A555" s="34">
        <v>-69038000.817118004</v>
      </c>
    </row>
    <row r="556" spans="1:1" x14ac:dyDescent="0.25">
      <c r="A556" s="34">
        <v>-48101408.940609999</v>
      </c>
    </row>
    <row r="557" spans="1:1" x14ac:dyDescent="0.25">
      <c r="A557" s="34">
        <v>151768.89480000001</v>
      </c>
    </row>
    <row r="558" spans="1:1" x14ac:dyDescent="0.25">
      <c r="A558" s="34">
        <v>151843.13959999999</v>
      </c>
    </row>
    <row r="559" spans="1:1" x14ac:dyDescent="0.25">
      <c r="A559" s="34">
        <v>155725.08199999999</v>
      </c>
    </row>
    <row r="560" spans="1:1" x14ac:dyDescent="0.25">
      <c r="A560" s="34">
        <v>155879.2536</v>
      </c>
    </row>
    <row r="561" spans="1:1" x14ac:dyDescent="0.25">
      <c r="A561" s="34">
        <v>1700285.5728279999</v>
      </c>
    </row>
    <row r="562" spans="1:1" x14ac:dyDescent="0.25">
      <c r="A562" s="34">
        <v>117468221.9349</v>
      </c>
    </row>
    <row r="563" spans="1:1" x14ac:dyDescent="0.25">
      <c r="A563" s="34">
        <v>0.5</v>
      </c>
    </row>
    <row r="564" spans="1:1" x14ac:dyDescent="0.25">
      <c r="A564" s="34">
        <v>81377.432690000001</v>
      </c>
    </row>
    <row r="565" spans="1:1" x14ac:dyDescent="0.25">
      <c r="A565" s="34">
        <v>82915.673196000003</v>
      </c>
    </row>
    <row r="566" spans="1:1" x14ac:dyDescent="0.25">
      <c r="A566" s="34">
        <v>148373.31216900001</v>
      </c>
    </row>
    <row r="567" spans="1:1" x14ac:dyDescent="0.25">
      <c r="A567" s="34">
        <v>148367.07209100001</v>
      </c>
    </row>
    <row r="568" spans="1:1" x14ac:dyDescent="0.25">
      <c r="A568" s="34">
        <v>153329.614122</v>
      </c>
    </row>
    <row r="569" spans="1:1" x14ac:dyDescent="0.25">
      <c r="A569" s="34">
        <v>153349.05436499999</v>
      </c>
    </row>
    <row r="570" spans="1:1" x14ac:dyDescent="0.25">
      <c r="A570" s="34">
        <v>786511.21636700002</v>
      </c>
    </row>
    <row r="571" spans="1:1" x14ac:dyDescent="0.25">
      <c r="A571" s="34">
        <v>1090000</v>
      </c>
    </row>
    <row r="572" spans="1:1" x14ac:dyDescent="0.25">
      <c r="A572" s="34">
        <v>0.5</v>
      </c>
    </row>
    <row r="573" spans="1:1" x14ac:dyDescent="0.25">
      <c r="A573" s="34">
        <v>81632.792774000001</v>
      </c>
    </row>
    <row r="574" spans="1:1" x14ac:dyDescent="0.25">
      <c r="A574" s="34">
        <v>84988.953878</v>
      </c>
    </row>
    <row r="575" spans="1:1" x14ac:dyDescent="0.25">
      <c r="A575" s="34">
        <v>40000</v>
      </c>
    </row>
    <row r="576" spans="1:1" x14ac:dyDescent="0.25">
      <c r="A576" s="34">
        <v>40000</v>
      </c>
    </row>
    <row r="577" spans="1:1" x14ac:dyDescent="0.25">
      <c r="A577" s="34">
        <v>40000</v>
      </c>
    </row>
    <row r="578" spans="1:1" x14ac:dyDescent="0.25">
      <c r="A578" s="34">
        <v>40000</v>
      </c>
    </row>
    <row r="579" spans="1:1" x14ac:dyDescent="0.25">
      <c r="A579" s="34">
        <v>738824.503348</v>
      </c>
    </row>
    <row r="580" spans="1:1" x14ac:dyDescent="0.25">
      <c r="A580" s="34">
        <v>1590000</v>
      </c>
    </row>
    <row r="581" spans="1:1" x14ac:dyDescent="0.25">
      <c r="A581" s="34">
        <v>0.33333333333333298</v>
      </c>
    </row>
    <row r="582" spans="1:1" x14ac:dyDescent="0.25">
      <c r="A582" s="34">
        <v>90000</v>
      </c>
    </row>
    <row r="583" spans="1:1" x14ac:dyDescent="0.25">
      <c r="A583" s="34">
        <v>90000</v>
      </c>
    </row>
    <row r="584" spans="1:1" x14ac:dyDescent="0.25">
      <c r="A584" s="34">
        <v>160075.61844600001</v>
      </c>
    </row>
    <row r="585" spans="1:1" x14ac:dyDescent="0.25">
      <c r="A585" s="34">
        <v>160000.97751299999</v>
      </c>
    </row>
    <row r="586" spans="1:1" x14ac:dyDescent="0.25">
      <c r="A586" s="34">
        <v>155825.645322</v>
      </c>
    </row>
    <row r="587" spans="1:1" x14ac:dyDescent="0.25">
      <c r="A587" s="34">
        <v>155782.924788</v>
      </c>
    </row>
    <row r="588" spans="1:1" x14ac:dyDescent="0.25">
      <c r="A588" s="34">
        <v>91236.213931000006</v>
      </c>
    </row>
    <row r="589" spans="1:1" x14ac:dyDescent="0.25">
      <c r="A589" s="34">
        <v>2090000</v>
      </c>
    </row>
    <row r="590" spans="1:1" x14ac:dyDescent="0.25">
      <c r="A590" s="34">
        <v>0.16666666666666599</v>
      </c>
    </row>
    <row r="591" spans="1:1" x14ac:dyDescent="0.25">
      <c r="A591" s="34">
        <v>90000</v>
      </c>
    </row>
    <row r="592" spans="1:1" x14ac:dyDescent="0.25">
      <c r="A592" s="34">
        <v>90000</v>
      </c>
    </row>
    <row r="593" spans="1:1" x14ac:dyDescent="0.25">
      <c r="A593" s="34">
        <v>40000</v>
      </c>
    </row>
    <row r="594" spans="1:1" x14ac:dyDescent="0.25">
      <c r="A594" s="34">
        <v>40000</v>
      </c>
    </row>
    <row r="595" spans="1:1" x14ac:dyDescent="0.25">
      <c r="A595" s="34">
        <v>40000</v>
      </c>
    </row>
    <row r="596" spans="1:1" x14ac:dyDescent="0.25">
      <c r="A596" s="34">
        <v>40000</v>
      </c>
    </row>
    <row r="597" spans="1:1" x14ac:dyDescent="0.25">
      <c r="A597" s="34">
        <v>70000</v>
      </c>
    </row>
    <row r="598" spans="1:1" x14ac:dyDescent="0.25">
      <c r="A598" s="34">
        <v>2590000</v>
      </c>
    </row>
    <row r="599" spans="1:1" x14ac:dyDescent="0.25">
      <c r="A599" s="34">
        <v>0</v>
      </c>
    </row>
    <row r="600" spans="1:1" x14ac:dyDescent="0.25">
      <c r="A600" s="34" t="s">
        <v>242</v>
      </c>
    </row>
    <row r="601" spans="1:1" x14ac:dyDescent="0.25">
      <c r="A601" s="34">
        <v>-783711.24601</v>
      </c>
    </row>
    <row r="602" spans="1:1" x14ac:dyDescent="0.25">
      <c r="A602" s="34">
        <v>-518646.35995000001</v>
      </c>
    </row>
    <row r="603" spans="1:1" x14ac:dyDescent="0.25">
      <c r="A603" s="34">
        <v>165000</v>
      </c>
    </row>
    <row r="604" spans="1:1" x14ac:dyDescent="0.25">
      <c r="A604" s="34">
        <v>165000</v>
      </c>
    </row>
    <row r="605" spans="1:1" x14ac:dyDescent="0.25">
      <c r="A605" s="34">
        <v>165000</v>
      </c>
    </row>
    <row r="606" spans="1:1" x14ac:dyDescent="0.25">
      <c r="A606" s="34">
        <v>165000</v>
      </c>
    </row>
    <row r="607" spans="1:1" x14ac:dyDescent="0.25">
      <c r="A607" s="34">
        <v>1714076.56596</v>
      </c>
    </row>
    <row r="608" spans="1:1" x14ac:dyDescent="0.25">
      <c r="A608" s="34">
        <v>1090000</v>
      </c>
    </row>
    <row r="609" spans="1:1" x14ac:dyDescent="0.25">
      <c r="A609" s="34">
        <v>0.5</v>
      </c>
    </row>
    <row r="610" spans="1:1" x14ac:dyDescent="0.25">
      <c r="A610" s="34">
        <v>76452.953263999996</v>
      </c>
    </row>
    <row r="611" spans="1:1" x14ac:dyDescent="0.25">
      <c r="A611" s="34">
        <v>74832.872738000005</v>
      </c>
    </row>
    <row r="612" spans="1:1" x14ac:dyDescent="0.25">
      <c r="A612" s="34">
        <v>148350.75188699999</v>
      </c>
    </row>
    <row r="613" spans="1:1" x14ac:dyDescent="0.25">
      <c r="A613" s="34">
        <v>148323.631548</v>
      </c>
    </row>
    <row r="614" spans="1:1" x14ac:dyDescent="0.25">
      <c r="A614" s="34">
        <v>153377.134716</v>
      </c>
    </row>
    <row r="615" spans="1:1" x14ac:dyDescent="0.25">
      <c r="A615" s="34">
        <v>153287.373594</v>
      </c>
    </row>
    <row r="616" spans="1:1" x14ac:dyDescent="0.25">
      <c r="A616" s="34">
        <v>799697.22725300002</v>
      </c>
    </row>
    <row r="617" spans="1:1" x14ac:dyDescent="0.25">
      <c r="A617" s="34">
        <v>1090000</v>
      </c>
    </row>
    <row r="618" spans="1:1" x14ac:dyDescent="0.25">
      <c r="A618" s="34">
        <v>0.5</v>
      </c>
    </row>
    <row r="619" spans="1:1" x14ac:dyDescent="0.25">
      <c r="A619" s="34">
        <v>75350.312906000006</v>
      </c>
    </row>
    <row r="620" spans="1:1" x14ac:dyDescent="0.25">
      <c r="A620" s="34">
        <v>76914.953414000003</v>
      </c>
    </row>
    <row r="621" spans="1:1" x14ac:dyDescent="0.25">
      <c r="A621" s="34">
        <v>40000</v>
      </c>
    </row>
    <row r="622" spans="1:1" x14ac:dyDescent="0.25">
      <c r="A622" s="34">
        <v>40000</v>
      </c>
    </row>
    <row r="623" spans="1:1" x14ac:dyDescent="0.25">
      <c r="A623" s="34">
        <v>40000</v>
      </c>
    </row>
    <row r="624" spans="1:1" x14ac:dyDescent="0.25">
      <c r="A624" s="34">
        <v>40000</v>
      </c>
    </row>
    <row r="625" spans="1:1" x14ac:dyDescent="0.25">
      <c r="A625" s="34">
        <v>752850.55368000001</v>
      </c>
    </row>
    <row r="626" spans="1:1" x14ac:dyDescent="0.25">
      <c r="A626" s="34">
        <v>1590000</v>
      </c>
    </row>
    <row r="627" spans="1:1" x14ac:dyDescent="0.25">
      <c r="A627" s="34">
        <v>0.33333333333333298</v>
      </c>
    </row>
    <row r="628" spans="1:1" x14ac:dyDescent="0.25">
      <c r="A628" s="34">
        <v>90000</v>
      </c>
    </row>
    <row r="629" spans="1:1" x14ac:dyDescent="0.25">
      <c r="A629" s="34">
        <v>90000</v>
      </c>
    </row>
    <row r="630" spans="1:1" x14ac:dyDescent="0.25">
      <c r="A630" s="34">
        <v>159966.41708099999</v>
      </c>
    </row>
    <row r="631" spans="1:1" x14ac:dyDescent="0.25">
      <c r="A631" s="34">
        <v>159976.25720399999</v>
      </c>
    </row>
    <row r="632" spans="1:1" x14ac:dyDescent="0.25">
      <c r="A632" s="34">
        <v>155887.32609300001</v>
      </c>
    </row>
    <row r="633" spans="1:1" x14ac:dyDescent="0.25">
      <c r="A633" s="34">
        <v>155812.205154</v>
      </c>
    </row>
    <row r="634" spans="1:1" x14ac:dyDescent="0.25">
      <c r="A634" s="34">
        <v>91268.434468000007</v>
      </c>
    </row>
    <row r="635" spans="1:1" x14ac:dyDescent="0.25">
      <c r="A635" s="34">
        <v>2090000</v>
      </c>
    </row>
    <row r="636" spans="1:1" x14ac:dyDescent="0.25">
      <c r="A636" s="34">
        <v>0.16666666666666599</v>
      </c>
    </row>
    <row r="637" spans="1:1" x14ac:dyDescent="0.25">
      <c r="A637" s="34">
        <v>90000</v>
      </c>
    </row>
    <row r="638" spans="1:1" x14ac:dyDescent="0.25">
      <c r="A638" s="34">
        <v>90000</v>
      </c>
    </row>
    <row r="639" spans="1:1" x14ac:dyDescent="0.25">
      <c r="A639" s="34">
        <v>40000</v>
      </c>
    </row>
    <row r="640" spans="1:1" x14ac:dyDescent="0.25">
      <c r="A640" s="34">
        <v>40000</v>
      </c>
    </row>
    <row r="641" spans="1:1" x14ac:dyDescent="0.25">
      <c r="A641" s="34">
        <v>40000</v>
      </c>
    </row>
    <row r="642" spans="1:1" x14ac:dyDescent="0.25">
      <c r="A642" s="34">
        <v>40000</v>
      </c>
    </row>
    <row r="643" spans="1:1" x14ac:dyDescent="0.25">
      <c r="A643" s="34">
        <v>70000</v>
      </c>
    </row>
    <row r="644" spans="1:1" x14ac:dyDescent="0.25">
      <c r="A644" s="34">
        <v>2590000</v>
      </c>
    </row>
    <row r="645" spans="1:1" x14ac:dyDescent="0.25">
      <c r="A645" s="34">
        <v>0</v>
      </c>
    </row>
    <row r="646" spans="1:1" x14ac:dyDescent="0.25">
      <c r="A646" s="34" t="s">
        <v>243</v>
      </c>
    </row>
    <row r="647" spans="1:1" x14ac:dyDescent="0.25">
      <c r="A647" s="34">
        <v>-1460328.945691</v>
      </c>
    </row>
    <row r="648" spans="1:1" x14ac:dyDescent="0.25">
      <c r="A648" s="34">
        <v>-1078642.9017670001</v>
      </c>
    </row>
    <row r="649" spans="1:1" x14ac:dyDescent="0.25">
      <c r="A649" s="34">
        <v>165000</v>
      </c>
    </row>
    <row r="650" spans="1:1" x14ac:dyDescent="0.25">
      <c r="A650" s="34">
        <v>165000</v>
      </c>
    </row>
    <row r="651" spans="1:1" x14ac:dyDescent="0.25">
      <c r="A651" s="34">
        <v>165000</v>
      </c>
    </row>
    <row r="652" spans="1:1" x14ac:dyDescent="0.25">
      <c r="A652" s="34">
        <v>165000</v>
      </c>
    </row>
    <row r="653" spans="1:1" x14ac:dyDescent="0.25">
      <c r="A653" s="34">
        <v>2951742.737458</v>
      </c>
    </row>
    <row r="654" spans="1:1" x14ac:dyDescent="0.25">
      <c r="A654" s="34">
        <v>1090000</v>
      </c>
    </row>
    <row r="655" spans="1:1" x14ac:dyDescent="0.25">
      <c r="A655" s="34">
        <v>0.5</v>
      </c>
    </row>
    <row r="656" spans="1:1" x14ac:dyDescent="0.25">
      <c r="A656" s="34">
        <v>-179405.80980700001</v>
      </c>
    </row>
    <row r="657" spans="1:1" x14ac:dyDescent="0.25">
      <c r="A657" s="34">
        <v>-179599.84987000001</v>
      </c>
    </row>
    <row r="658" spans="1:1" x14ac:dyDescent="0.25">
      <c r="A658" s="34">
        <v>148382.432283</v>
      </c>
    </row>
    <row r="659" spans="1:1" x14ac:dyDescent="0.25">
      <c r="A659" s="34">
        <v>148297.47122100001</v>
      </c>
    </row>
    <row r="660" spans="1:1" x14ac:dyDescent="0.25">
      <c r="A660" s="34">
        <v>153296.73371100001</v>
      </c>
    </row>
    <row r="661" spans="1:1" x14ac:dyDescent="0.25">
      <c r="A661" s="34">
        <v>153321.45402</v>
      </c>
    </row>
    <row r="662" spans="1:1" x14ac:dyDescent="0.25">
      <c r="A662" s="34">
        <v>1310919.113442</v>
      </c>
    </row>
    <row r="663" spans="1:1" x14ac:dyDescent="0.25">
      <c r="A663" s="34">
        <v>1090000</v>
      </c>
    </row>
    <row r="664" spans="1:1" x14ac:dyDescent="0.25">
      <c r="A664" s="34">
        <v>0.5</v>
      </c>
    </row>
    <row r="665" spans="1:1" x14ac:dyDescent="0.25">
      <c r="A665" s="34">
        <v>-180754.85024500001</v>
      </c>
    </row>
    <row r="666" spans="1:1" x14ac:dyDescent="0.25">
      <c r="A666" s="34">
        <v>-182085.41067700001</v>
      </c>
    </row>
    <row r="667" spans="1:1" x14ac:dyDescent="0.25">
      <c r="A667" s="34">
        <v>40000</v>
      </c>
    </row>
    <row r="668" spans="1:1" x14ac:dyDescent="0.25">
      <c r="A668" s="34">
        <v>40000</v>
      </c>
    </row>
    <row r="669" spans="1:1" x14ac:dyDescent="0.25">
      <c r="A669" s="34">
        <v>40000</v>
      </c>
    </row>
    <row r="670" spans="1:1" x14ac:dyDescent="0.25">
      <c r="A670" s="34">
        <v>40000</v>
      </c>
    </row>
    <row r="671" spans="1:1" x14ac:dyDescent="0.25">
      <c r="A671" s="34">
        <v>1267688.3709219999</v>
      </c>
    </row>
    <row r="672" spans="1:1" x14ac:dyDescent="0.25">
      <c r="A672" s="34">
        <v>1590000</v>
      </c>
    </row>
    <row r="673" spans="1:1" x14ac:dyDescent="0.25">
      <c r="A673" s="34">
        <v>0.33333333333333298</v>
      </c>
    </row>
    <row r="674" spans="1:1" x14ac:dyDescent="0.25">
      <c r="A674" s="34">
        <v>90000</v>
      </c>
    </row>
    <row r="675" spans="1:1" x14ac:dyDescent="0.25">
      <c r="A675" s="34">
        <v>90000</v>
      </c>
    </row>
    <row r="676" spans="1:1" x14ac:dyDescent="0.25">
      <c r="A676" s="34">
        <v>159937.616721</v>
      </c>
    </row>
    <row r="677" spans="1:1" x14ac:dyDescent="0.25">
      <c r="A677" s="34">
        <v>159996.417456</v>
      </c>
    </row>
    <row r="678" spans="1:1" x14ac:dyDescent="0.25">
      <c r="A678" s="34">
        <v>155858.28573</v>
      </c>
    </row>
    <row r="679" spans="1:1" x14ac:dyDescent="0.25">
      <c r="A679" s="34">
        <v>155820.84526199999</v>
      </c>
    </row>
    <row r="680" spans="1:1" x14ac:dyDescent="0.25">
      <c r="A680" s="34">
        <v>91290.214831000005</v>
      </c>
    </row>
    <row r="681" spans="1:1" x14ac:dyDescent="0.25">
      <c r="A681" s="34">
        <v>2090000</v>
      </c>
    </row>
    <row r="682" spans="1:1" x14ac:dyDescent="0.25">
      <c r="A682" s="34">
        <v>0.16666666666666599</v>
      </c>
    </row>
    <row r="683" spans="1:1" x14ac:dyDescent="0.25">
      <c r="A683" s="34">
        <v>90000</v>
      </c>
    </row>
    <row r="684" spans="1:1" x14ac:dyDescent="0.25">
      <c r="A684" s="34">
        <v>90000</v>
      </c>
    </row>
    <row r="685" spans="1:1" x14ac:dyDescent="0.25">
      <c r="A685" s="34">
        <v>40000</v>
      </c>
    </row>
    <row r="686" spans="1:1" x14ac:dyDescent="0.25">
      <c r="A686" s="34">
        <v>40000</v>
      </c>
    </row>
    <row r="687" spans="1:1" x14ac:dyDescent="0.25">
      <c r="A687" s="34">
        <v>40000</v>
      </c>
    </row>
    <row r="688" spans="1:1" x14ac:dyDescent="0.25">
      <c r="A688" s="34">
        <v>40000</v>
      </c>
    </row>
    <row r="689" spans="1:1" x14ac:dyDescent="0.25">
      <c r="A689" s="34">
        <v>70000</v>
      </c>
    </row>
    <row r="690" spans="1:1" x14ac:dyDescent="0.25">
      <c r="A690" s="34">
        <v>2590000</v>
      </c>
    </row>
    <row r="691" spans="1:1" x14ac:dyDescent="0.25">
      <c r="A691" s="34">
        <v>0</v>
      </c>
    </row>
    <row r="693" spans="1:1" x14ac:dyDescent="0.25">
      <c r="A693" s="34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Checker</vt:lpstr>
      <vt:lpstr>assembler</vt:lpstr>
      <vt:lpstr>100000</vt:lpstr>
      <vt:lpstr>s4_a (2)</vt:lpstr>
      <vt:lpstr>print</vt:lpstr>
      <vt:lpstr>settings_</vt:lpstr>
      <vt:lpstr>def_a</vt:lpstr>
      <vt:lpstr>s1_a</vt:lpstr>
      <vt:lpstr>s2_a</vt:lpstr>
      <vt:lpstr>s3_a</vt:lpstr>
      <vt:lpstr>change_a</vt:lpstr>
      <vt:lpstr>_</vt:lpstr>
      <vt:lpstr>settings_top1</vt:lpstr>
      <vt:lpstr>z1</vt:lpstr>
      <vt:lpstr>z3</vt:lpstr>
      <vt:lpstr>change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2020-09-10T17:43:59Z</dcterms:created>
  <dcterms:modified xsi:type="dcterms:W3CDTF">2021-05-03T17:36:38Z</dcterms:modified>
</cp:coreProperties>
</file>