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8DDFEB0A-4651-401C-8511-E3B7B5F8EED2}" xr6:coauthVersionLast="47" xr6:coauthVersionMax="47" xr10:uidLastSave="{00000000-0000-0000-0000-000000000000}"/>
  <bookViews>
    <workbookView xWindow="-120" yWindow="-120" windowWidth="20730" windowHeight="11040" xr2:uid="{EA94821D-81D2-4064-A0CB-87B946E5AFF1}"/>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8" i="1"/>
  <c r="J299" i="1"/>
  <c r="J300" i="1"/>
  <c r="J301" i="1"/>
  <c r="J302" i="1"/>
  <c r="J303" i="1"/>
  <c r="J304" i="1"/>
  <c r="J305" i="1"/>
  <c r="J306" i="1"/>
  <c r="J307" i="1"/>
  <c r="J308" i="1"/>
  <c r="J309" i="1"/>
  <c r="J310" i="1"/>
  <c r="J311" i="1"/>
  <c r="J312" i="1"/>
  <c r="J313" i="1"/>
  <c r="J314" i="1"/>
  <c r="J319" i="1"/>
  <c r="J320" i="1"/>
  <c r="J321" i="1"/>
  <c r="J322" i="1"/>
  <c r="J323" i="1"/>
  <c r="J325" i="1"/>
  <c r="J326" i="1"/>
  <c r="J327" i="1"/>
  <c r="J330" i="1"/>
  <c r="J331" i="1"/>
  <c r="J334" i="1"/>
  <c r="J338" i="1"/>
  <c r="J339" i="1"/>
  <c r="J340" i="1"/>
  <c r="J341" i="1"/>
  <c r="J342" i="1"/>
  <c r="J344" i="1"/>
  <c r="J346" i="1"/>
  <c r="J349" i="1"/>
  <c r="J350" i="1"/>
  <c r="J351" i="1"/>
  <c r="J352" i="1"/>
  <c r="J353" i="1"/>
  <c r="J354" i="1"/>
  <c r="J359" i="1"/>
  <c r="J360" i="1"/>
  <c r="J361" i="1"/>
  <c r="J363" i="1"/>
  <c r="J367" i="1"/>
  <c r="J368" i="1"/>
  <c r="J369" i="1"/>
  <c r="J371" i="1"/>
  <c r="J372" i="1"/>
  <c r="J373" i="1"/>
  <c r="J376" i="1"/>
  <c r="J377" i="1"/>
  <c r="J384" i="1"/>
  <c r="J387" i="1"/>
  <c r="J392" i="1"/>
  <c r="J394" i="1"/>
  <c r="J396" i="1"/>
  <c r="J398" i="1"/>
  <c r="J401" i="1"/>
  <c r="J402" i="1"/>
  <c r="J405" i="1"/>
  <c r="J407" i="1"/>
  <c r="J408" i="1"/>
  <c r="J409" i="1"/>
  <c r="J411" i="1"/>
  <c r="J412" i="1"/>
  <c r="J414" i="1"/>
  <c r="J416" i="1"/>
  <c r="J417" i="1"/>
  <c r="J418" i="1"/>
  <c r="J419" i="1"/>
  <c r="J423" i="1"/>
  <c r="J426" i="1"/>
  <c r="J427" i="1"/>
  <c r="J428" i="1"/>
  <c r="J429" i="1"/>
  <c r="J430" i="1"/>
  <c r="J431" i="1"/>
  <c r="J432" i="1"/>
  <c r="J433" i="1"/>
  <c r="J435" i="1"/>
  <c r="J436" i="1"/>
  <c r="J443" i="1"/>
  <c r="J446" i="1"/>
  <c r="J447" i="1"/>
  <c r="J448" i="1"/>
  <c r="J449" i="1"/>
  <c r="J450" i="1"/>
  <c r="J451" i="1"/>
  <c r="J453" i="1"/>
  <c r="J457" i="1"/>
  <c r="J458" i="1"/>
  <c r="J459" i="1"/>
  <c r="J460" i="1"/>
  <c r="J461" i="1"/>
  <c r="J466" i="1"/>
  <c r="J468" i="1"/>
  <c r="J469" i="1"/>
  <c r="J470" i="1"/>
  <c r="J473" i="1"/>
  <c r="J478" i="1"/>
  <c r="J479" i="1"/>
  <c r="J483" i="1"/>
  <c r="J484" i="1"/>
  <c r="J486" i="1"/>
  <c r="J487" i="1"/>
  <c r="J489" i="1"/>
  <c r="J491" i="1"/>
  <c r="J493" i="1"/>
  <c r="J494" i="1"/>
  <c r="J495" i="1"/>
  <c r="J497" i="1"/>
  <c r="J499" i="1"/>
  <c r="J500" i="1"/>
  <c r="J501" i="1"/>
  <c r="J502" i="1"/>
  <c r="J504" i="1"/>
  <c r="J505" i="1"/>
  <c r="J507" i="1"/>
  <c r="J509" i="1"/>
  <c r="J510" i="1"/>
  <c r="J516" i="1"/>
  <c r="J517" i="1"/>
  <c r="J518" i="1"/>
  <c r="J520" i="1"/>
  <c r="J521" i="1"/>
  <c r="J522" i="1"/>
  <c r="J526" i="1"/>
  <c r="J530" i="1"/>
  <c r="J533" i="1"/>
  <c r="J535" i="1"/>
  <c r="J536" i="1"/>
  <c r="J537" i="1"/>
  <c r="J539" i="1"/>
  <c r="J540" i="1"/>
  <c r="J543" i="1"/>
  <c r="J545" i="1"/>
  <c r="J547" i="1"/>
  <c r="J550" i="1"/>
  <c r="J553" i="1"/>
  <c r="J558" i="1"/>
  <c r="J560" i="1"/>
  <c r="J563" i="1"/>
  <c r="J564" i="1"/>
  <c r="J566" i="1"/>
  <c r="J567" i="1"/>
  <c r="J568" i="1"/>
  <c r="J571" i="1"/>
  <c r="J573" i="1"/>
  <c r="J575" i="1"/>
  <c r="J576" i="1"/>
  <c r="J578" i="1"/>
  <c r="J579" i="1"/>
  <c r="J580" i="1"/>
  <c r="J582" i="1"/>
  <c r="J585" i="1"/>
  <c r="J586" i="1"/>
  <c r="J588" i="1"/>
  <c r="J590" i="1"/>
  <c r="J592" i="1"/>
  <c r="J593" i="1"/>
  <c r="J594" i="1"/>
  <c r="J596" i="1"/>
  <c r="J597" i="1"/>
  <c r="J599" i="1"/>
  <c r="J602" i="1"/>
  <c r="J606" i="1"/>
  <c r="J608" i="1"/>
  <c r="J612" i="1"/>
  <c r="J613" i="1"/>
  <c r="J614" i="1"/>
  <c r="J615" i="1"/>
  <c r="J617" i="1"/>
  <c r="J618" i="1"/>
  <c r="J621" i="1"/>
  <c r="J624" i="1"/>
  <c r="J625" i="1"/>
  <c r="J626" i="1"/>
  <c r="J627" i="1"/>
  <c r="J628" i="1"/>
  <c r="J629" i="1"/>
  <c r="J630" i="1"/>
  <c r="J631" i="1"/>
  <c r="J632" i="1"/>
  <c r="J633" i="1"/>
  <c r="J634" i="1"/>
  <c r="J635" i="1"/>
  <c r="J636" i="1"/>
  <c r="J637" i="1"/>
  <c r="J639" i="1"/>
  <c r="J640" i="1"/>
  <c r="J643" i="1"/>
  <c r="J646" i="1"/>
  <c r="J648" i="1"/>
  <c r="J652" i="1"/>
  <c r="J653" i="1"/>
  <c r="J658" i="1"/>
  <c r="J664" i="1"/>
  <c r="J665" i="1"/>
  <c r="J666" i="1"/>
  <c r="J667" i="1"/>
  <c r="J668" i="1"/>
  <c r="J669" i="1"/>
  <c r="J670" i="1"/>
  <c r="J671" i="1"/>
  <c r="J672" i="1"/>
  <c r="J674" i="1"/>
  <c r="J675" i="1"/>
  <c r="J678" i="1"/>
  <c r="J680" i="1"/>
  <c r="J681" i="1"/>
  <c r="J683" i="1"/>
  <c r="J684" i="1"/>
  <c r="J685" i="1"/>
  <c r="J696" i="1"/>
  <c r="J698" i="1"/>
  <c r="J702" i="1"/>
  <c r="J704" i="1"/>
  <c r="J705" i="1"/>
  <c r="J707" i="1"/>
  <c r="J709" i="1"/>
  <c r="J710" i="1"/>
  <c r="J711" i="1"/>
  <c r="J712" i="1"/>
  <c r="J713" i="1"/>
  <c r="J714" i="1"/>
  <c r="J715" i="1"/>
  <c r="J716" i="1"/>
  <c r="J720" i="1"/>
  <c r="J723" i="1"/>
  <c r="J726" i="1"/>
  <c r="J727" i="1"/>
  <c r="J730" i="1"/>
  <c r="J733" i="1"/>
  <c r="J734" i="1"/>
  <c r="J735" i="1"/>
  <c r="J736" i="1"/>
  <c r="J737" i="1"/>
  <c r="J738" i="1"/>
  <c r="J739" i="1"/>
  <c r="J740" i="1"/>
  <c r="J741" i="1"/>
  <c r="J743" i="1"/>
  <c r="J746" i="1"/>
  <c r="J749" i="1"/>
  <c r="J750" i="1"/>
  <c r="J754" i="1"/>
  <c r="J755" i="1"/>
  <c r="J756" i="1"/>
  <c r="J761" i="1"/>
  <c r="J766" i="1"/>
  <c r="J769" i="1"/>
  <c r="J770" i="1"/>
  <c r="J773" i="1"/>
  <c r="J775" i="1"/>
  <c r="J776" i="1"/>
  <c r="J778" i="1"/>
  <c r="J780" i="1"/>
  <c r="J782" i="1"/>
  <c r="J784" i="1"/>
  <c r="J785" i="1"/>
  <c r="J788" i="1"/>
  <c r="J789" i="1"/>
  <c r="J790" i="1"/>
  <c r="J791" i="1"/>
  <c r="J792" i="1"/>
  <c r="J795" i="1"/>
  <c r="J796" i="1"/>
  <c r="J798" i="1"/>
  <c r="J801" i="1"/>
  <c r="J802" i="1"/>
  <c r="J803" i="1"/>
  <c r="J804" i="1"/>
  <c r="J806" i="1"/>
  <c r="J810" i="1"/>
  <c r="J812" i="1"/>
  <c r="J813" i="1"/>
  <c r="J814" i="1"/>
  <c r="J815" i="1"/>
  <c r="J816" i="1"/>
  <c r="J817" i="1"/>
  <c r="J818" i="1"/>
  <c r="J819" i="1"/>
  <c r="J821" i="1"/>
  <c r="J822" i="1"/>
  <c r="J823" i="1"/>
  <c r="J825" i="1"/>
  <c r="J827" i="1"/>
  <c r="J828" i="1"/>
  <c r="J829" i="1"/>
  <c r="J830" i="1"/>
  <c r="J832" i="1"/>
  <c r="J833" i="1"/>
  <c r="J835" i="1"/>
  <c r="J836" i="1"/>
  <c r="J837" i="1"/>
  <c r="J838" i="1"/>
  <c r="J839" i="1"/>
  <c r="J840" i="1"/>
  <c r="J841" i="1"/>
  <c r="J842" i="1"/>
  <c r="J844" i="1"/>
  <c r="J847" i="1"/>
  <c r="J848" i="1"/>
  <c r="J849" i="1"/>
  <c r="J850" i="1"/>
  <c r="J852" i="1"/>
  <c r="J853" i="1"/>
  <c r="J854" i="1"/>
  <c r="J855" i="1"/>
  <c r="J856" i="1"/>
  <c r="J861" i="1"/>
  <c r="J863" i="1"/>
  <c r="J868" i="1"/>
  <c r="J872" i="1"/>
  <c r="J875" i="1"/>
  <c r="J879" i="1"/>
  <c r="J880" i="1"/>
  <c r="J881" i="1"/>
  <c r="J882" i="1"/>
  <c r="J884" i="1"/>
  <c r="J885" i="1"/>
  <c r="J888" i="1"/>
  <c r="J889" i="1"/>
  <c r="J891" i="1"/>
  <c r="J893" i="1"/>
  <c r="J895" i="1"/>
  <c r="J900" i="1"/>
  <c r="J901" i="1"/>
  <c r="J903" i="1"/>
  <c r="J906" i="1"/>
  <c r="J908" i="1"/>
  <c r="J909" i="1"/>
  <c r="J910" i="1"/>
  <c r="J911" i="1"/>
  <c r="J913" i="1"/>
  <c r="J914" i="1"/>
  <c r="J916" i="1"/>
  <c r="J917" i="1"/>
  <c r="J918" i="1"/>
  <c r="J920" i="1"/>
  <c r="J922" i="1"/>
  <c r="J923" i="1"/>
  <c r="J924" i="1"/>
  <c r="J926" i="1"/>
  <c r="J929" i="1"/>
  <c r="J930" i="1"/>
  <c r="J933" i="1"/>
  <c r="J935" i="1"/>
  <c r="J936" i="1"/>
  <c r="J939" i="1"/>
  <c r="J941" i="1"/>
  <c r="J942" i="1"/>
  <c r="J947" i="1"/>
  <c r="J948" i="1"/>
  <c r="J949" i="1"/>
  <c r="J950" i="1"/>
  <c r="J955" i="1"/>
  <c r="J957" i="1"/>
  <c r="J959" i="1"/>
  <c r="J960" i="1"/>
  <c r="J961" i="1"/>
  <c r="J962" i="1"/>
  <c r="J966" i="1"/>
  <c r="J968" i="1"/>
  <c r="J969" i="1"/>
  <c r="J970" i="1"/>
  <c r="J971" i="1"/>
  <c r="J972" i="1"/>
  <c r="J975" i="1"/>
  <c r="J976" i="1"/>
  <c r="J978" i="1"/>
  <c r="J979" i="1"/>
  <c r="J981" i="1"/>
  <c r="J986" i="1"/>
  <c r="J987" i="1"/>
  <c r="J988" i="1"/>
  <c r="J989" i="1"/>
  <c r="J990" i="1"/>
  <c r="J991" i="1"/>
  <c r="J992" i="1"/>
  <c r="J995" i="1"/>
  <c r="J996" i="1"/>
  <c r="J997" i="1"/>
  <c r="J999" i="1"/>
  <c r="J1000" i="1"/>
  <c r="J1001" i="1"/>
  <c r="J1003" i="1"/>
  <c r="J1004" i="1"/>
  <c r="J1005" i="1"/>
  <c r="J1007" i="1"/>
  <c r="J1009" i="1"/>
  <c r="J1010" i="1"/>
  <c r="J1011" i="1"/>
  <c r="J1012" i="1"/>
  <c r="J1013" i="1"/>
  <c r="J1014" i="1"/>
  <c r="J1015" i="1"/>
  <c r="J1017" i="1"/>
  <c r="J1020" i="1"/>
  <c r="J1021" i="1"/>
  <c r="J1023" i="1"/>
  <c r="J1024" i="1"/>
  <c r="J1026" i="1"/>
  <c r="J1027" i="1"/>
  <c r="J1029" i="1"/>
  <c r="J1031" i="1"/>
  <c r="J1032" i="1"/>
  <c r="J1033" i="1"/>
  <c r="J1034" i="1"/>
  <c r="J1036" i="1"/>
  <c r="J1037" i="1"/>
  <c r="J1039" i="1"/>
  <c r="J1040" i="1"/>
  <c r="J1041" i="1"/>
  <c r="J1046" i="1"/>
  <c r="J1048" i="1"/>
  <c r="J1052" i="1"/>
  <c r="J1054" i="1"/>
  <c r="J1055" i="1"/>
  <c r="J1056" i="1"/>
  <c r="J1059" i="1"/>
  <c r="J1060" i="1"/>
  <c r="J1061" i="1"/>
  <c r="J1062" i="1"/>
  <c r="J1063" i="1"/>
  <c r="J1065" i="1"/>
  <c r="J1066" i="1"/>
  <c r="J1067" i="1"/>
  <c r="J1069" i="1"/>
  <c r="J1070" i="1"/>
  <c r="J1071" i="1"/>
  <c r="J1072" i="1"/>
  <c r="J1074" i="1"/>
  <c r="J1075" i="1"/>
  <c r="J1076" i="1"/>
  <c r="J1077" i="1"/>
  <c r="J1083" i="1"/>
  <c r="J1086" i="1"/>
  <c r="J1087" i="1"/>
  <c r="J1089" i="1"/>
  <c r="J1091" i="1"/>
  <c r="J1093" i="1"/>
  <c r="J1094" i="1"/>
  <c r="J1095" i="1"/>
  <c r="J1097" i="1"/>
  <c r="J1098" i="1"/>
  <c r="J1099" i="1"/>
  <c r="J1101" i="1"/>
  <c r="J1103" i="1"/>
  <c r="J1104" i="1"/>
  <c r="J1105" i="1"/>
  <c r="J1106" i="1"/>
  <c r="J1107" i="1"/>
  <c r="J1111" i="1"/>
  <c r="J1117" i="1"/>
  <c r="J1121" i="1"/>
  <c r="J1123" i="1"/>
  <c r="J1124" i="1"/>
  <c r="J1126" i="1"/>
  <c r="J1127" i="1"/>
  <c r="J1130" i="1"/>
  <c r="J1132" i="1"/>
  <c r="J1133" i="1"/>
  <c r="J1134" i="1"/>
  <c r="J1138" i="1"/>
  <c r="J1141" i="1"/>
  <c r="J1143" i="1"/>
  <c r="J1144" i="1"/>
  <c r="J1145" i="1"/>
  <c r="J1146" i="1"/>
  <c r="J1147" i="1"/>
  <c r="J1149" i="1"/>
  <c r="J1150" i="1"/>
  <c r="J1151" i="1"/>
  <c r="J1154" i="1"/>
  <c r="J1155" i="1"/>
  <c r="J1156" i="1"/>
  <c r="J1158" i="1"/>
  <c r="J1160" i="1"/>
  <c r="J1161" i="1"/>
  <c r="J1164" i="1"/>
  <c r="J1165" i="1"/>
  <c r="J1166" i="1"/>
  <c r="J1167" i="1"/>
  <c r="J1169" i="1"/>
  <c r="J1171" i="1"/>
  <c r="J1175" i="1"/>
  <c r="J1176" i="1"/>
  <c r="J1180" i="1"/>
  <c r="J1181" i="1"/>
  <c r="J1182" i="1"/>
  <c r="J1185" i="1"/>
  <c r="J1186" i="1"/>
  <c r="J1187" i="1"/>
  <c r="J1189" i="1"/>
  <c r="J1194" i="1"/>
  <c r="J1195" i="1"/>
  <c r="J1196" i="1"/>
  <c r="J1200" i="1"/>
  <c r="J1203" i="1"/>
  <c r="J1205" i="1"/>
  <c r="J1208" i="1"/>
  <c r="J1210" i="1"/>
  <c r="J1211" i="1"/>
  <c r="J1212" i="1"/>
  <c r="J1213" i="1"/>
  <c r="J1214" i="1"/>
  <c r="J1215" i="1"/>
  <c r="J1217" i="1"/>
  <c r="J1218" i="1"/>
  <c r="J1220" i="1"/>
  <c r="J1221" i="1"/>
  <c r="J1223" i="1"/>
  <c r="J1224" i="1"/>
  <c r="J1225" i="1"/>
  <c r="J1227" i="1"/>
  <c r="J1228" i="1"/>
  <c r="J1232" i="1"/>
  <c r="J1233" i="1"/>
  <c r="J1235" i="1"/>
  <c r="J1236" i="1"/>
  <c r="J1243" i="1"/>
  <c r="J1244" i="1"/>
  <c r="J1245" i="1"/>
  <c r="J1253" i="1"/>
  <c r="J1257" i="1"/>
  <c r="J1258" i="1"/>
  <c r="J1261" i="1"/>
  <c r="J1262" i="1"/>
  <c r="J1263" i="1"/>
  <c r="J1265" i="1"/>
  <c r="J1266" i="1"/>
  <c r="J1269" i="1"/>
  <c r="J1270" i="1"/>
  <c r="J1271" i="1"/>
  <c r="J1272" i="1"/>
  <c r="J1277" i="1"/>
  <c r="J1279" i="1"/>
  <c r="J1280" i="1"/>
  <c r="J1284" i="1"/>
  <c r="J1285" i="1"/>
  <c r="J1287" i="1"/>
  <c r="J1289" i="1"/>
  <c r="J1290" i="1"/>
  <c r="J1291" i="1"/>
  <c r="J1295" i="1"/>
  <c r="J1301" i="1"/>
  <c r="J1304" i="1"/>
  <c r="J1305" i="1"/>
  <c r="J1306" i="1"/>
  <c r="J1307" i="1"/>
  <c r="J1309" i="1"/>
  <c r="J1310" i="1"/>
  <c r="J1311" i="1"/>
  <c r="J1312" i="1"/>
  <c r="J1313" i="1"/>
  <c r="J1314" i="1"/>
  <c r="J1315" i="1"/>
  <c r="J1317" i="1"/>
  <c r="J1318" i="1"/>
  <c r="J1319" i="1"/>
  <c r="J1322" i="1"/>
  <c r="J1324" i="1"/>
  <c r="J1325" i="1"/>
  <c r="J1328" i="1"/>
  <c r="J1329" i="1"/>
  <c r="J1335" i="1"/>
  <c r="J1336" i="1"/>
  <c r="J1343" i="1"/>
  <c r="J1344" i="1"/>
  <c r="J1345" i="1"/>
  <c r="J1347" i="1"/>
  <c r="J1348" i="1"/>
  <c r="J1349" i="1"/>
  <c r="J1351" i="1"/>
  <c r="J1352" i="1"/>
  <c r="J1353" i="1"/>
  <c r="J1356" i="1"/>
  <c r="J1357" i="1"/>
  <c r="J1359" i="1"/>
  <c r="J1361" i="1"/>
  <c r="J1362" i="1"/>
  <c r="J1364" i="1"/>
  <c r="J1366" i="1"/>
  <c r="J1367" i="1"/>
  <c r="J1370" i="1"/>
  <c r="J1372" i="1"/>
  <c r="J1376" i="1"/>
  <c r="J1378" i="1"/>
  <c r="J1379" i="1"/>
  <c r="J1381" i="1"/>
  <c r="J1383" i="1"/>
  <c r="J1385" i="1"/>
  <c r="J1386" i="1"/>
  <c r="J1387" i="1"/>
  <c r="J1388" i="1"/>
  <c r="J1389" i="1"/>
  <c r="J1390" i="1"/>
  <c r="J1391" i="1"/>
  <c r="J1392" i="1"/>
  <c r="J1394" i="1"/>
  <c r="J1395" i="1"/>
  <c r="J1397" i="1"/>
  <c r="J1403" i="1"/>
  <c r="J1406" i="1"/>
  <c r="J1413" i="1"/>
  <c r="J1414" i="1"/>
  <c r="J1415" i="1"/>
  <c r="J1417" i="1"/>
  <c r="J1418" i="1"/>
  <c r="J1419" i="1"/>
  <c r="J1420" i="1"/>
  <c r="J1421" i="1"/>
  <c r="J1424" i="1"/>
  <c r="J1428" i="1"/>
  <c r="J1429" i="1"/>
  <c r="J1430" i="1"/>
  <c r="J1431" i="1"/>
  <c r="J1432" i="1"/>
  <c r="J1433" i="1"/>
  <c r="J1434" i="1"/>
  <c r="J1435" i="1"/>
  <c r="J1436" i="1"/>
  <c r="J1437" i="1"/>
  <c r="J1438" i="1"/>
  <c r="J1440" i="1"/>
  <c r="J1442" i="1"/>
  <c r="J1445" i="1"/>
  <c r="J1446" i="1"/>
  <c r="J1447" i="1"/>
  <c r="J1449" i="1"/>
  <c r="J1450" i="1"/>
  <c r="J1451" i="1"/>
  <c r="J1452" i="1"/>
  <c r="J1453" i="1"/>
  <c r="J1455" i="1"/>
  <c r="J1456" i="1"/>
  <c r="J1457" i="1"/>
  <c r="J1458" i="1"/>
  <c r="J1460" i="1"/>
  <c r="J1462" i="1"/>
  <c r="J1471" i="1"/>
  <c r="J1472" i="1"/>
  <c r="J1474" i="1"/>
  <c r="J1476" i="1"/>
  <c r="J1478" i="1"/>
  <c r="J1480" i="1"/>
  <c r="J1482" i="1"/>
  <c r="J1483" i="1"/>
  <c r="J1486" i="1"/>
  <c r="J1487" i="1"/>
  <c r="J1489" i="1"/>
  <c r="J1490" i="1"/>
  <c r="J1491" i="1"/>
  <c r="J1493" i="1"/>
  <c r="J1496" i="1"/>
  <c r="J1497" i="1"/>
  <c r="J1498" i="1"/>
  <c r="J1500" i="1"/>
  <c r="J1501" i="1"/>
  <c r="J1504" i="1"/>
  <c r="J1505" i="1"/>
  <c r="J1506" i="1"/>
  <c r="J1507" i="1"/>
  <c r="J1510" i="1"/>
  <c r="J1511" i="1"/>
  <c r="J1512" i="1"/>
  <c r="J1514" i="1"/>
  <c r="J1518" i="1"/>
  <c r="J1520" i="1"/>
  <c r="J1521" i="1"/>
  <c r="J1522" i="1"/>
  <c r="J1525" i="1"/>
  <c r="J1526" i="1"/>
  <c r="J1527" i="1"/>
  <c r="J1528" i="1"/>
  <c r="J1529" i="1"/>
  <c r="J1530" i="1"/>
  <c r="J1534" i="1"/>
  <c r="J1536" i="1"/>
  <c r="J1537" i="1"/>
  <c r="J1538" i="1"/>
  <c r="J1541" i="1"/>
  <c r="J1542" i="1"/>
  <c r="J1543" i="1"/>
  <c r="J1544" i="1"/>
  <c r="J1545" i="1"/>
  <c r="J1546" i="1"/>
  <c r="J1547" i="1"/>
  <c r="J1549" i="1"/>
  <c r="J1550" i="1"/>
  <c r="J1552" i="1"/>
  <c r="J1554" i="1"/>
  <c r="J1557" i="1"/>
  <c r="J1560" i="1"/>
  <c r="J1562" i="1"/>
  <c r="J1564" i="1"/>
  <c r="J1567" i="1"/>
  <c r="J1568" i="1"/>
  <c r="J1569" i="1"/>
  <c r="J1570" i="1"/>
  <c r="J1572" i="1"/>
  <c r="J1573" i="1"/>
  <c r="J1574" i="1"/>
  <c r="J1575" i="1"/>
  <c r="J1576" i="1"/>
  <c r="J1578" i="1"/>
  <c r="J1579" i="1"/>
  <c r="J1580" i="1"/>
  <c r="J1581" i="1"/>
  <c r="J1582" i="1"/>
  <c r="J1583" i="1"/>
  <c r="J1584" i="1"/>
  <c r="J1585" i="1"/>
  <c r="J1589" i="1"/>
  <c r="J1591" i="1"/>
  <c r="J1592" i="1"/>
  <c r="J1597" i="1"/>
  <c r="J1598" i="1"/>
  <c r="J1600" i="1"/>
  <c r="J1601" i="1"/>
  <c r="J1602" i="1"/>
  <c r="J1603" i="1"/>
  <c r="J1605" i="1"/>
  <c r="J1606" i="1"/>
  <c r="J1609" i="1"/>
  <c r="J1610" i="1"/>
  <c r="J1611" i="1"/>
  <c r="J1612" i="1"/>
  <c r="J1613" i="1"/>
  <c r="J1614" i="1"/>
  <c r="J1615" i="1"/>
  <c r="J1616" i="1"/>
  <c r="J1618" i="1"/>
  <c r="J1619" i="1"/>
  <c r="J1620" i="1"/>
  <c r="J1621" i="1"/>
  <c r="J1622" i="1"/>
  <c r="J1624" i="1"/>
  <c r="J1627" i="1"/>
  <c r="J1628" i="1"/>
  <c r="J1630" i="1"/>
  <c r="J1631" i="1"/>
  <c r="J1632" i="1"/>
  <c r="J1636" i="1"/>
  <c r="J1638" i="1"/>
  <c r="J1639" i="1"/>
  <c r="J1640" i="1"/>
  <c r="J1642" i="1"/>
  <c r="J1644" i="1"/>
  <c r="J1647" i="1"/>
  <c r="J1648" i="1"/>
  <c r="J1649" i="1"/>
  <c r="J1651" i="1"/>
  <c r="J1652" i="1"/>
  <c r="J1654" i="1"/>
  <c r="J1655" i="1"/>
  <c r="J1656" i="1"/>
  <c r="J1657" i="1"/>
  <c r="J1660" i="1"/>
  <c r="J1661" i="1"/>
  <c r="J1665" i="1"/>
  <c r="J1668" i="1"/>
  <c r="J1669" i="1"/>
  <c r="J1670" i="1"/>
  <c r="J1671" i="1"/>
  <c r="J1672" i="1"/>
  <c r="J1673" i="1"/>
  <c r="J1674" i="1"/>
  <c r="J1675" i="1"/>
  <c r="J1676" i="1"/>
  <c r="J1677" i="1"/>
  <c r="J1678" i="1"/>
  <c r="J1679" i="1"/>
  <c r="J1680" i="1"/>
  <c r="J1681" i="1"/>
  <c r="J1684" i="1"/>
  <c r="J1685" i="1"/>
  <c r="J1687" i="1"/>
  <c r="J1689" i="1"/>
  <c r="J1690" i="1"/>
  <c r="J1692" i="1"/>
  <c r="J1698" i="1"/>
  <c r="J1700" i="1"/>
  <c r="J1701" i="1"/>
  <c r="J1702" i="1"/>
  <c r="J1705" i="1"/>
  <c r="J1710" i="1"/>
  <c r="J1711" i="1"/>
  <c r="J1713" i="1"/>
  <c r="J1716" i="1"/>
  <c r="J1717" i="1"/>
  <c r="J1722" i="1"/>
  <c r="J1725" i="1"/>
  <c r="J1726" i="1"/>
  <c r="J1727" i="1"/>
  <c r="J1728" i="1"/>
  <c r="J1731" i="1"/>
  <c r="J1732" i="1"/>
  <c r="J1734" i="1"/>
  <c r="J1735" i="1"/>
  <c r="J1736" i="1"/>
  <c r="J1738" i="1"/>
  <c r="J1742" i="1"/>
  <c r="J1743" i="1"/>
  <c r="J1746" i="1"/>
  <c r="J1747" i="1"/>
  <c r="J1748" i="1"/>
  <c r="J1750" i="1"/>
  <c r="J1751" i="1"/>
  <c r="J1753" i="1"/>
  <c r="J1755" i="1"/>
  <c r="J1756" i="1"/>
  <c r="J1757" i="1"/>
  <c r="J1758" i="1"/>
  <c r="J1759" i="1"/>
  <c r="J1762" i="1"/>
  <c r="J1764" i="1"/>
  <c r="J1766" i="1"/>
  <c r="J1768" i="1"/>
  <c r="J1769" i="1"/>
  <c r="J1770" i="1"/>
  <c r="J1772" i="1"/>
  <c r="J1773" i="1"/>
  <c r="J1774" i="1"/>
  <c r="J1776" i="1"/>
  <c r="J1777" i="1"/>
  <c r="J1779" i="1"/>
  <c r="J1780" i="1"/>
  <c r="J1782" i="1"/>
  <c r="J1783" i="1"/>
  <c r="J1786" i="1"/>
  <c r="J1787" i="1"/>
  <c r="J1791" i="1"/>
  <c r="J1792" i="1"/>
  <c r="J1797" i="1"/>
  <c r="J1799" i="1"/>
  <c r="J1802" i="1"/>
  <c r="J1803" i="1"/>
  <c r="J1805" i="1"/>
  <c r="J1806" i="1"/>
  <c r="J1807" i="1"/>
  <c r="J1808" i="1"/>
  <c r="J1809" i="1"/>
  <c r="J1811" i="1"/>
  <c r="J1815" i="1"/>
  <c r="J1816" i="1"/>
  <c r="J1818" i="1"/>
  <c r="J1822" i="1"/>
  <c r="J1823" i="1"/>
  <c r="J1825" i="1"/>
  <c r="J1826" i="1"/>
  <c r="J1830" i="1"/>
  <c r="J1831" i="1"/>
  <c r="J1832" i="1"/>
  <c r="J1834" i="1"/>
  <c r="J1835" i="1"/>
  <c r="J1836" i="1"/>
  <c r="J1837" i="1"/>
  <c r="J1839" i="1"/>
  <c r="J1840" i="1"/>
  <c r="J1841" i="1"/>
  <c r="J1842" i="1"/>
  <c r="J1843" i="1"/>
  <c r="J1844" i="1"/>
  <c r="J1846" i="1"/>
  <c r="J1851" i="1"/>
  <c r="J1853" i="1"/>
  <c r="J1856" i="1"/>
  <c r="J1857" i="1"/>
  <c r="J1858" i="1"/>
  <c r="J1860" i="1"/>
  <c r="J1863" i="1"/>
  <c r="J1864" i="1"/>
  <c r="J1865" i="1"/>
  <c r="J1866" i="1"/>
  <c r="J1870" i="1"/>
  <c r="J1874" i="1"/>
  <c r="J1875" i="1"/>
  <c r="J1876" i="1"/>
  <c r="J1881" i="1"/>
  <c r="J1885" i="1"/>
  <c r="J1887" i="1"/>
  <c r="J1891" i="1"/>
  <c r="J1893" i="1"/>
  <c r="J1895" i="1"/>
  <c r="J1897" i="1"/>
  <c r="J1898" i="1"/>
  <c r="J1899" i="1"/>
  <c r="J1902" i="1"/>
  <c r="J1907" i="1"/>
  <c r="J1908" i="1"/>
  <c r="J1912" i="1"/>
  <c r="J1914" i="1"/>
  <c r="J1915" i="1"/>
  <c r="J1916" i="1"/>
  <c r="J1917" i="1"/>
  <c r="J1924" i="1"/>
  <c r="J1927" i="1"/>
  <c r="J1929" i="1"/>
  <c r="J1932" i="1"/>
  <c r="J1933" i="1"/>
  <c r="J1936" i="1"/>
  <c r="J1937" i="1"/>
  <c r="J1938" i="1"/>
  <c r="J1940" i="1"/>
  <c r="J1942" i="1"/>
  <c r="J1943" i="1"/>
  <c r="J1945" i="1"/>
  <c r="J1946" i="1"/>
  <c r="J1947" i="1"/>
  <c r="J1953" i="1"/>
  <c r="J1954" i="1"/>
  <c r="J1956" i="1"/>
  <c r="J1957" i="1"/>
  <c r="J1959" i="1"/>
  <c r="J1961" i="1"/>
  <c r="J1962" i="1"/>
  <c r="J1964" i="1"/>
  <c r="J1965" i="1"/>
  <c r="J1966" i="1"/>
  <c r="J1969" i="1"/>
  <c r="J1970" i="1"/>
  <c r="J1971" i="1"/>
  <c r="J1975" i="1"/>
  <c r="J1976" i="1"/>
  <c r="J1977" i="1"/>
  <c r="J1980" i="1"/>
  <c r="J1982" i="1"/>
  <c r="J1987" i="1"/>
  <c r="J1988" i="1"/>
  <c r="J1989" i="1"/>
  <c r="J1990" i="1"/>
  <c r="J1991" i="1"/>
  <c r="J1993" i="1"/>
  <c r="J1994" i="1"/>
  <c r="J1995" i="1"/>
  <c r="J1998" i="1"/>
  <c r="J2000" i="1"/>
  <c r="J2002" i="1"/>
  <c r="J2003" i="1"/>
  <c r="J2005" i="1"/>
  <c r="J2006" i="1"/>
  <c r="J2007" i="1"/>
  <c r="J2010" i="1"/>
  <c r="J2012" i="1"/>
  <c r="J2013" i="1"/>
  <c r="J2014" i="1"/>
  <c r="J2022" i="1"/>
  <c r="J2026" i="1"/>
  <c r="J2027" i="1"/>
  <c r="J2028" i="1"/>
  <c r="J2030" i="1"/>
  <c r="J2034" i="1"/>
  <c r="J2035" i="1"/>
  <c r="J2036" i="1"/>
  <c r="J2037" i="1"/>
  <c r="J2039" i="1"/>
  <c r="J2040" i="1"/>
  <c r="J2044" i="1"/>
  <c r="J2045" i="1"/>
  <c r="J2049" i="1"/>
  <c r="J2054" i="1"/>
  <c r="J2055" i="1"/>
  <c r="J2061" i="1"/>
  <c r="J2063" i="1"/>
  <c r="J2064" i="1"/>
  <c r="J2065" i="1"/>
  <c r="J2066" i="1"/>
  <c r="J2068" i="1"/>
  <c r="J2070" i="1"/>
  <c r="J2072" i="1"/>
  <c r="J2074" i="1"/>
  <c r="J2077" i="1"/>
  <c r="J2079" i="1"/>
  <c r="J2082" i="1"/>
  <c r="J2085" i="1"/>
  <c r="J2090" i="1"/>
  <c r="J2091" i="1"/>
  <c r="J2092" i="1"/>
  <c r="J2093" i="1"/>
  <c r="J2094" i="1"/>
  <c r="J2101" i="1"/>
  <c r="J2102" i="1"/>
  <c r="J2104" i="1"/>
  <c r="J2105" i="1"/>
  <c r="J2106" i="1"/>
  <c r="J2108" i="1"/>
  <c r="J2109" i="1"/>
  <c r="J2110" i="1"/>
  <c r="J2111" i="1"/>
  <c r="J2112" i="1"/>
  <c r="J2114" i="1"/>
  <c r="J2115" i="1"/>
  <c r="J2117" i="1"/>
  <c r="J2118" i="1"/>
  <c r="J2120" i="1"/>
  <c r="J2121" i="1"/>
  <c r="J2122" i="1"/>
  <c r="J2125" i="1"/>
  <c r="J2131" i="1"/>
  <c r="J2133" i="1"/>
  <c r="J2136" i="1"/>
  <c r="J2137" i="1"/>
  <c r="J2139" i="1"/>
  <c r="J2140" i="1"/>
  <c r="J2144" i="1"/>
  <c r="J2148" i="1"/>
  <c r="J2150" i="1"/>
  <c r="J2152" i="1"/>
  <c r="J2155" i="1"/>
  <c r="J2156" i="1"/>
  <c r="J2157" i="1"/>
  <c r="J2159" i="1"/>
  <c r="J2163" i="1"/>
  <c r="J2164" i="1"/>
  <c r="J2165" i="1"/>
  <c r="J2167" i="1"/>
  <c r="J2169" i="1"/>
  <c r="J2170" i="1"/>
  <c r="J2171" i="1"/>
  <c r="J2173" i="1"/>
  <c r="J2176" i="1"/>
  <c r="J2180" i="1"/>
  <c r="J2182" i="1"/>
  <c r="J2183" i="1"/>
  <c r="J2184" i="1"/>
  <c r="J2186" i="1"/>
  <c r="J2187" i="1"/>
  <c r="J2188" i="1"/>
  <c r="J2189" i="1"/>
  <c r="J2190" i="1"/>
  <c r="J2191" i="1"/>
  <c r="J2192" i="1"/>
  <c r="J2193" i="1"/>
  <c r="J2194" i="1"/>
  <c r="J2196" i="1"/>
  <c r="J2198" i="1"/>
  <c r="J2200" i="1"/>
  <c r="J2201" i="1"/>
  <c r="J2202" i="1"/>
  <c r="J2205" i="1"/>
  <c r="J2207" i="1"/>
  <c r="J2208" i="1"/>
  <c r="J2209" i="1"/>
  <c r="J2211" i="1"/>
  <c r="J2212" i="1"/>
  <c r="J2213" i="1"/>
  <c r="J2215" i="1"/>
  <c r="J2216" i="1"/>
  <c r="J2218" i="1"/>
  <c r="J2219" i="1"/>
  <c r="J2222" i="1"/>
  <c r="J2223" i="1"/>
  <c r="J2224" i="1"/>
  <c r="J2227" i="1"/>
  <c r="J2230" i="1"/>
  <c r="J2231" i="1"/>
  <c r="J2234" i="1"/>
  <c r="J2235" i="1"/>
  <c r="J2236" i="1"/>
  <c r="J2238" i="1"/>
  <c r="J2239" i="1"/>
  <c r="J2242" i="1"/>
  <c r="J2245" i="1"/>
  <c r="J2246" i="1"/>
  <c r="J2247" i="1"/>
  <c r="J2248" i="1"/>
  <c r="J2249" i="1"/>
  <c r="J2250" i="1"/>
  <c r="J2254" i="1"/>
  <c r="J2255" i="1"/>
  <c r="J2256" i="1"/>
  <c r="J2258" i="1"/>
  <c r="J2260" i="1"/>
  <c r="J2262" i="1"/>
  <c r="J2263" i="1"/>
  <c r="J2264" i="1"/>
  <c r="J2269" i="1"/>
  <c r="J2270" i="1"/>
  <c r="J2273" i="1"/>
  <c r="J2276" i="1"/>
  <c r="J2277" i="1"/>
  <c r="J2280" i="1"/>
  <c r="J2281" i="1"/>
  <c r="J2282" i="1"/>
  <c r="J2284" i="1"/>
  <c r="J2288" i="1"/>
  <c r="J2290" i="1"/>
  <c r="J2291" i="1"/>
  <c r="J2292" i="1"/>
  <c r="J2293" i="1"/>
  <c r="J2295" i="1"/>
  <c r="J2299" i="1"/>
  <c r="J2300" i="1"/>
  <c r="J2303" i="1"/>
  <c r="J2304" i="1"/>
  <c r="J2305" i="1"/>
  <c r="J2307" i="1"/>
  <c r="J2309" i="1"/>
  <c r="J2315" i="1"/>
  <c r="J2316" i="1"/>
  <c r="J2318" i="1"/>
  <c r="J2321" i="1"/>
  <c r="J2329" i="1"/>
  <c r="J2330" i="1"/>
  <c r="J2331" i="1"/>
  <c r="J2332" i="1"/>
  <c r="J2333" i="1"/>
  <c r="J2334" i="1"/>
  <c r="J2335" i="1"/>
  <c r="J2336" i="1"/>
  <c r="J2340" i="1"/>
  <c r="J2341" i="1"/>
  <c r="J2342" i="1"/>
  <c r="J2343" i="1"/>
  <c r="J2344" i="1"/>
  <c r="J2346" i="1"/>
  <c r="J2349" i="1"/>
  <c r="J2350" i="1"/>
  <c r="J2352" i="1"/>
  <c r="J2353" i="1"/>
  <c r="J2354" i="1"/>
  <c r="J2355" i="1"/>
  <c r="J2358" i="1"/>
  <c r="J2361" i="1"/>
  <c r="J2364" i="1"/>
  <c r="J2365" i="1"/>
  <c r="J2366" i="1"/>
  <c r="J2367" i="1"/>
  <c r="J2369" i="1"/>
  <c r="J2371" i="1"/>
  <c r="J2372" i="1"/>
  <c r="J2373" i="1"/>
  <c r="J2376" i="1"/>
  <c r="J2377" i="1"/>
  <c r="J2378" i="1"/>
  <c r="J2381" i="1"/>
  <c r="J2382" i="1"/>
  <c r="J2386" i="1"/>
  <c r="J2392" i="1"/>
  <c r="J2395" i="1"/>
  <c r="J2396" i="1"/>
  <c r="J2397" i="1"/>
  <c r="J2398" i="1"/>
  <c r="J2400" i="1"/>
  <c r="J2402" i="1"/>
  <c r="J2403" i="1"/>
  <c r="J2404" i="1"/>
  <c r="J2407" i="1"/>
  <c r="J2408" i="1"/>
  <c r="J2410" i="1"/>
  <c r="J2411" i="1"/>
  <c r="J2414" i="1"/>
  <c r="J2415" i="1"/>
  <c r="J2419" i="1"/>
  <c r="J2420" i="1"/>
  <c r="J2423" i="1"/>
  <c r="J2427" i="1"/>
  <c r="J2429" i="1"/>
  <c r="J2430" i="1"/>
  <c r="J2431" i="1"/>
  <c r="J2432" i="1"/>
  <c r="J2433" i="1"/>
  <c r="J2435" i="1"/>
  <c r="J2436" i="1"/>
  <c r="J2437" i="1"/>
  <c r="J2438" i="1"/>
  <c r="J2439" i="1"/>
  <c r="J2440" i="1"/>
  <c r="J2441" i="1"/>
  <c r="J2442" i="1"/>
  <c r="J2443" i="1"/>
  <c r="J2444" i="1"/>
  <c r="J2448" i="1"/>
  <c r="J2449" i="1"/>
  <c r="J2450" i="1"/>
  <c r="J2452" i="1"/>
  <c r="J2453" i="1"/>
  <c r="J2456" i="1"/>
  <c r="J2457" i="1"/>
  <c r="J2461" i="1"/>
  <c r="J2463" i="1"/>
  <c r="J2464" i="1"/>
  <c r="J2465" i="1"/>
  <c r="J2466" i="1"/>
  <c r="J2468" i="1"/>
  <c r="J2469" i="1"/>
  <c r="J2473" i="1"/>
  <c r="J2475" i="1"/>
  <c r="J2479" i="1"/>
  <c r="J2481" i="1"/>
  <c r="J2482" i="1"/>
  <c r="J2488" i="1"/>
  <c r="J2489" i="1"/>
  <c r="J2491" i="1"/>
  <c r="J2492" i="1"/>
  <c r="J2495" i="1"/>
  <c r="J2497" i="1"/>
  <c r="J2498" i="1"/>
  <c r="J2499" i="1"/>
  <c r="J2500" i="1"/>
  <c r="J2504" i="1"/>
  <c r="J2505" i="1"/>
  <c r="J2506" i="1"/>
  <c r="J2510" i="1"/>
  <c r="J2512" i="1"/>
  <c r="J2514" i="1"/>
  <c r="J2515" i="1"/>
  <c r="J2519" i="1"/>
  <c r="J2522" i="1"/>
  <c r="J2524" i="1"/>
  <c r="J2525" i="1"/>
  <c r="J2527" i="1"/>
  <c r="J2528" i="1"/>
  <c r="J2529" i="1"/>
  <c r="J2530" i="1"/>
  <c r="J2531" i="1"/>
  <c r="J2533" i="1"/>
  <c r="J2534" i="1"/>
  <c r="J2535" i="1"/>
  <c r="J2536" i="1"/>
  <c r="J2538" i="1"/>
  <c r="J2539" i="1"/>
  <c r="J2543" i="1"/>
  <c r="J2547" i="1"/>
  <c r="J2549" i="1"/>
  <c r="J2550" i="1"/>
  <c r="J2552" i="1"/>
  <c r="J2554" i="1"/>
  <c r="J2556" i="1"/>
  <c r="J2557" i="1"/>
  <c r="J2558" i="1"/>
  <c r="J2559" i="1"/>
  <c r="J2561" i="1"/>
  <c r="J2563" i="1"/>
  <c r="J2564" i="1"/>
  <c r="J2567" i="1"/>
  <c r="J2569" i="1"/>
  <c r="J2571" i="1"/>
  <c r="J2575" i="1"/>
  <c r="J2576" i="1"/>
  <c r="J2578" i="1"/>
  <c r="J2582" i="1"/>
  <c r="J2585" i="1"/>
  <c r="J2586" i="1"/>
  <c r="J2587" i="1"/>
  <c r="J2589" i="1"/>
  <c r="J2590" i="1"/>
  <c r="J2591" i="1"/>
  <c r="J2592" i="1"/>
  <c r="J2594" i="1"/>
  <c r="J2597" i="1"/>
  <c r="J2598" i="1"/>
  <c r="J2599" i="1"/>
  <c r="J2602" i="1"/>
  <c r="J2603" i="1"/>
  <c r="J2604" i="1"/>
  <c r="J2605" i="1"/>
  <c r="J2606" i="1"/>
  <c r="J2608" i="1"/>
  <c r="J2609" i="1"/>
  <c r="J2612" i="1"/>
  <c r="J2613" i="1"/>
  <c r="J2614" i="1"/>
  <c r="J2615" i="1"/>
  <c r="J2618" i="1"/>
  <c r="J2619" i="1"/>
  <c r="J2620" i="1"/>
  <c r="J2621" i="1"/>
  <c r="J2622" i="1"/>
  <c r="J2623" i="1"/>
  <c r="J2626" i="1"/>
  <c r="J2627" i="1"/>
  <c r="J2629" i="1"/>
  <c r="J2631" i="1"/>
  <c r="J2632" i="1"/>
  <c r="J2634" i="1"/>
  <c r="J2635" i="1"/>
  <c r="J2637" i="1"/>
  <c r="J2639" i="1"/>
  <c r="J2640" i="1"/>
  <c r="J2641" i="1"/>
  <c r="J2643" i="1"/>
  <c r="J2644" i="1"/>
  <c r="J2645" i="1"/>
  <c r="J2647" i="1"/>
  <c r="J2648" i="1"/>
  <c r="J2649" i="1"/>
  <c r="J2651" i="1"/>
  <c r="J2654" i="1"/>
  <c r="J2655" i="1"/>
  <c r="J2656" i="1"/>
  <c r="J2657" i="1"/>
  <c r="J2660" i="1"/>
  <c r="J2661" i="1"/>
  <c r="J2662" i="1"/>
  <c r="J2664" i="1"/>
  <c r="J2665" i="1"/>
  <c r="J2667" i="1"/>
  <c r="J2669" i="1"/>
  <c r="J2670" i="1"/>
  <c r="J2673" i="1"/>
  <c r="J2674" i="1"/>
  <c r="J2675" i="1"/>
  <c r="J2676" i="1"/>
  <c r="J2677" i="1"/>
  <c r="J2679" i="1"/>
  <c r="J2680" i="1"/>
  <c r="J2683" i="1"/>
  <c r="J2684" i="1"/>
  <c r="J2686" i="1"/>
  <c r="J2690" i="1"/>
  <c r="J2692" i="1"/>
  <c r="J2693" i="1"/>
  <c r="J2694" i="1"/>
  <c r="J2696" i="1"/>
  <c r="J2697" i="1"/>
  <c r="J2705" i="1"/>
  <c r="J2706" i="1"/>
  <c r="J2707" i="1"/>
  <c r="J2708" i="1"/>
  <c r="J2709" i="1"/>
  <c r="J2710" i="1"/>
  <c r="J2711" i="1"/>
  <c r="J2714" i="1"/>
  <c r="J2715" i="1"/>
  <c r="J2716" i="1"/>
  <c r="J2719" i="1"/>
  <c r="J2720" i="1"/>
  <c r="J2722" i="1"/>
  <c r="J2723" i="1"/>
  <c r="J2725" i="1"/>
  <c r="J2726" i="1"/>
  <c r="J2729" i="1"/>
  <c r="J2731" i="1"/>
  <c r="J2732" i="1"/>
  <c r="J2735" i="1"/>
  <c r="J2736" i="1"/>
  <c r="J2737" i="1"/>
  <c r="J2738" i="1"/>
  <c r="J2739" i="1"/>
  <c r="J2740" i="1"/>
  <c r="J2741" i="1"/>
  <c r="J2746" i="1"/>
  <c r="J2747" i="1"/>
  <c r="J2751" i="1"/>
  <c r="J2752" i="1"/>
  <c r="J2753" i="1"/>
  <c r="J2754" i="1"/>
  <c r="J2755" i="1"/>
  <c r="J2759" i="1"/>
  <c r="J2761" i="1"/>
  <c r="J2763" i="1"/>
  <c r="J2768" i="1"/>
  <c r="J2769" i="1"/>
  <c r="J2771" i="1"/>
  <c r="J2773" i="1"/>
  <c r="J2775" i="1"/>
  <c r="J2778" i="1"/>
  <c r="J2780" i="1"/>
  <c r="J2781" i="1"/>
  <c r="J2783" i="1"/>
  <c r="J2787" i="1"/>
  <c r="J2788" i="1"/>
  <c r="J2789" i="1"/>
  <c r="J2791" i="1"/>
  <c r="J2794" i="1"/>
  <c r="J2798" i="1"/>
  <c r="J2799" i="1"/>
  <c r="J2800" i="1"/>
  <c r="J2801" i="1"/>
  <c r="J2803" i="1"/>
  <c r="J2805" i="1"/>
  <c r="J2806" i="1"/>
  <c r="J2808" i="1"/>
  <c r="J2810" i="1"/>
  <c r="J2811" i="1"/>
  <c r="J2813" i="1"/>
  <c r="J2814" i="1"/>
  <c r="J2817" i="1"/>
  <c r="J2818" i="1"/>
  <c r="J2820" i="1"/>
  <c r="J2822" i="1"/>
  <c r="J2823" i="1"/>
  <c r="J2824" i="1"/>
  <c r="J2825" i="1"/>
  <c r="J2829" i="1"/>
  <c r="J2830" i="1"/>
  <c r="J2831" i="1"/>
  <c r="J2832" i="1"/>
  <c r="J2833" i="1"/>
  <c r="J2836" i="1"/>
  <c r="J2837" i="1"/>
  <c r="J2838" i="1"/>
  <c r="J2839" i="1"/>
  <c r="J2841" i="1"/>
  <c r="J2842" i="1"/>
  <c r="J2844" i="1"/>
  <c r="J2845" i="1"/>
  <c r="J2846" i="1"/>
  <c r="J2848" i="1"/>
  <c r="J2853" i="1"/>
  <c r="J2855" i="1"/>
  <c r="J2858" i="1"/>
  <c r="J2859" i="1"/>
  <c r="J2860" i="1"/>
  <c r="J2863" i="1"/>
  <c r="J2864" i="1"/>
  <c r="J2869" i="1"/>
  <c r="J2870" i="1"/>
  <c r="J2871" i="1"/>
  <c r="J2872" i="1"/>
  <c r="J2873" i="1"/>
  <c r="J2876" i="1"/>
  <c r="J2877" i="1"/>
  <c r="J2879" i="1"/>
  <c r="J2880" i="1"/>
  <c r="J2881" i="1"/>
  <c r="J2883" i="1"/>
  <c r="J2885" i="1"/>
  <c r="J2887" i="1"/>
  <c r="J2888" i="1"/>
  <c r="J2889" i="1"/>
  <c r="J2890" i="1"/>
  <c r="J2892" i="1"/>
  <c r="J2894" i="1"/>
  <c r="J2895" i="1"/>
  <c r="J2896" i="1"/>
  <c r="J2900" i="1"/>
  <c r="J2902" i="1"/>
  <c r="J2903" i="1"/>
  <c r="J2904" i="1"/>
  <c r="J2905" i="1"/>
  <c r="J2906" i="1"/>
  <c r="J2911" i="1"/>
  <c r="J2912" i="1"/>
  <c r="J2914" i="1"/>
  <c r="J2916" i="1"/>
  <c r="J2917" i="1"/>
  <c r="J2919" i="1"/>
  <c r="J2920" i="1"/>
  <c r="J2929" i="1"/>
  <c r="J2933" i="1"/>
  <c r="J2934" i="1"/>
  <c r="J2939" i="1"/>
  <c r="J2940" i="1"/>
  <c r="J2942" i="1"/>
  <c r="J2944" i="1"/>
  <c r="J2947" i="1"/>
  <c r="J2948" i="1"/>
  <c r="J2950" i="1"/>
  <c r="J2951" i="1"/>
  <c r="J2954" i="1"/>
  <c r="J2955" i="1"/>
  <c r="J2957" i="1"/>
  <c r="J2958" i="1"/>
  <c r="J2961" i="1"/>
  <c r="J2964" i="1"/>
  <c r="J2965" i="1"/>
  <c r="J2967" i="1"/>
  <c r="J2968" i="1"/>
  <c r="J2969" i="1"/>
  <c r="J2970" i="1"/>
  <c r="J2972" i="1"/>
  <c r="J2973" i="1"/>
  <c r="J2974" i="1"/>
  <c r="J2975" i="1"/>
  <c r="J2976" i="1"/>
  <c r="J2977" i="1"/>
  <c r="J2978" i="1"/>
  <c r="J2979" i="1"/>
  <c r="J2980" i="1"/>
  <c r="J2981" i="1"/>
  <c r="J2982" i="1"/>
  <c r="J2983" i="1"/>
  <c r="J2984" i="1"/>
  <c r="J2986" i="1"/>
  <c r="J2987" i="1"/>
  <c r="J2988" i="1"/>
  <c r="J2992" i="1"/>
  <c r="J2994" i="1"/>
  <c r="J2995" i="1"/>
  <c r="J2996" i="1"/>
  <c r="J2997" i="1"/>
  <c r="J2998" i="1"/>
  <c r="J2999" i="1"/>
  <c r="J3000" i="1"/>
  <c r="J3002" i="1"/>
  <c r="J3003" i="1"/>
  <c r="J3004" i="1"/>
  <c r="J3006" i="1"/>
  <c r="J3009" i="1"/>
  <c r="J3012" i="1"/>
  <c r="J3013" i="1"/>
  <c r="J3015" i="1"/>
  <c r="J3017" i="1"/>
  <c r="J3018" i="1"/>
  <c r="J3019" i="1"/>
  <c r="J3020" i="1"/>
  <c r="J3021" i="1"/>
  <c r="J3022" i="1"/>
  <c r="J3029" i="1"/>
  <c r="J3031" i="1"/>
  <c r="J3033" i="1"/>
  <c r="J3036" i="1"/>
  <c r="J3037" i="1"/>
  <c r="J3039" i="1"/>
  <c r="J3040" i="1"/>
  <c r="J3045" i="1"/>
  <c r="J3047" i="1"/>
  <c r="J3051" i="1"/>
  <c r="J3053" i="1"/>
  <c r="J3054" i="1"/>
  <c r="J3055" i="1"/>
  <c r="J3057" i="1"/>
  <c r="J3060" i="1"/>
  <c r="J3061" i="1"/>
  <c r="J3064" i="1"/>
  <c r="J3065" i="1"/>
</calcChain>
</file>

<file path=xl/sharedStrings.xml><?xml version="1.0" encoding="utf-8"?>
<sst xmlns="http://schemas.openxmlformats.org/spreadsheetml/2006/main" count="31941" uniqueCount="14621">
  <si>
    <t>Num</t>
  </si>
  <si>
    <t>País</t>
  </si>
  <si>
    <t>Compañía</t>
  </si>
  <si>
    <t>Sector (NAICS)</t>
  </si>
  <si>
    <t>Principales Actividades (NAICS)</t>
  </si>
  <si>
    <t>Sector (CIIU Rev.4 A.C.)</t>
  </si>
  <si>
    <t>Principales Actividades (CIIU Rev.4 A.C.)</t>
  </si>
  <si>
    <t>Descripción de la compañía / productos</t>
  </si>
  <si>
    <t>Dirección</t>
  </si>
  <si>
    <t>Teléfono</t>
  </si>
  <si>
    <t>Correo Electrónico</t>
  </si>
  <si>
    <t>Página Web</t>
  </si>
  <si>
    <t>Redes sociales</t>
  </si>
  <si>
    <t>Principales Ejecutivos</t>
  </si>
  <si>
    <t>Número de empleados</t>
  </si>
  <si>
    <t>Ganancia operativa (EBIT)</t>
  </si>
  <si>
    <t>Total Ingreso Operativo</t>
  </si>
  <si>
    <t>Ganancia (Pérdida) Neta</t>
  </si>
  <si>
    <t>Activos Totales</t>
  </si>
  <si>
    <t>Propiedad, planta y equipo</t>
  </si>
  <si>
    <t>Total de patrimonio</t>
  </si>
  <si>
    <t>Flujo de caja libre</t>
  </si>
  <si>
    <t>Precio de cierre</t>
  </si>
  <si>
    <t>Ganancia o Pérdida del Periodo</t>
  </si>
  <si>
    <t>Pasivos Totales</t>
  </si>
  <si>
    <t>Ciudad</t>
  </si>
  <si>
    <t>Año Fiscal</t>
  </si>
  <si>
    <t>Auditado</t>
  </si>
  <si>
    <t>Consolidado</t>
  </si>
  <si>
    <t>Fuente</t>
  </si>
  <si>
    <t>Colombia</t>
  </si>
  <si>
    <t>Promotora de Cafe Colombia S.A.</t>
  </si>
  <si>
    <t>Restaurantes y Otros Lugares para Comer(72251); Servicios Especiales de Comida(7223); Supermercados(4451); Arrendadores de Bienes Intangibles No Financieros (excepto Obras con los Derechos Reservados)(533)</t>
  </si>
  <si>
    <t>Restaurantes y Otros Lugares para Comer(72251); Servicios Especiales de Comida(7223); Supermercados(4451)</t>
  </si>
  <si>
    <t>Comercio Al Por Menor En Establecimientos No Especializados Con Surtido Compuesto Principalmente Por Alimentos, Bebidas O Tabaco (G4711); Expendio A La Mesa De Comidas Preparadas (I5611); Expendio Por Autoservicio De Comidas Preparadas (I5612); Arrendamiento De Propiedad Intelectual Y Productos Similares, Excepto Obras Protegidas Por Derechos De Autor (N7740)</t>
  </si>
  <si>
    <t>Comercio Al Por Menor En Establecimientos No Especializados Con Surtido Compuesto Principalmente Por Alimentos, Bebidas O Tabaco (G4711); Expendio A La Mesa De Comidas Preparadas (I5611); Expendio Por Autoservicio De Comidas Preparadas (I5612)</t>
  </si>
  <si>
    <t>Promotora de Cafe Colombia S.A. es una empresa ubicada en Bogotá D.C. Fue fundada en 1927 por los cafeteros colombianos con el objetivo de representarlos a nivel nacional e internacional, y promover su bienestar y calidad de vida. La empresa se dedica a la producción y comercialización de café.</t>
  </si>
  <si>
    <t>Cl 73 # 8 - 13 To A P 3</t>
  </si>
  <si>
    <t>tramite.camaras@juanvaldezcafe.com</t>
  </si>
  <si>
    <t>https://federaciondecafeteros.org/wp/contactanos/</t>
  </si>
  <si>
    <t>linkedin.com/company/federacion-nacional-de-cafeteros-de-colombia-fnc</t>
  </si>
  <si>
    <t>Camila Escobar Corredor (Representante Legal), Ana Maria Barrera Vallejo (Miembro de la Junta Directiva), Carlos Alberto Eraso Lopez (Miembro de la Junta Directiva), Juan Camilo Becerra Botero (Miembro de la Junta Directiva), Maria Angela Holguin Cuellar (Miembro de la Junta Directiva), Pablo Casabianca Escallon (Miembro de la Junta Directiva), Stephany Andrea Mariño Perez (Revisor Fiscal), Adriana Maria Salazar Perez (Contador)</t>
  </si>
  <si>
    <t>2,805 (2024)</t>
  </si>
  <si>
    <t>Bogotá D.C.</t>
  </si>
  <si>
    <t>Superfinanciera – IFRS</t>
  </si>
  <si>
    <t>Ircc S.A.S Industria de Restaurantes Casuales S.A.S</t>
  </si>
  <si>
    <t>Bares y Otros Lugares para Beber(7224); Servicios Especiales de Comida(7223)</t>
  </si>
  <si>
    <t>Expendio A La Mesa De Comidas Preparadas (I5611)</t>
  </si>
  <si>
    <t>Industria de Restaurantes Casuales Ltda, que opera bajo el nombre Hamburguesas del Corral, nace en 1983 con la apertura de su primer restaurante en la ciudad de Bogotá. La compañía se dedica a las actividades de sus restaurantes y comidas rápidas que hoy cuentan con más de 200 restaurantes a lo largo del país.</t>
  </si>
  <si>
    <t>45 # 232 - 35 Lc 4 - 113</t>
  </si>
  <si>
    <t>notifica@alimentosalconsumidor.com</t>
  </si>
  <si>
    <t>Laura Jaramillo Tobon (Representante Legal), Luis Felipe Baquero Saldarriaga (Representante Legal), Luis Fernando Franco Bermudez (Representante Legal), Mariana Jaramillo Chavarriaga (Representante Legal), Santiago Yarce Gomez (Representante Legal), Franklin Eduardo Clavijo Romero (Representante Legal Suplente), Luis Alejandro Rojas Panche (Representante Legal Suplente), Maria del Pilar Carrasquilla Valbuena (Representante Legal Suplente), Luis Sebastian Avella Martinez (Revisor Fiscal), Pwc Contadores y Auditores Sas (Revisor Fiscal), Viviana Angelica Ramirez Lozano (Revisor Fiscal)</t>
  </si>
  <si>
    <t>4,322 (2024)</t>
  </si>
  <si>
    <t>Individual</t>
  </si>
  <si>
    <t>Superintendencia de Sociedades - IFRS Financial Statements: Real Sector</t>
  </si>
  <si>
    <t>Zx Ventures Colombia S.A.S.</t>
  </si>
  <si>
    <t>Bares y Otros Lugares para Beber(7224)</t>
  </si>
  <si>
    <t>Expendio De Bebidas Alcohólicas Para El Consumo Dentro Del Establecimiento (I5630)</t>
  </si>
  <si>
    <t>Prestacion de servicios de restaurante, cafeteria, bar y demas similares.</t>
  </si>
  <si>
    <t>Cra 53 A No 127 - 35 Piso 7</t>
  </si>
  <si>
    <t>impuestos@bogotabeercompany.com</t>
  </si>
  <si>
    <t>Cardona Nieto Alba Janette (Representante Legal), Juan Camilo Lemaitre Fonseca (Representante Legal), Aura Cristina Paez Abril (Representante Legal Suplente), Bedoya Marin Isabel Cristina (Representante Legal Suplente), Bustos Mora Juan Sebastian (Representante Legal Suplente), Camilo Eduardo Sepulveda Copete (Representante Legal Suplente), Cristancho Mario Andres (Representante Legal Suplente), Cristian Camilo Polanco Motta (Representante Legal Suplente), Diana Mercedes Pico Torres (Representante Legal Suplente), Forero Salazar Catalina (Representante Legal Suplente), Lina Maria Vargas Ortega (Representante Legal Suplente), Marin Henao Adriana Lucia (Representante Legal Suplente), Muñoz Salas Ana Maria (Representante Legal Suplente), Pinilla Mesa Ruth Viviana (Representante Legal Suplente), Ramirez Natalia (Representante Legal Suplente), Reyes Ortiz Edison Alejandro (Representante Legal Suplente), Rodriguez Porras Nestor Raul (Representante Legal Suplente), Salamanca Nydia Valeria (Representante Legal Suplente), Vergara Villanueva Jairo Fernando (Representante Legal Suplente), William Vanegas (Representante Legal Suplente), Pwc Contadores y Auditores Sas (Revisor Fiscal), Ramirez Mesa Cindy Carolina (Revisor Fiscal), Viviana Carolina Ortiz (Revisor Fiscal)</t>
  </si>
  <si>
    <t>814 (2024)</t>
  </si>
  <si>
    <t>Estrella Andina S A S</t>
  </si>
  <si>
    <t>Cafeterías y Bares para Bebidas sin Alcohol(722515)</t>
  </si>
  <si>
    <t>Expendio De Comidas Preparadas En Cafeterías (I5613)</t>
  </si>
  <si>
    <t>La empresa Estrella Andina S.A.S. se dedica a expendio de comidas preparadas en cafeterías.</t>
  </si>
  <si>
    <t>Calle 84 # 11 - 50 Piso 2</t>
  </si>
  <si>
    <t>notificacionesjudiciales@alsea.com.co</t>
  </si>
  <si>
    <t>Juan Pablo Castaño Villegas (Representante Legal), Andres Javier Barragan Villegas (Miembro de la Junta Directiva), Carlos Ignacio Gallego (Miembro de la Junta Directiva), Jose Domingo Penagos Vasquez (Miembro de la Junta Directiva), Katherine Elizabeth Silva Hernandez (Miembro de la Junta Directiva), Santiago Manuel Farinati (Miembro de la Junta Directiva), Claudia Carolina Diaz Uribe (Miembro Suplente de la Junta Directiva), Gonzalez Gomez Jairo Ivan (Miembro Suplente de la Junta Directiva), Marcelo Rojas Panelo (Miembro Suplente de la Junta Directiva), Maria Adelaida Arango Hoyos (Miembro Suplente de la Junta Directiva), Claudia Patricia Delgado Maldonado (Representante Legal Suplente), Deloitte &amp; Touche S.A.S. (Revisor Fiscal), Enny Jisseth Ibarguen Mosquera (Revisor Fiscal), Hector Raul Palomino Pardo (Revisor Fiscal)</t>
  </si>
  <si>
    <t>748 (2024)</t>
  </si>
  <si>
    <t>Comidas Varpel Sas</t>
  </si>
  <si>
    <t>Restaurantes y Otros Lugares para Comer(72251)</t>
  </si>
  <si>
    <t>Expendio Por Autoservicio De Comidas Preparadas (I5612)</t>
  </si>
  <si>
    <t>Av Cr 24 # 52 - 18</t>
  </si>
  <si>
    <t>info@homeburgers.com.co</t>
  </si>
  <si>
    <t>Pablo Alejandro Velez Valencia (Representante Legal), Adriana Ochoa Calderon (Miembro de la Junta Directiva), Eduardo Suarez Pardo (Miembro de la Junta Directiva), Nicolás Santos Charry (Miembro de la Junta Directiva), Camilo Pelaez Gomez (Representante Legal Suplente), Andres Mauricio Latorre Acosta (Revisor Fiscal), Miguel Alejandro Romero Infante (Revisor Fiscal), Romero &amp; Co Auditores Asociados Sas (Revisor Fiscal)</t>
  </si>
  <si>
    <t>429 (2024)</t>
  </si>
  <si>
    <t>Eventos &amp; Desarrollo Sas</t>
  </si>
  <si>
    <t>La empresa Eventos &amp; Desarrollo S.A.S. se dedica a expendio de bebidas alcohólicas para el consumo dentro del establecimiento.</t>
  </si>
  <si>
    <t>Cra 13 83 - 47 Piso 3</t>
  </si>
  <si>
    <t>contador@evedesa.com</t>
  </si>
  <si>
    <t>Oñate Diaz Carlos Fernando (Representante Legal), Ciro Andres Villazon Julio (Representante Legal Suplente), Juan Sebastian Fonseca Dulcey (Representante Legal Suplente), Henry Alberto Diaz Cely (Revisor Fiscal)</t>
  </si>
  <si>
    <t>496 (2024)</t>
  </si>
  <si>
    <t>Industrial Hotelera y Alimentos Sas Dialimentos Sas</t>
  </si>
  <si>
    <t>Elaboracion de productos de panaderia expendio a la mesa de comidas preparadas, en restaurantes expendio por autoservicio de com</t>
  </si>
  <si>
    <t>Cl 28 # 32 A 61</t>
  </si>
  <si>
    <t>servicliente@dialimentos.com.co</t>
  </si>
  <si>
    <t>Oscar Alfredo Herrera Romo (Representante Legal), Melba Adela Sanchez Millan (Representante Legal Suplente), Juan Manuel Ovalle Diaz (Revisor Fiscal), Maria Esperanza Cuervo Vargas (Revisor Fiscal), Ovalle y Asociados Sas (Revisor Fiscal)</t>
  </si>
  <si>
    <t>445 (2024)</t>
  </si>
  <si>
    <t>Robinfood Colombia S.A.S</t>
  </si>
  <si>
    <t>Cr 15 79-83 Piso 2</t>
  </si>
  <si>
    <t>fbuitrago@robinfood.com</t>
  </si>
  <si>
    <t>Robinfood Holding Latam Sas (Representante Legal), Rafael Montoya Robledo (Representante Legal Suplente), Bdo Audit S.A.S. Bic (Revisor Fiscal), Dourley Fernanda Clavijo Pastor (Revisor Fiscal), Ramirez Gordillo Leidy Alejandra (Revisor Fiscal Suplente)</t>
  </si>
  <si>
    <t>395 (2024)</t>
  </si>
  <si>
    <t>Franquicias Sg S.A.S</t>
  </si>
  <si>
    <t>Cr 25 A 44 69 Sur</t>
  </si>
  <si>
    <t>gerencia@sandwichgourmet.co</t>
  </si>
  <si>
    <t>Carlos Enrique Montealegre Vasquez (Representante Legal), Lady Lorena Montealegre Vasquez (Representante Legal Suplente), Maria Luz Dary Vasquez de Montealegre (Representante Legal Suplente), Alexandra Buitrago Duarte (Revisor Fiscal)</t>
  </si>
  <si>
    <t>253 (2024)</t>
  </si>
  <si>
    <t>No Auditado</t>
  </si>
  <si>
    <t>Bogota Chamber of Commerce</t>
  </si>
  <si>
    <t>Sipote Burrito Sa</t>
  </si>
  <si>
    <t>Expendio por autoservicio de comidas preparadas en restaurantes</t>
  </si>
  <si>
    <t>Cll 98 A # 60-53</t>
  </si>
  <si>
    <t>ccastro@takami.co</t>
  </si>
  <si>
    <t>Nicolas Vasquez Duque (Representante Legal), Andres Encinales Restrepo (Miembro de la Junta Directiva), Felipe Encinales Silva (Miembro de la Junta Directiva), Felipe Vasquez Duque (Miembro de la Junta Directiva), Nicolás Santos Charry (Miembro de la Junta Directiva), Andres Castillo Barbosa (Representante Legal Suplente), Astaf Auditores y Consultores Contables Sas (Revisor Fiscal), Christian David Mora Silva (Revisor Fiscal), Laura Viviana Boada Pacheco (Revisor Fiscal)</t>
  </si>
  <si>
    <t>150 (2024)</t>
  </si>
  <si>
    <t>Alimentos Criollos S. A.</t>
  </si>
  <si>
    <t>Comercio al por menor de otros productos alimenticios ncp. en estelaboracion de otros productos alimenticios ncp</t>
  </si>
  <si>
    <t>Calle 75 A N 27-15</t>
  </si>
  <si>
    <t>contabilidad@tipicasempanadas.com</t>
  </si>
  <si>
    <t>Paula Andrea Gallego Peña (Representante Legal), Juan Guillermo Macia Nuñez (Miembro de la Junta Directiva), Maria Nohora Peña Rodriguez (Miembro de la Junta Directiva), Santiago Romero Gongora (Miembro de la Junta Directiva), Deyssi Elena Romero Garzon (Miembro Suplente de la Junta Directiva), Esteban Ricardo Gallego Peña (Miembro Suplente de la Junta Directiva), Carlos Tafur Cancino (Revisor Fiscal), Gloria Adriana Panqueva Herrera (Revisor Fiscal Suplente)</t>
  </si>
  <si>
    <t>250 (2024)</t>
  </si>
  <si>
    <t>Sociedad Theatron Entretenimiento Sas</t>
  </si>
  <si>
    <t>Cl 58 Bis # 10 32</t>
  </si>
  <si>
    <t>contabilidad@theatron.co</t>
  </si>
  <si>
    <t>Luis Bernardo Cuartas Mesa (Representante Legal), Edison Ramirez Gonzalez (Representante Legal Suplente), Pablo Emilio Melo Garcia (Revisor Fiscal)</t>
  </si>
  <si>
    <t>252 (2024)</t>
  </si>
  <si>
    <t>Healthfood S A En Liquidacion</t>
  </si>
  <si>
    <t>Inversion en las multiples actividades productivas de los sectores economicos vinculados con la prestacion de los servicios conexos al servicio de salud. en consecuencia la sociedad podra directa o in.</t>
  </si>
  <si>
    <t>Cll 94 B N 56 24</t>
  </si>
  <si>
    <t>dmguataquirab@healthfood.com.co</t>
  </si>
  <si>
    <t>Silva Leon Andres Mauricio (Representante Legal), Achury Mora Paola Andrea (Miembro de la Junta Directiva), Echeverri Ramirez Angela Maria (Miembro de la Junta Directiva), Mora Jimenez Ingryd Geovana (Miembro de la Junta Directiva), Amado Velasco Neyla (Miembro Suplente de la Junta Directiva), Palacio Ana Margarita (Miembro Suplente de la Junta Directiva), Valencia Alomia Wilmar Hernando (Miembro Suplente de la Junta Directiva), Tafur Pabon Brayan Andres (Revisor Fiscal)</t>
  </si>
  <si>
    <t>170 (2019)</t>
  </si>
  <si>
    <t>Inversiones Necevi S A S</t>
  </si>
  <si>
    <t>Expendio A La Mesa De Comidas Preparadas, En Restaurantes</t>
  </si>
  <si>
    <t>Cra 63 No 100 77</t>
  </si>
  <si>
    <t>laparrilla@laparrillacarnes.com</t>
  </si>
  <si>
    <t>Carlos Fernando Romero Sanchez (Representante Legal), Dayana Roa Buitrago (Miembro de la Junta Directiva), Maria Victoria Rojas Sandoval (Miembro de la Junta Directiva), Angela Liliana Buitrago Forero (Miembro Suplente de la Junta Directiva), Laura Daniela Reyes Buitrago (Miembro Suplente de la Junta Directiva), Nestor Fabio Buitrago Forero (Miembro Suplente de la Junta Directiva), Carlos Julio Torres Rodriguez (Revisor Fiscal), Nohora Elizabeth Barreto Torres (Revisor Fiscal)</t>
  </si>
  <si>
    <t>98 (2024)</t>
  </si>
  <si>
    <t>Rodriguez Nohora Esperanza</t>
  </si>
  <si>
    <t>Calle 174 A 53 A 22</t>
  </si>
  <si>
    <t>nesperanza.ro@gmail.com</t>
  </si>
  <si>
    <t>Rodriguez Nohora Esperanza (Representante Legal)</t>
  </si>
  <si>
    <t>1 (2024)</t>
  </si>
  <si>
    <t>Gelp Mx S.A.S.</t>
  </si>
  <si>
    <t>Calle 116 # 19 -66</t>
  </si>
  <si>
    <t>infogelpmx@grupomx.co</t>
  </si>
  <si>
    <t>Andres Felipe Gutierrez Zamora (Representante Legal), Alirio Figueroa Panqueba (Revisor Fiscal)</t>
  </si>
  <si>
    <t>213 (2024)</t>
  </si>
  <si>
    <t>Ordoñez Uberlandia Sas</t>
  </si>
  <si>
    <t>Fabricacion,distribucion y comercializacion de todo tipo de alimentos para consumo humano,especialmente los relacionados con comidas rapidas y basicamente la produccion y expendio de hamburguesas a ba.</t>
  </si>
  <si>
    <t>Cr 59 D # 131A-25</t>
  </si>
  <si>
    <t>contabilidad@hamburguesasdelrodeo.com</t>
  </si>
  <si>
    <t>Daniel Alberto Ordoñez Romero (Representante Legal), Ana Ines Gonzalez (Representante Legal Suplente), Agudelo Barrera Auditores Sas (Revisor Fiscal), Diana Paola Miranda Camelo (Revisor Fiscal)</t>
  </si>
  <si>
    <t>113 (2024)</t>
  </si>
  <si>
    <t>Grupo Sierra Nevada S A S - en Reorganización</t>
  </si>
  <si>
    <t>Carrera 15 85 61</t>
  </si>
  <si>
    <t>emiliano@sierranevada.co</t>
  </si>
  <si>
    <t>Emiliano Pablo Moscoso Carulla (Representante Legal), Margarita Rosa Cantillo Martinez (Representante Legal Suplente), Luis Jorge Montaño Rico (Revisor Fiscal), M&amp;C Auditores y Consultores Sas (Revisor Fiscal), Alejandro Perez Moyano (Revisor Fiscal Suplente)</t>
  </si>
  <si>
    <t>62 (2024)</t>
  </si>
  <si>
    <t>Inversiones Fete Sas</t>
  </si>
  <si>
    <t>Cl 83 # 12 A 36</t>
  </si>
  <si>
    <t>elmonobandido@gmail.com</t>
  </si>
  <si>
    <t>Simon Villada Londoño (Representante Legal), Mariana Villada Londoño (Representante Legal Suplente), Alfredo Cardenas Silva (Revisor Fiscal)</t>
  </si>
  <si>
    <t>9 (2024)</t>
  </si>
  <si>
    <t>Salón Tropical Casa Cultural S.A.S</t>
  </si>
  <si>
    <t>Carrera 5 # 65 - 20</t>
  </si>
  <si>
    <t>adm.fin.salontropical@gmail.com</t>
  </si>
  <si>
    <t>Andrius Jonas Didziulis Pradilla (Representante Legal), Martha Cecilia Pradilla Mendez (Representante Legal Suplente)</t>
  </si>
  <si>
    <t>28 (2024)</t>
  </si>
  <si>
    <t>Inversiones Ibero Caribe S A S</t>
  </si>
  <si>
    <t>La empresa Inversiones Ibero Caribe S.A.S. se dedica a expendio por autoservicio de comidas preparadas.</t>
  </si>
  <si>
    <t>Avenida Calle 26 # 113-31</t>
  </si>
  <si>
    <t>bog.notificaciones@gcggroup.com</t>
  </si>
  <si>
    <t>Rigoberto Colmenares Nuñez (Representante Legal), Juan Carlos Alvarado Zambrano (Representante Legal Suplente), Luisa Ximena Ortiz (Revisor Fiscal), Maritza Brigitte Bustos Lozano (Revisor Fiscal), Servicios De Auditoria y Consultoria De Negocios S.A.S (Revisor Fiscal)</t>
  </si>
  <si>
    <t>87 (2022)</t>
  </si>
  <si>
    <t>Inversiones Galindo Castillo Ltda</t>
  </si>
  <si>
    <t>La empresa Inversiones Galindo Castillo Ltda se dedica a otros tipos de expendio de comidas preparadas. Opera en el mercado colombiano desde el año 2009.</t>
  </si>
  <si>
    <t>Cl 161 A # 8C-46</t>
  </si>
  <si>
    <t>perrosjr@hotmail.com</t>
  </si>
  <si>
    <t>Luis Alfredo Castillo Suarez (Representante Legal), Ricardo Galindo Gomez (Representante Legal Suplente), Gilma Ines Orjuela Dueñas (Revisor Fiscal)</t>
  </si>
  <si>
    <t>59 (2024)</t>
  </si>
  <si>
    <t>Majoi Sas</t>
  </si>
  <si>
    <t>Administracion de casinos resta. y cafet. de emp. y colegiosservicio de restaurantes y banquetesactividad de limpieza de edifi</t>
  </si>
  <si>
    <t>Calle 73 A No. 69 - 33</t>
  </si>
  <si>
    <t>gerenciageneral@majoialimentos.com</t>
  </si>
  <si>
    <t>Villaveces Medina Maria Jose (Representante Legal), Izquierdo Maldonado Enrique (Representante Legal Suplente), Vasquez Rodriguez Gilberto (Revisor Fiscal)</t>
  </si>
  <si>
    <t>186 (2019)</t>
  </si>
  <si>
    <t>Bar Escoces e Inversiones S.A.S</t>
  </si>
  <si>
    <t>La empresa Bar Escoces E Inversiones S.A.S se dedica a expendio de comidas preparadas en cafeterías.</t>
  </si>
  <si>
    <t>Cra 99 25 F 33</t>
  </si>
  <si>
    <t>contabilidad@katios.com.co</t>
  </si>
  <si>
    <t>Nancy Carolina Vera Fonseca (Representante Legal), Ricardo Castiblanco Moreno (Representante Legal), German Beltran Leon (Revisor Fiscal), Angelica Barrero Rodriguez (Revisor Fiscal Suplente)</t>
  </si>
  <si>
    <t>170 (2024)</t>
  </si>
  <si>
    <t>Areas Colombia S A S</t>
  </si>
  <si>
    <t>Cl 106 A No. 17 A - 66 Casa Macondo</t>
  </si>
  <si>
    <t>benavidesbenavides@yahoo.es</t>
  </si>
  <si>
    <t>Iniestra Minter Claudio Sebastian (Representante Legal), Benavides Benavides Jose Paul (Representante Legal Suplente), Accounting Services &amp; Taxes Sas (Revisor Fiscal), Bernal Morales Eliana Marcela (Revisor Fiscal), Guzman Prieto Olga Lucia (Revisor Fiscal Suplente)</t>
  </si>
  <si>
    <t>120 (2019)</t>
  </si>
  <si>
    <t>Inversiones Jrc S A S</t>
  </si>
  <si>
    <t>Cr 12 A N 83 11 Zona T</t>
  </si>
  <si>
    <t>contabilidad@vapiano.com.co</t>
  </si>
  <si>
    <t>Jhony Javier de la Cruz Janne Herrera (Representante Legal), Carlos Andres Restrepo Escobar (Representante Legal Suplente), Molinares Varela Manuel de Jesus (Revisor Fiscal)</t>
  </si>
  <si>
    <t>53 (2024)</t>
  </si>
  <si>
    <t>Productora y Comercializadora Canela Sas</t>
  </si>
  <si>
    <t>La empresa Productora y Comercializadora Canela S.A.S. se dedica a expendio por autoservicio de comidas preparadas.</t>
  </si>
  <si>
    <t>Cr 61 # 100 59</t>
  </si>
  <si>
    <t>gerencia_canela@canela.com.co</t>
  </si>
  <si>
    <t>Doris Cecilia Umbarila Lopez (Representante Legal), Angela Ruby Lopez Castro (Revisor Fiscal), Bahos y Lopez Asociados Sas (Revisor Fiscal), Jonny Alberto Bahos Ruiz (Revisor Fiscal)</t>
  </si>
  <si>
    <t>25 (2024)</t>
  </si>
  <si>
    <t>Grupo Moncante Sas</t>
  </si>
  <si>
    <t>Cl 19 A # 72 57 Cc Multiplaza Lc C 106 A</t>
  </si>
  <si>
    <t>origenbf@gmail.com</t>
  </si>
  <si>
    <t>Javier Andres Velez Moncaleano (Representante Legal), Nicolas Nizo Quecan (Representante Legal Suplente), Sandra Liliana Vega Vega (Revisor Fiscal), Ricardo Sierra Jimenez (Revisor Fiscal Suplente)</t>
  </si>
  <si>
    <t>Inversiones Colombo San Marcos Limitada</t>
  </si>
  <si>
    <t>Fbricacion de productos de panaderia y bizcocheria.</t>
  </si>
  <si>
    <t>Cl 40 # 8 86</t>
  </si>
  <si>
    <t>pansanmarcos@hotmail.com</t>
  </si>
  <si>
    <t>Barbara Elisa Rovida de Coccia (Representante Legal), Leticia Clara Rovida de Brigante (Representante Legal Suplente), Siervo Onofre Blanco Moreno (Revisor Fiscal), Nancy Esther Bermudez Caraballo (Revisor Fiscal Suplente)</t>
  </si>
  <si>
    <t>60 (2024)</t>
  </si>
  <si>
    <t>Investment Team S A</t>
  </si>
  <si>
    <t>La empresa Investment Team S A se dedica a expendio de bebidas alcohólicas para el consumo dentro del establecimiento. Opera en el mercado colombiano desde el año 2006.</t>
  </si>
  <si>
    <t>Cr 12 A # 83 30</t>
  </si>
  <si>
    <t>investment_team@hotmail.com</t>
  </si>
  <si>
    <t>Jorge Enrique Maya Llano (Representante Legal), Jaime Alejandro Moreno Castillo (Miembro de la Junta Directiva), Jamal Mustafa Bashir (Miembro de la Junta Directiva), Juan David Alzate Echeverri (Miembro de la Junta Directiva), Alberto Alfonso Chegwin Vergara (Miembro Suplente de la Junta Directiva), Jaime Alberto Pinedo Hernandez (Miembro Suplente de la Junta Directiva), Jairo Moreno Lozano (Miembro Suplente de la Junta Directiva), Lincoln Eduardo Palomeque Sandoval (Miembro Suplente de la Junta Directiva), Carlos Arturo Cadena Rios (Revisor Fiscal)</t>
  </si>
  <si>
    <t>42 (2024)</t>
  </si>
  <si>
    <t>Yipao Sas</t>
  </si>
  <si>
    <t>Cl 18 65A 03</t>
  </si>
  <si>
    <t>gerente.administrativo@interrapidisimo.com</t>
  </si>
  <si>
    <t>Juan David Chaparro Mendez (Representante Legal), Revifiscales Nic S A S (Revisor Fiscal), Tito Willis Sabogal Ardila (Revisor Fiscal)</t>
  </si>
  <si>
    <t>13 (2024)</t>
  </si>
  <si>
    <t>Hamburguesas Country S.A.S</t>
  </si>
  <si>
    <t>La empresa Hamburguesas Country S.A.S se dedica a expendio por autoservicio de comidas preparadas.</t>
  </si>
  <si>
    <t>Calle 55 No 73-70</t>
  </si>
  <si>
    <t>hamburguesascountryltda@hotmail.com</t>
  </si>
  <si>
    <t>Pai Florez Segundo German (Representante Legal), Zambrano Cortes Olga Cecilia (Representante Legal Suplente), Jimenez Arias Israel Alfonso (Revisor Fiscal)</t>
  </si>
  <si>
    <t>96 (2019)</t>
  </si>
  <si>
    <t>Mehera S.A.S.</t>
  </si>
  <si>
    <t>La empresa Mehera S.A. se dedica a elaboración de productos de panadería.</t>
  </si>
  <si>
    <t>Cl 90 # 15-63</t>
  </si>
  <si>
    <t>mehera2007@yahoo.com</t>
  </si>
  <si>
    <t>Joyce Shaio de Mitrani (Representante Legal), Ari Acher Esquenazi Tarragano (Miembro de la Junta Directiva), Mirna Mitrani Esquenazi (Miembro de la Junta Directiva), Jose Beltran Castellanos (Revisor Fiscal)</t>
  </si>
  <si>
    <t>68 (2024)</t>
  </si>
  <si>
    <t>Clandestino Club Sas</t>
  </si>
  <si>
    <t>Ac 82 # 12 50 P 3</t>
  </si>
  <si>
    <t>facturacionelectronicaclandestino@gmail.com</t>
  </si>
  <si>
    <t>Javier Andres Hurtado Ariza (Representante Legal), Diana Patricia Zea Ortiz (Representante Legal Suplente), Jairo Alfonso Dallos Castillo (Revisor Fiscal)</t>
  </si>
  <si>
    <t>10 (2024)</t>
  </si>
  <si>
    <t>Galeria Café Libro Club Social Privado S.A.S.</t>
  </si>
  <si>
    <t>La empresa Galeria Cafe Libro Club Social Privado S A Tambien Podra Nombrarse Galeria Cafe Libro Club Social Privado se dedica a actividades inmobiliarias realizadas con bienes propios o arrendados. Opera en el mercado colombiano desde el año 2002.</t>
  </si>
  <si>
    <t>Tv 15 B # 46-38</t>
  </si>
  <si>
    <t>info@galeriacafelibro.com.co</t>
  </si>
  <si>
    <t>Esperanza Neira Gomez (Representante Legal), Alberto Littfack Pineda (Representante Legal Suplente), Agustin Hernando Rodriguez Colorado (Revisor Fiscal)</t>
  </si>
  <si>
    <t>21 (2024)</t>
  </si>
  <si>
    <t>Poblano S.A.S.</t>
  </si>
  <si>
    <t>Cr 10 No. 27 51 Lc 165</t>
  </si>
  <si>
    <t>poblanorest@gmail.com</t>
  </si>
  <si>
    <t>Maya Duque Esteban (Representante Legal), Maya Duque Catalina (Representante Legal Suplente)</t>
  </si>
  <si>
    <t>12 (2019)</t>
  </si>
  <si>
    <t>Buffet Libre Sas</t>
  </si>
  <si>
    <t>Cr 7 32-12</t>
  </si>
  <si>
    <t>contabilidadmvd@gmail.com</t>
  </si>
  <si>
    <t>Yi Zhang (Representante Legal), Yichen Xing (Representante Legal Suplente), Diana Marcela Caro Laverde (Revisor Fiscal)</t>
  </si>
  <si>
    <t>41 (2024)</t>
  </si>
  <si>
    <t>New Food S A S</t>
  </si>
  <si>
    <t>Carrera 14 89 48 Oficina 307 Edificio Novanta</t>
  </si>
  <si>
    <t>monicapalacio@ohanagrupo.com</t>
  </si>
  <si>
    <t>Monica Palacio Lopez (Representante Legal), Carlos Andres Palacio Lopez (Representante Legal Suplente), Carlos Eduardo Caceres Gonzalez (Revisor Fiscal)</t>
  </si>
  <si>
    <t>19 (2024)</t>
  </si>
  <si>
    <t>Inversiones D Santa Sas</t>
  </si>
  <si>
    <t>Ac 26 Sur # 69 C 20</t>
  </si>
  <si>
    <t>inversionesdssas@gmail.com</t>
  </si>
  <si>
    <t>Jose Didier Santa Nieto (Representante Legal), Rosa Edelia Yondapiz Vargas (Representante Legal Suplente)</t>
  </si>
  <si>
    <t>17 (2024)</t>
  </si>
  <si>
    <t>Invermalu S A S</t>
  </si>
  <si>
    <t>Carrera 60 82 62 Casa 7</t>
  </si>
  <si>
    <t>contacto@invermalu.com</t>
  </si>
  <si>
    <t>Fabian Andres Mora Perez (Representante Legal), Luz Karime Ospino Romero (Representante Legal Suplente), Angie Katherine Varela Blanco (Revisor Fiscal), Wilson Hernando Toloza Caceres (Revisor Fiscal Suplente)</t>
  </si>
  <si>
    <t>26 (2024)</t>
  </si>
  <si>
    <t>Cdmx S.A.S</t>
  </si>
  <si>
    <t>Calle 116 # 19-66</t>
  </si>
  <si>
    <t>infocdmx@grupomx.co</t>
  </si>
  <si>
    <t>Andres Felipe Gutierrez Zamora (Representante Legal), Johanna Mercedes Agudelo Aguillon (Revisor Fiscal)</t>
  </si>
  <si>
    <t>75 (2024)</t>
  </si>
  <si>
    <t>La Cien S.A.S</t>
  </si>
  <si>
    <t>15 # 99 23</t>
  </si>
  <si>
    <t>gerenciala100@hotmail.com</t>
  </si>
  <si>
    <t>Bernardo Londoño Escobar (Representante Legal), Jose Manuel Restrepo Groot (Representante Legal Suplente)</t>
  </si>
  <si>
    <t>Dalimentos S.A.S.</t>
  </si>
  <si>
    <t>El servicio de toda clase de cafeterias y restaurantes propios o ajenos.</t>
  </si>
  <si>
    <t>Calle 15 # 72-95</t>
  </si>
  <si>
    <t>casino@lafayette.com</t>
  </si>
  <si>
    <t>German de Jesus Velasquez Prieto (Representante Legal), Mercedes Sanchez Ramirez (Representante Legal Suplente), Saudy Vianeth Rocha Cendales (Revisor Fiscal)</t>
  </si>
  <si>
    <t>30 (2023)</t>
  </si>
  <si>
    <t>Sonora Mx Sas</t>
  </si>
  <si>
    <t>infosonoramx@grupomx.co</t>
  </si>
  <si>
    <t>83 (2024)</t>
  </si>
  <si>
    <t>Love Chicharron Sas</t>
  </si>
  <si>
    <t>Calle 65 # 4A 26</t>
  </si>
  <si>
    <t>lovechicharron@gmail.com</t>
  </si>
  <si>
    <t>Valentina Builes Jimenez (Representante Legal), Juan Pablo Bonilla Walker (Representante Legal Suplente), Asesoría Financiera Contable y Tributaria Asficont S.A.S. (Revisor Fiscal), Diego Fernando Fajardo Olaya (Revisor Fiscal), William Hernan Diaz Chaves (Revisor Fiscal)</t>
  </si>
  <si>
    <t>Hernandez Garcia Blanca Lila</t>
  </si>
  <si>
    <t>Tv 6 N 17 40 40 Local 151</t>
  </si>
  <si>
    <t>blilahernnadez@gmail.com</t>
  </si>
  <si>
    <t>55 (2019)</t>
  </si>
  <si>
    <t>El Dog X Sas</t>
  </si>
  <si>
    <t>Cl 64 # 13 29</t>
  </si>
  <si>
    <t>eldogxsas@hotmail.com</t>
  </si>
  <si>
    <t>Bernardo Londoño Escobar (Representante Legal), Jose Manuel Restrepo Groot (Representante Legal Suplente), Maria Adriana Hernandez Herrera (Revisor Fiscal)</t>
  </si>
  <si>
    <t>7 (2024)</t>
  </si>
  <si>
    <t>Pecado Capital Inc S.A.S</t>
  </si>
  <si>
    <t>Carrera 94 75 C 41</t>
  </si>
  <si>
    <t>servicio@hamburguesaspecadocapital.com</t>
  </si>
  <si>
    <t>Rodrigo Calderon Baron (Representante Legal), Diana Marcela Bernal Torres (Representante Legal Suplente), Cw Asesores Tributarios S A S (Revisor Fiscal), Yulany Paola Calero Sabogal (Revisor Fiscal)</t>
  </si>
  <si>
    <t>40 (2024)</t>
  </si>
  <si>
    <t>Inversiones Cp Malro Sas</t>
  </si>
  <si>
    <t>Cr 13 # 82 35</t>
  </si>
  <si>
    <t>zmalagon@hotmail.com</t>
  </si>
  <si>
    <t>William Alberto Rodriguez Rojas (Representante Legal), Zulia Malagon Puentes (Representante Legal Suplente)</t>
  </si>
  <si>
    <t>8 (2024)</t>
  </si>
  <si>
    <t>Andina Entretinimiento Sas</t>
  </si>
  <si>
    <t>Carrera 13 82 41</t>
  </si>
  <si>
    <t>1 (2023)</t>
  </si>
  <si>
    <t>Pola y Tejo S.A.S.</t>
  </si>
  <si>
    <t>Avenida Carrera 24 # 76 - 20</t>
  </si>
  <si>
    <t>sebastian@tejolaembajada.com</t>
  </si>
  <si>
    <t>Juan Sebastian Otero Guzman (Representante Legal), Daniel Lozano Sanz (Representante Legal Suplente), Cr Financial &amp; Legal Services Colombia S A S (Revisor Fiscal), Johanna Paola Garcia Arevalo (Revisor Fiscal), Amaya Reyes Rosa Daisy (Revisor Fiscal Suplente)</t>
  </si>
  <si>
    <t>Inversiones Megaval Ltda</t>
  </si>
  <si>
    <t>Av Calle 26 N. 62-47 Local 3009 Cc Gran Estacion</t>
  </si>
  <si>
    <t>luismedinadel@hotmail.com</t>
  </si>
  <si>
    <t>Luis Emilio Medina Delgado (Representante Legal), Yeny. Patricia Garcia (Representante Legal Suplente)</t>
  </si>
  <si>
    <t>2 (2022)</t>
  </si>
  <si>
    <t>Universal Cafe Restaurante Sas</t>
  </si>
  <si>
    <t>Cl 65 # 4 A - 76</t>
  </si>
  <si>
    <t>jrodriguez@aspraco.com</t>
  </si>
  <si>
    <t>16 (2024)</t>
  </si>
  <si>
    <t>Urbano Group Sas</t>
  </si>
  <si>
    <t>Calle 74 A # 27 A - 46</t>
  </si>
  <si>
    <t>admonurbanogroup@gmail.com</t>
  </si>
  <si>
    <t>Marco Antonio Castaño Castillo (Representante Legal), Miguel Eduardo Rondon Vega (Representante Legal Suplente), Querubin Layton Ayala (Revisor Fiscal)</t>
  </si>
  <si>
    <t>The Beer Wagon Pub S A S</t>
  </si>
  <si>
    <t>La empresa The Beer Wagon Pub S A S se dedica a expendio a la mesa de comidas preparadas. Opera en el mercado colombiano desde el año 2012.</t>
  </si>
  <si>
    <t>Via La Calera Km 4 5 Mz F Lt 76 Lc 1</t>
  </si>
  <si>
    <t>thebeerwagon@gmail.com</t>
  </si>
  <si>
    <t>Maria Victoria Calderon Borda (Representante Legal)</t>
  </si>
  <si>
    <t>Grupo Char's Sas</t>
  </si>
  <si>
    <t>Fabricación de Alimentos Preparados Perecederos(311991); Restaurantes y Otros Lugares para Comer(72251); Bares y Otros Lugares para Beber(7224); Conservación de Frutas, Verduras y Fabricación de Alimentos Especializados(3114)</t>
  </si>
  <si>
    <t>Procesamiento Y Conservación De Frutas, Legumbres, Hortalizas Y Tubérculos (C1020); Elaboración De Comidas Y Platos Preparados (C1084); Expendio Por Autoservicio De Comidas Preparadas (I5612); Expendio De Bebidas Alcohólicas Para El Consumo Dentro Del Establecimiento (I5630)</t>
  </si>
  <si>
    <t>Cl 161 A No. 16 A - 90</t>
  </si>
  <si>
    <t>jsucrem@gmail.com</t>
  </si>
  <si>
    <t>Jose Angel Sucre Millan (Representante Legal)</t>
  </si>
  <si>
    <t>17 (2019)</t>
  </si>
  <si>
    <t>Tobon Maya Juan Isidro</t>
  </si>
  <si>
    <t>Crr San Jose Vda La Loma</t>
  </si>
  <si>
    <t>inversionestobonsas@hotmail.com</t>
  </si>
  <si>
    <t>26 (2019)</t>
  </si>
  <si>
    <t>Mastersub S A S</t>
  </si>
  <si>
    <t>La empresa Mastersub S.A.S. se dedica a expendio por autoservicio de comidas preparadas.</t>
  </si>
  <si>
    <t>Cr 11 No 75 - 71 Ofc 505</t>
  </si>
  <si>
    <t>gerencia@mastersub.com.co</t>
  </si>
  <si>
    <t>Nicolas Rivera Andrade (Representante Legal), Juan Francisco Soler Monsalve (Representante Legal Suplente), Diana Carolina Garcia Pacheco (Revisor Fiscal), Galvez &amp; Garrido Grupo Gerencial S A S (Revisor Fiscal), Luis Fernando Galvez Moreno (Revisor Fiscal Suplente)</t>
  </si>
  <si>
    <t>10 (2022)</t>
  </si>
  <si>
    <t>Mesabar S A S</t>
  </si>
  <si>
    <t>Cr 22 # 168 46</t>
  </si>
  <si>
    <t>guerreroylatorre@gmail.com</t>
  </si>
  <si>
    <t>Steven Wigoda Hernandez (Representante Legal), Juan Wigoda Miller (Representante Legal Suplente)</t>
  </si>
  <si>
    <t>14 (2024)</t>
  </si>
  <si>
    <t>Colsub S A</t>
  </si>
  <si>
    <t>Expendio por autoservicio de comidas preparadas en cafeterias</t>
  </si>
  <si>
    <t>Av Cl 26 No 92 32 Lco 5</t>
  </si>
  <si>
    <t>jorges2705@gmail.com</t>
  </si>
  <si>
    <t>Fabian Andres Martinez Espinosa (Representante Legal), Guillermo Alfredo Higuera Ariza (Representante Legal), Carmen Otilia Ariza Ruiz (Miembro de la Junta Directiva), Jorge Aurelio Sanchez Cortes (Miembro de la Junta Directiva), Lucinda Salcedo Borrero (Miembro de la Junta Directiva), Miguel Angel Peña Piragua (Miembro Suplente de la Junta Directiva), Ruby Natalia Florez Rodriguez (Miembro Suplente de la Junta Directiva), Carolina Sanchez Herrera (Revisor Fiscal), Olga Lucia Espitia Arias (Revisor Fiscal)</t>
  </si>
  <si>
    <t>Giovanni Celis Sas</t>
  </si>
  <si>
    <t>Cr 13 # 51 25</t>
  </si>
  <si>
    <t>carocruz22@hotmail.com</t>
  </si>
  <si>
    <t>Giovanni Marcel Celis Gomez (Representante Legal), Maria Carolina Cruz Patiño (Representante Legal Suplente)</t>
  </si>
  <si>
    <t>Inversiones Satelites Coffee S A S</t>
  </si>
  <si>
    <t>Cl 109 20 44 Ap 303</t>
  </si>
  <si>
    <t>manuel@laparla.co</t>
  </si>
  <si>
    <t>Manuel Alejandro Barbosa Echeverri (Representante Legal), Jeronimo Jaramillo Muñoz (Representante Legal Suplente)</t>
  </si>
  <si>
    <t>12 (2023)</t>
  </si>
  <si>
    <t>Inversiones Lujam Ltda</t>
  </si>
  <si>
    <t>Cr 68B N. 24 39 Local 378 Centro Comercial Salitre Plaza</t>
  </si>
  <si>
    <t>parrillacolombia@hotmail.com</t>
  </si>
  <si>
    <t>1 (2022)</t>
  </si>
  <si>
    <t>D F &amp; Cia S en C</t>
  </si>
  <si>
    <t>La empresa D F &amp; Cia S En C se dedica a expendio de bebidas alcohólicas para el consumo dentro del establecimiento.</t>
  </si>
  <si>
    <t>Cl 85 # 11 53 In 3</t>
  </si>
  <si>
    <t>chamois85@gmail.com</t>
  </si>
  <si>
    <t>Daniel Humberto Ricaurte Linares (Representante Legal)</t>
  </si>
  <si>
    <t>2 (2024)</t>
  </si>
  <si>
    <t>Trattoria La Divina Comedia S A S</t>
  </si>
  <si>
    <t>Fabricación de Alimentos Preparados Perecederos(311991); Bares y Otros Lugares para Beber(7224); Servicios Especiales de Comida(7223)</t>
  </si>
  <si>
    <t>Fabricación de Alimentos Preparados Perecederos(311991)</t>
  </si>
  <si>
    <t>Elaboración De Comidas Y Platos Preparados (C1084); Expendio A La Mesa De Comidas Preparadas (I5611); Expendio De Bebidas Alcohólicas Para El Consumo Dentro Del Establecimiento (I5630)</t>
  </si>
  <si>
    <t>Elaboración De Comidas Y Platos Preparados (C1084)</t>
  </si>
  <si>
    <t>Calle 71 5 75 Lc 3 Y 4</t>
  </si>
  <si>
    <t>karen@trattorialadivinacomedia.com</t>
  </si>
  <si>
    <t>Raquel Mercedes Arbelaez (Representante Legal)</t>
  </si>
  <si>
    <t>25 (2021)</t>
  </si>
  <si>
    <t>Varietale S.A.S</t>
  </si>
  <si>
    <t>Cl 41 8 43</t>
  </si>
  <si>
    <t>notificaciones@varietale.com</t>
  </si>
  <si>
    <t>Abel Antonio Calderon Hernandez (Representante Legal), Diana Carolina Calderon Hernandez (Representante Legal Suplente)</t>
  </si>
  <si>
    <t>Inversiones Pl S A S</t>
  </si>
  <si>
    <t>La empresa Inversiones Pl S A S se dedica a expendio por autoservicio de comidas preparadas. Opera en el mercado colombiano desde el año 2010.</t>
  </si>
  <si>
    <t>27 No 38A-83 Sur Lc 2-114</t>
  </si>
  <si>
    <t>andrespalacio@ohanagrupo.com</t>
  </si>
  <si>
    <t>Marino Palacio Garcia (Representante Legal), Carlos Andres Palacio Lopez (Representante Legal Suplente)</t>
  </si>
  <si>
    <t>15 (2024)</t>
  </si>
  <si>
    <t>Inversiones Taes Sas</t>
  </si>
  <si>
    <t>Cr 15 # 93 33</t>
  </si>
  <si>
    <t>toto.one@hotmail.com</t>
  </si>
  <si>
    <t>Ernesto Esquivel Guio (Representante Legal), Cesar Augusto Tautiva Quevedo (Representante Legal Suplente)</t>
  </si>
  <si>
    <t>5 (2024)</t>
  </si>
  <si>
    <t>Arias Bustamante Jairo</t>
  </si>
  <si>
    <t>Cl 52 Cr. 45 19</t>
  </si>
  <si>
    <t>jairoarias936@gmail.com</t>
  </si>
  <si>
    <t>2 (2019)</t>
  </si>
  <si>
    <t>Morena Latina S A S</t>
  </si>
  <si>
    <t>La empresa Morena Latina S A S se dedica a expendio de bebidas alcohólicas para el consumo dentro del establecimiento. Opera en el mercado colombiano desde el año 2010.</t>
  </si>
  <si>
    <t>Cr 27 52 24</t>
  </si>
  <si>
    <t>contabilidad.tabu@gmail.com</t>
  </si>
  <si>
    <t>Alvaro Armando de la Espriella Gardeazabal (Representante Legal)</t>
  </si>
  <si>
    <t>29 (2024)</t>
  </si>
  <si>
    <t>Barem Sas</t>
  </si>
  <si>
    <t>Cr 46 # 22 B 20</t>
  </si>
  <si>
    <t>baremsas@gmail.com</t>
  </si>
  <si>
    <t>Erik Yadir Dicelis Prieto (Representante Legal), Andres Felipe Dicelis Herreño (Representante Legal Suplente)</t>
  </si>
  <si>
    <t>Carolina Cruz Sas</t>
  </si>
  <si>
    <t>Maria Carolina Cruz Patiño (Representante Legal), Giovanni Marcel Celis Gomez (Representante Legal Suplente)</t>
  </si>
  <si>
    <t>18 (2024)</t>
  </si>
  <si>
    <t>Inversiones M&amp;L Sas</t>
  </si>
  <si>
    <t>Cra 14 A # 83-16</t>
  </si>
  <si>
    <t>lyminversionessas@gmail.com</t>
  </si>
  <si>
    <t>Liliana Pitta Sanabria (Representante Legal), Ariza Rivera Marianella (Representante Legal Suplente)</t>
  </si>
  <si>
    <t>Carlos Alberto Castillo Rodriguez</t>
  </si>
  <si>
    <t>Castillo Rodriguez Carlos Alberto se dedica a expendio de comidas preparadas en cafeterías. Opera en el mercado colombiano desde el año 2003.</t>
  </si>
  <si>
    <t>Cl 37 Sur # 78C- 27/29</t>
  </si>
  <si>
    <t>empanadasdelasbuenas@yahoo.com.ar</t>
  </si>
  <si>
    <t>Carlos Alberto Castillo Rodriguez (Representante Legal)</t>
  </si>
  <si>
    <t>45 (2024)</t>
  </si>
  <si>
    <t>Industrias Alimenticias El Paisa S.A.S.</t>
  </si>
  <si>
    <t>Prestacion de servicios de alimentacion.</t>
  </si>
  <si>
    <t>Cra 99 # 25 F-33</t>
  </si>
  <si>
    <t>Ricardo Castiblanco Moreno (Representante Legal), Nancy Carolina Vera Fonseca (Representante Legal Suplente), Angelica Barrero Rodriguez (Revisor Fiscal), German Beltran Leon (Revisor Fiscal)</t>
  </si>
  <si>
    <t>India Palida S A S</t>
  </si>
  <si>
    <t>Calle 85 # 12-25</t>
  </si>
  <si>
    <t>facturacion@sanchezcerveceria.com</t>
  </si>
  <si>
    <t>Natalia Carreño Pombo (Representante Legal), Jorge Enrique Pinzon Rozo (Miembro de la Junta Directiva), Santiago Velez Porto (Miembro de la Junta Directiva), Sergio Alejandro Pabon Castañeda (Miembro de la Junta Directiva), Angelica Ortiz Londoño (Miembro Suplente de la Junta Directiva), Gabriel Garcia Ardila (Miembro Suplente de la Junta Directiva), Juan David Shool Duque (Miembro Suplente de la Junta Directiva), Leonel Alveiro Moyano Rodriguez (Revisor Fiscal)</t>
  </si>
  <si>
    <t>Fernandez Benjumea Daniela</t>
  </si>
  <si>
    <t>Vda El Roble Sector El Aeropuerto</t>
  </si>
  <si>
    <t>danielafdezb@hotmail.com</t>
  </si>
  <si>
    <t>Inversiones G M H S A</t>
  </si>
  <si>
    <t>Expendio por autoservicio de comidas en cafeteriasalojamiento en hotelesactividades de asesoramiento empresarial.otras activida</t>
  </si>
  <si>
    <t>Av. Cll. 72 # 6-30 Ofc. 501</t>
  </si>
  <si>
    <t>dcontable@germanmoraleshoteles.com</t>
  </si>
  <si>
    <t>Alejandro Morales Gonzalez (Representante Legal), Ana Maria del Pilar Morales Gonzalez (Miembro de la Junta Directiva), Juan Manuel Morales Gonzalez (Miembro de la Junta Directiva), Juan Manuel Morales Arciniegas (Miembro Suplente de la Junta Directiva), Luis Ignacio Stein Morales (Miembro Suplente de la Junta Directiva), Paula Morales Rozo (Miembro Suplente de la Junta Directiva), Blasimir de Jesus Villa Medina (Revisor Fiscal), Oscar Isaac Diaz Salcedo (Revisor Fiscal)</t>
  </si>
  <si>
    <t>Beb Sas</t>
  </si>
  <si>
    <t>Calle 81 # 11-41</t>
  </si>
  <si>
    <t>contabilidad@beb.com.co</t>
  </si>
  <si>
    <t>Andrea Carolina Cuellar (Representante Legal), Nelly Cecilia Vega Silva (Representante Legal Suplente)</t>
  </si>
  <si>
    <t>3 (2024)</t>
  </si>
  <si>
    <t>Inversiones Anacaro S.A.S.</t>
  </si>
  <si>
    <t>Carrera 13 63A 79</t>
  </si>
  <si>
    <t>caroposso48@gmail.com</t>
  </si>
  <si>
    <t>Ana Carolina Posso Garcia (Representante Legal)</t>
  </si>
  <si>
    <t>12 (2024)</t>
  </si>
  <si>
    <t>Restaurantes Valdes &amp; Asociados S.A.S</t>
  </si>
  <si>
    <t>Cr 128 # 145 20 To 5 Ap 220</t>
  </si>
  <si>
    <t>parrillaypicaditas2020@gmail.com</t>
  </si>
  <si>
    <t>Fabian Valdes Giraldo (Representante Legal), Santiago Robles Niño (Representante Legal Suplente)</t>
  </si>
  <si>
    <t>Ramasel Inversiones Sas</t>
  </si>
  <si>
    <t>Cr 7 # 115 60 Lc E 210</t>
  </si>
  <si>
    <t>ricardo_ramirez825@hotmail.com</t>
  </si>
  <si>
    <t>Ricardo Ramirez Ortiz (Representante Legal)</t>
  </si>
  <si>
    <t>11 (2024)</t>
  </si>
  <si>
    <t>Casa Cu S.A.S</t>
  </si>
  <si>
    <t>Oficinas de Convenciones y Visitantes(561591); Grupos Musicales y Artistas(71113); Bares y Otros Lugares para Beber(7224); Servicios Especiales de Comida(7223)</t>
  </si>
  <si>
    <t>Servicios Especiales de Comida(7223)</t>
  </si>
  <si>
    <t>Expendio A La Mesa De Comidas Preparadas (I5611); Expendio De Bebidas Alcohólicas Para El Consumo Dentro Del Establecimiento (I5630); Organización De Convenciones Y Eventos Comerciales (N8230); Actividades De Espectáculos Musicales En Vivo (R9007)</t>
  </si>
  <si>
    <t>La empresa Sin Semilla S A se dedica a expendio a la mesa de comidas preparadas. Opera en el mercado colombiano desde el año 2003.</t>
  </si>
  <si>
    <t>Cl 29 Bis No. 5 - 84</t>
  </si>
  <si>
    <t>restaurantedonostia@yahoo.com</t>
  </si>
  <si>
    <t>Juan Pablo Loaiza Velez (Representante Legal)</t>
  </si>
  <si>
    <t>14 (2020)</t>
  </si>
  <si>
    <t>In The Hood S A S</t>
  </si>
  <si>
    <t>La empresa In The Hood S A S se dedica a expendio a la mesa de comidas preparadas. Opera en el mercado colombiano desde el año 2011.</t>
  </si>
  <si>
    <t>Dg 75 N 2 -63</t>
  </si>
  <si>
    <t>gerencia@armandorecords.org</t>
  </si>
  <si>
    <t>Julieth Alejandra Florez Gonzalez (Representante Legal), Alejandro Carvajal Jaramillo (Miembro de la Junta Directiva), Bernardo Londoño Escobar (Miembro de la Junta Directiva), Daniel Carvajal Rey (Miembro de la Junta Directiva), Edgar Alfredo Morales Camacho (Miembro de la Junta Directiva), Juan Sebastian Molina Salazar (Miembro de la Junta Directiva), Julian Alfonso Martinez Marquez (Miembro de la Junta Directiva), Santiago Arias Espinosa (Miembro de la Junta Directiva), Armando Gonzalez Herrada (Miembro Suplente de la Junta Directiva), Camilo Andres Rosero Mantilla (Miembro Suplente de la Junta Directiva), Jose Antonio Duran Padilla (Miembro Suplente de la Junta Directiva), Juan Camilo Gomez Henao (Miembro Suplente de la Junta Directiva), Nicolas Cadavid Botero (Miembro Suplente de la Junta Directiva), Oscar Jose Berardinelli Rodriguez (Miembro Suplente de la Junta Directiva), Martha Evey Robayo Sierra (Revisor Fiscal)</t>
  </si>
  <si>
    <t>1 (2021)</t>
  </si>
  <si>
    <t>Language Exchange Events Sas</t>
  </si>
  <si>
    <t>Calle 85 # 11 - 53 Int 5</t>
  </si>
  <si>
    <t>admongringotuesdays@gmail.com</t>
  </si>
  <si>
    <t>Travis Harvey Crockett (Representante Legal), Andres Guillermo Ortiz Ibagon (Representante Legal Suplente)</t>
  </si>
  <si>
    <t>Diego Fernando Rodriguez Montaña</t>
  </si>
  <si>
    <t>Cl 163 # 62 95 Ap 106 To 1</t>
  </si>
  <si>
    <t>comercialobleaslavilla@hotmail.com</t>
  </si>
  <si>
    <t>Diego Fernando Rodriguez Montaña (Representante Legal)</t>
  </si>
  <si>
    <t>31 (2024)</t>
  </si>
  <si>
    <t>Marin Gonzalez Nini Johana</t>
  </si>
  <si>
    <t>Gt Salida A Manizales</t>
  </si>
  <si>
    <t>ninijohana-1981@hotmail.com</t>
  </si>
  <si>
    <t>27 (2019)</t>
  </si>
  <si>
    <t>Valbuena Brothers Company S.A.S</t>
  </si>
  <si>
    <t>Cl 153 # 56 - 90 Local 5</t>
  </si>
  <si>
    <t>jorgevalbuena300@hotmail.com</t>
  </si>
  <si>
    <t>Jorge Renan Valbuena Quintero (Representante Legal)</t>
  </si>
  <si>
    <t>Damici S A S</t>
  </si>
  <si>
    <t>Cll 107A # 8A 21</t>
  </si>
  <si>
    <t>damicipizzeria@gmail.com</t>
  </si>
  <si>
    <t>John David Serrano Hurtado (Representante Legal), Andres David Serrano Rios (Representante Legal Suplente)</t>
  </si>
  <si>
    <t>20 (2022)</t>
  </si>
  <si>
    <t>Luz Roja Sas</t>
  </si>
  <si>
    <t>Calle 64 # 13 - 05</t>
  </si>
  <si>
    <t>luzrojasas@hotmail.com</t>
  </si>
  <si>
    <t>8 (2020)</t>
  </si>
  <si>
    <t>Inversiones Cp Teusaquillo Sas</t>
  </si>
  <si>
    <t>Cr 27 # 52 72</t>
  </si>
  <si>
    <t>Inversiones Esm S A S</t>
  </si>
  <si>
    <t>Cl 160 # 73 47 To 3 Ap 102</t>
  </si>
  <si>
    <t>inversionesesmsas@outlook.com</t>
  </si>
  <si>
    <t>Elkin Yaid Puentes Gomez (Representante Legal), Silvia Carolina Nariño Parra (Representante Legal Suplente)</t>
  </si>
  <si>
    <t>20 (2023)</t>
  </si>
  <si>
    <t>Arboleda Bedoya German Alonso</t>
  </si>
  <si>
    <t>Calle 10 N 08-43</t>
  </si>
  <si>
    <t>gearbe868@gmail.com</t>
  </si>
  <si>
    <t>8 (2019)</t>
  </si>
  <si>
    <t>Megasubs S A S</t>
  </si>
  <si>
    <t>Calle 98A # 69 - 07, Lc 1</t>
  </si>
  <si>
    <t>megasubs@hotmail.com</t>
  </si>
  <si>
    <t>Jorge Humberto Medina Castro (Representante Legal), Erika Andrea Garcia Garciañherreros (Representante Legal Suplente)</t>
  </si>
  <si>
    <t>10 (2023)</t>
  </si>
  <si>
    <t>Inversiones Celis Cruz Sas</t>
  </si>
  <si>
    <t>Avenida Carrera 58 # 137B-01</t>
  </si>
  <si>
    <t>Royal Martin Group Sas</t>
  </si>
  <si>
    <t>Cr 71 D # 3 A 05 Sur P 2</t>
  </si>
  <si>
    <t>royalmartingroup@gmail.com</t>
  </si>
  <si>
    <t>John Fredy Prado Rico (Representante Legal), Wiliam Moreno Gordo (Representante Legal Suplente)</t>
  </si>
  <si>
    <t>El Tablazo Parrilla Picnic Sas</t>
  </si>
  <si>
    <t>Aut Norte # 224 80</t>
  </si>
  <si>
    <t>eltablazoth@gmail.com</t>
  </si>
  <si>
    <t>Claudia Liliana Bustos Criales (Representante Legal), Pablo Agustin Londoño Jaramillo (Representante Legal Suplente)</t>
  </si>
  <si>
    <t>Zamba Investment S.A.S.</t>
  </si>
  <si>
    <t>Cl 8 Sur # 37 84</t>
  </si>
  <si>
    <t>utopiarooftop8@gmail.com</t>
  </si>
  <si>
    <t>Rafael Augusto Zambrano Rodriguez (Representante Legal)</t>
  </si>
  <si>
    <t>Zona F Proyectos Empresariales S A S</t>
  </si>
  <si>
    <t>La empresa Zona F Proyectos Empresariales S.A.S. se dedica a otras actividades de servicio de apoyo a las empresas.</t>
  </si>
  <si>
    <t>Tv 70 # 108 59</t>
  </si>
  <si>
    <t>rafael.acosta@fecel.org</t>
  </si>
  <si>
    <t>Rafael Alberto Acosta Pinilla (Representante Legal), Ronal Hernan Maldonado Rodriguez (Representante Legal Suplente), Sandra Patricia Sandoval Plazas (Representante Legal Suplente)</t>
  </si>
  <si>
    <t>Inversiones Santa Barbara Rbr Sas - En Reorganización</t>
  </si>
  <si>
    <t>La empresa Inversiones Santa Barbara Rbr Ltda se dedica a expendio por autoservicio de comidas preparadas. Opera en el mercado colombiano desde el año 2004.</t>
  </si>
  <si>
    <t>Cl 76 No. 53-14</t>
  </si>
  <si>
    <t>contabilidad2@laponderosa.com.co</t>
  </si>
  <si>
    <t>Ramirez Vargas Doris Patricia (Representante Legal), Buitrago Forero Jairo Francisco (Representante Legal Suplente), Escobar Cuervo Jairo Diego (Revisor Fiscal)</t>
  </si>
  <si>
    <t>198 (2019)</t>
  </si>
  <si>
    <t>Maltaurbana S A S</t>
  </si>
  <si>
    <t>Calle 79A # 18-41 Of 502</t>
  </si>
  <si>
    <t>contamaltaurbana@gmail.com</t>
  </si>
  <si>
    <t>Camilo Jose Barrios Maya (Representante Legal)</t>
  </si>
  <si>
    <t>Cacao Group S.A.S</t>
  </si>
  <si>
    <t>Carrera 7 47 70</t>
  </si>
  <si>
    <t>paezleonjm@gmail.com</t>
  </si>
  <si>
    <t>Jimmy Alexander Paez Leon (Representante Legal)</t>
  </si>
  <si>
    <t>Quesera Santodomingo Sas</t>
  </si>
  <si>
    <t>Cra 24 C # 18-02 Sur</t>
  </si>
  <si>
    <t>bon.marco@outlook.com</t>
  </si>
  <si>
    <t>Martha Patricia Rodriguez Guerrero (Representante Legal)</t>
  </si>
  <si>
    <t>Juan 360 Sas</t>
  </si>
  <si>
    <t>Cr 7 180 75 Md 2 Lc</t>
  </si>
  <si>
    <t>juanf@brot.com.co</t>
  </si>
  <si>
    <t>Juan Fernando Quintero Garcia (Representante Legal)</t>
  </si>
  <si>
    <t>21 (2019)</t>
  </si>
  <si>
    <t>Bienmesabe S A S</t>
  </si>
  <si>
    <t>La empresa Bienmesabe S A S se dedica a expendio por autoservicio de comidas preparadas. Opera en el mercado colombiano desde el año 2012.</t>
  </si>
  <si>
    <t>Calle 137 # 45 - 21 Local 3</t>
  </si>
  <si>
    <t>maythess@gmail.com</t>
  </si>
  <si>
    <t>Maythe Jacqueline Salazar de Ceron (Representante Legal), Mary Elena Chirinos Salero (Representante Legal Suplente)</t>
  </si>
  <si>
    <t>Rmsl Inversiones Sas</t>
  </si>
  <si>
    <t>Cl 145 # 91 19 Cc Centro Suba Lc 11 002</t>
  </si>
  <si>
    <t>monica.maya@sandwichcubano.com</t>
  </si>
  <si>
    <t>Monica Andrea Maya Urriago (Representante Legal)</t>
  </si>
  <si>
    <t>Inversiones Valencia Zuluaga S.A.S</t>
  </si>
  <si>
    <t>Cr 21 # 68 66</t>
  </si>
  <si>
    <t>inversionesvalenciazuluaga@gmail.com</t>
  </si>
  <si>
    <t>Cesar Alexander Valencia Zuluaga (Representante Legal), Juan Martin Valencia Zuluaga (Representante Legal Suplente), Natalia Valencia Zuluaga (Representante Legal Suplente)</t>
  </si>
  <si>
    <t>38 (2024)</t>
  </si>
  <si>
    <t>Cine Tonala La Merced S A S</t>
  </si>
  <si>
    <t>Cra 6 No. 35 - 37</t>
  </si>
  <si>
    <t>danielsimhon@gmail.com</t>
  </si>
  <si>
    <t>Daniel Simhon Perea (Representante Legal), Camilo Perea Gallo (Miembro de la Junta Directiva), Catalina Ortega Gutierrez (Miembro de la Junta Directiva), Jaime Enrique Manrique Velasquez (Miembro de la Junta Directiva), Jorge Alberto Navas Gutierrez (Miembro de la Junta Directiva), Salomon Simhon Perea (Representante Legal Suplente), Ivan Enrique Molano Baquero (Revisor Fiscal)</t>
  </si>
  <si>
    <t>Moyser S.A.S</t>
  </si>
  <si>
    <t>Cr 20 # 116 14</t>
  </si>
  <si>
    <t>narcobollo8@gmail.com</t>
  </si>
  <si>
    <t>Liceth del Carmen Serje Sierra (Representante Legal)</t>
  </si>
  <si>
    <t>Grupo La Santa S A S</t>
  </si>
  <si>
    <t>Calle 57 B # 47-09</t>
  </si>
  <si>
    <t>grupolasantaclub@gmail.com</t>
  </si>
  <si>
    <t>Milton Javier Campos Villamil (Representante Legal)</t>
  </si>
  <si>
    <t>Grupo T&amp;T Sas</t>
  </si>
  <si>
    <t>Cr 27 N. 52 - 46</t>
  </si>
  <si>
    <t>grupotytsas@outlook.com</t>
  </si>
  <si>
    <t>Juvenal Harold Fernando Bernal Ospina (Representante Legal)</t>
  </si>
  <si>
    <t>William Ferney Cabanzo Cuadrado</t>
  </si>
  <si>
    <t>Calle 160 72 51</t>
  </si>
  <si>
    <t>fondalamatriarca@gmail.com</t>
  </si>
  <si>
    <t>William Ferney Cabanzo Cuadrado (Representante Legal)</t>
  </si>
  <si>
    <t>3 (2023)</t>
  </si>
  <si>
    <t>Grupo Tonik Sas</t>
  </si>
  <si>
    <t>Cr 27 # 52 36</t>
  </si>
  <si>
    <t>23 (2024)</t>
  </si>
  <si>
    <t>Grupo Vinos de la Plaza Sas</t>
  </si>
  <si>
    <t>Cr 3 # 74 48</t>
  </si>
  <si>
    <t>atarditi@gmail.com</t>
  </si>
  <si>
    <t>Andre Tarditi (Representante Legal)</t>
  </si>
  <si>
    <t>Idilio Entretenimiento S.A.S</t>
  </si>
  <si>
    <t>Cr 13 # 93 68</t>
  </si>
  <si>
    <t>idiliobar@gmail.com</t>
  </si>
  <si>
    <t>Juan Camilo Marquez Ruiz (Representante Legal), Juan Guillermo Jaramillo Bernal (Miembro de la Junta Directiva), Leonardo Augusto Rodriguez Quinche (Miembro de la Junta Directiva), Andres Felipe Isaza Bernal (Miembro Suplente de la Junta Directiva), Paula Andrea Casas Bernal (Miembro Suplente de la Junta Directiva), Raul Guillermo Jaramillo Correa (Miembro Suplente de la Junta Directiva)</t>
  </si>
  <si>
    <t>6 (2024)</t>
  </si>
  <si>
    <t>Rm Servicios Integrales Moctzuma Sas - en Reorganización</t>
  </si>
  <si>
    <t>Cr 58 # 17 10 Sur</t>
  </si>
  <si>
    <t>rubielamendez1@hotmail.com</t>
  </si>
  <si>
    <t>Rubiela Mendez Morales (Representante Legal), Jaime Fernando Padilla Triana (Representante Legal Suplente)</t>
  </si>
  <si>
    <t>17 (2022)</t>
  </si>
  <si>
    <t>Montoya Quiroz Jesus Maria</t>
  </si>
  <si>
    <t>Cr 55A Nro. 35 166 Int 101</t>
  </si>
  <si>
    <t>jesusmontoyaq@gmail.com</t>
  </si>
  <si>
    <t>Inversiones Z &amp; V S.A.S</t>
  </si>
  <si>
    <t>Cr 15 # 127A-16</t>
  </si>
  <si>
    <t>ink@elregio.co</t>
  </si>
  <si>
    <t>Izhak Nikolai Kempowsky Sanabria (Representante Legal), Orlando Kempowsky Casallas (Representante Legal)</t>
  </si>
  <si>
    <t>15 (2023)</t>
  </si>
  <si>
    <t>Tabelco S A S En Liquidacion</t>
  </si>
  <si>
    <t>La empresa Tabelco S.A.S. se dedica a expendio por autoservicio de comidas preparadas.</t>
  </si>
  <si>
    <t>Ak 45 No 232 - 35 Lc 4 - 113</t>
  </si>
  <si>
    <t>tortiz@alimentosalconsumidor.com</t>
  </si>
  <si>
    <t>Franco Bermudez Luis Fernando (Representante Legal), Lopez Muñoz Sonia Angelica (Revisor Fiscal), Pwc Contadores Y Auditores Ltda (Revisor Fiscal), Villa Monsalve Luis Fernando (Revisor Fiscal Suplente)</t>
  </si>
  <si>
    <t>Pandeazucar S A S</t>
  </si>
  <si>
    <t>La empresa Pandeazucar S A S se dedica a expendio por autoservicio de comidas preparadas. Opera en el mercado colombiano desde el año 2011.</t>
  </si>
  <si>
    <t>Calle 137 45 23 Local 3</t>
  </si>
  <si>
    <t>marye_salero@hotmail.com</t>
  </si>
  <si>
    <t>Mary Elena Chirinos Salero (Representante Legal)</t>
  </si>
  <si>
    <t>21 (2013)</t>
  </si>
  <si>
    <t>Digeniar Alimentos S A S</t>
  </si>
  <si>
    <t>Cr 58 # 127-59 Of 362</t>
  </si>
  <si>
    <t>contabilidad@digeniar.com</t>
  </si>
  <si>
    <t>Jose Alejandro Castellanos Corredor (Representante Legal)</t>
  </si>
  <si>
    <t>Cantor Company S.A.S.</t>
  </si>
  <si>
    <t>Cl 144 # 23 06 Ap 501</t>
  </si>
  <si>
    <t>contabilidadcantor@gmail.com</t>
  </si>
  <si>
    <t>Rene Alejandro Cantor Caballero (Representante Legal), Gustavo Adolfo Cantor Caballero (Representante Legal Suplente)</t>
  </si>
  <si>
    <t>San Juan Comercial S A S</t>
  </si>
  <si>
    <t>Calle 119 Nro 5-80</t>
  </si>
  <si>
    <t>juandc13@yahoo.com</t>
  </si>
  <si>
    <t>Jesus Dario Cortes Pinto (Representante Legal), Juan David Cortes Leon (Representante Legal), Santiago Cortes Leon (Representante Legal Suplente)</t>
  </si>
  <si>
    <t>Giraldo Botero Jose Alberto</t>
  </si>
  <si>
    <t>Cra 23 27 14</t>
  </si>
  <si>
    <t>contabilidad@panextra.com.co</t>
  </si>
  <si>
    <t>45 (2018)</t>
  </si>
  <si>
    <t>Betancourt Estrada Nini Johanna</t>
  </si>
  <si>
    <t>Cl 55B 18 70</t>
  </si>
  <si>
    <t>nijobest0124@hotmail.com</t>
  </si>
  <si>
    <t>Inversiones Lausamad S.A.S</t>
  </si>
  <si>
    <t>Calle 150 # 16 - 56 Local 2067 Centro Comercial Cedritos 151</t>
  </si>
  <si>
    <t>lausamad1@hotmail.com</t>
  </si>
  <si>
    <t>Ada Patricia Garcia Vasquez (Representante Legal)</t>
  </si>
  <si>
    <t>Luisa Postres Sas</t>
  </si>
  <si>
    <t>Cr 26 # 70 82</t>
  </si>
  <si>
    <t>hola@luisapostres.com</t>
  </si>
  <si>
    <t>Luisa Fernanda Lafaurie Cabal (Representante Legal), Santiago Lafaurie Cabal (Representante Legal Suplente)</t>
  </si>
  <si>
    <t>Idarraga Aguirre Marlenny</t>
  </si>
  <si>
    <t>Cr 19 20 52</t>
  </si>
  <si>
    <t>idarragaaguirremaleny@gmail.com</t>
  </si>
  <si>
    <t>Inversiones Gastronomicas Jasnabi S.A.S</t>
  </si>
  <si>
    <t>Cr 43 A # 21 95</t>
  </si>
  <si>
    <t>libia.sisa@asecones.com</t>
  </si>
  <si>
    <t>Benjamin Bursztyn Vainberg (Representante Legal), David Bursztyn Mendoza (Representante Legal Suplente)</t>
  </si>
  <si>
    <t>American Restaurant Company S A S</t>
  </si>
  <si>
    <t>Cr 10 # 26 77 Ed Centro Internacional Tequendama</t>
  </si>
  <si>
    <t>impuestos@taxcontadores.co</t>
  </si>
  <si>
    <t>Da Wei Ma (Representante Legal), Roberto Silva Guar (Representante Legal Suplente), Victor Hugo Muñoz Galindo (Representante Legal Suplente)</t>
  </si>
  <si>
    <t>20 (2024)</t>
  </si>
  <si>
    <t>Grupo Romeo &amp; Julieta Sas</t>
  </si>
  <si>
    <t>Calle 56 No 16-39</t>
  </si>
  <si>
    <t>felipe.acosta@romeoypaleta.com</t>
  </si>
  <si>
    <t>Luis Felipe Acosta Pachon (Representante Legal), Dinorah Maria Milane Morales (Representante Legal Suplente)</t>
  </si>
  <si>
    <t>51 (2021)</t>
  </si>
  <si>
    <t>Inversiones Sostenibles S A S</t>
  </si>
  <si>
    <t>Cr 71 D # 12 C 60 Ap 1103 To 2</t>
  </si>
  <si>
    <t>alba.carrillo@inversostenibles.com</t>
  </si>
  <si>
    <t>Alba Beatriz Carrillo Roldan (Representante Legal), Ricardo Antonio Diaz Arias (Representante Legal Suplente)</t>
  </si>
  <si>
    <t>Colombo Portuguesa Sas</t>
  </si>
  <si>
    <t>Cl 70 A No. 11 64</t>
  </si>
  <si>
    <t>fabio.diaz@yahoo.com</t>
  </si>
  <si>
    <t>Lina Margarita Gomez Hernandez (Representante Legal), Fabio Diaz Suescun (Representante Legal Suplente)</t>
  </si>
  <si>
    <t>2 (2020)</t>
  </si>
  <si>
    <t>Boleo Bowl Parque Colina S.A.S</t>
  </si>
  <si>
    <t>Cr 58 D # 146 51 Lc Lb11</t>
  </si>
  <si>
    <t>elboleo.financiero@gmail.com</t>
  </si>
  <si>
    <t>Ana Maria Buendia Rodriguez (Representante Legal), Alejandro Holguin Mora (Representante Legal Suplente)</t>
  </si>
  <si>
    <t>Inversiones Ramirez y Cifuentes S.A.S</t>
  </si>
  <si>
    <t>Cc Titan Local 419 y 420</t>
  </si>
  <si>
    <t>jcramirez@joshuacafebar.com</t>
  </si>
  <si>
    <t>Juan Carlos Ramirez Ramirez (Representante Legal)</t>
  </si>
  <si>
    <t>Alvaro y Miguel Sociedad Limitada</t>
  </si>
  <si>
    <t>La empresa Alvaro Y Miguel Sociedad Limitada se dedica a expendio de comidas preparadas en cafeterías. Opera en el mercado colombiano desde el año 1998.</t>
  </si>
  <si>
    <t>Ac 26 85 D 55 Of A 212</t>
  </si>
  <si>
    <t>contabilidadsycia@gmail.com</t>
  </si>
  <si>
    <t>Alvaro Salazar Rodriguez (Representante Legal), Jose Miguel Barriga Rodriguez (Representante Legal Suplente), Santiago Salazar Serrano (Representante Legal Suplente)</t>
  </si>
  <si>
    <t>4 (2024)</t>
  </si>
  <si>
    <t>Inversiones Milanes Gonzalez S.A.S</t>
  </si>
  <si>
    <t>La empresa Inversiones Milanes Gonzalez S En C se dedica a expendio por autoservicio de comidas preparadas. Opera en el mercado colombiano desde el año 2011.</t>
  </si>
  <si>
    <t>Cll 63 7A-13</t>
  </si>
  <si>
    <t>contabilidadcarbonplace@gmail.com</t>
  </si>
  <si>
    <t>Milanes Acosta Ulises Ernesto (Representante Legal), Gonzalez Lozano Elvia Maria (Representante Legal Suplente)</t>
  </si>
  <si>
    <t>19 (2019)</t>
  </si>
  <si>
    <t>Sintenedor S A S</t>
  </si>
  <si>
    <t>Cl 100 # 50 -38 Lc 10</t>
  </si>
  <si>
    <t>joseliasfuentes@hotmail.comm</t>
  </si>
  <si>
    <t>Joselias Fuentes Ballestas (Representante Legal), Diana Carolina Rodriguez Villafañe (Representante Legal Suplente), German Rodriguez Garcia (Representante Legal Suplente)</t>
  </si>
  <si>
    <t>14 (2023)</t>
  </si>
  <si>
    <t>Grupo Ingerlin Sas</t>
  </si>
  <si>
    <t>Cr 11 # 118 46</t>
  </si>
  <si>
    <t>idlince@hotmail.com</t>
  </si>
  <si>
    <t>Ivan Dario Lince Hinestroza (Representante Legal), Luis Fernando Insuasty Eraso (Representante Legal Suplente)</t>
  </si>
  <si>
    <t>Mac Vending Sas</t>
  </si>
  <si>
    <t>Cra 65 # 94-61</t>
  </si>
  <si>
    <t>macvending1@gmail.com</t>
  </si>
  <si>
    <t>Carlos Enrique Rodriguez Monroy (Representante Legal), Jairo Enrique Barrero Monroy (Representante Legal Suplente)</t>
  </si>
  <si>
    <t>Alba Lucia Gonzalez de Matallana</t>
  </si>
  <si>
    <t>Comercio al por mayor y al por menor en establecimientos no especializadon son surtido compuesto principalmenteviveres en gen</t>
  </si>
  <si>
    <t>Cr 76A # 131-11</t>
  </si>
  <si>
    <t>cafegourmet1973@gmail.com</t>
  </si>
  <si>
    <t>Alba Lucia Gonzalez de Matallana (Representante Legal)</t>
  </si>
  <si>
    <t>Nextfood Colombia S.A.S</t>
  </si>
  <si>
    <t>Cl 74 3 46 Ap 202 Ed Andrea</t>
  </si>
  <si>
    <t>dilepito@hotmail.com</t>
  </si>
  <si>
    <t>Diego Leonardo Piñeros Torres (Representante Legal), Caballero Garcia Andres Felipe (Miembro de la Junta Directiva), Eric Luc Camilo Thiriez Filippini (Miembro de la Junta Directiva), Jaime Alberto Gallo Gomez (Miembro de la Junta Directiva), John Miguel García Huerfano (Miembro de la Junta Directiva), Nicolas Bahamon Falla (Miembro de la Junta Directiva), Gabriel Humberto Piñeros (Representante Legal Suplente)</t>
  </si>
  <si>
    <t>Inversiones Mpl S A S</t>
  </si>
  <si>
    <t>Monica Palacio Lopez (Representante Legal)</t>
  </si>
  <si>
    <t>Colfraj Sas</t>
  </si>
  <si>
    <t>Cl 72 # 10 03 Of 604</t>
  </si>
  <si>
    <t>justiabos@yahoo.com</t>
  </si>
  <si>
    <t>Jesus Maria Carrillo Ballesteros (Representante Legal), Jacqueline Lievano Roa (Representante Legal Suplente)</t>
  </si>
  <si>
    <t>Dijon Bta Sas</t>
  </si>
  <si>
    <t>Cra 13 # 82 - 91 Ofc 101</t>
  </si>
  <si>
    <t>sergio0726@hotmail.com</t>
  </si>
  <si>
    <t>Fernandez de Castro Zuniga Sergio Raul (Representante Legal), Geronimo Basile Lemaitre (Representante Legal Suplente)</t>
  </si>
  <si>
    <t>4 (2022)</t>
  </si>
  <si>
    <t>Grupo Afra S A S</t>
  </si>
  <si>
    <t>Carrera 14C # 157-41 Apto 209</t>
  </si>
  <si>
    <t>gustares@gmail.com</t>
  </si>
  <si>
    <t>Gustavo Ares Guerrero Aviles (Representante Legal), Simon Vigoda Miler (Representante Legal)</t>
  </si>
  <si>
    <t>Lxf 1 Ltda</t>
  </si>
  <si>
    <t>Cr 12 A No. 83 49</t>
  </si>
  <si>
    <t>diego.picchi@gmail.com</t>
  </si>
  <si>
    <t>Balza Pablo Matias (Representante Legal)</t>
  </si>
  <si>
    <t>Inversiones Xorti Sas</t>
  </si>
  <si>
    <t>Demás Tipos de Alojamiento para Viajeros(721199); Bares y Otros Lugares para Beber(7224)</t>
  </si>
  <si>
    <t>Demás Tipos de Alojamiento para Viajeros(721199)</t>
  </si>
  <si>
    <t>Servicio Por Horas (I5530); Actividades De Otros Servicios De Comidas (I5629); Expendio De Bebidas Alcohólicas Para El Consumo Dentro Del Establecimiento (I5630)</t>
  </si>
  <si>
    <t>Servicio Por Horas (I5530)</t>
  </si>
  <si>
    <t>Cr 15 No. 62 22</t>
  </si>
  <si>
    <t>gestionfutura@hotmail.com</t>
  </si>
  <si>
    <t>Leonel Lozano Gaitan (Representante Legal)</t>
  </si>
  <si>
    <t>25 (2018)</t>
  </si>
  <si>
    <t>Inversiones Lontano S A S</t>
  </si>
  <si>
    <t>Cr 27 # 1 D 72</t>
  </si>
  <si>
    <t>santaisabel.qbano@gmail.com</t>
  </si>
  <si>
    <t>Daniela Gomez Rivas (Representante Legal)</t>
  </si>
  <si>
    <t>Insub Sas</t>
  </si>
  <si>
    <t>Cra 54 222 71 Via Colegio Nueva York</t>
  </si>
  <si>
    <t>insub.sas@gmail.com</t>
  </si>
  <si>
    <t>Sanchez Cabrales Camilo (Representante Legal), Chaves Rodriguez Catalina (Representante Legal Suplente)</t>
  </si>
  <si>
    <t>10 (2020)</t>
  </si>
  <si>
    <t>Inversiones Tulip S A S En Liquidacion</t>
  </si>
  <si>
    <t>Restaurantes y Otros Lugares para Comer(72251); Servicios Especiales de Comida(7223)</t>
  </si>
  <si>
    <t>Expendio A La Mesa De Comidas Preparadas (I5611); Expendio Por Autoservicio De Comidas Preparadas (I5612)</t>
  </si>
  <si>
    <t>Cr 11 A # 93 - 93 Local2</t>
  </si>
  <si>
    <t>michellemilhem@gmail.com</t>
  </si>
  <si>
    <t>Nini Johanna Gonzalez Velosa (Representante Legal)</t>
  </si>
  <si>
    <t>17 (2020)</t>
  </si>
  <si>
    <t>Quattro 50 Sas</t>
  </si>
  <si>
    <t>Calle 90 No 17-31 Local 4 Piso 2</t>
  </si>
  <si>
    <t>gerencia@quattro50.com</t>
  </si>
  <si>
    <t>Felix Sastoque del Castillo (Representante Legal), Cindy Yiseth Romero Ortiz (Representante Legal Suplente)</t>
  </si>
  <si>
    <t>Comercializadora Juan.K Sas</t>
  </si>
  <si>
    <t>Cr 78 # 26 30 Sur</t>
  </si>
  <si>
    <t>juankarlosg244@hotmail.com</t>
  </si>
  <si>
    <t>Juan Carlos Sanchez Gomez (Representante Legal)</t>
  </si>
  <si>
    <t>Plh S A S</t>
  </si>
  <si>
    <t>Cra 13A # 89-38 Ofi 623</t>
  </si>
  <si>
    <t>Carlos Andres Palacio Lopez (Representante Legal), Monica Palacio Lopez (Representante Legal Suplente)</t>
  </si>
  <si>
    <t>Octava Club Sas</t>
  </si>
  <si>
    <t>Cr 8 # 63 41</t>
  </si>
  <si>
    <t>octavaclubsas@gmail.com</t>
  </si>
  <si>
    <t>Andres Mauricio Ospitia Garnica (Representante Legal), Endrina Yuray Zambrano Zambrano (Representante Legal Suplente), Carlos Humberto Hernandez Nope (Revisor Fiscal)</t>
  </si>
  <si>
    <t>Gb Bar Sas</t>
  </si>
  <si>
    <t>Cl 86 A No. 13 A 30</t>
  </si>
  <si>
    <t>carlos.villalobos@lineadatascan.com</t>
  </si>
  <si>
    <t>Geronimo Basile Lemaitre (Representante Legal), Rp Asesoria Empresarial S.A.S. (Representante Legal)</t>
  </si>
  <si>
    <t>5 (2020)</t>
  </si>
  <si>
    <t>Operadora De Reposterias Y Otros S.A.S - En Liquidación</t>
  </si>
  <si>
    <t>Cafeterías y Bares para Bebidas sin Alcohol(722515); Servicios Especiales de Comida(7223); Panaderías y Producción de Tortillas(3118)</t>
  </si>
  <si>
    <t>Panaderías y Producción de Tortillas(3118)</t>
  </si>
  <si>
    <t>Elaboración De Productos De Panadería (C1081); Expendio De Comidas Preparadas En Cafeterías (I5613); Otros Tipos De Expendio De Comidas Preparadas N.C.P. (I5619)</t>
  </si>
  <si>
    <t>Elaboración De Productos De Panadería (C1081)</t>
  </si>
  <si>
    <t>Calle 98 70 - 91 Of 904</t>
  </si>
  <si>
    <t>contabilidad@veneciapasteleria.com</t>
  </si>
  <si>
    <t>Fernando Gallego Marulanda (Representante Legal)</t>
  </si>
  <si>
    <t>8 (2021)</t>
  </si>
  <si>
    <t>Ana Marlene Medrano Rojas</t>
  </si>
  <si>
    <t>Cl 25 D # 80 C 05</t>
  </si>
  <si>
    <t>nuevaalejandria@hotmail.com</t>
  </si>
  <si>
    <t>Ana Marlene Medrano Rojas (Representante Legal)</t>
  </si>
  <si>
    <t>28 (2021)</t>
  </si>
  <si>
    <t>Nutriarte S.A.S.</t>
  </si>
  <si>
    <t>Restaurantes y Otros Lugares para Comer(72251); Empresas de Catering(72232)</t>
  </si>
  <si>
    <t>Expendio Por Autoservicio De Comidas Preparadas (I5612); Catering Para Eventos (I5621)</t>
  </si>
  <si>
    <t>Calle 143 No 46 - 35</t>
  </si>
  <si>
    <t>nutriarte.bogota@gmail.com</t>
  </si>
  <si>
    <t>Juan Manuel Guio Rodriguez (Representante Legal)</t>
  </si>
  <si>
    <t>11 (2018)</t>
  </si>
  <si>
    <t>Inversiones Wildar S A S</t>
  </si>
  <si>
    <t>Expendio A La Mesa De Comidas Preparadas (I5611); Expendio De Bebidas Alcohólicas Para El Consumo Dentro Del Establecimiento (I5630)</t>
  </si>
  <si>
    <t>La empresa Mr Floyt Pub Parrilla Sas se dedica a expendio a la mesa de comidas preparadas. Opera en el mercado colombiano desde el año 2009.</t>
  </si>
  <si>
    <t>Av Cr 45 (Aut. Norte) No. 146 48 Lc 149</t>
  </si>
  <si>
    <t>mister.floyd@yahoo.com</t>
  </si>
  <si>
    <t>Juan Dario Marin Cañon (Representante Legal)</t>
  </si>
  <si>
    <t>18 (2018)</t>
  </si>
  <si>
    <t>Prosub S.A.S.</t>
  </si>
  <si>
    <t>Cl 17 No. 28 47</t>
  </si>
  <si>
    <t>fabianbuitrago@outlook.com</t>
  </si>
  <si>
    <t>Buitrago Betancourt Fabian Andres (Representante Legal)</t>
  </si>
  <si>
    <t>9 (2018)</t>
  </si>
  <si>
    <t>Operadora Alsea en Colombia S.A.</t>
  </si>
  <si>
    <t>Expendio a la mesa de comidas preparadas en resraurantes / otros tipos de expendio ncp de alimentos preparados</t>
  </si>
  <si>
    <t>Juan Pablo Castaño Villegas (Representante Legal), Andres Javier Barragan Villegas (Miembro de la Junta Directiva), Katherine Elizabeth Silva Hernandez (Miembro de la Junta Directiva), Santiago Manuel Farinati (Miembro de la Junta Directiva), Claudia Carolina Diaz Uribe (Miembro Suplente de la Junta Directiva), Marcelo Rojas Panelo (Miembro Suplente de la Junta Directiva), Claudia Patricia Delgado Maldonado (Representante Legal Suplente), Deloitte &amp; Touche S.A.S. (Revisor Fiscal), Enny Jisseth Ibarguen Mosquera (Revisor Fiscal), Hector Raul Palomino Pardo (Revisor Fiscal Suplente)</t>
  </si>
  <si>
    <t>La Casa de Quinta Camacho Sas</t>
  </si>
  <si>
    <t>Carrera 9 # 69 07</t>
  </si>
  <si>
    <t>llorenteadmon@gmail.com</t>
  </si>
  <si>
    <t>Winston Jose Franco Puentes (Representante Legal), Edgar David Noriega Gomez (Representante Legal Suplente)</t>
  </si>
  <si>
    <t>Angela Forero Garzon</t>
  </si>
  <si>
    <t>Cl 65 Sur # 79C-04 Lc 112</t>
  </si>
  <si>
    <t>donperro.comidas@hotmail.com</t>
  </si>
  <si>
    <t>Angela Forero Garzon (Representante Legal)</t>
  </si>
  <si>
    <t>Come Baila Goza S.A.S</t>
  </si>
  <si>
    <t>Cll 85 11 53 Interior 4</t>
  </si>
  <si>
    <t>vintrashbogota@gmail.com</t>
  </si>
  <si>
    <t>Daniel Fernando Vargas Amaya (Representante Legal), Jaime Alberto Cardona Valencia (Representante Legal Suplente), Jose Julian Cardona Valencia (Representante Legal Suplente)</t>
  </si>
  <si>
    <t>Americana de Alimentos Ada Sas</t>
  </si>
  <si>
    <t>Expendio a la mesa de comidas preparadas, en cafeterias</t>
  </si>
  <si>
    <t>Cr 55 A # 79B-36</t>
  </si>
  <si>
    <t>contadmilano@gmail.com</t>
  </si>
  <si>
    <t>Pedraza Garcia Manuel Alejandro (Representante Legal), Israel Garcia Segura (Miembro de la Junta Directiva), Luz Marina Garcia Segura (Miembro de la Junta Directiva), Nicolas Pedraza Garcia (Miembro de la Junta Directiva), Olga Yaneth Garzon Lombana (Revisor Fiscal)</t>
  </si>
  <si>
    <t>Sabanadeoro S.A.S.</t>
  </si>
  <si>
    <t>Cl 59 No. 8 48</t>
  </si>
  <si>
    <t>sabanadeorosas@criklahambuerguesa.com</t>
  </si>
  <si>
    <t>Milanes Acosta Javier Enrique (Representante Legal)</t>
  </si>
  <si>
    <t>12 (2018)</t>
  </si>
  <si>
    <t>Martinez Henao Rosanidia</t>
  </si>
  <si>
    <t>Cl 6 6 53</t>
  </si>
  <si>
    <t>maryluztorres2012@hotmail.com</t>
  </si>
  <si>
    <t>9 (2019)</t>
  </si>
  <si>
    <t>Cofal Group S A S</t>
  </si>
  <si>
    <t>Restaurantes y Otros Lugares para Comer(72251); Servicios Especiales de Comida(7223); Comerciantes al por Mayor de Productos Agrícolas de Materias Primas(4245); Comerciantes al por Mayor de Comestibles y Productos Relacionados(4244)</t>
  </si>
  <si>
    <t>Comercio Al Por Mayor De Materias Primas Agropecuarias; Animales Vivos (G4620); Comercio Al Por Mayor De Productos Alimenticios (G4631); Expendio A La Mesa De Comidas Preparadas (I5611); Expendio Por Autoservicio De Comidas Preparadas (I5612)</t>
  </si>
  <si>
    <t>Cra. 22 # 9A - 37 Local 1</t>
  </si>
  <si>
    <t>guisellaperezp@hotmail.com</t>
  </si>
  <si>
    <t>Guisella Patricia Perez Peñuela (Representante Legal)</t>
  </si>
  <si>
    <t>Inversiones Armando Fuentes S A S En Liquidacion</t>
  </si>
  <si>
    <t>Restaurantes y Otros Lugares para Comer(72251); Bares y Otros Lugares para Beber(7224); Servicios Especiales de Comida(7223)</t>
  </si>
  <si>
    <t>Expendio A La Mesa De Comidas Preparadas (I5611); Expendio Por Autoservicio De Comidas Preparadas (I5612); Expendio De Bebidas Alcohólicas Para El Consumo Dentro Del Establecimiento (I5630)</t>
  </si>
  <si>
    <t>La empresa Inversiones Armando Fuentes S.A.S. se dedica a expendio a la mesa de comidas preparadas.</t>
  </si>
  <si>
    <t>Calle 85 No. 14 - 46</t>
  </si>
  <si>
    <t>Julieth Alejandra Florez Gonzalez (Representante Legal)</t>
  </si>
  <si>
    <t>15 (2020)</t>
  </si>
  <si>
    <t>Armando Pizza Y Pola Sas En Liquidacion</t>
  </si>
  <si>
    <t>Cr 14 # 85 - 33</t>
  </si>
  <si>
    <t>4 (2020)</t>
  </si>
  <si>
    <t>Once &amp; Make Company Sas</t>
  </si>
  <si>
    <t>Cr 56 B # 127 27 In 6 Ap 524</t>
  </si>
  <si>
    <t>modeque@hotmail.com</t>
  </si>
  <si>
    <t>Francisco Julian Sanin Diaz (Representante Legal), Gloria Ana Felisa Quevedo Monroy (Representante Legal Suplente), Monica Delgado Quevedo (Revisor Fiscal)</t>
  </si>
  <si>
    <t>20 (2020)</t>
  </si>
  <si>
    <t>Maya Urriago Monica Andrea</t>
  </si>
  <si>
    <t>Maya Urriago Monica Andrea se dedica a expendio por autoservicio de comidas preparadas. Opera en el mercado colombiano desde el año 2011.</t>
  </si>
  <si>
    <t>Av Cra 58 127 59 C Cial Bulevar Niza Local 307</t>
  </si>
  <si>
    <t>Ana Maria Espinel Rojas</t>
  </si>
  <si>
    <t>Ac 53 70 - 16</t>
  </si>
  <si>
    <t>anamaespinel@hotmail.com</t>
  </si>
  <si>
    <t>Ana Maria Espinel Rojas (Representante Legal)</t>
  </si>
  <si>
    <t>8 (2022)</t>
  </si>
  <si>
    <t>Cho &amp; H S.A.S</t>
  </si>
  <si>
    <t>Cll 122 # 18 C 51</t>
  </si>
  <si>
    <t>buffettime0815@gmail.com</t>
  </si>
  <si>
    <t>Hunha Hwang (Representante Legal), Jun Ha Hwang (Representante Legal Suplente)</t>
  </si>
  <si>
    <t>2 (2023)</t>
  </si>
  <si>
    <t>Gerardo Gonzalez Merchan</t>
  </si>
  <si>
    <t>Cr 56 # 4 13</t>
  </si>
  <si>
    <t>luzmerygonzalezv@hotmail.com</t>
  </si>
  <si>
    <t>Gerardo Gonzalez Merchan (Representante Legal)</t>
  </si>
  <si>
    <t>Chrono's Fantasy Sas</t>
  </si>
  <si>
    <t>Demás Tipos de Industrias de Diversión y Recreativas(71399); Bares y Otros Lugares para Beber(7224); Servicios Especiales de Comida(7223)</t>
  </si>
  <si>
    <t>Expendio A La Mesa De Comidas Preparadas (I5611); Otros Tipos De Expendio De Comidas Preparadas N.C.P. (I5619); Expendio De Bebidas Alcohólicas Para El Consumo Dentro Del Establecimiento (I5630); Otras Actividades Recreativas Y De Esparcimiento N.C.P. (R9329)</t>
  </si>
  <si>
    <t>Cra 36 # 63 10</t>
  </si>
  <si>
    <t>gerencia@deekmachine.com</t>
  </si>
  <si>
    <t>Erick Gerardo Gomez Escobar (Representante Legal)</t>
  </si>
  <si>
    <t>Vasquez Giraldo Henry Augusto</t>
  </si>
  <si>
    <t>Cl Santander 21 06</t>
  </si>
  <si>
    <t>lapapeleria_2014@hotmail.com</t>
  </si>
  <si>
    <t>15 (2019)</t>
  </si>
  <si>
    <t>Inversiones Alelu S A S</t>
  </si>
  <si>
    <t>Empresas de Catering(72232); Bares y Otros Lugares para Beber(7224)</t>
  </si>
  <si>
    <t>Expendio A La Mesa De Comidas Preparadas (I5611); Catering Para Eventos (I5621); Actividades De Otros Servicios De Comidas (I5629); Expendio De Bebidas Alcohólicas Para El Consumo Dentro Del Establecimiento (I5630)</t>
  </si>
  <si>
    <t>Cra 12 # 93 - 11 Local 2</t>
  </si>
  <si>
    <t>alejandra.usubillaga@gmail.com</t>
  </si>
  <si>
    <t>Maria Alejandra Usubillaga Lopez (Representante Legal)</t>
  </si>
  <si>
    <t>La Cosmica Sas</t>
  </si>
  <si>
    <t>Cl 62 # 9 A 28</t>
  </si>
  <si>
    <t>polleria.la.cosmica@gmail.com</t>
  </si>
  <si>
    <t>Ricardo Arango Cadavid (Representante Legal)</t>
  </si>
  <si>
    <t>3 (2022)</t>
  </si>
  <si>
    <t>Betancurth Martinez Jose Antonio</t>
  </si>
  <si>
    <t>Cl 21 23 18</t>
  </si>
  <si>
    <t>joseantoniobetancurth@gmail.com</t>
  </si>
  <si>
    <t>Tempo Entretenimiento Sas</t>
  </si>
  <si>
    <t>Cra. 8 No. 63 - 41</t>
  </si>
  <si>
    <t>diegomartinezudc@gmail.com</t>
  </si>
  <si>
    <t>Londoño Martinez Juan Jose (Representante Legal), De La Espriella Gardeazabal Alvaro Armando (Miembro de la Junta Directiva), Martinez Rodriguez Diego Alejandro (Miembro de la Junta Directiva), Pachon Fonseca Augusto Nicolas (Miembro de la Junta Directiva), Pachon Fonseca Gerardo (Miembro de la Junta Directiva), Calderon Quintero Paola (Miembro Suplente de la Junta Directiva), Hurtado Ariza Javier Andres (Miembro Suplente de la Junta Directiva), Martinez Garzon Luis Alfonso (Miembro Suplente de la Junta Directiva), Pachon Hurtado Maria Fernanda (Miembro Suplente de la Junta Directiva)</t>
  </si>
  <si>
    <t>14 (2019)</t>
  </si>
  <si>
    <t>Sn Sas</t>
  </si>
  <si>
    <t>Av Cl 13 5 65</t>
  </si>
  <si>
    <t>santiago.sierranevada@gmail.com</t>
  </si>
  <si>
    <t>Nicolas Rivera Andrade (Representante Legal)</t>
  </si>
  <si>
    <t>Vivasub Sas</t>
  </si>
  <si>
    <t>cavivilla@hotmail.com</t>
  </si>
  <si>
    <t>Catalina Villa Vivas (Representante Legal)</t>
  </si>
  <si>
    <t>6 (2019)</t>
  </si>
  <si>
    <t>Proyecto I - Loop Co. Sas</t>
  </si>
  <si>
    <t>La empresa Proyecto I - Loop Co. S.A.S. se dedica a expendio de bebidas alcohólicas para el consumo dentro del establecimiento.</t>
  </si>
  <si>
    <t>Calle 85 No. 14 05 Piso 06</t>
  </si>
  <si>
    <t>yensym.bred@gmail.com</t>
  </si>
  <si>
    <t>Delgado Buitrago Andres Felipe (Representante Legal)</t>
  </si>
  <si>
    <t>Inversiones Kimiro S A S</t>
  </si>
  <si>
    <t>Expendio A La Mesa De Comidas Preparadas (I5611); Otros Tipos De Expendio De Comidas Preparadas N.C.P. (I5619); Expendio De Bebidas Alcohólicas Para El Consumo Dentro Del Establecimiento (I5630)</t>
  </si>
  <si>
    <t>Cr 43 A No. 22 B 38</t>
  </si>
  <si>
    <t>fabiomiranda7@hotmail.com</t>
  </si>
  <si>
    <t>Fabio Miranda Mendoza (Representante Legal)</t>
  </si>
  <si>
    <t>16 (2019)</t>
  </si>
  <si>
    <t>Guzman Entertainment S A S En Liquidacion</t>
  </si>
  <si>
    <t>Grupos Musicales y Artistas(71113); Compañías de Teatro y Cena Teatros(71111); Bares y Otros Lugares para Beber(7224); Servicios Especiales de Comida(7223)</t>
  </si>
  <si>
    <t>Compañías de Teatro y Cena Teatros(71111)</t>
  </si>
  <si>
    <t>Expendio A La Mesa De Comidas Preparadas (I5611); Expendio De Bebidas Alcohólicas Para El Consumo Dentro Del Establecimiento (I5630); Actividades Teatrales (R9006); Actividades De Espectáculos Musicales En Vivo (R9007)</t>
  </si>
  <si>
    <t>Actividades Teatrales (R9006)</t>
  </si>
  <si>
    <t>Calle 135 No. 46 - 55</t>
  </si>
  <si>
    <t>cabaretbogota@hotmail.com</t>
  </si>
  <si>
    <t>Jairo Alfonso Chinchilla Orozco (Representante Legal)</t>
  </si>
  <si>
    <t>Guillermina Mendoza Nieves</t>
  </si>
  <si>
    <t>Cr 16 A # 23-19</t>
  </si>
  <si>
    <t>hermanasmendozanieves@gmail.com</t>
  </si>
  <si>
    <t>Guillermina Mendoza Nieves (Representante Legal)</t>
  </si>
  <si>
    <t>Tishrei Grupo Empresarial Sas.</t>
  </si>
  <si>
    <t>Dg 5 H No. 45-72</t>
  </si>
  <si>
    <t>tropicalpereira@gmail.com</t>
  </si>
  <si>
    <t>Siluan Restrepo Mauricio (Representante Legal)</t>
  </si>
  <si>
    <t>7 (2018)</t>
  </si>
  <si>
    <t>Union Libre Sas</t>
  </si>
  <si>
    <t>Cafeterías y Bares para Bebidas sin Alcohol(722515); Otras Tiendas de Comidas Artesanales(44529); Servicios Especiales de Comida(7223)</t>
  </si>
  <si>
    <t>Comercio Al Por Menor De Otros Productos Alimenticios N.C.P., En Establecimientos Especializados (G4729); Expendio De Comidas Preparadas En Cafeterías (I5613); Otros Tipos De Expendio De Comidas Preparadas N.C.P. (I5619)</t>
  </si>
  <si>
    <t>Otros Tipos De Expendio De Comidas Preparadas N.C.P. (I5619)</t>
  </si>
  <si>
    <t>Cra 6 No. 117 - 50</t>
  </si>
  <si>
    <t>administracion@unionlibre.co</t>
  </si>
  <si>
    <t>Ana Julia Arevalo Delgado (Representante Legal)</t>
  </si>
  <si>
    <t>3 (2018)</t>
  </si>
  <si>
    <t>Por Amor A La Pola Sas</t>
  </si>
  <si>
    <t>Cc Bd Bacata Primera Planta Lc 04</t>
  </si>
  <si>
    <t>poramoralapola@gmail.com</t>
  </si>
  <si>
    <t>Florez Contreras Miguel Angel (Representante Legal)</t>
  </si>
  <si>
    <t>Echeverri Hoyos William Neftali</t>
  </si>
  <si>
    <t>Cl 52 50 07 Brr Girardot</t>
  </si>
  <si>
    <t>natechser08@gmaiol.com</t>
  </si>
  <si>
    <t>Consorcio Retail Sas</t>
  </si>
  <si>
    <t>Bares y Otros Lugares para Beber(7224); Servicios Especiales de Comida(7223); Supermercados(4451)</t>
  </si>
  <si>
    <t>Comercio Al Por Menor En Establecimientos No Especializados Con Surtido Compuesto Principalmente Por Alimentos, Bebidas O Tabaco (G4711); Expendio A La Mesa De Comidas Preparadas (I5611); Expendio De Bebidas Alcohólicas Para El Consumo Dentro Del Establecimiento (I5630)</t>
  </si>
  <si>
    <t>Cl 185 No. 45 03 Lc 2 - 112</t>
  </si>
  <si>
    <t>alejandromaro@gmail.com</t>
  </si>
  <si>
    <t>Alejandro Marquez Cortes (Representante Legal)</t>
  </si>
  <si>
    <t>10 (2019)</t>
  </si>
  <si>
    <t>Sabogal Hermanos Sucesores S En C Simple</t>
  </si>
  <si>
    <t>Cafeterías y Bares para Bebidas sin Alcohol(722515); Otras Tiendas de Comidas Artesanales(44529); Arrendadores de Bienes Inmuebles(5311); Fabricación de Productos Lácteos(3115)</t>
  </si>
  <si>
    <t>Elaboración De Productos Lácteos (C1040); Comercio Al Por Menor De Otros Productos Alimenticios N.C.P., En Establecimientos Especializados (G4729); Expendio De Comidas Preparadas En Cafeterías (I5613); Actividades Inmobiliarias Realizadas Con Bienes Propios O Arrendados (L6810)</t>
  </si>
  <si>
    <t>Cl 19 No. 4 56 Of 2022</t>
  </si>
  <si>
    <t>sabogalhermanos@hotmail.com</t>
  </si>
  <si>
    <t>Carlos Eduardo Sabogal Rubio (Representante Legal)</t>
  </si>
  <si>
    <t>11 (2020)</t>
  </si>
  <si>
    <t>Master Beer Pub Sas</t>
  </si>
  <si>
    <t>Cra 7 # 161 -29</t>
  </si>
  <si>
    <t>jtorres@masterbeer.com.co</t>
  </si>
  <si>
    <t>Mayra Alejandra Brito Ruiz (Representante Legal), Juan Carlos Torres Lopez (Representante Legal Suplente)</t>
  </si>
  <si>
    <t>Guara S.A.S. en Reorganización</t>
  </si>
  <si>
    <t>Grupos Musicales y Artistas(71113); Otros Servicios de Apoyo de Negocios(56149); Bares y Otros Lugares para Beber(7224); Servicios Especiales de Comida(7223)</t>
  </si>
  <si>
    <t>Expendio A La Mesa De Comidas Preparadas (I5611); Expendio De Bebidas Alcohólicas Para El Consumo Dentro Del Establecimiento (I5630); Otras Actividades De Servicio De Apoyo A Las Empresas N.C.P. (N8299); Actividades De Espectáculos Musicales En Vivo (R9007)</t>
  </si>
  <si>
    <t>Ak 19 No. 148 65</t>
  </si>
  <si>
    <t>contabilidad.arismendi@hotmail.com</t>
  </si>
  <si>
    <t>Calderon Vera Ana Sixta (Representante Legal), Sanchez Calderon Jaime Wilson (Representante Legal Suplente)</t>
  </si>
  <si>
    <t>1 (2019)</t>
  </si>
  <si>
    <t>C.L.C. Asociados S A S En Liquidacion</t>
  </si>
  <si>
    <t>Carrera 100 No. 18</t>
  </si>
  <si>
    <t>drikko82@gmail.com</t>
  </si>
  <si>
    <t>Edgar Enrique Castro Riaño (Representante Legal)</t>
  </si>
  <si>
    <t>3 (2019)</t>
  </si>
  <si>
    <t>C I Quality Trade Limitada</t>
  </si>
  <si>
    <t>La empresa C I Quality Trade Limitada se dedica a comercio al por menor de artículos y utensilios de uso doméstico. Opera en el mercado colombiano desde el año 2001.</t>
  </si>
  <si>
    <t>Kr. 56 B # 127-38 Int. 1</t>
  </si>
  <si>
    <t>ventas@qualitytrade.com.co</t>
  </si>
  <si>
    <t>Jorge Mauricio Salguero Pardo (Representante Legal), Luis Miguel Calle Carvalho (Representante Legal Suplente)</t>
  </si>
  <si>
    <t>Inversiones Santo y Leña S.A.S. en Reorganización</t>
  </si>
  <si>
    <t>Produccion, preparacion,adquisicion, distribucion y comercializacion en general de productos o sustancias alimenticias en estado natural para su transformacion y listos para el consumo en establecimie.</t>
  </si>
  <si>
    <t>Cra 72 No 23-13 Ap 501 Int 6</t>
  </si>
  <si>
    <t>jm.vasquez@etb.net.co</t>
  </si>
  <si>
    <t>Vasquez Rodriguez Esperanza (Representante Legal), Escobar Montenegro Luz Mireya (Miembro de la Junta Directiva), Lombana Gonzalez Jorge Alberto (Miembro de la Junta Directiva), Vasquez Rodriguez Juan Manuel (Miembro de la Junta Directiva), Pacheco Chavez Said (Contador)</t>
  </si>
  <si>
    <t>4 (2012)</t>
  </si>
  <si>
    <t>Bruma y Taza S.A.S</t>
  </si>
  <si>
    <t>Carrera 12 93 57 Piso 2</t>
  </si>
  <si>
    <t>contabilidad@brumaytaza.com</t>
  </si>
  <si>
    <t>Martha Lucia Cuellar Gomez (Representante Legal), Wilfer Javier Cuellar Gomez (Representante Legal Suplente)</t>
  </si>
  <si>
    <t>Inversiones Lopal S.A.S.</t>
  </si>
  <si>
    <t>Expendio A La Mesa De Comidas Preparadas (I5611); Expendio Por Autoservicio De Comidas Preparadas (I5612); Otros Tipos De Expendio De Comidas Preparadas N.C.P. (I5619); Expendio De Bebidas Alcohólicas Para El Consumo Dentro Del Establecimiento (I5630)</t>
  </si>
  <si>
    <t>Cl 40 C No. 13 14</t>
  </si>
  <si>
    <t>compaisa1314@gmail.com</t>
  </si>
  <si>
    <t>Marta Lucia Lopez Palacio (Representante Legal)</t>
  </si>
  <si>
    <t>24 (2019)</t>
  </si>
  <si>
    <t>Tassoni Soda Sas</t>
  </si>
  <si>
    <t>Cra 97 24 32 Casa 32</t>
  </si>
  <si>
    <t>tassoni.soda@gmail.com</t>
  </si>
  <si>
    <t>Oscar Alexander Jaramillo Garcia (Representante Legal)</t>
  </si>
  <si>
    <t>God Willing Sas</t>
  </si>
  <si>
    <t>Av Cr 45 No 150 - 17 / 19</t>
  </si>
  <si>
    <t>chernandez70@hotmail.com</t>
  </si>
  <si>
    <t>Rojas Gonzalez David Leonardo (Representante Legal), Correa Cuesta Yeimy Alejandra (Representante Legal Suplente)</t>
  </si>
  <si>
    <t>4 (2018)</t>
  </si>
  <si>
    <t>Diletto Caffe E Ristorante S A S</t>
  </si>
  <si>
    <t>Cr 70 G # 69 B 70</t>
  </si>
  <si>
    <t>adussan@dilettocafe.com</t>
  </si>
  <si>
    <t>Jaime Dussan Gomez (Representante Legal), Nelly Andrea Dussan Salazar (Representante Legal Suplente)</t>
  </si>
  <si>
    <t>Inversiones Permun S A S</t>
  </si>
  <si>
    <t>Cra 46 152 46 Centro</t>
  </si>
  <si>
    <t>pieruccinijs@hotmail.com</t>
  </si>
  <si>
    <t>Luisa Paola Pieruccini Munera (Representante Legal)</t>
  </si>
  <si>
    <t>4 (2017)</t>
  </si>
  <si>
    <t>Varela Noval S.A.S.</t>
  </si>
  <si>
    <t>La empresa Varela Noval Sas se dedica a expendio de bebidas alcohólicas para el consumo dentro del establecimiento. Opera en el mercado colombiano desde el año 2011.</t>
  </si>
  <si>
    <t>Cra 12 A No. 83 - 20</t>
  </si>
  <si>
    <t>jpcuellar@hotmail.com</t>
  </si>
  <si>
    <t>www.varelanoval.com</t>
  </si>
  <si>
    <t>Cuellar Schroeder Juan Pablo (Representante Legal)</t>
  </si>
  <si>
    <t>Grupo Brogoma Sas</t>
  </si>
  <si>
    <t>Hoteles (excepto Hoteles Casino) y Moteles(72111); Bares y Otros Lugares para Beber(7224); Servicios Especiales de Comida(7223)</t>
  </si>
  <si>
    <t>Hoteles (excepto Hoteles Casino) y Moteles(72111)</t>
  </si>
  <si>
    <t>Alojamiento En Hoteles (I5511); Expendio A La Mesa De Comidas Preparadas (I5611); Expendio De Bebidas Alcohólicas Para El Consumo Dentro Del Establecimiento (I5630)</t>
  </si>
  <si>
    <t>Alojamiento En Hoteles (I5511)</t>
  </si>
  <si>
    <t>Ac 26 No. 85D - 55 Local A148B - E27A</t>
  </si>
  <si>
    <t>n.gonzalez@bosquehotel.com.co</t>
  </si>
  <si>
    <t>Dora Morales Martinez (Representante Legal)</t>
  </si>
  <si>
    <t>3 (2020)</t>
  </si>
  <si>
    <t>P&amp;P Liquors &amp; Delicatessen Sas</t>
  </si>
  <si>
    <t>Cr 15 # 72 90 P 1</t>
  </si>
  <si>
    <t>pypldelicatessen@gmail.com</t>
  </si>
  <si>
    <t>Cesar Elquin Mosquera Mosquera (Representante Legal), Jhon Jairo Lopez Cuesta (Representante Legal Suplente)</t>
  </si>
  <si>
    <t>Lamayor Food Company Sas</t>
  </si>
  <si>
    <t>Construcción de Edificios Residenciales(23611); Bares y Otros Lugares para Beber(7224); Servicios Especiales de Comida(7223); Arrendadores de Bienes Inmuebles(5311)</t>
  </si>
  <si>
    <t>Construcción De Edificios Residenciales (F4111); Expendio A La Mesa De Comidas Preparadas (I5611); Expendio De Bebidas Alcohólicas Para El Consumo Dentro Del Establecimiento (I5630); Actividades Inmobiliarias Realizadas Con Bienes Propios O Arrendados (L6810)</t>
  </si>
  <si>
    <t>Cl 24 A # 59 - 42 Torre 3 Local 110</t>
  </si>
  <si>
    <t>gerencialamayorbogota@gmail.com</t>
  </si>
  <si>
    <t>Yivi Johanna Bermudez Claro (Representante Legal)</t>
  </si>
  <si>
    <t>5 (2019)</t>
  </si>
  <si>
    <t>Tegui Sas</t>
  </si>
  <si>
    <t>Ac 85 # 14 - 05 P 7</t>
  </si>
  <si>
    <t>nicolaswiesner.sabogal@gmail.com</t>
  </si>
  <si>
    <t>Wiesner Sabogal Nicolas (Representante Legal)</t>
  </si>
  <si>
    <t>Inversiones Henko S.A.S.</t>
  </si>
  <si>
    <t>Calle 152 B # 104 - 50 To 4 Apt 801</t>
  </si>
  <si>
    <t>inversioneshenko@gmail.com</t>
  </si>
  <si>
    <t>Wilmer Jair Arellan Torres (Representante Legal)</t>
  </si>
  <si>
    <t>4 (2023)</t>
  </si>
  <si>
    <t>Bjl S A S</t>
  </si>
  <si>
    <t>Expendio A La Mesa De Comidas Preparadas (I5611); Expendio Por Autoservicio De Comidas Preparadas (I5612); Actividades De Otros Servicios De Comidas (I5629)</t>
  </si>
  <si>
    <t>Cll 53 # 14 - 44 Loc</t>
  </si>
  <si>
    <t>lgranadosr@gmail.com</t>
  </si>
  <si>
    <t>Liliana Victoria Granados Rodriguez (Representante Legal)</t>
  </si>
  <si>
    <t>1 (2018)</t>
  </si>
  <si>
    <t>Organización Aaa S A S</t>
  </si>
  <si>
    <t>Demás Tipos de Alojamiento para Viajeros(721199); Tiendas de Medicamentos y Farmacias(44611); Bares y Otros Lugares para Beber(7224); Tiendas de Artículos Diversos(453)</t>
  </si>
  <si>
    <t>Comercio Al Por Menor De Productos Farmacéuticos Y Medicinales, Cosméticos Y Artículos De Tocador En Establecimientos Especializados (G4773); Comercio Al Por Menor De Otros Productos Nuevos En Establecimientos Especializados (G4774); Servicio Por Horas (I5530); Expendio De Bebidas Alcohólicas Para El Consumo Dentro Del Establecimiento (I5630)</t>
  </si>
  <si>
    <t>La empresa Organización Aaa S A S se dedica a alojamiento en apartahoteles. Opera en el mercado colombiano desde el año 2008.</t>
  </si>
  <si>
    <t>Cr 69 C No. 31 - 04 Sur</t>
  </si>
  <si>
    <t>camangarces@yahoo.es</t>
  </si>
  <si>
    <t>Efrain Arriero Doblado (Representante Legal)</t>
  </si>
  <si>
    <t>15 (2021)</t>
  </si>
  <si>
    <t>Grupo Proyectar Ico Sas</t>
  </si>
  <si>
    <t>Carrera 72 B # 5 B 93 Of 202</t>
  </si>
  <si>
    <t>bbcnuestrobogota3245@gmail.com</t>
  </si>
  <si>
    <t>Ivonne Giovanna Cuervo Ortiz (Representante Legal)</t>
  </si>
  <si>
    <t>Twins Group Sas</t>
  </si>
  <si>
    <t>Calle 81 No. 11 - 94 Centro Comercial El Retiro</t>
  </si>
  <si>
    <t>info@elsitiogroup.com</t>
  </si>
  <si>
    <t>Rodriguez Guarnizo Gloria Esperanza (Representante Legal)</t>
  </si>
  <si>
    <t>Roca Group S A S</t>
  </si>
  <si>
    <t>Bares y Otros Lugares para Beber(7224); Servicios Especiales de Comida(7223); Comerciantes al por Mayor de Maquinaría, Equipos y Suministros(4238)</t>
  </si>
  <si>
    <t>Comercio Al Por Mayor De Otros Tipos De Maquinaria Y Equipo N.C.P. (G4659); Expendio A La Mesa De Comidas Preparadas (I5611); Expendio De Bebidas Alcohólicas Para El Consumo Dentro Del Establecimiento (I5630)</t>
  </si>
  <si>
    <t>Expendio de bebidas alcohólicas para el consumo dentro del establecimiento</t>
  </si>
  <si>
    <t>Av El Dorado No. 69 A - 51 Lc 104 B</t>
  </si>
  <si>
    <t>contabilidad@rocaclub.com</t>
  </si>
  <si>
    <t>Ginna Paola Avila Romero (Representante Legal)</t>
  </si>
  <si>
    <t>Gallego Murillo Oscar Mauricio</t>
  </si>
  <si>
    <t>Cl 42 73 04</t>
  </si>
  <si>
    <t>maogallego34@gmail.com</t>
  </si>
  <si>
    <t>Tdhc Sas</t>
  </si>
  <si>
    <t>Cl 74 A # 2 84</t>
  </si>
  <si>
    <t>nicolasnohra@lanof.co</t>
  </si>
  <si>
    <t>Nicolas Nohra de Angulo (Representante Legal), Juan Carlos Fandiño Basto (Representante Legal Suplente)</t>
  </si>
  <si>
    <t>7 (2023)</t>
  </si>
  <si>
    <t>Luklsub Sas</t>
  </si>
  <si>
    <t>Calle 70 A No. 1 -64</t>
  </si>
  <si>
    <t>klacu1@hotmail.com</t>
  </si>
  <si>
    <t>Lacouture Lacouture Catalina (Representante Legal)</t>
  </si>
  <si>
    <t>4 (2019)</t>
  </si>
  <si>
    <t>Guda Diseño Interior Sas</t>
  </si>
  <si>
    <t>Restaurantes y Otros Lugares para Comer(72251); Bares y Otros Lugares para Beber(7224); Servicios de Diseño Especializado(5414); Fabricación de Muebles y Productos Relacionados(337)</t>
  </si>
  <si>
    <t>Servicios de Diseño Especializado(5414)</t>
  </si>
  <si>
    <t>Fabricación De Muebles (C3110); Expendio Por Autoservicio De Comidas Preparadas (I5612); Expendio De Bebidas Alcohólicas Para El Consumo Dentro Del Establecimiento (I5630); Actividades Especializadas De Diseño (M7410)</t>
  </si>
  <si>
    <t>Actividades Especializadas De Diseño (M7410)</t>
  </si>
  <si>
    <t>Otras actividades empresarialesarquitectura, ingenieria y ejerc de profesion liberalmuebles hogarmuebles oficinamuebles locales comerciales</t>
  </si>
  <si>
    <t>Av Cll 80 No. 22 59</t>
  </si>
  <si>
    <t>administrativo@gudadiseno.com</t>
  </si>
  <si>
    <t>Guillermo Andres Roldan Castro (Representante Legal)</t>
  </si>
  <si>
    <t>7 (2011)</t>
  </si>
  <si>
    <t>Grupo B &amp; G Asociados S A S - En Reorganización</t>
  </si>
  <si>
    <t>Cafeterías y Bares para Bebidas sin Alcohol(722515); Oficinas de Convenciones y Visitantes(561591); Bares y Otros Lugares para Beber(7224); Servicios Especiales de Comida(7223)</t>
  </si>
  <si>
    <t>Expendio A La Mesa De Comidas Preparadas (I5611); Expendio De Comidas Preparadas En Cafeterías (I5613); Expendio De Bebidas Alcohólicas Para El Consumo Dentro Del Establecimiento (I5630); Organización De Convenciones Y Eventos Comerciales (N8230)</t>
  </si>
  <si>
    <t>Cr 71 D No. 6 - 61 Sur</t>
  </si>
  <si>
    <t>cafe_altbier@hotmail.com</t>
  </si>
  <si>
    <t>Willan Hernan Galvis Bulla (Representante Legal)</t>
  </si>
  <si>
    <t>Subquicia Sas</t>
  </si>
  <si>
    <t>Carrera 13 A 28 38 Local 101</t>
  </si>
  <si>
    <t>adm.subquiciasas@gmail.com</t>
  </si>
  <si>
    <t>Maria Alexandra Arevalo Parra (Representante Legal), Alfredo Enrique Calderon Gutierrez (Miembro de la Junta Directiva), Esperanza Parra de Arevalo (Miembro de la Junta Directiva), Jorge Alberto Ponce de Leon Gutierrez (Miembro de la Junta Directiva), Jorge Alejandro Ponce de Leon Lemoine (Miembro de la Junta Directiva), Jose Osaman Arevalo Cuellar (Miembro de la Junta Directiva)</t>
  </si>
  <si>
    <t>Grupo Alimentos Frescos S A S</t>
  </si>
  <si>
    <t>Calle 129 50A 40</t>
  </si>
  <si>
    <t>grupoalfresco@gmail.com</t>
  </si>
  <si>
    <t>Diego Alonso Bermudez Mojica (Representante Legal)</t>
  </si>
  <si>
    <t>1 (2017)</t>
  </si>
  <si>
    <t>Onofre Cortes &amp; Cia Sociedad Por Acciones Simplificada</t>
  </si>
  <si>
    <t>Calle 128 B # 72-35 Ap 202</t>
  </si>
  <si>
    <t>parrillaypicaditas@gmail.com</t>
  </si>
  <si>
    <t>Martha Rocio Onofre Cortes (Representante Legal), Carolina Velandia Onofre (Representante Legal Suplente), Dario Velandia Triviño (Representante Legal Suplente), Hector Armando Cadena Villalba (Revisor Fiscal)</t>
  </si>
  <si>
    <t>Amazing God S.A.S</t>
  </si>
  <si>
    <t>Fabricación de Todos los Demás Tipos de Alimentos Diversos(311999); Fabricación de Alimentos Preparados Perecederos(311991); Restaurantes y Otros Lugares para Comer(72251)</t>
  </si>
  <si>
    <t>Fabricación de Todos los Demás Tipos de Alimentos Diversos(311999)</t>
  </si>
  <si>
    <t>Elaboración De Comidas Y Platos Preparados (C1084); Elaboración De Otros Productos Alimenticios N.C.P. (C1089); Expendio Por Autoservicio De Comidas Preparadas (I5612)</t>
  </si>
  <si>
    <t>Elaboración De Otros Productos Alimenticios N.C.P. (C1089)</t>
  </si>
  <si>
    <t>Cl 72 No. 68 G 75</t>
  </si>
  <si>
    <t>amazinggodsas@gmail.com</t>
  </si>
  <si>
    <t>William Alexander Cuadrado Bravo (Representante Legal)</t>
  </si>
  <si>
    <t>4 (2021)</t>
  </si>
  <si>
    <t>Ospina Montoya Wilmar Antonio</t>
  </si>
  <si>
    <t>Cr 51 54 95</t>
  </si>
  <si>
    <t>ospinamontoyawilmar@gmail.com</t>
  </si>
  <si>
    <t>18 (2019)</t>
  </si>
  <si>
    <t>Inversiones Navilo Sas</t>
  </si>
  <si>
    <t>Calle 127B # 46 - 40</t>
  </si>
  <si>
    <t>logarcia.4@gmail.com</t>
  </si>
  <si>
    <t>Lorena Garcia Lopez (Representante Legal), Victor Alfonso Garcia Lopez (Representante Legal Suplente)</t>
  </si>
  <si>
    <t>Bisanco Sas</t>
  </si>
  <si>
    <t>Cr 57 C No. 119 B - 15</t>
  </si>
  <si>
    <t>bisanco.sas@gmail.com</t>
  </si>
  <si>
    <t>Bianco Paredes Edgardo Antonio (Representante Legal)</t>
  </si>
  <si>
    <t>2 (2018)</t>
  </si>
  <si>
    <t>Alimentos Hache S.A.S</t>
  </si>
  <si>
    <t>Carrera 77 # 236 - 81 Casa 1 Conjunto El Cerezo, Hacienda San Simón</t>
  </si>
  <si>
    <t>a.higuera@subdevcol.com.co</t>
  </si>
  <si>
    <t>Guillermo Alfredo Higuera Ariza (Representante Legal), Guillermo Alfredo Higuera Valderrama (Representante Legal Suplente)</t>
  </si>
  <si>
    <t>3 (2021)</t>
  </si>
  <si>
    <t>Servicios Oncologicos Integrales Sas</t>
  </si>
  <si>
    <t>Salas de consultas medicas y otras especialidades</t>
  </si>
  <si>
    <t>Cr 16 A No.82-46 Cs 712</t>
  </si>
  <si>
    <t>serviciosoncologicos@gmail.com</t>
  </si>
  <si>
    <t>Gaitan Gaitan Cesar Armando (Representante Legal), Gaitan Mejia Mario Eduardo (Representante Legal Suplente)</t>
  </si>
  <si>
    <t>Drinks With Purpose S A S</t>
  </si>
  <si>
    <t>Fabricación de Refrescos(312111); Bares y Otros Lugares para Beber(7224); Supermercados(4451); Comerciantes al por Mayor de Comestibles y Productos Relacionados(4244)</t>
  </si>
  <si>
    <t>Fabricación de Refrescos(312111)</t>
  </si>
  <si>
    <t>Elaboración De Bebidas No Alcohólicas, Producción De Aguas Minerales Y De Otras Aguas Embotelladas (C1104); Comercio Al Por Mayor De Productos Alimenticios (G4631); Comercio Al Por Menor En Establecimientos No Especializados Con Surtido Compuesto Principalmente Por Alimentos, Bebidas O Tabaco (G4711); Expendio De Bebidas Alcohólicas Para El Consumo Dentro Del Establecimiento (I5630)</t>
  </si>
  <si>
    <t>Elaboración De Bebidas No Alcohólicas, Producción De Aguas Minerales Y De Otras Aguas Embotelladas (C1104)</t>
  </si>
  <si>
    <t>Cra 22 No 75 - 18</t>
  </si>
  <si>
    <t>happykombuchabog@gmail.com</t>
  </si>
  <si>
    <t>Camilo Reyes Quijano (Representante Legal)</t>
  </si>
  <si>
    <t>12 (2021)</t>
  </si>
  <si>
    <t>Guisqui S.A.S</t>
  </si>
  <si>
    <t>Cl 81 No. 12 44</t>
  </si>
  <si>
    <t>nicolas.wiesner.sabogal@gmail.com</t>
  </si>
  <si>
    <t>Wiesner Sabogal Nicolas (Representante Legal), Fonseca Elze Bernardo Adolfo (Representante Legal Suplente)</t>
  </si>
  <si>
    <t>Industrias Vandelay Sas</t>
  </si>
  <si>
    <t>Cr 16 No. 127 B 43 To 5 Ap 502</t>
  </si>
  <si>
    <t>nicolasburgosc@gmail.com</t>
  </si>
  <si>
    <t>Nicolas Burgos Cortes (Representante Legal)</t>
  </si>
  <si>
    <t>William Alfonso Rivera</t>
  </si>
  <si>
    <t>Cr 19 D # 62 12 Sur</t>
  </si>
  <si>
    <t>elgsto25@hotmail.com</t>
  </si>
  <si>
    <t>William Alfonso Rivera (Representante Legal)</t>
  </si>
  <si>
    <t>2 (2021)</t>
  </si>
  <si>
    <t>Jose Didier Santa Nieto</t>
  </si>
  <si>
    <t>Santa Nieto Jose Didier se dedica a expendio de bebidas alcohólicas para el consumo dentro del establecimiento.</t>
  </si>
  <si>
    <t>Ac 26 Sur 69C 20</t>
  </si>
  <si>
    <t>didier.santa@hotmail.com</t>
  </si>
  <si>
    <t>Jose Didier Santa Nieto (Representante Legal)</t>
  </si>
  <si>
    <t>12 (2022)</t>
  </si>
  <si>
    <t>Sanchez Luna Thompson</t>
  </si>
  <si>
    <t>Cl 85 No. 11 18</t>
  </si>
  <si>
    <t>gerencia@apolosmen.com.co</t>
  </si>
  <si>
    <t>Kick5 Sas</t>
  </si>
  <si>
    <t>Demás Tipos de Industrias de Diversión y Recreativas(71399)</t>
  </si>
  <si>
    <t>Expendio A La Mesa De Comidas Preparadas (I5611); Expendio De Bebidas Alcohólicas Para El Consumo Dentro Del Establecimiento (I5630); Otras Actividades Deportivas (R9319)</t>
  </si>
  <si>
    <t>Otras Actividades Deportivas (R9319)</t>
  </si>
  <si>
    <t>Carrera 7 No. 50 - 20</t>
  </si>
  <si>
    <t>kick5@kick5futbol.com</t>
  </si>
  <si>
    <t>Andres Olarte Velez (Representante Legal)</t>
  </si>
  <si>
    <t>6 (2018)</t>
  </si>
  <si>
    <t>Ag Comercializadora Sas</t>
  </si>
  <si>
    <t>Cafeterías y Bares para Bebidas sin Alcohol(722515); Hoteles (excepto Hoteles Casino) y Moteles(72111)</t>
  </si>
  <si>
    <t>Alojamiento En Hoteles (I5511); Expendio De Comidas Preparadas En Cafeterías (I5613)</t>
  </si>
  <si>
    <t>Cr 43 B No. 22 A 70</t>
  </si>
  <si>
    <t>emilalbertojg@hotmail.com</t>
  </si>
  <si>
    <t>Emil Alberto Rodriguez Benitez (Representante Legal)</t>
  </si>
  <si>
    <t>Food Investments S A S</t>
  </si>
  <si>
    <t>Calle 134 # 5A - 26 Apt</t>
  </si>
  <si>
    <t>pablojfc@yahoo.com</t>
  </si>
  <si>
    <t>Luis Hernan Granados Gomez (Representante Legal)</t>
  </si>
  <si>
    <t>Cafe Del Eje S A S</t>
  </si>
  <si>
    <t>Cl 109 # 15 28 Lc 2</t>
  </si>
  <si>
    <t>isazajaime@hotmail.com</t>
  </si>
  <si>
    <t>Jaime Arnoldo Isaza Moreno (Representante Legal), Camilo Ernesto Isaza Moreno (Representante Legal Suplente)</t>
  </si>
  <si>
    <t>Sanchez Arroyave Jesus Maria</t>
  </si>
  <si>
    <t>Vereda El Guamito Via A La Ceja</t>
  </si>
  <si>
    <t>jesusmariasanchez198@gmail.com</t>
  </si>
  <si>
    <t>Pans Coffee Sas</t>
  </si>
  <si>
    <t>Cra 53 No. 102 A - 48 Ofc. 301</t>
  </si>
  <si>
    <t>info@panscoffee.com</t>
  </si>
  <si>
    <t>Leon Sanchez Jesus Manuel (Representante Legal), Gonzalez Sanchez Francisco Jose (Representante Legal Suplente)</t>
  </si>
  <si>
    <t>29 (2019)</t>
  </si>
  <si>
    <t>Cromlech Ag Inversiones Sas</t>
  </si>
  <si>
    <t>Cafeterías y Bares para Bebidas sin Alcohol(722515); Construcción de Edificios Residenciales(23611); Arrendadores de Bienes Inmuebles(5311)</t>
  </si>
  <si>
    <t>Arrendadores de Bienes Inmuebles(5311)</t>
  </si>
  <si>
    <t>Construcción De Edificios Residenciales (F4111); Expendio De Comidas Preparadas En Cafeterías (I5613); Actividades Inmobiliarias Realizadas Con Bienes Propios O Arrendados (L6810)</t>
  </si>
  <si>
    <t>Actividades Inmobiliarias Realizadas Con Bienes Propios O Arrendados (L6810)</t>
  </si>
  <si>
    <t>Calle 134 No. 47 - 04 Local 1</t>
  </si>
  <si>
    <t>cromlech.a.g@gmail.com</t>
  </si>
  <si>
    <t>Lubian Alexander Garcia Sanchez (Representante Legal)</t>
  </si>
  <si>
    <t>6 (2020)</t>
  </si>
  <si>
    <t>El Baron del Pollo S.A.S</t>
  </si>
  <si>
    <t>Cl 86 A # 22 A 12</t>
  </si>
  <si>
    <t>jlarrota@acumen.com.co</t>
  </si>
  <si>
    <t>Jeison Arturo Larrota Acevedo (Representante Legal), Jose Guillermo Acosta Abaunza (Miembro de la Junta Directiva), Juan Andres Giron Sanchez (Miembro de la Junta Directiva), Santiago Felipe Hernandez Portela (Miembro de la Junta Directiva)</t>
  </si>
  <si>
    <t>Autoservicios Belrod S A S</t>
  </si>
  <si>
    <t>Cafeterías y Bares para Bebidas sin Alcohol(722515); Servicios Especiales de Comida(7223)</t>
  </si>
  <si>
    <t>Expendio A La Mesa De Comidas Preparadas (I5611); Expendio Por Autoservicio De Comidas Preparadas (I5612); Expendio De Comidas Preparadas En Cafeterías (I5613); Actividades De Otros Servicios De Comidas (I5629)</t>
  </si>
  <si>
    <t>La empresa Autoservicios Belrod S.A.S. se dedica a expendio por autoservicio de comidas preparadas.</t>
  </si>
  <si>
    <t>Cr 109 A No. 81 - 62</t>
  </si>
  <si>
    <t>belrodsas@hotmail.com</t>
  </si>
  <si>
    <t>Ciro Antonio Beltran Carrillo (Representante Legal)</t>
  </si>
  <si>
    <t>4 (2015)</t>
  </si>
  <si>
    <t>A Y B Negocios Estrategicos Ltda</t>
  </si>
  <si>
    <t>Cafeterías y Bares para Bebidas sin Alcohol(722515); Bares y Otros Lugares para Beber(7224); Supermercados(4451)</t>
  </si>
  <si>
    <t>Supermercados(4451)</t>
  </si>
  <si>
    <t>Comercio Al Por Menor En Establecimientos No Especializados Con Surtido Compuesto Principalmente Por Alimentos, Bebidas O Tabaco (G4711); Expendio De Comidas Preparadas En Cafeterías (I5613); Expendio De Bebidas Alcohólicas Para El Consumo Dentro Del Establecimiento (I5630)</t>
  </si>
  <si>
    <t>Comercio Al Por Menor En Establecimientos No Especializados Con Surtido Compuesto Principalmente Por Alimentos, Bebidas O Tabaco (G4711)</t>
  </si>
  <si>
    <t>Cr 7F 156 23 Piso 1</t>
  </si>
  <si>
    <t>oficontana68@outlook.es</t>
  </si>
  <si>
    <t>Oscar Ayala Ayala (Representante Legal)</t>
  </si>
  <si>
    <t>El Bardo Sas</t>
  </si>
  <si>
    <t>Cafeterías y Bares para Bebidas sin Alcohol(722515); Empresas de Catering(72232); Bares y Otros Lugares para Beber(7224)</t>
  </si>
  <si>
    <t>Expendio A La Mesa De Comidas Preparadas (I5611); Expendio De Comidas Preparadas En Cafeterías (I5613); Catering Para Eventos (I5621); Expendio De Bebidas Alcohólicas Para El Consumo Dentro Del Establecimiento (I5630)</t>
  </si>
  <si>
    <t>Cl 69A # 5 - 59</t>
  </si>
  <si>
    <t>gerencia@elbardo.com.co</t>
  </si>
  <si>
    <t>Nadim Samir Elhage Ibrahim (Representante Legal)</t>
  </si>
  <si>
    <t>828 Producciones S.A.S</t>
  </si>
  <si>
    <t>Cr 66 A # 4 B 29</t>
  </si>
  <si>
    <t>828producciones@gmail.com</t>
  </si>
  <si>
    <t>Carlos Alberto Ruiz Betancourt (Representante Legal), Hernan Dario Ruiz Betancourth (Representante Legal Suplente)</t>
  </si>
  <si>
    <t>5 (2023)</t>
  </si>
  <si>
    <t>Tabares Gomez Violeta Maria</t>
  </si>
  <si>
    <t>Calle 11 No. 8 - 68</t>
  </si>
  <si>
    <t>vaioletg@gmail.com</t>
  </si>
  <si>
    <t>Solcafe de Colombia Sas</t>
  </si>
  <si>
    <t>Cl 59 10 59 Of 319</t>
  </si>
  <si>
    <t>solcafedecolombia@gmail.com</t>
  </si>
  <si>
    <t>Sonia Lucia Quintero Soto (Representante Legal), Francelina Quintero Soto (Representante Legal Suplente)</t>
  </si>
  <si>
    <t>Jansel Javier Dicelis Prieto</t>
  </si>
  <si>
    <t>Cl 3 A Sur # 71 D - 14</t>
  </si>
  <si>
    <t>dicelis09@hotmail.com</t>
  </si>
  <si>
    <t>Jansel Javier Dicelis Prieto (Representante Legal)</t>
  </si>
  <si>
    <t>Carlos Felipe Carrera Torrado</t>
  </si>
  <si>
    <t>Cr 60 22 99</t>
  </si>
  <si>
    <t>carlosfelipe.23@hotmail.com</t>
  </si>
  <si>
    <t>Carlos Felipe Carrera Torrado (Representante Legal)</t>
  </si>
  <si>
    <t>Cano Garzon Carlos Esteban</t>
  </si>
  <si>
    <t>Cr 6 46 Peatonal</t>
  </si>
  <si>
    <t>kingknodj25@gmail.com</t>
  </si>
  <si>
    <t>Cooperativa De Estudiantes Facultad De Ingenieria Universidad Distrital Francisco Jose De Caldas</t>
  </si>
  <si>
    <t>Expendio, A la Mesa, de Comidas Preparadas en Cafeterias</t>
  </si>
  <si>
    <t>Carrera 7 40 53</t>
  </si>
  <si>
    <t>David Ricardo Maldonado Porras (Representante Legal)</t>
  </si>
  <si>
    <t>48 (2015)</t>
  </si>
  <si>
    <t>Supersolidaria - Financial Statements</t>
  </si>
  <si>
    <t>John Edison Mogollon Aguilar</t>
  </si>
  <si>
    <t>Cll.52 Sur N.12 A 06</t>
  </si>
  <si>
    <t>edisonjhon@hotmail.com</t>
  </si>
  <si>
    <t>John Edison Mogollon Aguilar (Representante Legal)</t>
  </si>
  <si>
    <t>Guillermo Andres Roldan Pico</t>
  </si>
  <si>
    <t>Cl 73 Bis # 24-15</t>
  </si>
  <si>
    <t>guillo140309@gmail.com</t>
  </si>
  <si>
    <t>Guillermo Andres Roldan Pico (Representante Legal)</t>
  </si>
  <si>
    <t>5 (2021)</t>
  </si>
  <si>
    <t>Ramirez Rios Daniela</t>
  </si>
  <si>
    <t>Cl 42 61 D D 83</t>
  </si>
  <si>
    <t>danielaramirezrios1994@gmail.com</t>
  </si>
  <si>
    <t>Sm Archangelus Sas</t>
  </si>
  <si>
    <t>Cr 60 # 70 - 10</t>
  </si>
  <si>
    <t>facturacion.frankcompany@gmail.com</t>
  </si>
  <si>
    <t>Juan Paulo Rodriguez Gonzalez (Representante Legal)</t>
  </si>
  <si>
    <t>Orquidea Real 13 Sas</t>
  </si>
  <si>
    <t>Otros Alojamientos para Viajeros(72119); Hoteles (excepto Hoteles Casino) y Moteles(72111); Bares y Otros Lugares para Beber(7224)</t>
  </si>
  <si>
    <t>Alojamiento En Hoteles (I5511); Alojamiento En Apartahoteles (I5512); Expendio De Bebidas Alcohólicas Para El Consumo Dentro Del Establecimiento (I5630)</t>
  </si>
  <si>
    <t>Carrera 71 C No. 8 43 Sur</t>
  </si>
  <si>
    <t>eroshostal@hotmail.com</t>
  </si>
  <si>
    <t>Luz Marina Montenegro Vargas (Representante Legal)</t>
  </si>
  <si>
    <t>7 (2021)</t>
  </si>
  <si>
    <t>Hernandez Sanchez Cesar Augusto</t>
  </si>
  <si>
    <t>Cr 23 C No. 32-60 Sur</t>
  </si>
  <si>
    <t>jjmcpt@gmail.com</t>
  </si>
  <si>
    <t>Serviteca Salitre S.A.S</t>
  </si>
  <si>
    <t>Restaurantes y Otros Lugares para Comer(72251); Reparación y Mantenimiento de Vehículos(8111); Arrendadores de Bienes Inmuebles(5311); Tiendas de Piezas y Accesorios Automotrices y Neumáticos(4413)</t>
  </si>
  <si>
    <t>Reparación y Mantenimiento de Vehículos(8111)</t>
  </si>
  <si>
    <t>Mantenimiento Y Reparación De Vehículos Automotores (G4520); Comercio De Partes, Piezas (Autopartes) Y Accesorios (Lujos) Para Vehículos Automotores (G4530); Expendio Por Autoservicio De Comidas Preparadas (I5612); Actividades Inmobiliarias Realizadas Con Bienes Propios O Arrendados (L6810)</t>
  </si>
  <si>
    <t>Mantenimiento Y Reparación De Vehículos Automotores (G4520)</t>
  </si>
  <si>
    <t>Cl 51 3 84</t>
  </si>
  <si>
    <t>alexandra.millan@sadeser.com</t>
  </si>
  <si>
    <t>Juan Rene Ramirez Moreno (Representante Legal)</t>
  </si>
  <si>
    <t>Marlene Agudelo</t>
  </si>
  <si>
    <t>Transversal 78C No.6D - 48 Int 29</t>
  </si>
  <si>
    <t>ana.espinel@hotmail.com</t>
  </si>
  <si>
    <t>Marlene Agudelo (Representante Legal)</t>
  </si>
  <si>
    <t>Kav Distribuciones S.A.S</t>
  </si>
  <si>
    <t>Cr 24 # 84 37</t>
  </si>
  <si>
    <t>kavdistribuciones@gmail.com</t>
  </si>
  <si>
    <t>Jeronimo Pineda Munera (Representante Legal), Diego Sebastian Romero (Representante Legal Suplente)</t>
  </si>
  <si>
    <t>Comercializadora Mg.Am Sas</t>
  </si>
  <si>
    <t>Hoteles (excepto Hoteles Casino) y Moteles(72111); Concesionarios de Coches Nuevos(44111); Bares y Otros Lugares para Beber(7224); Arrendadores de Bienes Inmuebles(5311); Comerciantes al por Mayor de Vehículos Motorizados y Partes y Suministros de Vehículos Motorizados(4231)</t>
  </si>
  <si>
    <t>Comercio De Vehículos Automotores Nuevos (G4511); Alojamiento En Hoteles (I5511); Expendio De Bebidas Alcohólicas Para El Consumo Dentro Del Establecimiento (I5630); Actividades Inmobiliarias Realizadas Con Bienes Propios O Arrendados (L6810)</t>
  </si>
  <si>
    <t>Kr 75 51 A 44</t>
  </si>
  <si>
    <t>comermgamsas@hotmail.com</t>
  </si>
  <si>
    <t>Jhon Alexander Mendoza Reyes (Representante Legal)</t>
  </si>
  <si>
    <t>Batista Valencia Rafael Enrique</t>
  </si>
  <si>
    <t>Calle 14 No. 18 484 Cll Real</t>
  </si>
  <si>
    <t>angejimenezp@hotmail.com</t>
  </si>
  <si>
    <t>Batista Valencia Rafael Enrique (Representante Legal)</t>
  </si>
  <si>
    <t>Moya Guzman Javier Eduardo</t>
  </si>
  <si>
    <t>Carrera 16 63 B 25</t>
  </si>
  <si>
    <t>javieduard20@gmail.com</t>
  </si>
  <si>
    <t>Moya Guzman Javier Eduardo (Representante Legal)</t>
  </si>
  <si>
    <t>Cocteleria Artesanal Sas</t>
  </si>
  <si>
    <t>Carrera 12 A # 83 -64</t>
  </si>
  <si>
    <t>info@huertabar.com</t>
  </si>
  <si>
    <t>Rodrigo Alberto Pazos Muñoz (Representante Legal), Genes Escobar Andres Adolfo (Revisor Fiscal), Guerrero Torres Jose Angel (Revisor Fiscal), Melek Consulting Group Sas (Revisor Fiscal)</t>
  </si>
  <si>
    <t>Grupo Ami Alliance S A S</t>
  </si>
  <si>
    <t>Empresas de Catering(72232); Bares y Otros Lugares para Beber(7224); Supermercados(4451)</t>
  </si>
  <si>
    <t>Comercio Al Por Menor En Establecimientos No Especializados Con Surtido Compuesto Principalmente Por Alimentos, Bebidas O Tabaco (G4711); Expendio A La Mesa De Comidas Preparadas (I5611); Catering Para Eventos (I5621); Expendio De Bebidas Alcohólicas Para El Consumo Dentro Del Establecimiento (I5630)</t>
  </si>
  <si>
    <t>Calle 93 A # 19 - 50 Local Ami Market</t>
  </si>
  <si>
    <t>jmontoyavallejo@gmail.com</t>
  </si>
  <si>
    <t>Jonathan Montoya Vallejo (Representante Legal)</t>
  </si>
  <si>
    <t>Ademser S A</t>
  </si>
  <si>
    <t>Servicios hotelerosservicio de restaurantes</t>
  </si>
  <si>
    <t>Calle 17 # 8 -54 Of 205</t>
  </si>
  <si>
    <t>dcontable@germanmoralesehijos.com</t>
  </si>
  <si>
    <t>Juan Manuel Morales Gonzalez (Representante Legal), Alejandro Morales Gonzalez (Miembro de la Junta Directiva), Ana Maria del Pilar Morales Gonzalez (Miembro de la Junta Directiva), Juan Manuel Morales Arciniegas (Miembro Suplente de la Junta Directiva), Luis Ignacio Stein Morales (Miembro Suplente de la Junta Directiva), Paula Morales Rozo (Miembro Suplente de la Junta Directiva), Blasimir de Jesus Villa Medina (Revisor Fiscal), Oscar Isaac Diaz Salcedo (Revisor Fiscal Suplente)</t>
  </si>
  <si>
    <t>Villegas Gomez Leonardo Frady</t>
  </si>
  <si>
    <t>Calle 21 22 12</t>
  </si>
  <si>
    <t>leovil2010@hotmail.com</t>
  </si>
  <si>
    <t>Velero Club España Entertainment S.A.S.</t>
  </si>
  <si>
    <t>Calle 18 A No. 2-06 Pisos 4 y 5</t>
  </si>
  <si>
    <t>espana.investments@gmail.com</t>
  </si>
  <si>
    <t>España Paola Giovanna (Miembro de la Junta Directiva), Espinosa Rondon Daniel Alberto (Miembro de la Junta Directiva), Gutierrez España Oscar Leonardo (Miembro de la Junta Directiva)</t>
  </si>
  <si>
    <t>Vanguardia E Inversiones Sas</t>
  </si>
  <si>
    <t>Empresas de Catering(72232); Bares y Otros Lugares para Beber(7224); Arrendadores de Bienes Inmuebles(5311)</t>
  </si>
  <si>
    <t>Otros Tipos De Expendio De Comidas Preparadas N.C.P. (I5619); Catering Para Eventos (I5621); Expendio De Bebidas Alcohólicas Para El Consumo Dentro Del Establecimiento (I5630); Actividades Inmobiliarias Realizadas Con Bienes Propios O Arrendados (L6810)</t>
  </si>
  <si>
    <t>Cr 7 No. 12 C 28 Of 303</t>
  </si>
  <si>
    <t>omarcorredor80@yahoo.es</t>
  </si>
  <si>
    <t>Jairo Alexander Cespedes Lopez (Representante Legal)</t>
  </si>
  <si>
    <t>Van Leenden Rincon Nuris Elena</t>
  </si>
  <si>
    <t>Cl 86 A No. 14 - 49</t>
  </si>
  <si>
    <t>nuris2sirun@hotmail.com</t>
  </si>
  <si>
    <t>Tabares Valencia Francy</t>
  </si>
  <si>
    <t>Calle 6 10-36</t>
  </si>
  <si>
    <t>francheline@yahoo.es</t>
  </si>
  <si>
    <t>Studio Fiftyfour Productions S.A.S</t>
  </si>
  <si>
    <t>Grupos Musicales y Artistas(71113); Bares y Otros Lugares para Beber(7224); Servicios Especiales de Comida(7223); Arrendadores de Bienes Inmuebles(5311)</t>
  </si>
  <si>
    <t>Grupos Musicales y Artistas(71113)</t>
  </si>
  <si>
    <t>Expendio A La Mesa De Comidas Preparadas (I5611); Expendio De Bebidas Alcohólicas Para El Consumo Dentro Del Establecimiento (I5630); Actividades Inmobiliarias Realizadas Con Bienes Propios O Arrendados (L6810); Actividades De Espectáculos Musicales En Vivo (R9007)</t>
  </si>
  <si>
    <t>Actividades De Espectáculos Musicales En Vivo (R9007)</t>
  </si>
  <si>
    <t>Cr 5 A No. 116 55</t>
  </si>
  <si>
    <t>malfonso@doabogados.com</t>
  </si>
  <si>
    <t>Juan Pablo Palomeque Sandoval (Representante Legal)</t>
  </si>
  <si>
    <t>Spcmeals Sas</t>
  </si>
  <si>
    <t>Calle 145 7B - 58 Ofc 403</t>
  </si>
  <si>
    <t>subcolombiano.bog@gmail.com</t>
  </si>
  <si>
    <t>Miguel Angel Peña Piragua (Representante Legal)</t>
  </si>
  <si>
    <t>Rodina Sub Sas</t>
  </si>
  <si>
    <t>Av Jimenez No. 7 - 17</t>
  </si>
  <si>
    <t>enriquebishop@hotmail.com</t>
  </si>
  <si>
    <t>Enrique Bishop De La Vega (Representante Legal)</t>
  </si>
  <si>
    <t>Rios Medina Yuber Alexander</t>
  </si>
  <si>
    <t>Cr 65 Nro. 41B 02</t>
  </si>
  <si>
    <t>yuberrios2018@hotmail.com</t>
  </si>
  <si>
    <t>Refrispress S.A.S.</t>
  </si>
  <si>
    <t>Cl 37 Sur 30-32</t>
  </si>
  <si>
    <t>info@nutrirdecolombia.com</t>
  </si>
  <si>
    <t>Camargo Camperos Jorge Ricardo (Representante Legal)</t>
  </si>
  <si>
    <t>Ramirez Saavedra Sandra Milena</t>
  </si>
  <si>
    <t>Cr 25 36 01</t>
  </si>
  <si>
    <t>sandrar230406@gmail.com</t>
  </si>
  <si>
    <t>Proyectos Fantasticos S A S</t>
  </si>
  <si>
    <t>Carrera 5 No. 73 29</t>
  </si>
  <si>
    <t>proyectosfantasticos@barra3.com</t>
  </si>
  <si>
    <t>Yepes Osorio Juan Antonio Ignacio (Representante Legal)</t>
  </si>
  <si>
    <t>19 (2018)</t>
  </si>
  <si>
    <t>Pivo Sas</t>
  </si>
  <si>
    <t>La empresa Pivo S.A.S. se dedica a expendio a la mesa de comidas preparadas.</t>
  </si>
  <si>
    <t>Carrera 55 A N. 79 B - 50</t>
  </si>
  <si>
    <t>arturo.barrios@pub-beer.com</t>
  </si>
  <si>
    <t>Arturo Barrios Bernal (Representante Legal), Juan Carlos Montenegro Constain (Representante Legal Suplente)</t>
  </si>
  <si>
    <t>Paola Andrea Escobar Ortiz</t>
  </si>
  <si>
    <t>Carrera 69 B 23 C 36 Bloque 3 Apartamento 604</t>
  </si>
  <si>
    <t>dra.escobarortiz@gmail.com</t>
  </si>
  <si>
    <t>Paola Andrea Escobar Ortiz (Representante Legal)</t>
  </si>
  <si>
    <t>Palos De Moguer Bogota Uno S.A.S.</t>
  </si>
  <si>
    <t>Expendio a la mesa de bebidas y alimentos.</t>
  </si>
  <si>
    <t>Cll 24 F No 94-51</t>
  </si>
  <si>
    <t>gerencia@rotadynedecolombia.com</t>
  </si>
  <si>
    <t>Medina Pelaez Laura Maria (Representante Legal), Beltran Hitscherich Guillermo Alfonso (Representante Legal Suplente), Andres Camilo Ardila Cuzzi (Revisor Fiscal), Andres Camilo Bernal Suarez (Revisor Fiscal), Crowe Co S.A.S (Revisor Fiscal)</t>
  </si>
  <si>
    <t>51 (2017)</t>
  </si>
  <si>
    <t>Palace Wok Sas</t>
  </si>
  <si>
    <t>Restaurantes y Otros Lugares para Comer(72251); Servicios Especiales de Comida(7223); Tiendas de Ropa(4481)</t>
  </si>
  <si>
    <t>Comercio Al Por Menor De Prendas De Vestir Y Sus Accesorios (Incluye Artículos De Piel) En Establecimientos Especializados (G4771); Expendio A La Mesa De Comidas Preparadas (I5611); Expendio Por Autoservicio De Comidas Preparadas (I5612)</t>
  </si>
  <si>
    <t>Cra 22 9A 37</t>
  </si>
  <si>
    <t>313736671@qq.com</t>
  </si>
  <si>
    <t>Dayan Maribel Ballesteros Morales (Representante Legal)</t>
  </si>
  <si>
    <t>Neo Kitchen Colombia Sas</t>
  </si>
  <si>
    <t>Cl 17 C No. 110 24</t>
  </si>
  <si>
    <t>info@chidomex.com</t>
  </si>
  <si>
    <t>Arroyo España Jorge Eliecer (Representante Legal), Varon Muñoz Lorena Katherine (Representante Legal Suplente)</t>
  </si>
  <si>
    <t>Matilde Linda S A S</t>
  </si>
  <si>
    <t>La empresa Matilde Linda S A S se dedica a actividades de espectáculos musicales en vivo. Opera en el mercado colombiano desde el año 2008.</t>
  </si>
  <si>
    <t>Cra 13 83 47 Piso 3</t>
  </si>
  <si>
    <t>Villazon Julio Ciro Andres (Representante Legal)</t>
  </si>
  <si>
    <t>10 (2017)</t>
  </si>
  <si>
    <t>Lopez Zuluaga Oscar Javier</t>
  </si>
  <si>
    <t>Cr 31 Nro. 23 15</t>
  </si>
  <si>
    <t>oscarlopez605@gmail.com</t>
  </si>
  <si>
    <t>Jol 2008 S En C</t>
  </si>
  <si>
    <t>La empresa Jol 2008 S En C se dedica a expendio por autoservicio de comidas preparadas.</t>
  </si>
  <si>
    <t>Cll 72 10 03</t>
  </si>
  <si>
    <t>jumper9925@hotmail.com</t>
  </si>
  <si>
    <t>Olaya Forero Ciro Alejandro (Representante Legal)</t>
  </si>
  <si>
    <t>Inversiones Pirgua S.A.S. en Reorganizacion</t>
  </si>
  <si>
    <t>Carrera 17 A # 116 - 57 Int 405</t>
  </si>
  <si>
    <t>inversionespirgua@gmail.com</t>
  </si>
  <si>
    <t>Pilar Astrid Higuera Sosa (Representante Legal), Sosa Guecha Nohora Ines (Representante Legal Suplente), Alexander Buitrago (Contador)</t>
  </si>
  <si>
    <t>15 (2018)</t>
  </si>
  <si>
    <t>Inversiones Nuñez &amp; Galeano S.A.S</t>
  </si>
  <si>
    <t>Carrera 68A 24B 10 Local 234</t>
  </si>
  <si>
    <t>galeanomorenoluisfernando@gmail.com</t>
  </si>
  <si>
    <t>Galeano Moreno Luis Fernando (Representante Legal), Amaya Rodriguez Claudia Patricia (Representante Legal Suplente)</t>
  </si>
  <si>
    <t>Invener S.A.S</t>
  </si>
  <si>
    <t>Tv 2 # 112 30 Of 301 A</t>
  </si>
  <si>
    <t>raadluzmarina@hotmail.com</t>
  </si>
  <si>
    <t>Luz Marina Raad Raad (Representante Legal), Nicolas Escobar Raad (Representante Legal Suplente)</t>
  </si>
  <si>
    <t>Indigo Arena S.A.S</t>
  </si>
  <si>
    <t>Cr 13 # 85 57 Of 301</t>
  </si>
  <si>
    <t>avp.attorney@gmail.com</t>
  </si>
  <si>
    <t>Andres Valenzuela Pachon (Representante Legal), Juan Manuel Triana Leal (Representante Legal Suplente)</t>
  </si>
  <si>
    <t>Gutierrez Arenas Angela Ines</t>
  </si>
  <si>
    <t>Cr 14 13 Norte 07</t>
  </si>
  <si>
    <t>guilligan34@hotmail.com</t>
  </si>
  <si>
    <t>Grupo Cassette S.A.S</t>
  </si>
  <si>
    <t>Calle 73 7 31 Oficina 202A</t>
  </si>
  <si>
    <t>gerencia@grupocassette.com</t>
  </si>
  <si>
    <t>Juan Riveros Sefair (Representante Legal)</t>
  </si>
  <si>
    <t>Grupo Alri Sas</t>
  </si>
  <si>
    <t>Cafeterías y Bares para Bebidas sin Alcohol(722515); Producción de Todos los Demás Tipos de Cultivos Diversos(111998); Servicios de Ingeniería(54133); Arrendadores de Bienes Inmuebles(5311)</t>
  </si>
  <si>
    <t>Servicios de Ingeniería(54133)</t>
  </si>
  <si>
    <t>Explotación Mixta (Agrícola Y Pecuaria) (A0150); Expendio De Comidas Preparadas En Cafeterías (I5613); Actividades Inmobiliarias Realizadas Con Bienes Propios O Arrendados (L6810); Actividades De Ingeniería Y Otras Actividades Conexas De Consultoría Técnica (M7112)</t>
  </si>
  <si>
    <t>Actividades De Ingeniería Y Otras Actividades Conexas De Consultoría Técnica (M7112)</t>
  </si>
  <si>
    <t>Carrera 118 80 A 65 Interior 3 Apartamen</t>
  </si>
  <si>
    <t>grupoalrisas@gmail.com</t>
  </si>
  <si>
    <t>Orlando Rivera Agudelo (Representante Legal)</t>
  </si>
  <si>
    <t>Gomez Agudelo Andres</t>
  </si>
  <si>
    <t>Centro Comercial Jardines De Llanogrande</t>
  </si>
  <si>
    <t>andresgomezagudelo@hotmail.com</t>
  </si>
  <si>
    <t>Gida Gourmet S.A.S.</t>
  </si>
  <si>
    <t>Cr 7 A No. 146 30 Of 1</t>
  </si>
  <si>
    <t>ventas1gida@gmail.com</t>
  </si>
  <si>
    <t>Cornejo Solorzano Ramon Horacio (Representante Legal)</t>
  </si>
  <si>
    <t>Garcia Giraldo Juan Camilo</t>
  </si>
  <si>
    <t>Vda Aguas Claras</t>
  </si>
  <si>
    <t>camilo-golf@hotmail.com</t>
  </si>
  <si>
    <t>F.D. &amp; Cia S En C</t>
  </si>
  <si>
    <t>Expendio a la mesa de comidas preparadas</t>
  </si>
  <si>
    <t>Cl 85 No. 11 53 In 3</t>
  </si>
  <si>
    <t>gerencia1egua@gmail.com</t>
  </si>
  <si>
    <t>5 (2012)</t>
  </si>
  <si>
    <t>Eventos &amp; Producciones Villa Lorena S.A.S.</t>
  </si>
  <si>
    <t>Carrerra 9 No. 53-58 Oficina 404</t>
  </si>
  <si>
    <t>moralesjohanna@hotmail.com</t>
  </si>
  <si>
    <t>Morales Vargas Nury Johana (Representante Legal)</t>
  </si>
  <si>
    <t>Duarte Aleman Andrea Del Pilar</t>
  </si>
  <si>
    <t>Finca San Carlos Vereda La Ceiba Pueblo Tapao</t>
  </si>
  <si>
    <t>andreadelpilarduarte@hotmail.com</t>
  </si>
  <si>
    <t>Clara Aidee Campos</t>
  </si>
  <si>
    <t>Cr 9 59 43 T B Apto 307</t>
  </si>
  <si>
    <t>claritacampos33@gmail.com</t>
  </si>
  <si>
    <t>Clara Aidee Campos (Representante Legal)</t>
  </si>
  <si>
    <t>Ch5 S A S</t>
  </si>
  <si>
    <t>Demás Tipos de Industrias de Diversión y Recreativas(71399); Enseñanza de Deporte y Recreación(61162); Bares y Otros Lugares para Beber(7224)</t>
  </si>
  <si>
    <t>Expendio De Bebidas Alcohólicas Para El Consumo Dentro Del Establecimiento (I5630); Enseñanza Deportiva Y Recreativa (P8552); Gestión De Instalaciones Deportivas (R9311); Actividades De Clubes Deportivos (R9312)</t>
  </si>
  <si>
    <t>Gestión De Instalaciones Deportivas (R9311)</t>
  </si>
  <si>
    <t>Cl 98 No. 8 28</t>
  </si>
  <si>
    <t>nar_daniel@hotmail.com</t>
  </si>
  <si>
    <t>Rafael Montoya Cano (Representante Legal)</t>
  </si>
  <si>
    <t>Ceballos Salazar David Felipe</t>
  </si>
  <si>
    <t>Cr 19 23 16</t>
  </si>
  <si>
    <t>dceballos515@gmail.com</t>
  </si>
  <si>
    <t>Castedos S A S</t>
  </si>
  <si>
    <t>Calle 125 # 19-89 Oficina 502</t>
  </si>
  <si>
    <t>castedossas@gmail.com</t>
  </si>
  <si>
    <t>Angela Maria Castellanos Casadiego (Representante Legal)</t>
  </si>
  <si>
    <t>Carnicol Colombia S A S</t>
  </si>
  <si>
    <t>La empresa Carnicol Colombia S.A.S. se dedica a expendio por autoservicio de comidas preparadas.</t>
  </si>
  <si>
    <t>Carrera 7 No 145 30 Manzana 2 Torre 2 Ap</t>
  </si>
  <si>
    <t>jc.trujillo@hotmail.com</t>
  </si>
  <si>
    <t>Juan Carlos Trujillo Buitrago (Representante Legal)</t>
  </si>
  <si>
    <t>Cardona Osorio Jaime Andres</t>
  </si>
  <si>
    <t>Cl 47 50 18 Lc 1102</t>
  </si>
  <si>
    <t>jaco920518@gmail.com</t>
  </si>
  <si>
    <t>Brau Sas En Liquidacion</t>
  </si>
  <si>
    <t>Cl 106 56 33 Ofc 701</t>
  </si>
  <si>
    <t>mayelig@brau.com.co</t>
  </si>
  <si>
    <t>Alvaro Jaramillo Lievano (Representante Legal), Diego Javier Hernandez Acosta (Representante Legal Suplente)</t>
  </si>
  <si>
    <t>Atehortua Gomez Maria Marleny</t>
  </si>
  <si>
    <t>Cl 21 20 Centro Parroquial Piso 1</t>
  </si>
  <si>
    <t>maratego15@gmail.com</t>
  </si>
  <si>
    <t>Asesorias Proyectos Y Logistica Sas</t>
  </si>
  <si>
    <t>Restaurantes y Otros Lugares para Comer(72251); Alquiler y Arrendamiento de Maquinaría y Equipo Comercial e Industrial(5324)</t>
  </si>
  <si>
    <t>Alquiler y Arrendamiento de Maquinaría y Equipo Comercial e Industrial(5324)</t>
  </si>
  <si>
    <t>Expendio Por Autoservicio De Comidas Preparadas (I5612); Alquiler Y Arrendamiento De Otros Tipos De Maquinaria, Equipo Y Bienes Tangibles N.C.P. (N7730)</t>
  </si>
  <si>
    <t>Alquiler Y Arrendamiento De Otros Tipos De Maquinaria, Equipo Y Bienes Tangibles N.C.P. (N7730)</t>
  </si>
  <si>
    <t>Actividades de ingenieria civil</t>
  </si>
  <si>
    <t>Cra 58 # 137 B - 01 Zona Comun 132 Cc</t>
  </si>
  <si>
    <t>apl.surveyors@gmail.com</t>
  </si>
  <si>
    <t>Doris Diaz Camargo (Representante Legal)</t>
  </si>
  <si>
    <t>Zurich Inversiones Sas</t>
  </si>
  <si>
    <t>Cr 68 H No. 24 Sur 3</t>
  </si>
  <si>
    <t>zurich.bogota2020@gmail.com</t>
  </si>
  <si>
    <t>Cristian Arvey Henao Sanchez (Representante Legal)</t>
  </si>
  <si>
    <t>Zumo Una Experiencia Natural Sas</t>
  </si>
  <si>
    <t>Cafeterías y Bares para Bebidas sin Alcohol(722515); Conservación de Frutas, Verduras y Fabricación de Alimentos Especializados(3114)</t>
  </si>
  <si>
    <t>Conservación de Frutas, Verduras y Fabricación de Alimentos Especializados(3114)</t>
  </si>
  <si>
    <t>Procesamiento Y Conservación De Frutas, Legumbres, Hortalizas Y Tubérculos (C1020); Expendio De Comidas Preparadas En Cafeterías (I5613)</t>
  </si>
  <si>
    <t>Procesamiento Y Conservación De Frutas, Legumbres, Hortalizas Y Tubérculos (C1020)</t>
  </si>
  <si>
    <t>Cr 9 A No. 75 B Sur 59</t>
  </si>
  <si>
    <t>gerencia@zumonatural.com</t>
  </si>
  <si>
    <t>Jose Luis Silva Peña (Representante Legal)</t>
  </si>
  <si>
    <t>Zugo Juice Colombia Sas</t>
  </si>
  <si>
    <t>Restaurantes y Otros Lugares para Comer(72251); Otros Servicios Relacionados con el Transporte(48899); Servicios Especiales de Comida(7223); Servicios de Almacenamiento(4931)</t>
  </si>
  <si>
    <t>Almacenamiento Y Depósito (H5210); Otras Actividades Complementarias Al Transporte (H5229); Expendio Por Autoservicio De Comidas Preparadas (I5612); Otros Tipos De Expendio De Comidas Preparadas N.C.P. (I5619)</t>
  </si>
  <si>
    <t>Cra 86 # 17 - 90 Apto 604 T 02</t>
  </si>
  <si>
    <t>zugocolombia@gmail.com</t>
  </si>
  <si>
    <t>Amanda Milena Delgado Hernandez (Representante Legal)</t>
  </si>
  <si>
    <t>Zoul Concept Sas</t>
  </si>
  <si>
    <t>Cafeterías y Bares para Bebidas sin Alcohol(722515); Servicios de Cuidado de Uñas, Pelo y Piel(81211); Otros Servicios Personales(8129)</t>
  </si>
  <si>
    <t>Servicios de Cuidado de Uñas, Pelo y Piel(81211)</t>
  </si>
  <si>
    <t>Expendio De Comidas Preparadas En Cafeterías (I5613); Peluquería Y Otros Tratamientos De Belleza (S9602); Otras Actividades De Servicios Personales N.C.P. (S9609)</t>
  </si>
  <si>
    <t>Peluquería Y Otros Tratamientos De Belleza (S9602)</t>
  </si>
  <si>
    <t>Cr 14 B No. 109 22</t>
  </si>
  <si>
    <t>jennifer.lazano@hotmail.com</t>
  </si>
  <si>
    <t>Jennifer Lozano Diaz (Representante Legal)</t>
  </si>
  <si>
    <t>Zorro Rojo S.A.S</t>
  </si>
  <si>
    <t>Cl 71 No. 10 71</t>
  </si>
  <si>
    <t>lapizzarolabta@gmail.com</t>
  </si>
  <si>
    <t>Nicolas Anzola Cardenas (Representante Legal)</t>
  </si>
  <si>
    <t>Zona Bbc S.A.S.</t>
  </si>
  <si>
    <t>Carrera 58 # 137 B - 01 Lc Zc 150</t>
  </si>
  <si>
    <t>info@zonabbc.com.co</t>
  </si>
  <si>
    <t>Jaime Mahecha Valdes (Representante Legal)</t>
  </si>
  <si>
    <t>Zomos Local Colombia Sas</t>
  </si>
  <si>
    <t>Restaurantes y Otros Lugares para Comer(72251); Diseño de Sistemas Computacionales y Servicios Relacionados(54151)</t>
  </si>
  <si>
    <t>Expendio Por Autoservicio De Comidas Preparadas (I5612); Actividades De Consultoría Informática Y Actividades De Administración De Instalaciones Informáticas (J6202)</t>
  </si>
  <si>
    <t>Cl 95 No. 15 09</t>
  </si>
  <si>
    <t>jenny.medina@zemoga.com</t>
  </si>
  <si>
    <t>Carlos Felipe Pardo Cortes (Representante Legal)</t>
  </si>
  <si>
    <t>Zhen Wei Asian Taste S.A.S.</t>
  </si>
  <si>
    <t>Oficinas de Convenciones y Visitantes(561591); Empresas de Catering(72232); Bares y Otros Lugares para Beber(7224)</t>
  </si>
  <si>
    <t>Expendio A La Mesa De Comidas Preparadas (I5611); Catering Para Eventos (I5621); Expendio De Bebidas Alcohólicas Para El Consumo Dentro Del Establecimiento (I5630); Organización De Convenciones Y Eventos Comerciales (N8230)</t>
  </si>
  <si>
    <t>Cl 53 No. 67 B 35</t>
  </si>
  <si>
    <t>comercial@zhenweicn.net</t>
  </si>
  <si>
    <t>Bingxin Liu (Representante Legal)</t>
  </si>
  <si>
    <t>Zero Point Sas</t>
  </si>
  <si>
    <t>Restaurantes y Otros Lugares para Comer(72251); Comercio al por Mayor(42)</t>
  </si>
  <si>
    <t>Comercio al por Mayor(42)</t>
  </si>
  <si>
    <t>Comercio Al Por Mayor A Cambio De Una Retribución O Por Contrata (G4610); Expendio Por Autoservicio De Comidas Preparadas (I5612); Actividades De Otros Servicios De Comidas (I5629)</t>
  </si>
  <si>
    <t>Comercio Al Por Mayor A Cambio De Una Retribución O Por Contrata (G4610)</t>
  </si>
  <si>
    <t>Cra 11 # 82 - 71 Piso4 Local K4</t>
  </si>
  <si>
    <t>zeropointtea@yahoo.com</t>
  </si>
  <si>
    <t>Ruth Maria Baldiris Gonzalez (Representante Legal)</t>
  </si>
  <si>
    <t>Zdc Sas</t>
  </si>
  <si>
    <t>Ak 24 No. 37 89</t>
  </si>
  <si>
    <t>zirus.dc@gmail.com</t>
  </si>
  <si>
    <t>Oscar Gabriel Mendez Naizaque (Representante Legal)</t>
  </si>
  <si>
    <t>Zaywil Sub S.A.S.</t>
  </si>
  <si>
    <t>Cr 13 No. 75 20 Of 506</t>
  </si>
  <si>
    <t>notificacionescyb@gmail.com</t>
  </si>
  <si>
    <t>Julio Andres Wilches Barrero (Representante Legal)</t>
  </si>
  <si>
    <t>Zattera Sas</t>
  </si>
  <si>
    <t>Cl 106 No. 17 17</t>
  </si>
  <si>
    <t>pizzeriaitalianazattera@gmail.com</t>
  </si>
  <si>
    <t>Sandra Yovana Benavides Ramirez (Representante Legal)</t>
  </si>
  <si>
    <t>Zarga Sas</t>
  </si>
  <si>
    <t>Cr 6 No. 119 17</t>
  </si>
  <si>
    <t>eljaiek61@yahoo.com</t>
  </si>
  <si>
    <t>Jesus Hernando Eljaiek Almanza (Representante Legal)</t>
  </si>
  <si>
    <t>Zamudio Inversiones &amp; Cia Sas</t>
  </si>
  <si>
    <t>Servicio Por Horas (I5530); Expendio De Bebidas Alcohólicas Para El Consumo Dentro Del Establecimiento (I5630)</t>
  </si>
  <si>
    <t>Cr 80 A No. 65 47 53</t>
  </si>
  <si>
    <t>manuelricardozamudioe@hotmail.com</t>
  </si>
  <si>
    <t>Manuel Ricardo Zamudio Estupiñan (Representante Legal)</t>
  </si>
  <si>
    <t>Yvb Invesment Company Sas</t>
  </si>
  <si>
    <t>Calle 120 A 6 A 4</t>
  </si>
  <si>
    <t>sushibushidoco@gmail.com</t>
  </si>
  <si>
    <t>Yulian Eruin Velasquez Briceño (Representante Legal)</t>
  </si>
  <si>
    <t>Yrun Sas</t>
  </si>
  <si>
    <t>Bares y Otros Lugares para Beber(7224); Arrendadores de Bienes Inmuebles(5311); Comerciantes al por Mayor de Prendas de Vestir, Bienes que se Venden por Yarda y Accesorios(4243)</t>
  </si>
  <si>
    <t>Comerciantes al por Mayor de Prendas de Vestir, Bienes que se Venden por Yarda y Accesorios(4243)</t>
  </si>
  <si>
    <t>Comercio Al Por Mayor De Productos Textiles, Productos Confeccionados Para Uso Doméstico (G4641); Expendio De Bebidas Alcohólicas Para El Consumo Dentro Del Establecimiento (I5630); Actividades Inmobiliarias Realizadas Con Bienes Propios O Arrendados (L6810)</t>
  </si>
  <si>
    <t>Comercio Al Por Mayor De Productos Textiles, Productos Confeccionados Para Uso Doméstico (G4641)</t>
  </si>
  <si>
    <t>Cl 140 No. 7 A 54</t>
  </si>
  <si>
    <t>ernesto.brescia@gmail.com</t>
  </si>
  <si>
    <t>Ernesto Brescia Lemos (Representante Legal)</t>
  </si>
  <si>
    <t>Yo Merengues Col S.A.S</t>
  </si>
  <si>
    <t>Expendio De Comidas Preparadas En Cafeterías (I5613); Otros Tipos De Expendio De Comidas Preparadas N.C.P. (I5619)</t>
  </si>
  <si>
    <t>Calle 53 72 A 13</t>
  </si>
  <si>
    <t>lorenita_904@hotmail.com</t>
  </si>
  <si>
    <t>Jennifer Lorena Acosta Tivaquicha (Representante Legal)</t>
  </si>
  <si>
    <t>Yemayá Events Sas</t>
  </si>
  <si>
    <t>Empresas de Catering(72232)</t>
  </si>
  <si>
    <t>Expendio A La Mesa De Comidas Preparadas (I5611); Catering Para Eventos (I5621); Expendio De Bebidas Alcohólicas Para El Consumo Dentro Del Establecimiento (I5630)</t>
  </si>
  <si>
    <t>Catering Para Eventos (I5621)</t>
  </si>
  <si>
    <t>Cl 71 10 60</t>
  </si>
  <si>
    <t>navarroprducer@gmail.com</t>
  </si>
  <si>
    <t>Jorge Alberto Navarro Gomez (Representante Legal)</t>
  </si>
  <si>
    <t>Yellow Dog Sas</t>
  </si>
  <si>
    <t>Expendio A La Mesa De Comidas Preparadas (I5611); Expendio Por Autoservicio De Comidas Preparadas (I5612); Expendio De Comidas Preparadas En Cafeterías (I5613); Otros Tipos De Expendio De Comidas Preparadas N.C.P. (I5619)</t>
  </si>
  <si>
    <t>Cl 137 No. 45 16</t>
  </si>
  <si>
    <t>yellowdogsas@gmail.com</t>
  </si>
  <si>
    <t>Laura Carolina Estupiñan Pedreros (Representante Legal)</t>
  </si>
  <si>
    <t>Yellow Butterfly S.A.S</t>
  </si>
  <si>
    <t>Catering Para Eventos (I5621); Actividades De Otros Servicios De Comidas (I5629); Expendio De Bebidas Alcohólicas Para El Consumo Dentro Del Establecimiento (I5630)</t>
  </si>
  <si>
    <t>Carrera 21 127 D 15</t>
  </si>
  <si>
    <t>acuanano09@gmail.com</t>
  </si>
  <si>
    <t>Oscar Javier Aristizabal Parra (Representante Legal)</t>
  </si>
  <si>
    <t>Yarú Cocina Árabe Sociedad Por Acciones Simplificada</t>
  </si>
  <si>
    <t>Cr 27 No. 77 - 64 Barrio Alcazares</t>
  </si>
  <si>
    <t>yarucocinaarabesas@gmail.com</t>
  </si>
  <si>
    <t>Daniel Alberto Lopez Chejne (Representante Legal)</t>
  </si>
  <si>
    <t>Yaptirmak Sas</t>
  </si>
  <si>
    <t>Restaurantes y Otros Lugares para Comer(72251); Empresas de Catering(72232); Tiendas de Mercancía General, incluyendo Grandes Almacenes(45231)</t>
  </si>
  <si>
    <t>Comercio Al Por Menor En Establecimientos No Especializados, Con Surtido Compuesto Principalmente Por Productos Diferentes De Alimentos (Víveres En General), Bebidas Y Tabaco (G4719); Expendio Por Autoservicio De Comidas Preparadas (I5612); Catering Para Eventos (I5621)</t>
  </si>
  <si>
    <t>Cr 5 No. 30 A 30 Lc 43</t>
  </si>
  <si>
    <t>correo@yaptirmak.co</t>
  </si>
  <si>
    <t>Miguel Angel Olaya Gomez (Representante Legal)</t>
  </si>
  <si>
    <t>Yamato Sushi Wok Sas</t>
  </si>
  <si>
    <t>Cl 147 No. 101 56</t>
  </si>
  <si>
    <t>yamatosushi04@gmail.com</t>
  </si>
  <si>
    <t>Nelson Augusto Vivas Marquez (Representante Legal)</t>
  </si>
  <si>
    <t>Yaguara Bistro Sas</t>
  </si>
  <si>
    <t>Cr 94 No. 152 48</t>
  </si>
  <si>
    <t>yaguarabistro@gmail.com</t>
  </si>
  <si>
    <t>Luis Alejandro Ramos Sandoval (Representante Legal)</t>
  </si>
  <si>
    <t>Xl Imperial Modelia S.A.S</t>
  </si>
  <si>
    <t>Cl 23 No. 81 D 33</t>
  </si>
  <si>
    <t>edgarayala77_7@icloud.com</t>
  </si>
  <si>
    <t>Edgar Orlando Ayala Vigoya (Representante Legal)</t>
  </si>
  <si>
    <t>Xl Imperial Gourmet S.A.S</t>
  </si>
  <si>
    <t>Ak 104 No. 148 07 Lc 2 122</t>
  </si>
  <si>
    <t>edgarayala77_7@hotmail.com</t>
  </si>
  <si>
    <t>Xl Colombia Gourmet S.A.S</t>
  </si>
  <si>
    <t>Cr 82 # 22 D 05</t>
  </si>
  <si>
    <t>juferugue88@hotmail.com</t>
  </si>
  <si>
    <t>Juan Felipe Ruiz Guerrero (Representante Legal)</t>
  </si>
  <si>
    <t>Xismar Team S.A.S</t>
  </si>
  <si>
    <t>Cl 6 C No. 82 A 25 T</t>
  </si>
  <si>
    <t>xismarteam@gmail.com</t>
  </si>
  <si>
    <t>Victor Manuel Ariza Rodriguez (Representante Legal)</t>
  </si>
  <si>
    <t>Xioric S.A.S</t>
  </si>
  <si>
    <t>Expendio A La Mesa De Comidas Preparadas (I5611); Actividades De Otros Servicios De Comidas (I5629); Expendio De Bebidas Alcohólicas Para El Consumo Dentro Del Establecimiento (I5630)</t>
  </si>
  <si>
    <t>Cl 108 No. 13 44 Of 201 Ed Maria Paula</t>
  </si>
  <si>
    <t>xiomarlyp@gmail.com</t>
  </si>
  <si>
    <t>Perez De Martinez Xiomarly Jhoselin (Representante Legal)</t>
  </si>
  <si>
    <t>Xarxa Nh Foods S.A.S</t>
  </si>
  <si>
    <t>Cafeterías y Bares para Bebidas sin Alcohol(722515); Empresas de Catering(72232)</t>
  </si>
  <si>
    <t>Expendio Por Autoservicio De Comidas Preparadas (I5612); Expendio De Comidas Preparadas En Cafeterías (I5613); Catering Para Eventos (I5621)</t>
  </si>
  <si>
    <t>Cl 160 72 - 34 Ca 46 Quintas De Santa Ma</t>
  </si>
  <si>
    <t>xarxafoods@gmail.com</t>
  </si>
  <si>
    <t>Maria Elena Mora Gonzalez (Representante Legal)</t>
  </si>
  <si>
    <t>Wwc Lab Sas</t>
  </si>
  <si>
    <t>Otras Compañías de Artes Escénicas(71119); Grupos Musicales y Artistas(71113); Bares y Otros Lugares para Beber(7224)</t>
  </si>
  <si>
    <t>Expendio De Bebidas Alcohólicas Para El Consumo Dentro Del Establecimiento (I5630); Actividades De Espectáculos Musicales En Vivo (R9007); Otras Actividades De Espectáculos En Vivo N.C.P. (R9008)</t>
  </si>
  <si>
    <t>Cr 57 No. 94 B 31</t>
  </si>
  <si>
    <t>jealape03@gmail.com</t>
  </si>
  <si>
    <t>Jeisson Esteban Alape Ayala (Representante Legal)</t>
  </si>
  <si>
    <t>World Connect Int Sas</t>
  </si>
  <si>
    <t>Servicios Telefónicos de Atención al Cliente(56142); Agencias de Publicidad(54181); Bares y Otros Lugares para Beber(7224); Servicios Especiales de Comida(7223)</t>
  </si>
  <si>
    <t>Servicios Telefónicos de Atención al Cliente(56142)</t>
  </si>
  <si>
    <t>Otros Tipos De Expendio De Comidas Preparadas N.C.P. (I5619); Expendio De Bebidas Alcohólicas Para El Consumo Dentro Del Establecimiento (I5630); Publicidad (M7310); Actividades De Centros De Llamadas (Call Center) (N8220)</t>
  </si>
  <si>
    <t>Actividades De Centros De Llamadas (Call Center) (N8220)</t>
  </si>
  <si>
    <t>Cr 116 No. 77 65 To</t>
  </si>
  <si>
    <t>dvalenciajuan5@gmail.com</t>
  </si>
  <si>
    <t>Juan David Valencia Pulecio (Representante Legal)</t>
  </si>
  <si>
    <t>Wokawa Sas</t>
  </si>
  <si>
    <t>Cl 122 No. 50A - 22</t>
  </si>
  <si>
    <t>ompradag@gmail.com</t>
  </si>
  <si>
    <t>Oscar Mauricio Prada Gualdron (Representante Legal)</t>
  </si>
  <si>
    <t>Woaflito Sas</t>
  </si>
  <si>
    <t>Cafeterías y Bares para Bebidas sin Alcohol(722515); Servicios Especiales de Comida(7223); Panaderías y Producción de Tortillas(3118); Molinos de Granos y Semillas de Aceite(3112)</t>
  </si>
  <si>
    <t>Elaboración De Productos De Molinería (C1051); Elaboración De Productos De Panadería (C1081); Expendio De Comidas Preparadas En Cafeterías (I5613); Otros Tipos De Expendio De Comidas Preparadas N.C.P. (I5619)</t>
  </si>
  <si>
    <t>Calle 99A No. 71C 22</t>
  </si>
  <si>
    <t>info@woaflito.com</t>
  </si>
  <si>
    <t>Maria Catalina Sotomayor Vidal (Representante Legal)</t>
  </si>
  <si>
    <t>Wmc Company Sas</t>
  </si>
  <si>
    <t>Comerciantes al por Mayor de Tabaco y Productos de Tabaco(42494); Bares y Otros Lugares para Beber(7224); Industrias de Juego(7132); Supermercados(4451); Comerciantes al por Mayor de Cerveza, Vino y Bebidas Alcohólicas(4248)</t>
  </si>
  <si>
    <t>Comercio Al Por Mayor De Bebidas Y Tabaco (G4632); Comercio Al Por Menor En Establecimientos No Especializados Con Surtido Compuesto Principalmente Por Alimentos, Bebidas O Tabaco (G4711); Expendio De Bebidas Alcohólicas Para El Consumo Dentro Del Establecimiento (I5630); Actividades De Juegos De Azar Y Apuestas (R9200)</t>
  </si>
  <si>
    <t>Cl 83 B No. 94 03 P 3</t>
  </si>
  <si>
    <t>ranivarclubquirigua@gmail.com</t>
  </si>
  <si>
    <t>Oscar Mauricio Gonzalez Gonzalez (Representante Legal)</t>
  </si>
  <si>
    <t>Wingscop S.A.S</t>
  </si>
  <si>
    <t>Calle 65 4 07</t>
  </si>
  <si>
    <t>caroperezhorta@gmail.com</t>
  </si>
  <si>
    <t>Carolay Perez Horta (Representante Legal)</t>
  </si>
  <si>
    <t>Wines&amp;Beers Sas</t>
  </si>
  <si>
    <t>Cafeterías y Bares para Bebidas sin Alcohol(722515); Demás Tipos de Industrias de Diversión y Recreativas(71399); Bares y Otros Lugares para Beber(7224); Supermercados(4451)</t>
  </si>
  <si>
    <t>Comercio Al Por Menor En Establecimientos No Especializados Con Surtido Compuesto Principalmente Por Alimentos, Bebidas O Tabaco (G4711); Expendio De Comidas Preparadas En Cafeterías (I5613); Expendio De Bebidas Alcohólicas Para El Consumo Dentro Del Establecimiento (I5630); Otras Actividades Recreativas Y De Esparcimiento N.C.P. (R9329)</t>
  </si>
  <si>
    <t>Cra 76 G Sur # 58 K 37</t>
  </si>
  <si>
    <t>andresrop28@gmail.com</t>
  </si>
  <si>
    <t>Rodriguez Piñacue Carlos Andres (Representante Legal)</t>
  </si>
  <si>
    <t>Wine Market Sas</t>
  </si>
  <si>
    <t>Otras Tiendas de Comidas Artesanales(44529); Bares y Otros Lugares para Beber(7224); Cervecerías, Vinaterías y Tiendas de Licores(4453)</t>
  </si>
  <si>
    <t>Cervecerías, Vinaterías y Tiendas de Licores(4453)</t>
  </si>
  <si>
    <t>Comercio Al Por Menor De Bebidas Y Productos Del Tabaco, En Establecimientos Especializados (G4724); Comercio Al Por Menor De Otros Productos Alimenticios N.C.P., En Establecimientos Especializados (G4729); Expendio De Bebidas Alcohólicas Para El Consumo Dentro Del Establecimiento (I5630)</t>
  </si>
  <si>
    <t>Comercio Al Por Menor De Bebidas Y Productos Del Tabaco, En Establecimientos Especializados (G4724)</t>
  </si>
  <si>
    <t>Cr 15 No. 31 50 Of 608</t>
  </si>
  <si>
    <t>gerencia@winemarketcolombia.com</t>
  </si>
  <si>
    <t>Francisco Felipe Cadena Moreno (Representante Legal)</t>
  </si>
  <si>
    <t>Wine Lovers S A S</t>
  </si>
  <si>
    <t>Comerciantes al por Mayor de Tabaco y Productos de Tabaco(42494); Bares y Otros Lugares para Beber(7224); Servicios Especiales de Comida(7223); Comerciantes al por Mayor de Cerveza, Vino y Bebidas Alcohólicas(4248); Comerciantes al por Mayor de Maquinaría, Equipos y Suministros(4238)</t>
  </si>
  <si>
    <t>Comercio Al Por Mayor De Bebidas Y Tabaco (G4632); Comercio Al Por Mayor De Otros Tipos De Maquinaria Y Equipo N.C.P. (G4659); Expendio A La Mesa De Comidas Preparadas (I5611); Expendio De Bebidas Alcohólicas Para El Consumo Dentro Del Establecimiento (I5630)</t>
  </si>
  <si>
    <t>Cl 127 No. 7 89</t>
  </si>
  <si>
    <t>saneri2009@hotmail.com</t>
  </si>
  <si>
    <t>Sandra Erika Aguirre Muñoz (Representante Legal)</t>
  </si>
  <si>
    <t>Winbelife Sas</t>
  </si>
  <si>
    <t>Cafeterías y Bares para Bebidas sin Alcohol(722515); Tiendas de Electrónica y de Venta por Correo(4541); Supermercados(4451); Comerciantes al por Mayor de Comestibles y Productos Relacionados(4244)</t>
  </si>
  <si>
    <t>Comerciantes al por Mayor de Comestibles y Productos Relacionados(4244)</t>
  </si>
  <si>
    <t>Comercio Al Por Mayor De Productos Alimenticios (G4631); Comercio Al Por Menor En Establecimientos No Especializados Con Surtido Compuesto Principalmente Por Alimentos, Bebidas O Tabaco (G4711); Comercio Al Por Menor Realizado A Través De Internet (G4791); Expendio De Comidas Preparadas En Cafeterías (I5613)</t>
  </si>
  <si>
    <t>Comercio Al Por Mayor De Productos Alimenticios (G4631)</t>
  </si>
  <si>
    <t>Cr 71 A No. 51 48</t>
  </si>
  <si>
    <t>winbelife.wbl@gmail.com</t>
  </si>
  <si>
    <t>Wilmar Calderon Tamayo (Representante Legal)</t>
  </si>
  <si>
    <t>Willys Coffee S A S</t>
  </si>
  <si>
    <t>Cafeterías y Bares para Bebidas sin Alcohol(722515); Fabricación de Café y Té(31192); Servicios Especiales de Comida(7223)</t>
  </si>
  <si>
    <t>Descafeinado, Tostión Y Molienda Del Café (C1062); Otros Derivados Del Café (C1063); Expendio A La Mesa De Comidas Preparadas (I5611); Expendio De Comidas Preparadas En Cafeterías (I5613)</t>
  </si>
  <si>
    <t>Cl 74 No. 10 33 Of 701</t>
  </si>
  <si>
    <t>gabrielbolanos@willyscoffee.net</t>
  </si>
  <si>
    <t>Gabriel Mauricio Bolaños Jimenez (Representante Legal)</t>
  </si>
  <si>
    <t>Weaving Secrets Meals Sas</t>
  </si>
  <si>
    <t>Cr 3 No. 18 55 Lc 101</t>
  </si>
  <si>
    <t>jennycas0927@hotmail.com</t>
  </si>
  <si>
    <t>Jenny Patricia Castro Alfonso (Representante Legal)</t>
  </si>
  <si>
    <t>We4Clean S.A.S</t>
  </si>
  <si>
    <t>Cafeterías y Bares para Bebidas sin Alcohol(722515); Servicios de Consejería(56172)</t>
  </si>
  <si>
    <t>Servicios de Consejería(56172)</t>
  </si>
  <si>
    <t>Expendio De Comidas Preparadas En Cafeterías (I5613); Limpieza General Interior De Edificios (N8121); Otras Actividades De Limpieza De Edificios E Instalaciones Industriales (N8129)</t>
  </si>
  <si>
    <t>Limpieza General Interior De Edificios (N8121)</t>
  </si>
  <si>
    <t>Carrera 13 181 B 17</t>
  </si>
  <si>
    <t>disman901@gmail.com</t>
  </si>
  <si>
    <t>Geny Colorado Rubiano (Representante Legal)</t>
  </si>
  <si>
    <t>Wash It Detailing Floresta Sas</t>
  </si>
  <si>
    <t>Cafeterías y Bares para Bebidas sin Alcohol(722515); Reparación y Mantenimiento de Vehículos(8111); Bares y Otros Lugares para Beber(7224); Supermercados(4451)</t>
  </si>
  <si>
    <t>Mantenimiento Y Reparación De Vehículos Automotores (G4520); Comercio Al Por Menor En Establecimientos No Especializados Con Surtido Compuesto Principalmente Por Alimentos, Bebidas O Tabaco (G4711); Expendio De Comidas Preparadas En Cafeterías (I5613); Expendio De Bebidas Alcohólicas Para El Consumo Dentro Del Establecimiento (I5630)</t>
  </si>
  <si>
    <t>Cr 68 B No. 98 44</t>
  </si>
  <si>
    <t>washit.detailing@gmail.com</t>
  </si>
  <si>
    <t>Sebastian Gonzalez Garzon (Representante Legal)</t>
  </si>
  <si>
    <t>Warner Productions S.A.S</t>
  </si>
  <si>
    <t>Demás Tipos de Industrias de Diversión y Recreativas(71399); Grupos Musicales y Artistas(71113); Bares y Otros Lugares para Beber(7224); Servicios Especiales de Comida(7223)</t>
  </si>
  <si>
    <t>Otros Tipos De Expendio De Comidas Preparadas N.C.P. (I5619); Expendio De Bebidas Alcohólicas Para El Consumo Dentro Del Establecimiento (I5630); Actividades De Espectáculos Musicales En Vivo (R9007); Otras Actividades Recreativas Y De Esparcimiento N.C.P. (R9329)</t>
  </si>
  <si>
    <t>Carrera 79 F Sur 48 A 15 Bloque 10 Inter</t>
  </si>
  <si>
    <t>warnerpro.co@gmail.com</t>
  </si>
  <si>
    <t>Sergio Esteban Bolaños Bernal (Representante Legal)</t>
  </si>
  <si>
    <t>Warawak S.A.S</t>
  </si>
  <si>
    <t>Elaboración De Productos De Panadería (C1081); Expendio A La Mesa De Comidas Preparadas (I5611); Expendio De Comidas Preparadas En Cafeterías (I5613); Otros Tipos De Expendio De Comidas Preparadas N.C.P. (I5619)</t>
  </si>
  <si>
    <t>Dg 15 B No. 104 - 45 Bl 1 Ca 13</t>
  </si>
  <si>
    <t>WARAWAK01@GMAIL.COM</t>
  </si>
  <si>
    <t>Sara Elizabeth Arango Campos (Representante Legal)</t>
  </si>
  <si>
    <t>Wall Street Burger Sas</t>
  </si>
  <si>
    <t>Cafeterías y Bares para Bebidas sin Alcohol(722515); Bares y Otros Lugares para Beber(7224)</t>
  </si>
  <si>
    <t>Expendio Por Autoservicio De Comidas Preparadas (I5612); Expendio De Comidas Preparadas En Cafeterías (I5613); Actividades De Otros Servicios De Comidas (I5629); Expendio De Bebidas Alcohólicas Para El Consumo Dentro Del Establecimiento (I5630)</t>
  </si>
  <si>
    <t>Cr 78 No. 128 A 65</t>
  </si>
  <si>
    <t>nicocastaneda@hotmail.com</t>
  </si>
  <si>
    <t>Nicolas Castañeda Schroeder (Representante Legal)</t>
  </si>
  <si>
    <t>Wakei Gastronomy Sas</t>
  </si>
  <si>
    <t>Expendio A La Mesa De Comidas Preparadas (I5611); Expendio Por Autoservicio De Comidas Preparadas (I5612); Otros Tipos De Expendio De Comidas Preparadas N.C.P. (I5619)</t>
  </si>
  <si>
    <t>Cr 4 No. 64 - 31</t>
  </si>
  <si>
    <t>wakeidomicilio@gmail.com</t>
  </si>
  <si>
    <t>Masashi Kobari (Representante Legal)</t>
  </si>
  <si>
    <t>Waka Waka Ba Sas</t>
  </si>
  <si>
    <t>Demás Tipos de Alojamiento para Viajeros(721199); Hoteles (excepto Hoteles Casino) y Moteles(72111); Bares y Otros Lugares para Beber(7224); Tiendas de Ropa(4481)</t>
  </si>
  <si>
    <t>Comercio Al Por Menor De Prendas De Vestir Y Sus Accesorios (Incluye Artículos De Piel) En Establecimientos Especializados (G4771); Alojamiento En Hoteles (I5511); Servicio Por Horas (I5530); Expendio De Bebidas Alcohólicas Para El Consumo Dentro Del Establecimiento (I5630)</t>
  </si>
  <si>
    <t>Transversal 69 B Bis No. 72 - 85</t>
  </si>
  <si>
    <t>wakawakabasas@hotmail.com</t>
  </si>
  <si>
    <t>Benjamin Agudelo Pinzon (Representante Legal)</t>
  </si>
  <si>
    <t>Wait For Me Sas</t>
  </si>
  <si>
    <t>Cl 25 F No. 81 A 40</t>
  </si>
  <si>
    <t>ivanabalcero@gmail.com</t>
  </si>
  <si>
    <t>Ivana Balcero Gomez (Representante Legal)</t>
  </si>
  <si>
    <t>Waincolombia S.A.S</t>
  </si>
  <si>
    <t>Cl 117 No. 6 17</t>
  </si>
  <si>
    <t>COLOMBIA@WAIN.WINE</t>
  </si>
  <si>
    <t>David Rincon Reyes (Representante Legal)</t>
  </si>
  <si>
    <t>Wag.Co Fusion Urban Foods Sas</t>
  </si>
  <si>
    <t>Cl 117 No 06 A - 08</t>
  </si>
  <si>
    <t>tatianadpgomez@gmail.com</t>
  </si>
  <si>
    <t>Tatiana Del Pilar Gomez Landazabal (Representante Legal)</t>
  </si>
  <si>
    <t>W&amp;B Company S.A.S</t>
  </si>
  <si>
    <t>Carrera 15 # 146 - 70 Local 110</t>
  </si>
  <si>
    <t>wingsburguersas@gmail.com</t>
  </si>
  <si>
    <t>Maria Fernanda Salazar Caicedo (Representante Legal)</t>
  </si>
  <si>
    <t>Voice Box Sas</t>
  </si>
  <si>
    <t>Cafeterías y Bares para Bebidas sin Alcohol(722515); Agencias de Publicidad(54181); Bares y Otros Lugares para Beber(7224)</t>
  </si>
  <si>
    <t>Agencias de Publicidad(54181)</t>
  </si>
  <si>
    <t>Expendio De Comidas Preparadas En Cafeterías (I5613); Expendio De Bebidas Alcohólicas Para El Consumo Dentro Del Establecimiento (I5630); Publicidad (M7310)</t>
  </si>
  <si>
    <t>Publicidad (M7310)</t>
  </si>
  <si>
    <t>Cr 50 No. 152 - 57 To 2 Ap 1018</t>
  </si>
  <si>
    <t>info@voiceboxco.com</t>
  </si>
  <si>
    <t>Nataly Villate Ulloa (Representante Legal)</t>
  </si>
  <si>
    <t>Vodka Arte Y Tecnica S A S En Liquidacion</t>
  </si>
  <si>
    <t>Expendio De Comidas Preparadas En Cafeterías (I5613); Expendio De Bebidas Alcohólicas Para El Consumo Dentro Del Establecimiento (I5630)</t>
  </si>
  <si>
    <t>Carrera 42A Bis No.14 23</t>
  </si>
  <si>
    <t>guycombeau@yahoo.com</t>
  </si>
  <si>
    <t>Guy Combeau Villarreal (Representante Legal)</t>
  </si>
  <si>
    <t>Voce Entertainment S.A.S</t>
  </si>
  <si>
    <t>Cafeterías y Bares para Bebidas sin Alcohol(722515); Empresas de Catering(72232); Grupos Musicales y Artistas(71113)</t>
  </si>
  <si>
    <t>Expendio De Comidas Preparadas En Cafeterías (I5613); Otros Tipos De Expendio De Comidas Preparadas N.C.P. (I5619); Catering Para Eventos (I5621); Actividades De Espectáculos Musicales En Vivo (R9007)</t>
  </si>
  <si>
    <t>Calle 71C No. 94A - 72 Bl 7 Apto. 302</t>
  </si>
  <si>
    <t>lutterpunkrock@gmail.com</t>
  </si>
  <si>
    <t>Rojas Romero Julian David (Representante Legal)</t>
  </si>
  <si>
    <t>Vless Sas</t>
  </si>
  <si>
    <t>Cl 140 # 13 67 Lc 2</t>
  </si>
  <si>
    <t>smedina0145@gmail.com</t>
  </si>
  <si>
    <t>Santiago Medina Zambrano (Representante Legal)</t>
  </si>
  <si>
    <t>Vivu Saludable S.A.S</t>
  </si>
  <si>
    <t>Cafeterías y Bares para Bebidas sin Alcohol(722515); Servicios Especiales de Comida(7223); Conservación de Frutas, Verduras y Fabricación de Alimentos Especializados(3114)</t>
  </si>
  <si>
    <t>Procesamiento Y Conservación De Frutas, Legumbres, Hortalizas Y Tubérculos (C1020); Expendio A La Mesa De Comidas Preparadas (I5611); Expendio De Comidas Preparadas En Cafeterías (I5613)</t>
  </si>
  <si>
    <t>Carrera 53 102 A 77</t>
  </si>
  <si>
    <t>consultarat@gmail.com</t>
  </si>
  <si>
    <t>Mery Fernanda Rios Jimenez (Representante Legal)</t>
  </si>
  <si>
    <t>Vitta Investments S.A.S</t>
  </si>
  <si>
    <t>Cafeterías y Bares para Bebidas sin Alcohol(722515); Servicios de Ingeniería(54133); Tiendas de Artículos Deportivos(45111); Servicios de Diseño Especializado(5414)</t>
  </si>
  <si>
    <t>Tiendas de Artículos Deportivos(45111)</t>
  </si>
  <si>
    <t>Comercio Al Por Menor De Artículos Deportivos, En Establecimientos Especializados (G4762); Expendio De Comidas Preparadas En Cafeterías (I5613); Actividades De Ingeniería Y Otras Actividades Conexas De Consultoría Técnica (M7112); Actividades Especializadas De Diseño (M7410)</t>
  </si>
  <si>
    <t>Comercio Al Por Menor De Artículos Deportivos, En Establecimientos Especializados (G4762)</t>
  </si>
  <si>
    <t>Ac 53 No. 74 A 35</t>
  </si>
  <si>
    <t>vittainv53@gmail.com</t>
  </si>
  <si>
    <t>Sanchez Becerra Kenny Martin (Representante Legal)</t>
  </si>
  <si>
    <t>Vitoria Royal Group Sas</t>
  </si>
  <si>
    <t>Cr 14 A No. 83 77</t>
  </si>
  <si>
    <t>wmg217@hotmail.com</t>
  </si>
  <si>
    <t>Wiliam Moreno Gordo (Representante Legal)</t>
  </si>
  <si>
    <t>Viteri Cerveceria Sas En Liquidacion</t>
  </si>
  <si>
    <t>Bodegas(31213); Bares y Otros Lugares para Beber(7224)</t>
  </si>
  <si>
    <t>Elaboración De Bebidas Fermentadas No Destiladas (C1102); Expendio De Bebidas Alcohólicas Para El Consumo Dentro Del Establecimiento (I5630)</t>
  </si>
  <si>
    <t>Av 78 No. 20 C 55</t>
  </si>
  <si>
    <t>sebastian.viteri92@gmail.com</t>
  </si>
  <si>
    <t>Sebastian Viteri Noguera (Representante Legal)</t>
  </si>
  <si>
    <t>Vitafood Sas</t>
  </si>
  <si>
    <t>Restaurantes y Otros Lugares para Comer(72251); Empresas de Catering(72232); Bares y Otros Lugares para Beber(7224)</t>
  </si>
  <si>
    <t>Expendio Por Autoservicio De Comidas Preparadas (I5612); Catering Para Eventos (I5621); Actividades De Otros Servicios De Comidas (I5629); Expendio De Bebidas Alcohólicas Para El Consumo Dentro Del Establecimiento (I5630)</t>
  </si>
  <si>
    <t>Cr 54 D No. 134 20 T 6 Ap 604</t>
  </si>
  <si>
    <t>atf53@live.com</t>
  </si>
  <si>
    <t>Alejandro Torres Florez (Representante Legal)</t>
  </si>
  <si>
    <t>Vip Group De Colombia Sas</t>
  </si>
  <si>
    <t>Fabricación de Refrescos(312111); Cultivo Combinado de Frutas y Frutos Secos(111336); Bares y Otros Lugares para Beber(7224); Comerciantes al por Mayor de Comestibles y Productos Relacionados(4244)</t>
  </si>
  <si>
    <t>K (A0121); Elaboración De Bebidas No Alcohólicas, Producción De Aguas Minerales Y De Otras Aguas Embotelladas (C1104); Comercio Al Por Mayor De Productos Alimenticios (G4631); Expendio De Bebidas Alcohólicas Para El Consumo Dentro Del Establecimiento (I5630)</t>
  </si>
  <si>
    <t>Cl 135 No. 46 35</t>
  </si>
  <si>
    <t>grupovipcolombia@gmail.com</t>
  </si>
  <si>
    <t>Guillermo Alberto Agudelo Quiñones (Representante Legal)</t>
  </si>
  <si>
    <t>Vip Capital V &amp; A Sociedad Por Acciones Simplificada</t>
  </si>
  <si>
    <t>Bares y Otros Lugares para Beber(7224); Servicios Especiales de Comida(7223); Cervecerías, Vinaterías y Tiendas de Licores(4453)</t>
  </si>
  <si>
    <t>Comercio Al Por Menor De Bebidas Y Productos Del Tabaco, En Establecimientos Especializados (G4724); Expendio A La Mesa De Comidas Preparadas (I5611); Expendio De Bebidas Alcohólicas Para El Consumo Dentro Del Establecimiento (I5630)</t>
  </si>
  <si>
    <t>Cl 12 Bis # 6 96</t>
  </si>
  <si>
    <t>direcciongeneralvipcapital@gmail.com</t>
  </si>
  <si>
    <t>Felipe Andres Vargas Castillo (Representante Legal)</t>
  </si>
  <si>
    <t>Villanos Gastrobar Sas</t>
  </si>
  <si>
    <t>Cafeterías y Bares para Bebidas sin Alcohol(722515); Fabricación de Alimentos Preparados Perecederos(311991); Otro Tipo de Servicios de Preparación de Viajes y Reservaciones(56159); Supermercados(4451)</t>
  </si>
  <si>
    <t>Elaboración De Comidas Y Platos Preparados (C1084); Comercio Al Por Menor En Establecimientos No Especializados Con Surtido Compuesto Principalmente Por Alimentos, Bebidas O Tabaco (G4711); Expendio De Comidas Preparadas En Cafeterías (I5613); Otros Servicios De Reserva Y Actividades Relacionadas (N7990)</t>
  </si>
  <si>
    <t>Calle 12 B Bis A 1 31</t>
  </si>
  <si>
    <t>sanalejogastrobar@gmail.com</t>
  </si>
  <si>
    <t>Teofilo Leonardo Ramirez Hernandez (Representante Legal)</t>
  </si>
  <si>
    <t>Villa Poly S.A.S</t>
  </si>
  <si>
    <t>Plantaciones de Café(1113392); Cafeterías y Bares para Bebidas sin Alcohol(722515); Tiendas de Medicamentos y Farmacias(44611)</t>
  </si>
  <si>
    <t>Cultivo De Café (A0123); Comercio Al Por Menor De Productos Farmacéuticos Y Medicinales, Cosméticos Y Artículos De Tocador En Establecimientos Especializados (G4773); Expendio De Comidas Preparadas En Cafeterías (I5613)</t>
  </si>
  <si>
    <t>Diagonal 40 A 7 40 Local 203</t>
  </si>
  <si>
    <t>villapolycoffee@gmail.com</t>
  </si>
  <si>
    <t>Oscar Raul Enciso Ruiz (Representante Legal)</t>
  </si>
  <si>
    <t>Villa Buñuelo Sas</t>
  </si>
  <si>
    <t>Cafeterías y Bares para Bebidas sin Alcohol(722515); Fabricación de Todos los Demás Tipos de Alimentos Diversos(311999); Servicios Especiales de Comida(7223)</t>
  </si>
  <si>
    <t>Elaboración De Otros Productos Alimenticios N.C.P. (C1089); Expendio De Comidas Preparadas En Cafeterías (I5613); Otros Tipos De Expendio De Comidas Preparadas N.C.P. (I5619)</t>
  </si>
  <si>
    <t>Cl 57 B Sur No. 68 B 16</t>
  </si>
  <si>
    <t>binfante109@gmail.com</t>
  </si>
  <si>
    <t>Bertilda Infante Zapata (Representante Legal)</t>
  </si>
  <si>
    <t>Vile Café Sas</t>
  </si>
  <si>
    <t>Cr 16 No. 127 17 Ap 1108</t>
  </si>
  <si>
    <t>sonia_roman@hotmail.com</t>
  </si>
  <si>
    <t>Sonia Margarita Roman Gomez (Representante Legal)</t>
  </si>
  <si>
    <t>Vilanova M Y M Sas</t>
  </si>
  <si>
    <t>Restaurantes y Otros Lugares para Comer(72251); Servicios Especiales de Comida(7223); Panaderías y Producción de Tortillas(3118)</t>
  </si>
  <si>
    <t>Elaboración De Productos De Panadería (C1081); Expendio A La Mesa De Comidas Preparadas (I5611); Expendio Por Autoservicio De Comidas Preparadas (I5612)</t>
  </si>
  <si>
    <t>Cl 11 Sur No. 11 B 09</t>
  </si>
  <si>
    <t>manuelchillon@gmail.com</t>
  </si>
  <si>
    <t>Jose Manuel Chillon Holguin (Representante Legal)</t>
  </si>
  <si>
    <t>Vikend Sociedad Por Acciones Simplificada</t>
  </si>
  <si>
    <t>Agencias de Publicidad(54181); Destilerías(31214); Bodegas(31213); Bares y Otros Lugares para Beber(7224)</t>
  </si>
  <si>
    <t>Bodegas(31213)</t>
  </si>
  <si>
    <t>Destilación, Rectificación Y Mezcla De Bebidas Alcohólicas (C1101); Elaboración De Bebidas Fermentadas No Destiladas (C1102); Expendio De Bebidas Alcohólicas Para El Consumo Dentro Del Establecimiento (I5630); Publicidad (M7310)</t>
  </si>
  <si>
    <t>Elaboración De Bebidas Fermentadas No Destiladas (C1102)</t>
  </si>
  <si>
    <t>Cl 108 No 14 B - 55 Pi 1</t>
  </si>
  <si>
    <t>hello.vikend@gmail.com</t>
  </si>
  <si>
    <t>Juan Camilo Espitia Martinez (Representante Legal)</t>
  </si>
  <si>
    <t>Vientos De La Sierra Coffee Shop S.A.S</t>
  </si>
  <si>
    <t>Cafeterías y Bares para Bebidas sin Alcohol(722515); Comerciantes al por Mayor de Comestibles y Productos Relacionados(4244)</t>
  </si>
  <si>
    <t>Comercio Al Por Mayor De Productos Alimenticios (G4631); Expendio De Comidas Preparadas En Cafeterías (I5613)</t>
  </si>
  <si>
    <t>Crr 18C # 118 22</t>
  </si>
  <si>
    <t>vientosdelasierracoffeeshop@gmail.com</t>
  </si>
  <si>
    <t>Karen Andrea Chaparro Soto (Representante Legal)</t>
  </si>
  <si>
    <t>Vida Foods &amp; Drinks S.A.S</t>
  </si>
  <si>
    <t>Restaurantes y Otros Lugares para Comer(72251); Comerciantes al por Mayor de Comestibles y Productos Relacionados(4244)</t>
  </si>
  <si>
    <t>Comercio Al Por Mayor De Productos Alimenticios (G4631); Expendio Por Autoservicio De Comidas Preparadas (I5612)</t>
  </si>
  <si>
    <t>Calle 71 No 5 65</t>
  </si>
  <si>
    <t>truepizzafuncional@gmail.com</t>
  </si>
  <si>
    <t>Felipe Andres Toledo Varon (Representante Legal)</t>
  </si>
  <si>
    <t>Victoria Stream House S.A.S</t>
  </si>
  <si>
    <t>Empresas de Catering(72232); Otros Servicios Personales(8129); Bares y Otros Lugares para Beber(7224); Industrias Cinematográficas y de Vídeo(5121)</t>
  </si>
  <si>
    <t>Catering Para Eventos (I5621); Expendio De Bebidas Alcohólicas Para El Consumo Dentro Del Establecimiento (I5630); Actividades De Producción De Películas Cinematográficas, Videos, Programas, Anuncios Y Comerciales De Televisión (J5911); Otras Actividades De Servicios Personales N.C.P. (S9609)</t>
  </si>
  <si>
    <t>Av Cra 9 # 117A - 15</t>
  </si>
  <si>
    <t>hypnoside@outlook.com</t>
  </si>
  <si>
    <t>Jesus Dario Forero Varon (Representante Legal)</t>
  </si>
  <si>
    <t>Vichería Pacífico Sas</t>
  </si>
  <si>
    <t>Cl 82 No. 7 80</t>
  </si>
  <si>
    <t>admin@vicheriapacifico.com</t>
  </si>
  <si>
    <t>Anamaria Camacho Lopez (Representante Legal)</t>
  </si>
  <si>
    <t>Vice Group S.A.S</t>
  </si>
  <si>
    <t>Carrera 10 # 18 - 66 Piso 3</t>
  </si>
  <si>
    <t>templovice@gmail.com</t>
  </si>
  <si>
    <t>Linda Stefany Peralta Herrera (Representante Legal)</t>
  </si>
  <si>
    <t>Via Margutta Sas</t>
  </si>
  <si>
    <t>Bares y Otros Lugares para Beber(7224); Servicios Especiales de Comida(7223); Panaderías y Producción de Tortillas(3118)</t>
  </si>
  <si>
    <t>Elaboración De Productos De Panadería (C1081); Expendio A La Mesa De Comidas Preparadas (I5611); Otros Tipos De Expendio De Comidas Preparadas N.C.P. (I5619); Expendio De Bebidas Alcohólicas Para El Consumo Dentro Del Establecimiento (I5630)</t>
  </si>
  <si>
    <t>Cl 119 No. 13 26 Lc 1</t>
  </si>
  <si>
    <t>viamarguttacol@gmail.com</t>
  </si>
  <si>
    <t>Dionisio Rueda Emanuela Cristiana (Representante Legal)</t>
  </si>
  <si>
    <t>Via Latte Productos De Cafe Y Alimentos Procaal S.A.S</t>
  </si>
  <si>
    <t>Cafeterías y Bares para Bebidas sin Alcohol(722515); Servicios Especiales de Comida(7223); Supermercados(4451)</t>
  </si>
  <si>
    <t>Comercio Al Por Menor En Establecimientos No Especializados Con Surtido Compuesto Principalmente Por Alimentos, Bebidas O Tabaco (G4711); Expendio A La Mesa De Comidas Preparadas (I5611); Expendio De Comidas Preparadas En Cafeterías (I5613)</t>
  </si>
  <si>
    <t>Carrera 23 66 A 36</t>
  </si>
  <si>
    <t>gabypives@gmail.com</t>
  </si>
  <si>
    <t>Gabriela Pinzon Vesga (Representante Legal)</t>
  </si>
  <si>
    <t>Vestigio S.A.S.</t>
  </si>
  <si>
    <t>Cr 8 127 C No. 88 Ap 501</t>
  </si>
  <si>
    <t>SAID.MOTTA@GMAIL.COM</t>
  </si>
  <si>
    <t>Said Francisco Motta Motta (Representante Legal)</t>
  </si>
  <si>
    <t>Vertigo Lighthouse Sas</t>
  </si>
  <si>
    <t>Cafeterías y Bares para Bebidas sin Alcohol(722515); Tiendas de Artículos Deportivos(45111); Tiendas de Ropa(4481)</t>
  </si>
  <si>
    <t>Comercio Al Por Menor De Artículos Deportivos, En Establecimientos Especializados (G4762); Comercio Al Por Menor De Prendas De Vestir Y Sus Accesorios (Incluye Artículos De Piel) En Establecimientos Especializados (G4771); Expendio De Comidas Preparadas En Cafeterías (I5613)</t>
  </si>
  <si>
    <t>Cl 151 No. 13 A 50 To 5 Ap 704</t>
  </si>
  <si>
    <t>cata_tovar12@hotmail.com</t>
  </si>
  <si>
    <t>Catalina Maria Tovar Beltran (Representante Legal)</t>
  </si>
  <si>
    <t>Vernot Torres S A S</t>
  </si>
  <si>
    <t>Avenida Carrera 9 No. 115 - 06 Local 4</t>
  </si>
  <si>
    <t>nicole_vernot@hotmail.com</t>
  </si>
  <si>
    <t>Nicolle Valerie Vernot Gutierrez (Representante Legal)</t>
  </si>
  <si>
    <t>Verez S.A.S</t>
  </si>
  <si>
    <t>Carrera 55 61 52</t>
  </si>
  <si>
    <t>verezsas@gmail.com</t>
  </si>
  <si>
    <t>Carlos Nicolas Vera Ramirez (Representante Legal)</t>
  </si>
  <si>
    <t>Verbena Literaria Sas</t>
  </si>
  <si>
    <t>Cafeterías y Bares para Bebidas sin Alcohol(722515); Tiendas de Libros y Periódicos(45121); Bares y Otros Lugares para Beber(7224); Tiendas de Artículos Diversos(453)</t>
  </si>
  <si>
    <t>Tiendas de Libros y Periódicos(45121)</t>
  </si>
  <si>
    <t>Comercio Al Por Menor De Libros, Periódicos, Materiales Y Artículos De Papelería Y Escritorio, En Establecimientos Especializados (G4761); Comercio Al Por Menor De Otros Productos Nuevos En Establecimientos Especializados (G4774); Expendio De Comidas Preparadas En Cafeterías (I5613); Expendio De Bebidas Alcohólicas Para El Consumo Dentro Del Establecimiento (I5630)</t>
  </si>
  <si>
    <t>Comercio Al Por Menor De Libros, Periódicos, Materiales Y Artículos De Papelería Y Escritorio, En Establecimientos Especializados (G4761)</t>
  </si>
  <si>
    <t>Calle 121 # 12 - 15</t>
  </si>
  <si>
    <t>verbenaliteraria@gmail.com</t>
  </si>
  <si>
    <t>Andrea Catalina Jaramillo Giraldo (Representante Legal)</t>
  </si>
  <si>
    <t>Venus Cakes &amp; Brownies S.A.S</t>
  </si>
  <si>
    <t>Cafeterías y Bares para Bebidas sin Alcohol(722515); Empresas de Catering(72232); Panaderías y Producción de Tortillas(3118)</t>
  </si>
  <si>
    <t>Elaboración De Productos De Panadería (C1081); Expendio De Comidas Preparadas En Cafeterías (I5613); Catering Para Eventos (I5621)</t>
  </si>
  <si>
    <t>Calle 169 B 75 73 Casa 125</t>
  </si>
  <si>
    <t>ltorreslopez@oulook.com</t>
  </si>
  <si>
    <t>Laura Esther Torres Lopez (Representante Legal)</t>
  </si>
  <si>
    <t>Venues H&amp;F Sas</t>
  </si>
  <si>
    <t>Cl 27 4 49</t>
  </si>
  <si>
    <t>romuloremosas@gmail.com</t>
  </si>
  <si>
    <t>Fernando Cadena Martinez (Representante Legal)</t>
  </si>
  <si>
    <t>Venue Coelum S.A.S.</t>
  </si>
  <si>
    <t>Otros Servicios Personales(8129); Bares y Otros Lugares para Beber(7224); Servicios Especiales de Comida(7223)</t>
  </si>
  <si>
    <t>Expendio A La Mesa De Comidas Preparadas (I5611); Expendio De Bebidas Alcohólicas Para El Consumo Dentro Del Establecimiento (I5630); Otras Actividades De Servicios Personales N.C.P. (S9609)</t>
  </si>
  <si>
    <t>Cr 14 No. 83 - 53</t>
  </si>
  <si>
    <t>tesoreriavenue@gmail.com</t>
  </si>
  <si>
    <t>Leonardo Faccini Cesari (Representante Legal)</t>
  </si>
  <si>
    <t>Venturamc Sas</t>
  </si>
  <si>
    <t>Cafeterías y Bares para Bebidas sin Alcohol(722515); Tiendas de Artículos Deportivos(45111)</t>
  </si>
  <si>
    <t>Comercio Al Por Menor De Artículos Deportivos, En Establecimientos Especializados (G4762); Expendio De Comidas Preparadas En Cafeterías (I5613)</t>
  </si>
  <si>
    <t>Cl 116 70 H 19</t>
  </si>
  <si>
    <t>venturamcsas@gmail.com</t>
  </si>
  <si>
    <t>Manuel Alexander Perez Alfonso (Representante Legal)</t>
  </si>
  <si>
    <t>Ventura Holdings Sas</t>
  </si>
  <si>
    <t>Calle 87 22 13</t>
  </si>
  <si>
    <t>info@venturaalfajores.com</t>
  </si>
  <si>
    <t>Ricaurte Restrepo Mariana (Representante Legal)</t>
  </si>
  <si>
    <t>Ventanarosa S.A.S</t>
  </si>
  <si>
    <t>Cafeterías y Bares para Bebidas sin Alcohol(722515); Tiendas de Libros y Periódicos(45121); Fabricación de Joyería y Platería(33991)</t>
  </si>
  <si>
    <t>Fabricación De Joyas, Bisutería Y Artículos Conexos (C3210); Comercio Al Por Menor De Libros, Periódicos, Materiales Y Artículos De Papelería Y Escritorio, En Establecimientos Especializados (G4761); Expendio De Comidas Preparadas En Cafeterías (I5613)</t>
  </si>
  <si>
    <t>Carrera 7A # 135 - 78</t>
  </si>
  <si>
    <t>ggodoy01@hotmail.com</t>
  </si>
  <si>
    <t>Giselle Godoy Méndez (Representante Legal)</t>
  </si>
  <si>
    <t>Venitec Sas</t>
  </si>
  <si>
    <t>Cl 33 B No. 69 13 Bl 1 In 1 Ap 151</t>
  </si>
  <si>
    <t>socel37@yahoo.com</t>
  </si>
  <si>
    <t>Jose Miguel Velosa (Representante Legal)</t>
  </si>
  <si>
    <t>Vending Food Colombia Sas</t>
  </si>
  <si>
    <t>Reparación y Mantenimiento de Equipos Electrónicos y de Precisión(81121); Restaurantes y Otros Lugares para Comer(72251); Supermercados y Otras Tiendas de Abarrotes(44511)</t>
  </si>
  <si>
    <t>Supermercados y Otras Tiendas de Abarrotes(44511)</t>
  </si>
  <si>
    <t>Mantenimiento Y Reparación Especializado De Maquinaria Y Equipo (C3312); Comercio Al Por Menor De Alimentos, Bebidas Y Tabaco, En Puestos De Venta Móviles (G4781); Expendio Por Autoservicio De Comidas Preparadas (I5612)</t>
  </si>
  <si>
    <t>Comercio Al Por Menor De Alimentos, Bebidas Y Tabaco, En Puestos De Venta Móviles (G4781)</t>
  </si>
  <si>
    <t>Calle 5A # 71C - 45 Of 512</t>
  </si>
  <si>
    <t>srengifo@vendingfood.com.co</t>
  </si>
  <si>
    <t>Santiago Rengifo Moreno (Representante Legal)</t>
  </si>
  <si>
    <t>Vehiculos De Pedal Sas</t>
  </si>
  <si>
    <t>Bares y Otros Lugares para Beber(7224); Cervecerías, Vinaterías y Tiendas de Licores(4453)</t>
  </si>
  <si>
    <t>Comercio Al Por Menor De Bebidas Y Productos Del Tabaco, En Establecimientos Especializados (G4724); Expendio De Bebidas Alcohólicas Para El Consumo Dentro Del Establecimiento (I5630)</t>
  </si>
  <si>
    <t>Cr 18 No. 8 54</t>
  </si>
  <si>
    <t>vehiculosdepedal@gmail.com</t>
  </si>
  <si>
    <t>Miguel Angel Gonzalez Peña (Representante Legal)</t>
  </si>
  <si>
    <t>Vegga Cc&amp;C Sas</t>
  </si>
  <si>
    <t>Otras Tiendas de Comidas Artesanales(44529); Bares y Otros Lugares para Beber(7224); Servicios Especiales de Comida(7223)</t>
  </si>
  <si>
    <t>Comercio Al Por Menor De Otros Productos Alimenticios N.C.P., En Establecimientos Especializados (G4729); Expendio A La Mesa De Comidas Preparadas (I5611); Expendio De Bebidas Alcohólicas Para El Consumo Dentro Del Establecimiento (I5630)</t>
  </si>
  <si>
    <t>Cr 7 No. 59 38</t>
  </si>
  <si>
    <t>veggapizza22@gmail.com</t>
  </si>
  <si>
    <t>Carlos Augusto Ardila Ardila (Representante Legal)</t>
  </si>
  <si>
    <t>Vedado Sas</t>
  </si>
  <si>
    <t>Tiendas de Mercancía General, incluyendo Grandes Almacenes(45231); Bares y Otros Lugares para Beber(7224); Servicios Especiales de Comida(7223)</t>
  </si>
  <si>
    <t>Comercio Al Por Menor En Establecimientos No Especializados, Con Surtido Compuesto Principalmente Por Productos Diferentes De Alimentos (Víveres En General), Bebidas Y Tabaco (G4719); Expendio A La Mesa De Comidas Preparadas (I5611); Expendio De Bebidas Alcohólicas Para El Consumo Dentro Del Establecimiento (I5630)</t>
  </si>
  <si>
    <t>Cl 9 No. 3 62</t>
  </si>
  <si>
    <t>doanmen@gmail.com</t>
  </si>
  <si>
    <t>Angela Rocio Nieto Ramirez (Representante Legal)</t>
  </si>
  <si>
    <t>Vcinity S.A.S</t>
  </si>
  <si>
    <t>Diseño de Sistemas Computacionales y Servicios Relacionados(54151); Bares y Otros Lugares para Beber(7224); Servicios Especiales de Comida(7223)</t>
  </si>
  <si>
    <t>Diseño de Sistemas Computacionales y Servicios Relacionados(54151)</t>
  </si>
  <si>
    <t>Expendio A La Mesa De Comidas Preparadas (I5611); Expendio De Bebidas Alcohólicas Para El Consumo Dentro Del Establecimiento (I5630); Actividades De Desarrollo De Sistemas Informáticos (Planificación, Análisis, Diseño, Programación, Pruebas) (J6201)</t>
  </si>
  <si>
    <t>Actividades De Desarrollo De Sistemas Informáticos (Planificación, Análisis, Diseño, Programación, Pruebas) (J6201)</t>
  </si>
  <si>
    <t>Cr 19 A No. 85 78</t>
  </si>
  <si>
    <t>musakaudio@gmail.com</t>
  </si>
  <si>
    <t>Sebastian Gomez Rios (Representante Legal)</t>
  </si>
  <si>
    <t>Vazudo Sabores S.A.S.</t>
  </si>
  <si>
    <t>Expendio A La Mesa De Comidas Preparadas (I5611); Expendio Por Autoservicio De Comidas Preparadas (I5612); Expendio De Comidas Preparadas En Cafeterías (I5613)</t>
  </si>
  <si>
    <t>Km 7 Via La Calera Pd Manantial</t>
  </si>
  <si>
    <t>vazudo.sabores@gmail.com</t>
  </si>
  <si>
    <t>Jaime Alberto Camargo Muñoz (Representante Legal)</t>
  </si>
  <si>
    <t>Vayartas Sas</t>
  </si>
  <si>
    <t>Expendio A La Mesa De Comidas Preparadas (I5611); Expendio De Comidas Preparadas En Cafeterías (I5613); Catering Para Eventos (I5621)</t>
  </si>
  <si>
    <t>Cl 12 0 63</t>
  </si>
  <si>
    <t>vayartas.sas@gmail.com</t>
  </si>
  <si>
    <t>Nestor Giovanni Varela Riascos (Representante Legal)</t>
  </si>
  <si>
    <t>Vaquita &amp; Sanduche De Sausage Sas</t>
  </si>
  <si>
    <t>Cr 7 Bis # 123 - 95</t>
  </si>
  <si>
    <t>jaenjile@hotmail.com</t>
  </si>
  <si>
    <t>Jinete Leon Jaime Enrique (Representante Legal)</t>
  </si>
  <si>
    <t>Vamos Pa Onde El Fercho Sas</t>
  </si>
  <si>
    <t>Bares y Otros Lugares para Beber(7224); Supermercados(4451)</t>
  </si>
  <si>
    <t>Comercio Al Por Menor En Establecimientos No Especializados Con Surtido Compuesto Principalmente Por Alimentos, Bebidas O Tabaco (G4711); Expendio De Bebidas Alcohólicas Para El Consumo Dentro Del Establecimiento (I5630)</t>
  </si>
  <si>
    <t>Cl 66 A No. 96 A 03</t>
  </si>
  <si>
    <t>vamospaondefercho@yahoo.com</t>
  </si>
  <si>
    <t>Rafael Ramon Adjunta Romero (Representante Legal)</t>
  </si>
  <si>
    <t>Valle De Umbra Sas</t>
  </si>
  <si>
    <t>Cafeterías y Bares para Bebidas sin Alcohol(722515); Fabricación de Café y Té(31192); Comerciantes al por Mayor de Comestibles y Productos Relacionados(4244)</t>
  </si>
  <si>
    <t>Fabricación de Café y Té(31192)</t>
  </si>
  <si>
    <t>Trilla De Café (C1061); Descafeinado, Tostión Y Molienda Del Café (C1062); Comercio Al Por Mayor De Productos Alimenticios (G4631); Expendio De Comidas Preparadas En Cafeterías (I5613)</t>
  </si>
  <si>
    <t>Descafeinado, Tostión Y Molienda Del Café (C1062)</t>
  </si>
  <si>
    <t>Cr 7 No. 46 20</t>
  </si>
  <si>
    <t>cafe@valledeumbra.com</t>
  </si>
  <si>
    <t>Gloria Elena Mape Yepez (Representante Legal)</t>
  </si>
  <si>
    <t>Valle De Inversiones S.A.S</t>
  </si>
  <si>
    <t>Cr 56 A No. 4 A 31 A</t>
  </si>
  <si>
    <t>valledeinversionessas@gmail.com</t>
  </si>
  <si>
    <t>Angel Giovanny Valle Beltran (Representante Legal)</t>
  </si>
  <si>
    <t>Valderrama Beer Company Sociedad Por Acciones Simplificada</t>
  </si>
  <si>
    <t>Destilerías(31214); Cerveceras(31212); Bares y Otros Lugares para Beber(7224); Cervecerías, Vinaterías y Tiendas de Licores(4453)</t>
  </si>
  <si>
    <t>Cerveceras(31212)</t>
  </si>
  <si>
    <t>Destilación, Rectificación Y Mezcla De Bebidas Alcohólicas (C1101); Producción De Malta, Elaboración De Cervezas Y Otras Bebidas Malteadas (C1103); Comercio Al Por Menor De Bebidas Y Productos Del Tabaco, En Establecimientos Especializados (G4724); Expendio De Bebidas Alcohólicas Para El Consumo Dentro Del Establecimiento (I5630)</t>
  </si>
  <si>
    <t>Producción De Malta, Elaboración De Cervezas Y Otras Bebidas Malteadas (C1103)</t>
  </si>
  <si>
    <t>Cr 68 A No. 23 B - 53 Torre 1 Ap 603</t>
  </si>
  <si>
    <t>yemejia1987@gmail.com</t>
  </si>
  <si>
    <t>Laura Ligia Goyeneche Mendivelso (Representante Legal)</t>
  </si>
  <si>
    <t>Vagante Craft And Drink S.A.S.</t>
  </si>
  <si>
    <t>Empresas de Catering(72232); Bares y Otros Lugares para Beber(7224); Tiendas de Electrónica y de Venta por Correo(4541); Cervecerías, Vinaterías y Tiendas de Licores(4453)</t>
  </si>
  <si>
    <t>Comercio Al Por Menor De Bebidas Y Productos Del Tabaco, En Establecimientos Especializados (G4724); Comercio Al Por Menor Realizado A Través De Internet (G4791); Catering Para Eventos (I5621); Expendio De Bebidas Alcohólicas Para El Consumo Dentro Del Establecimiento (I5630)</t>
  </si>
  <si>
    <t>Cl 65 No. 4 A 54</t>
  </si>
  <si>
    <t>caddbogota@gmail.com</t>
  </si>
  <si>
    <t>Caicedo Revelo Juan José (Representante Legal)</t>
  </si>
  <si>
    <t>V&amp;F Holding Sas</t>
  </si>
  <si>
    <t>Cafeterías y Bares para Bebidas sin Alcohol(722515); Demás Tipos de Industrias de Diversión y Recreativas(71399); Compañías de Teatro y Cena Teatros(71111); Parques de Atracciones y Centros de Entretenimiento(7131)</t>
  </si>
  <si>
    <t>Expendio De Comidas Preparadas En Cafeterías (I5613); Creación Teatral (R9003); Actividades De Parques De Atracciones Y Parques Temáticos (R9321); Otras Actividades Recreativas Y De Esparcimiento N.C.P. (R9329)</t>
  </si>
  <si>
    <t>Otras Actividades Recreativas Y De Esparcimiento N.C.P. (R9329)</t>
  </si>
  <si>
    <t>Cr 7B Bis No. 123 - 22</t>
  </si>
  <si>
    <t>administracion@funplace.com.co</t>
  </si>
  <si>
    <t>Johanna Maria Fadul Muskus (Representante Legal)</t>
  </si>
  <si>
    <t>Usaca Sas</t>
  </si>
  <si>
    <t>Cr 6 A No. 117 54</t>
  </si>
  <si>
    <t>lijarca@hotmail.com</t>
  </si>
  <si>
    <t>Lucelly Carabali Lozano (Representante Legal)</t>
  </si>
  <si>
    <t>Urban Invest Co. Sas</t>
  </si>
  <si>
    <t>Restaurantes y Otros Lugares para Comer(72251); Empresas de Catering(72232); Bares y Otros Lugares para Beber(7224); Comerciantes al por Mayor de Maquinaría, Equipos y Suministros(4238)</t>
  </si>
  <si>
    <t>Comercio Al Por Mayor De Otros Tipos De Maquinaria Y Equipo N.C.P. (G4659); Expendio Por Autoservicio De Comidas Preparadas (I5612); Catering Para Eventos (I5621); Expendio De Bebidas Alcohólicas Para El Consumo Dentro Del Establecimiento (I5630)</t>
  </si>
  <si>
    <t>Cl 123 No. 15 A 46 Ap 203</t>
  </si>
  <si>
    <t>urbaninvestcol@gmail.com</t>
  </si>
  <si>
    <t>Cristian Ricardo Franco Barbosa (Representante Legal)</t>
  </si>
  <si>
    <t>Urania Campos Cia Ltda</t>
  </si>
  <si>
    <t>Cr 10 A No. 70 - 24</t>
  </si>
  <si>
    <t>caramelopalacio@hotmail.com</t>
  </si>
  <si>
    <t>Uraba Inn Sas</t>
  </si>
  <si>
    <t>Demás Tipos de Alojamiento para Viajeros(721199); Bares y Otros Lugares para Beber(7224); Tiendas de Artículos Diversos(453)</t>
  </si>
  <si>
    <t>Comercio Al Por Menor De Otros Productos Nuevos En Establecimientos Especializados (G4774); Servicio Por Horas (I5530); Expendio De Bebidas Alcohólicas Para El Consumo Dentro Del Establecimiento (I5630)</t>
  </si>
  <si>
    <t>Cl 59 A No. 13 A 29</t>
  </si>
  <si>
    <t>urabainn@gmail.com</t>
  </si>
  <si>
    <t>Andres Angulo Angulo (Representante Legal)</t>
  </si>
  <si>
    <t>Universal Yaab Sas</t>
  </si>
  <si>
    <t>Cafeterías y Bares para Bebidas sin Alcohol(722515); Demás Servicios Profesionales, Científicos y Técnicos(54199); Otras Escuelas e Instituciones Instructivas(6116); Servicios Relacionados con el Transporte por Carretera(4884)</t>
  </si>
  <si>
    <t>Otras Escuelas e Instituciones Instructivas(6116)</t>
  </si>
  <si>
    <t>Actividades De Estaciones, Vías Y Servicios Complementarios Para El Transporte Terrestre (H5221); Expendio De Comidas Preparadas En Cafeterías (I5613); Otras Actividades Profesionales, Científicas Y Técnicas N.C.P. (M7490); Otros Tipos De Educación N.C.P. (P8559)</t>
  </si>
  <si>
    <t>Otros Tipos De Educación N.C.P. (P8559)</t>
  </si>
  <si>
    <t>Cl 19 Sur No. 16 - 57 Lc 101 102 Y 103</t>
  </si>
  <si>
    <t>UNIVERSALYAAB@GMAIL.COM</t>
  </si>
  <si>
    <t>Yasmin Callejas Cruz (Representante Legal)</t>
  </si>
  <si>
    <t>Union Santorini Sas</t>
  </si>
  <si>
    <t>Cl Av 8 Sur 38 A 16</t>
  </si>
  <si>
    <t>JESSICASTEL_027@HOTMAIL.COM</t>
  </si>
  <si>
    <t>Yessica Lorena Castellanos Olarte (Representante Legal)</t>
  </si>
  <si>
    <t>Union Empresarial Alma S.A.S</t>
  </si>
  <si>
    <t>Cafeterías y Bares para Bebidas sin Alcohol(722515); Panaderías y Producción de Tortillas(3118)</t>
  </si>
  <si>
    <t>Elaboración De Productos De Panadería (C1081); Expendio De Comidas Preparadas En Cafeterías (I5613)</t>
  </si>
  <si>
    <t>Calle 13 44 65</t>
  </si>
  <si>
    <t>many332@hotmail.com</t>
  </si>
  <si>
    <t>Martha Nydia Cañon Pineda (Representante Legal)</t>
  </si>
  <si>
    <t>Unieco Group Sas</t>
  </si>
  <si>
    <t>Cl 66 # 70 A 30 To 2</t>
  </si>
  <si>
    <t>latorteria.2020@gmail.com</t>
  </si>
  <si>
    <t>Katherine Andrea Cardona Narvaez (Representante Legal)</t>
  </si>
  <si>
    <t>Una Lokura S.A.S</t>
  </si>
  <si>
    <t>Expendio A La Mesa De Comidas Preparadas (I5611); Expendio De Comidas Preparadas En Cafeterías (I5613); Otros Tipos De Expendio De Comidas Preparadas N.C.P. (I5619)</t>
  </si>
  <si>
    <t>Cl 108 No. 17 A 45 Ap 303</t>
  </si>
  <si>
    <t>unalokuraltl@gmail.com</t>
  </si>
  <si>
    <t>Laura Lizeth Torres Londoño (Representante Legal)</t>
  </si>
  <si>
    <t>Un Sabor A Tostado S.A.S.</t>
  </si>
  <si>
    <t>Cafeterías y Bares para Bebidas sin Alcohol(722515); Fabricación de Todos los Demás Tipos de Alimentos Diversos(311999); Servicios Especiales de Comida(7223); Fabricación de Productos Lácteos(3115)</t>
  </si>
  <si>
    <t>Elaboración De Productos Lácteos (C1040); Elaboración De Otros Productos Alimenticios N.C.P. (C1089); Expendio De Comidas Preparadas En Cafeterías (I5613); Otros Tipos De Expendio De Comidas Preparadas N.C.P. (I5619)</t>
  </si>
  <si>
    <t>Carrera 52 A 174 B 08</t>
  </si>
  <si>
    <t>unsaboratostado@gmail.com</t>
  </si>
  <si>
    <t>Oscar Mauricio Guzman Yara (Representante Legal)</t>
  </si>
  <si>
    <t>Ulises Sauna Y Turcos S A S</t>
  </si>
  <si>
    <t>Otros Servicios Personales(8129); Bares y Otros Lugares para Beber(7224)</t>
  </si>
  <si>
    <t>Otros Servicios Personales(8129)</t>
  </si>
  <si>
    <t>Expendio De Bebidas Alcohólicas Para El Consumo Dentro Del Establecimiento (I5630); Otras Actividades De Servicios Personales N.C.P. (S9609)</t>
  </si>
  <si>
    <t>Otras Actividades De Servicios Personales N.C.P. (S9609)</t>
  </si>
  <si>
    <t>Cr 15 No. 31 B 26</t>
  </si>
  <si>
    <t>guidobonilla@gmail.com</t>
  </si>
  <si>
    <t>Guido Fernando Bonilla Escobar (Representante Legal)</t>
  </si>
  <si>
    <t>Ucumari Sas</t>
  </si>
  <si>
    <t>Demás Tipos de Alojamiento para Viajeros(721199); Fabricación de Alimentos Preparados Perecederos(311991); Bares y Otros Lugares para Beber(7224); Servicios Especiales de Comida(7223)</t>
  </si>
  <si>
    <t>Elaboración De Comidas Y Platos Preparados (C1084); Otros Tipos De Alojamientos Para Visitantes (I5519); Expendio A La Mesa De Comidas Preparadas (I5611); Expendio De Bebidas Alcohólicas Para El Consumo Dentro Del Establecimiento (I5630)</t>
  </si>
  <si>
    <t>Otros Tipos De Alojamientos Para Visitantes (I5519)</t>
  </si>
  <si>
    <t>Calle 11 # 2 65 - 75</t>
  </si>
  <si>
    <t>madi59@msn.com</t>
  </si>
  <si>
    <t>Anthony Nordine Madi Nordine (Representante Legal)</t>
  </si>
  <si>
    <t>Two Pizza Sas</t>
  </si>
  <si>
    <t>Expendio A La Mesa De Comidas Preparadas (I5611); Expendio De Comidas Preparadas En Cafeterías (I5613)</t>
  </si>
  <si>
    <t>Cl 137 A No. 101 B 51</t>
  </si>
  <si>
    <t>twopizzas.a.s@gmail.com</t>
  </si>
  <si>
    <t>Jenry Alfonso Herrera Caro (Representante Legal)</t>
  </si>
  <si>
    <t>Twenty Six 26 Minimarket Sas</t>
  </si>
  <si>
    <t>Otras Tiendas de Comidas Artesanales(44529); Bares y Otros Lugares para Beber(7224); Industrias de Juego(7132)</t>
  </si>
  <si>
    <t>Otras Tiendas de Comidas Artesanales(44529)</t>
  </si>
  <si>
    <t>Comercio Al Por Menor De Otros Productos Alimenticios N.C.P., En Establecimientos Especializados (G4729); Expendio De Bebidas Alcohólicas Para El Consumo Dentro Del Establecimiento (I5630); Actividades De Juegos De Azar Y Apuestas (R9200)</t>
  </si>
  <si>
    <t>Comercio Al Por Menor De Otros Productos Alimenticios N.C.P., En Establecimientos Especializados (G4729)</t>
  </si>
  <si>
    <t>Cl 26 No. 102 96 In 3</t>
  </si>
  <si>
    <t>jeffer1991@hotmail.com</t>
  </si>
  <si>
    <t>Donaldo Gonzalez Comensaquira (Representante Legal)</t>
  </si>
  <si>
    <t>Tus Bebidas N&amp;M Sas</t>
  </si>
  <si>
    <t>Demás Tipos de Industrias de Diversión y Recreativas(71399); Tiendas de Mercancía General, incluyendo Grandes Almacenes(45231); Bares y Otros Lugares para Beber(7224); Supermercados(4451)</t>
  </si>
  <si>
    <t>Comercio Al Por Menor En Establecimientos No Especializados Con Surtido Compuesto Principalmente Por Alimentos, Bebidas O Tabaco (G4711); Comercio Al Por Menor En Establecimientos No Especializados, Con Surtido Compuesto Principalmente Por Productos Diferentes De Alimentos (Víveres En General), Bebidas Y Tabaco (G4719); Expendio De Bebidas Alcohólicas Para El Consumo Dentro Del Establecimiento (I5630); Otras Actividades Recreativas Y De Esparcimiento N.C.P. (R9329)</t>
  </si>
  <si>
    <t>Cr 111 B # 72 14</t>
  </si>
  <si>
    <t>nickolasmelo96@gmail.com</t>
  </si>
  <si>
    <t>Alvaro Nicolas Melo Rativa (Representante Legal)</t>
  </si>
  <si>
    <t>Tu Carrito Express Sas</t>
  </si>
  <si>
    <t>Expendio De Comidas Preparadas En Cafeterías (I5613); Otros Tipos De Expendio De Comidas Preparadas N.C.P. (I5619); Catering Para Eventos (I5621); Actividades De Otros Servicios De Comidas (I5629)</t>
  </si>
  <si>
    <t>Cl 47 B Sur No. 78 J 17</t>
  </si>
  <si>
    <t>hernancep_2007@hotmail.com</t>
  </si>
  <si>
    <t>Hernan Cepeda Mejia (Representante Legal)</t>
  </si>
  <si>
    <t>Trumos Sas</t>
  </si>
  <si>
    <t>Elaboración De Productos De Panadería (C1081); Expendio A La Mesa De Comidas Preparadas (I5611); Expendio De Comidas Preparadas En Cafeterías (I5613)</t>
  </si>
  <si>
    <t>Cr 67 No. 97 - 02 To 5 Ap 501</t>
  </si>
  <si>
    <t>trumos2021@gmail.com</t>
  </si>
  <si>
    <t>Bibiana Maria Trujillo Nieva (Representante Legal)</t>
  </si>
  <si>
    <t>Trujillo &amp; Montero Y Asociados Sas</t>
  </si>
  <si>
    <t>Expendio A La Mesa De Comidas Preparadas (I5611); Otros Tipos De Expendio De Comidas Preparadas N.C.P. (I5619); Catering Para Eventos (I5621); Expendio De Bebidas Alcohólicas Para El Consumo Dentro Del Establecimiento (I5630)</t>
  </si>
  <si>
    <t>Cr 49 B No. 170 31</t>
  </si>
  <si>
    <t>nicolastrmo@outlook.com</t>
  </si>
  <si>
    <t>Nicolas Trujillo Montero (Representante Legal)</t>
  </si>
  <si>
    <t>Trueno Hot S.A.S</t>
  </si>
  <si>
    <t>Cr 49 B No. 96 62</t>
  </si>
  <si>
    <t>davidmedinamarino@gmail.com</t>
  </si>
  <si>
    <t>David Andres Medina Mariño (Representante Legal)</t>
  </si>
  <si>
    <t>Tropical Drinks Holdings S.A.S.</t>
  </si>
  <si>
    <t>Restaurantes y Otros Lugares para Comer(72251); Supermercados(4451)</t>
  </si>
  <si>
    <t>Comercio Al Por Menor En Establecimientos No Especializados Con Surtido Compuesto Principalmente Por Alimentos, Bebidas O Tabaco (G4711); Expendio Por Autoservicio De Comidas Preparadas (I5612)</t>
  </si>
  <si>
    <t>Cl 141 No. 9 85 To 2 Of 612</t>
  </si>
  <si>
    <t>ivanandresbg10@gmail.com</t>
  </si>
  <si>
    <t>Ivan Andres Bustos Gonzalez (Representante Legal)</t>
  </si>
  <si>
    <t>Tropical Crunch S.A.S</t>
  </si>
  <si>
    <t>Cafeterías y Bares para Bebidas sin Alcohol(722515); Fabricación de Todos los Demás Tipos de Alimentos Diversos(311999); Comerciantes al por Mayor de Comestibles y Productos Relacionados(4244); Conservación de Frutas, Verduras y Fabricación de Alimentos Especializados(3114)</t>
  </si>
  <si>
    <t>Procesamiento Y Conservación De Frutas, Legumbres, Hortalizas Y Tubérculos (C1020); Elaboración De Otros Productos Alimenticios N.C.P. (C1089); Comercio Al Por Mayor De Productos Alimenticios (G4631); Expendio De Comidas Preparadas En Cafeterías (I5613)</t>
  </si>
  <si>
    <t>Calle 23 C # 69 C 20</t>
  </si>
  <si>
    <t>claria2002@hotmail.com</t>
  </si>
  <si>
    <t>Claudia Patricia Villa Rivera (Representante Legal)</t>
  </si>
  <si>
    <t>Tronos Club Sas</t>
  </si>
  <si>
    <t>Demás Tipos de Industrias de Diversión y Recreativas(71399); Grupos Musicales y Artistas(71113); Bares y Otros Lugares para Beber(7224); Tiendas de Electrónica y de Venta por Correo(4541)</t>
  </si>
  <si>
    <t>Comercio Al Por Menor Realizado A Través De Internet (G4791); Expendio De Bebidas Alcohólicas Para El Consumo Dentro Del Establecimiento (I5630); Actividades De Espectáculos Musicales En Vivo (R9007); Otras Actividades Recreativas Y De Esparcimiento N.C.P. (R9329)</t>
  </si>
  <si>
    <t>Cl 76 No. 16 20</t>
  </si>
  <si>
    <t>oscarcx3@gmail.com</t>
  </si>
  <si>
    <t>Jessica Michelle Martinez Buitrago (Representante Legal)</t>
  </si>
  <si>
    <t>Trilogia Rest Sas</t>
  </si>
  <si>
    <t>Fabricación de Alimentos Preparados Perecederos(311991); Restaurantes y Otros Lugares para Comer(72251); Empresas de Catering(72232); Comerciantes al por Mayor de Comestibles y Productos Relacionados(4244)</t>
  </si>
  <si>
    <t>Elaboración De Comidas Y Platos Preparados (C1084); Comercio Al Por Mayor De Productos Alimenticios (G4631); Expendio Por Autoservicio De Comidas Preparadas (I5612); Catering Para Eventos (I5621)</t>
  </si>
  <si>
    <t>Cr 7 C No. 141 A 25</t>
  </si>
  <si>
    <t>info.trilogiarest@gmail.com</t>
  </si>
  <si>
    <t>Daniel Botero Gomez (Representante Legal)</t>
  </si>
  <si>
    <t>Tres Pa ' Tres Sas</t>
  </si>
  <si>
    <t>Cr 41 A No. 4 C - 26</t>
  </si>
  <si>
    <t>bibianaaponte@gmail.com</t>
  </si>
  <si>
    <t>Bibiana Angelica Aponte Sanchez (Representante Legal)</t>
  </si>
  <si>
    <t>Tree Entertainment S.A.S</t>
  </si>
  <si>
    <t>Grupos Musicales y Artistas(71113); Otros Servicios de Apoyo de Negocios(56149); Agencias de Publicidad(54181); Bares y Otros Lugares para Beber(7224)</t>
  </si>
  <si>
    <t>Expendio De Bebidas Alcohólicas Para El Consumo Dentro Del Establecimiento (I5630); Publicidad (M7310); Otras Actividades De Servicio De Apoyo A Las Empresas N.C.P. (N8299); Actividades De Espectáculos Musicales En Vivo (R9007)</t>
  </si>
  <si>
    <t>Cl 88 # 22 A 13</t>
  </si>
  <si>
    <t>camilo@baumclub.com</t>
  </si>
  <si>
    <t>Niklas Sebastian Stadler (Representante Legal)</t>
  </si>
  <si>
    <t>Trazo Café Sas</t>
  </si>
  <si>
    <t>Cr 5 No. 23 - 34</t>
  </si>
  <si>
    <t>contacto@trazocafe.com</t>
  </si>
  <si>
    <t>Jennifer Morales Robles (Representante Legal)</t>
  </si>
  <si>
    <t>Trattoria Sole Rosso S.A.S.</t>
  </si>
  <si>
    <t>Cl 71 No. 9 - 18</t>
  </si>
  <si>
    <t>trattoriasolerosso@gmail.com</t>
  </si>
  <si>
    <t>Rafael Andrés Lara Cardona (Representante Legal)</t>
  </si>
  <si>
    <t>Trattoria Delizie D' Italia Sas</t>
  </si>
  <si>
    <t>Cl 72 No. 28 A - 09 L</t>
  </si>
  <si>
    <t>ecad46@hotmail.com</t>
  </si>
  <si>
    <t>Felix Eduardo Suarez Castro (Representante Legal)</t>
  </si>
  <si>
    <t>Trato Gastronómico Sas</t>
  </si>
  <si>
    <t>Oficinas de Administrción Corporativas, Subsidiarias y Regionales(551114); Fabricación de Alimentos Preparados Perecederos(311991); Bares y Otros Lugares para Beber(7224); Servicios Especiales de Comida(7223)</t>
  </si>
  <si>
    <t>Elaboración De Comidas Y Platos Preparados (C1084); Expendio A La Mesa De Comidas Preparadas (I5611); Expendio De Bebidas Alcohólicas Para El Consumo Dentro Del Establecimiento (I5630); Actividades De Administración Empresarial (M7010)</t>
  </si>
  <si>
    <t>Cl 72 No. 10 34 Lc 34</t>
  </si>
  <si>
    <t>tratogastronomicosas@gmail.com</t>
  </si>
  <si>
    <t>Juan Pablo Rosales Paredes (Representante Legal)</t>
  </si>
  <si>
    <t>Tras Action S.A.S</t>
  </si>
  <si>
    <t>Cafeterías y Bares para Bebidas sin Alcohol(722515); Dirección de Empresas(55111); Corretaje de Valores(52312); Tiendas de Electrónica y de Venta por Correo(4541)</t>
  </si>
  <si>
    <t>Dirección de Empresas(55111)</t>
  </si>
  <si>
    <t>Comercio Al Por Menor Realizado A Través De Internet (G4791); Expendio De Comidas Preparadas En Cafeterías (I5613); Corretaje De Valores Y De Contratos De Productos Básicos (K6612); Actividades De Consultaría De Gestión (M7020)</t>
  </si>
  <si>
    <t>Actividades De Consultaría De Gestión (M7020)</t>
  </si>
  <si>
    <t>Cr 12 No. 116 33 Ap 102</t>
  </si>
  <si>
    <t>serconsjordan@yahoo.com</t>
  </si>
  <si>
    <t>Sergio Jordan Quijano (Representante Legal)</t>
  </si>
  <si>
    <t>Tradico 116 Sas</t>
  </si>
  <si>
    <t>Cl 116 No. 15 71 P 2</t>
  </si>
  <si>
    <t>raquel@lottmodels.com</t>
  </si>
  <si>
    <t>Tpg Lupe Sas</t>
  </si>
  <si>
    <t>Ak 24 No. 39 B 08</t>
  </si>
  <si>
    <t>tpgtaqueria@gmail.com</t>
  </si>
  <si>
    <t>Kennedy Correa Sandoval (Representante Legal)</t>
  </si>
  <si>
    <t>Towers Crew Sas</t>
  </si>
  <si>
    <t>Cr 79 A 5 27 Sur</t>
  </si>
  <si>
    <t>towerscrewsas@gmail.com</t>
  </si>
  <si>
    <t>Brayan Leandro Torres Clavijo (Representante Legal)</t>
  </si>
  <si>
    <t>Tourist Coffee Sas</t>
  </si>
  <si>
    <t>Descafeinado, Tostión Y Molienda Del Café (C1062); Expendio De Comidas Preparadas En Cafeterías (I5613); Otros Tipos De Expendio De Comidas Preparadas N.C.P. (I5619)</t>
  </si>
  <si>
    <t>Calle 105 # 46 - 51 Piso</t>
  </si>
  <si>
    <t>norma@touristcoffee.com</t>
  </si>
  <si>
    <t>Elena Lokteva (Representante Legal)</t>
  </si>
  <si>
    <t>Total Suministros &amp; Soluciones S.A.S</t>
  </si>
  <si>
    <t>Bares y Otros Lugares para Beber(7224); Servicios de Administrativos de Oficina(5611); Comerciantes al por Mayor de Bienes No Duraderos Diversos(4249)</t>
  </si>
  <si>
    <t>Comerciantes al por Mayor de Bienes No Duraderos Diversos(4249)</t>
  </si>
  <si>
    <t>Comercio Al Por Mayor A Cambio De Una Retribución O Por Contrata (G4610); Comercio Al Por Mayor No Especializado (G4690); Expendio De Bebidas Alcohólicas Para El Consumo Dentro Del Establecimiento (I5630); Actividades Combinadas De Servicios Administrativos De Oficina (N8211)</t>
  </si>
  <si>
    <t>Comercio Al Por Mayor No Especializado (G4690)</t>
  </si>
  <si>
    <t>Diagonal 57 D Sur #</t>
  </si>
  <si>
    <t>totalsuministrosysoluciones@gmail.com</t>
  </si>
  <si>
    <t>Yeimy Diaz Velasquez (Representante Legal)</t>
  </si>
  <si>
    <t>Torrenegra Inversiones Y Eventos Sas</t>
  </si>
  <si>
    <t>Cl 70 A Bis No. 17 48</t>
  </si>
  <si>
    <t>torrenegrainversioneseventos@gmail.com</t>
  </si>
  <si>
    <t>Valeria Rodriguez Zuleta (Representante Legal)</t>
  </si>
  <si>
    <t>Top Coffee S.A.S</t>
  </si>
  <si>
    <t>Cafeterías y Bares para Bebidas sin Alcohol(722515); Fabricación de Café y Té(31192); Bares y Otros Lugares para Beber(7224)</t>
  </si>
  <si>
    <t>Descafeinado, Tostión Y Molienda Del Café (C1062); Expendio Por Autoservicio De Comidas Preparadas (I5612); Expendio De Comidas Preparadas En Cafeterías (I5613); Expendio De Bebidas Alcohólicas Para El Consumo Dentro Del Establecimiento (I5630)</t>
  </si>
  <si>
    <t>Cl 52 No. 9 98 Lc 2</t>
  </si>
  <si>
    <t>topcoffeecol@gmail.com</t>
  </si>
  <si>
    <t>Sonia Lucia Quintero Soto (Representante Legal)</t>
  </si>
  <si>
    <t>Tonik Melgar Sas</t>
  </si>
  <si>
    <t>Grupos Musicales y Artistas(71113); Bares y Otros Lugares para Beber(7224); Servicios Especiales de Comida(7223)</t>
  </si>
  <si>
    <t>Expendio A La Mesa De Comidas Preparadas (I5611); Expendio De Bebidas Alcohólicas Para El Consumo Dentro Del Establecimiento (I5630); Actividades De Espectáculos Musicales En Vivo (R9007)</t>
  </si>
  <si>
    <t>Cr 27 N 52 24</t>
  </si>
  <si>
    <t>tonikmelgar@gmail.com</t>
  </si>
  <si>
    <t>Alvaro Armando De La Espriella Gardeazabal (Representante Legal)</t>
  </si>
  <si>
    <t>Tomate Pizzería S.A.S</t>
  </si>
  <si>
    <t>Cr 14 No. 90 21</t>
  </si>
  <si>
    <t>pizzeria.kosher@gmail.com</t>
  </si>
  <si>
    <t>Maria Alejandra Roman Camargo (Representante Legal)</t>
  </si>
  <si>
    <t>Toloache Mx S.A.S</t>
  </si>
  <si>
    <t>Fabricación de Alimentos Preparados Perecederos(311991); Empresas de Catering(72232); Bares y Otros Lugares para Beber(7224)</t>
  </si>
  <si>
    <t>Elaboración De Comidas Y Platos Preparados (C1084); Expendio A La Mesa De Comidas Preparadas (I5611); Catering Para Eventos (I5621); Expendio De Bebidas Alcohólicas Para El Consumo Dentro Del Establecimiento (I5630)</t>
  </si>
  <si>
    <t>Calle 63 # 3A - 20</t>
  </si>
  <si>
    <t>panaderialumbre@gmail.com</t>
  </si>
  <si>
    <t>Federico Ernesto Garcia Lara (Representante Legal)</t>
  </si>
  <si>
    <t>Tokyo Grill S.A.S</t>
  </si>
  <si>
    <t>Restaurantes y Otros Lugares para Comer(72251); Servicios Especiales de Comida(7223); Arrendadores de Bienes Inmuebles(5311)</t>
  </si>
  <si>
    <t>Expendio A La Mesa De Comidas Preparadas (I5611); Expendio Por Autoservicio De Comidas Preparadas (I5612); Actividades Inmobiliarias Realizadas Con Bienes Propios O Arrendados (L6810)</t>
  </si>
  <si>
    <t>Cl 103 17A - 62 Of 101</t>
  </si>
  <si>
    <t>tokyogrillsas@gmail.com</t>
  </si>
  <si>
    <t>Jose David Castro Severiche (Representante Legal)</t>
  </si>
  <si>
    <t>Toc Toc Producciones S.A.S</t>
  </si>
  <si>
    <t>Cafeterías y Bares para Bebidas sin Alcohol(722515); Otras Compañías de Artes Escénicas(71119); Compañías de Teatro y Cena Teatros(71111); Bares y Otros Lugares para Beber(7224)</t>
  </si>
  <si>
    <t>Expendio De Comidas Preparadas En Cafeterías (I5613); Expendio De Bebidas Alcohólicas Para El Consumo Dentro Del Establecimiento (I5630); Actividades Teatrales (R9006); Otras Actividades De Espectáculos En Vivo N.C.P. (R9008)</t>
  </si>
  <si>
    <t>Cl 60A 5 14 Apt 401</t>
  </si>
  <si>
    <t>admitoctoc@outlook.com</t>
  </si>
  <si>
    <t>Juan Sebastian Lopez Garzon (Representante Legal)</t>
  </si>
  <si>
    <t>Tizar Sas</t>
  </si>
  <si>
    <t>Dg 86 A 103 D 22</t>
  </si>
  <si>
    <t>gerencia.tizar@gmail.com</t>
  </si>
  <si>
    <t>Sandra Rocio Avila Bejarano (Representante Legal)</t>
  </si>
  <si>
    <t>Tito Eduardo Bustos Sas</t>
  </si>
  <si>
    <t>Cafeterías y Bares para Bebidas sin Alcohol(722515); Otras Tiendas de Comidas Artesanales(44529); Servicios Especiales de Comida(7223); Supermercados(4451)</t>
  </si>
  <si>
    <t>Comercio Al Por Menor En Establecimientos No Especializados Con Surtido Compuesto Principalmente Por Alimentos, Bebidas O Tabaco (G4711); Comercio Al Por Menor De Otros Productos Alimenticios N.C.P., En Establecimientos Especializados (G4729); Expendio De Comidas Preparadas En Cafeterías (I5613); Otros Tipos De Expendio De Comidas Preparadas N.C.P. (I5619)</t>
  </si>
  <si>
    <t>Cra 99 No 25F 33</t>
  </si>
  <si>
    <t>Ricardo Castiblanco Moreno (Representante Legal)</t>
  </si>
  <si>
    <t>Tipicos Donde Manuel Sas</t>
  </si>
  <si>
    <t>Cr 21 No. 163 A 22</t>
  </si>
  <si>
    <t>contabilidad.tipicosmanuel@gmail.com</t>
  </si>
  <si>
    <t>Luis Fernando Hospital Herrera (Representante Legal)</t>
  </si>
  <si>
    <t>Tinteo Candelaria S.A.S</t>
  </si>
  <si>
    <t>Cl 11 No. 6 42</t>
  </si>
  <si>
    <t>juankarlosherrera@hotmail.com</t>
  </si>
  <si>
    <t>Juan Carlos Herrera Velasquez (Representante Legal)</t>
  </si>
  <si>
    <t>Tiendas Dies S.A.S</t>
  </si>
  <si>
    <t>Carrera 26 63 G 09</t>
  </si>
  <si>
    <t>tiendasdiessas@gmail.com</t>
  </si>
  <si>
    <t>Frank Jose Estepa Enriquez (Representante Legal)</t>
  </si>
  <si>
    <t>Tienda Mas Plus Colombia Sas</t>
  </si>
  <si>
    <t>Comercio Al Por Menor En Establecimientos No Especializados Con Surtido Compuesto Principalmente Por Alimentos, Bebidas O Tabaco (G4711); Otros Tipos De Expendio De Comidas Preparadas N.C.P. (I5619); Expendio De Bebidas Alcohólicas Para El Consumo Dentro Del Establecimiento (I5630)</t>
  </si>
  <si>
    <t>Cl 114 A No. 45 32 Cc Alhambra Lc 26</t>
  </si>
  <si>
    <t>tiendamasplus@gmail.com</t>
  </si>
  <si>
    <t>Maria Alejandra Vergara Molina (Representante Legal)</t>
  </si>
  <si>
    <t>Tienda Cafe Amazonico - T Amo Sas</t>
  </si>
  <si>
    <t>Cr 14 No. 93 40 Of 2</t>
  </si>
  <si>
    <t>tienda.cafeamazonico@gmail.com</t>
  </si>
  <si>
    <t>Rafael Antonio Alfonso Roa (Representante Legal)</t>
  </si>
  <si>
    <t>Tiempos Modernos Bogota Sas</t>
  </si>
  <si>
    <t>Cafeterías y Bares para Bebidas sin Alcohol(722515); Bares y Otros Lugares para Beber(7224); Servicios Especiales de Comida(7223)</t>
  </si>
  <si>
    <t>Expendio A La Mesa De Comidas Preparadas (I5611); Expendio De Comidas Preparadas En Cafeterías (I5613); Expendio De Bebidas Alcohólicas Para El Consumo Dentro Del Establecimiento (I5630)</t>
  </si>
  <si>
    <t>Cl 70 A No. 9 51</t>
  </si>
  <si>
    <t>tiemposmodernosbar@gmail.com</t>
  </si>
  <si>
    <t>Carlos Alirio Camacho Camacho (Representante Legal)</t>
  </si>
  <si>
    <t>Tiber Ltda en Liquidacion</t>
  </si>
  <si>
    <t>Explotacion de la Industria de Restautentes</t>
  </si>
  <si>
    <t>Cll 109 15 56</t>
  </si>
  <si>
    <t>contacto@restaurantepiazzetta.com</t>
  </si>
  <si>
    <t>www.restaurantepiazzetta.com</t>
  </si>
  <si>
    <t>Lombana Rueda Jannet (Representante Legal), Gomez de Bayona Esperanza (Miembro de la Junta Directiva), Ibeth Gutierrez Oviedo (Revisor Fiscal), Jose Orlando Gutierrez Restrepo (Revisor Fiscal Suplente), Contreras Garzon Ramiro (Contador)</t>
  </si>
  <si>
    <t>22 (2009)</t>
  </si>
  <si>
    <t>Threec Sas</t>
  </si>
  <si>
    <t>Carrera 76 68 B 41</t>
  </si>
  <si>
    <t>gerencia@eikon.com.co</t>
  </si>
  <si>
    <t>Jorge Yesid Cantor Velasquez (Representante Legal)</t>
  </si>
  <si>
    <t>Thp Factory Sas</t>
  </si>
  <si>
    <t>Calle 58A No 35A - 10</t>
  </si>
  <si>
    <t>gennys1117@gmail.com</t>
  </si>
  <si>
    <t>Andres Camilo Huerfano Aguas (Representante Legal)</t>
  </si>
  <si>
    <t>Thousand In One Sas</t>
  </si>
  <si>
    <t>Empresas de Catering(72232); Otros Alojamientos para Viajeros(72119); Carnicerías(44521); Bares y Otros Lugares para Beber(7224)</t>
  </si>
  <si>
    <t>Carnicerías(44521)</t>
  </si>
  <si>
    <t>Comercio Al Por Menor De Carnes (Incluye Aves De Corral), Productos Cárnicos, Pescados Y Productos De Mar, En Establecimientos Especializados (G4723); Alojamiento En Centros Vacacionales (I5513); Catering Para Eventos (I5621); Expendio De Bebidas Alcohólicas Para El Consumo Dentro Del Establecimiento (I5630)</t>
  </si>
  <si>
    <t>Comercio Al Por Menor De Carnes (Incluye Aves De Corral), Productos Cárnicos, Pescados Y Productos De Mar, En Establecimientos Especializados (G4723)</t>
  </si>
  <si>
    <t>Cl 70 D Bis No. 107</t>
  </si>
  <si>
    <t>gapiparolla@gmail.com</t>
  </si>
  <si>
    <t>Gabriel Alejandro Piparolla (Representante Legal)</t>
  </si>
  <si>
    <t>Theproducts Colombia S.A.S</t>
  </si>
  <si>
    <t>Bares y Otros Lugares para Beber(7224); Servicios Especiales de Comida(7223); Tiendas de Electrónica y de Venta por Correo(4541); Conservación de Frutas, Verduras y Fabricación de Alimentos Especializados(3114)</t>
  </si>
  <si>
    <t>Procesamiento Y Conservación De Frutas, Legumbres, Hortalizas Y Tubérculos (C1020); Comercio Al Por Menor Realizado A Través De Internet (G4791); Otros Tipos De Expendio De Comidas Preparadas N.C.P. (I5619); Expendio De Bebidas Alcohólicas Para El Consumo Dentro Del Establecimiento (I5630)</t>
  </si>
  <si>
    <t>Cr 70 C No. 79 69 Bo</t>
  </si>
  <si>
    <t>gerenciatheproduct@theproductscolombia.com</t>
  </si>
  <si>
    <t>Andrea Yohana Rodriguez Delgado (Representante Legal)</t>
  </si>
  <si>
    <t>Theobroma Cacao S.A.S</t>
  </si>
  <si>
    <t>Cr 72 12 B 48</t>
  </si>
  <si>
    <t>theobroma.cacaobta@gmail.com</t>
  </si>
  <si>
    <t>Ruben Eduardo Cruz Mora (Representante Legal)</t>
  </si>
  <si>
    <t>The Wholesome Food Co. Sas</t>
  </si>
  <si>
    <t>Fabricación de Todos los Demás Tipos de Alimentos Diversos(311999); Restaurantes y Otros Lugares para Comer(72251)</t>
  </si>
  <si>
    <t>Elaboración De Otros Productos Alimenticios N.C.P. (C1089); Expendio Por Autoservicio De Comidas Preparadas (I5612)</t>
  </si>
  <si>
    <t>Tv 23 No. 94 50 Ed Akalia Ap 702</t>
  </si>
  <si>
    <t>hello@sebastianjt.com</t>
  </si>
  <si>
    <t>Sebastian Jaramillo Trujillo (Representante Legal)</t>
  </si>
  <si>
    <t>The Sushi Maker S.A.S</t>
  </si>
  <si>
    <t>Elaboración De Comidas Y Platos Preparados (C1084); Expendio A La Mesa De Comidas Preparadas (I5611); Actividades De Otros Servicios De Comidas (I5629); Expendio De Bebidas Alcohólicas Para El Consumo Dentro Del Establecimiento (I5630)</t>
  </si>
  <si>
    <t>Cr 46 No. 187 39 To</t>
  </si>
  <si>
    <t>sushimakercolombia@gmail.com</t>
  </si>
  <si>
    <t>Daniel Felipe Bernal Reyes (Representante Legal)</t>
  </si>
  <si>
    <t>The Spot Full Clean Coffee S.A.S.</t>
  </si>
  <si>
    <t>Restaurantes y Otros Lugares para Comer(72251); Reparación y Mantenimiento de Vehículos(8111)</t>
  </si>
  <si>
    <t>Mantenimiento Y Reparación De Motocicletas Y De Sus Partes Y Piezas (G4542); Expendio Por Autoservicio De Comidas Preparadas (I5612)</t>
  </si>
  <si>
    <t>Mantenimiento Y Reparación De Motocicletas Y De Sus Partes Y Piezas (G4542)</t>
  </si>
  <si>
    <t>Cr 60 No. 97 A 57</t>
  </si>
  <si>
    <t>the.spot.clean.cooffe@gmail.com</t>
  </si>
  <si>
    <t>Fabian Alberto Pinzon Arias (Representante Legal)</t>
  </si>
  <si>
    <t>The Ruztic Experience Sas</t>
  </si>
  <si>
    <t>Otros Tipos De Expendio De Comidas Preparadas N.C.P. (I5619); Expendio De Bebidas Alcohólicas Para El Consumo Dentro Del Establecimiento (I5630)</t>
  </si>
  <si>
    <t>Cl 68 No. 6 39</t>
  </si>
  <si>
    <t>gerenciatheruzticexperience@gmail.com</t>
  </si>
  <si>
    <t>Cristian Ruiz Amaya (Representante Legal)</t>
  </si>
  <si>
    <t>The Ruana's Party Sas</t>
  </si>
  <si>
    <t>Expendio A La Mesa De Comidas Preparadas (I5611); Expendio De Bebidas Alcohólicas Para El Consumo Dentro Del Establecimiento (I5630); Otras Actividades Recreativas Y De Esparcimiento N.C.P. (R9329)</t>
  </si>
  <si>
    <t>Cl 45 No. 15 A 08</t>
  </si>
  <si>
    <t>ruanasparty@gmail.com</t>
  </si>
  <si>
    <t>Peña Beltran Lissette Paola (Representante Legal)</t>
  </si>
  <si>
    <t>The Rollers Club Sas</t>
  </si>
  <si>
    <t>Cafeterías y Bares para Bebidas sin Alcohol(722515); Otros Servicios de Apoyo de Negocios(56149); Tiendas de Artículos Deportivos(45111); Comerciantes al por Mayor de Bienes Duraderos Diversos(4239)</t>
  </si>
  <si>
    <t>Comercio Al Por Mayor De Otros Utensilios Domésticos N.C.P. (G4649); Comercio Al Por Menor De Artículos Deportivos, En Establecimientos Especializados (G4762); Expendio De Comidas Preparadas En Cafeterías (I5613); Otras Actividades De Servicio De Apoyo A Las Empresas N.C.P. (N8299)</t>
  </si>
  <si>
    <t>Cr 9 Bis 97 33 Suite 602</t>
  </si>
  <si>
    <t>shchkristina@gmail.com</t>
  </si>
  <si>
    <t>Mauricio Ordoñez Bustamante (Representante Legal)</t>
  </si>
  <si>
    <t>The Red Mustache Sas</t>
  </si>
  <si>
    <t>Servicios de Cuidado de Uñas, Pelo y Piel(81211); Bares y Otros Lugares para Beber(7224)</t>
  </si>
  <si>
    <t>Expendio De Bebidas Alcohólicas Para El Consumo Dentro Del Establecimiento (I5630); Peluquería Y Otros Tratamientos De Belleza (S9602)</t>
  </si>
  <si>
    <t>Carrera 58 # 130 - 1</t>
  </si>
  <si>
    <t>ricardimon@hotmail.com</t>
  </si>
  <si>
    <t>Ricardo Alberto Montenegro Benavides (Representante Legal)</t>
  </si>
  <si>
    <t>The Pie House S.A.S</t>
  </si>
  <si>
    <t>Cl 23 C No. 69 F 65</t>
  </si>
  <si>
    <t>admon.tph@gmail.com</t>
  </si>
  <si>
    <t>Reinaldo Jesus Linares Cavalieri (Representante Legal)</t>
  </si>
  <si>
    <t>The Office Gastro Bar Sas</t>
  </si>
  <si>
    <t>Bares y Otros Lugares para Beber(7224); Servicios Especiales de Comida(7223); Cervecerías, Vinaterías y Tiendas de Licores(4453); Supermercados(4451)</t>
  </si>
  <si>
    <t>Comercio Al Por Menor En Establecimientos No Especializados Con Surtido Compuesto Principalmente Por Alimentos, Bebidas O Tabaco (G4711); Comercio Al Por Menor De Bebidas Y Productos Del Tabaco, En Establecimientos Especializados (G4724); Expendio A La Mesa De Comidas Preparadas (I5611); Expendio De Bebidas Alcohólicas Para El Consumo Dentro Del Establecimiento (I5630)</t>
  </si>
  <si>
    <t>Cl 8 Sur No. 40 - 56</t>
  </si>
  <si>
    <t>theoffice.since2023@gmail.com</t>
  </si>
  <si>
    <t>John Nicolas Rodriguez Perea (Representante Legal)</t>
  </si>
  <si>
    <t>The New Colors 2 Sas</t>
  </si>
  <si>
    <t>Bares y Otros Lugares para Beber(7224); Servicios Especiales de Comida(7223); Servicios Relacionados con el Transporte por Carretera(4884)</t>
  </si>
  <si>
    <t>Actividades De Estaciones, Vías Y Servicios Complementarios Para El Transporte Terrestre (H5221); Expendio A La Mesa De Comidas Preparadas (I5611); Expendio De Bebidas Alcohólicas Para El Consumo Dentro Del Establecimiento (I5630)</t>
  </si>
  <si>
    <t>Cr 3 Este No. 101 27 K 4 Vc</t>
  </si>
  <si>
    <t>thenewcolors93@gmail.com</t>
  </si>
  <si>
    <t>Henry Cruz Vega (Representante Legal)</t>
  </si>
  <si>
    <t>The Jp Beer Sas</t>
  </si>
  <si>
    <t>Fabricación de Refrescos(312111); Tiendas de Mercancía General, incluyendo Grandes Almacenes(45231); Cerveceras(31212); Bares y Otros Lugares para Beber(7224)</t>
  </si>
  <si>
    <t>Producción De Malta, Elaboración De Cervezas Y Otras Bebidas Malteadas (C1103); Elaboración De Bebidas No Alcohólicas, Producción De Aguas Minerales Y De Otras Aguas Embotelladas (C1104); Comercio Al Por Menor En Establecimientos No Especializados, Con Surtido Compuesto Principalmente Por Productos Diferentes De Alimentos (Víveres En General), Bebidas Y Tabaco (G4719); Expendio De Bebidas Alcohólicas Para El Consumo Dentro Del Establecimiento (I5630)</t>
  </si>
  <si>
    <t>Cr 28 No. 85 A 24 Piso 2</t>
  </si>
  <si>
    <t>asesoriasjspinzon@gmail.com</t>
  </si>
  <si>
    <t>Alejandro Jose Riaño Pradilla (Representante Legal)</t>
  </si>
  <si>
    <t>The House Of The Lemon Tree Sas</t>
  </si>
  <si>
    <t>Cl 120 A No. 5 - 55</t>
  </si>
  <si>
    <t>thehouseofthelemontree@gmail.com</t>
  </si>
  <si>
    <t>German Navas Sequera (Representante Legal)</t>
  </si>
  <si>
    <t>The Homebrewer Corner S.A.S</t>
  </si>
  <si>
    <t>Otras Tiendas de Comidas Artesanales(44529); Bares y Otros Lugares para Beber(7224); Tiendas de Electrónica y de Venta por Correo(4541); Supermercados(4451)</t>
  </si>
  <si>
    <t>Comercio Al Por Menor En Establecimientos No Especializados Con Surtido Compuesto Principalmente Por Alimentos, Bebidas O Tabaco (G4711); Comercio Al Por Menor De Otros Productos Alimenticios N.C.P., En Establecimientos Especializados (G4729); Comercio Al Por Menor Realizado A Través De Internet (G4791); Expendio De Bebidas Alcohólicas Para El Consumo Dentro Del Establecimiento (I5630)</t>
  </si>
  <si>
    <t>Cra. 53 # 104B - 58 Ofic</t>
  </si>
  <si>
    <t>thehomebrewercorner@gmail.com</t>
  </si>
  <si>
    <t>Camilo Muñoz Sanclemente (Representante Legal)</t>
  </si>
  <si>
    <t>The Gastrobar Brooklyn Sas</t>
  </si>
  <si>
    <t>Dirección de Empresas(55111); Bares y Otros Lugares para Beber(7224); Servicios Especiales de Comida(7223)</t>
  </si>
  <si>
    <t>Expendio A La Mesa De Comidas Preparadas (I5611); Actividades De Otros Servicios De Comidas (I5629); Expendio De Bebidas Alcohólicas Para El Consumo Dentro Del Establecimiento (I5630); Actividades De Consultaría De Gestión (M7020)</t>
  </si>
  <si>
    <t>Cr 7 No. 82 62 Int 2104</t>
  </si>
  <si>
    <t>MERTSONDAC@GMAIL.COM</t>
  </si>
  <si>
    <t>Langon Colombia S.A.S (Representante Legal)</t>
  </si>
  <si>
    <t>The Eworld Team Colombia Sas</t>
  </si>
  <si>
    <t>Cafeterías y Bares para Bebidas sin Alcohol(722515); Servicios Especiales de Comida(7223); Arrendadores de Bienes Inmuebles(5311)</t>
  </si>
  <si>
    <t>Expendio A La Mesa De Comidas Preparadas (I5611); Expendio De Comidas Preparadas En Cafeterías (I5613); Actividades De Otros Servicios De Comidas (I5629); Actividades Inmobiliarias Realizadas Con Bienes Propios O Arrendados (L6810)</t>
  </si>
  <si>
    <t>Avenida Carrera 70 49 77 Oficina 301</t>
  </si>
  <si>
    <t>beto6210@hotmail.com</t>
  </si>
  <si>
    <t>Jairo Alberto Camargo Sierra (Representante Legal)</t>
  </si>
  <si>
    <t>The Castlle Company Sas</t>
  </si>
  <si>
    <t>Empresas de Catering(72232); Cerveceras(31212); Bares y Otros Lugares para Beber(7224)</t>
  </si>
  <si>
    <t>Producción De Malta, Elaboración De Cervezas Y Otras Bebidas Malteadas (C1103); Expendio A La Mesa De Comidas Preparadas (I5611); Catering Para Eventos (I5621); Expendio De Bebidas Alcohólicas Para El Consumo Dentro Del Establecimiento (I5630)</t>
  </si>
  <si>
    <t>Cr 1 No. 6 00</t>
  </si>
  <si>
    <t>alejocast26@gmail.com</t>
  </si>
  <si>
    <t>Jose Alejandro Castillo Ojeda (Representante Legal)</t>
  </si>
  <si>
    <t>The Castle Crepes Sas</t>
  </si>
  <si>
    <t>Expendio A La Mesa De Comidas Preparadas (I5611); Otros Tipos De Expendio De Comidas Preparadas N.C.P. (I5619); Actividades De Otros Servicios De Comidas (I5629); Expendio De Bebidas Alcohólicas Para El Consumo Dentro Del Establecimiento (I5630)</t>
  </si>
  <si>
    <t>Cr 27 No. 1 B 83</t>
  </si>
  <si>
    <t>katykamado@gmail.com</t>
  </si>
  <si>
    <t>Liz Catherine Amado Romero (Representante Legal)</t>
  </si>
  <si>
    <t>The Burger Shop Sas</t>
  </si>
  <si>
    <t>Av Calle 82 # 12 - 35</t>
  </si>
  <si>
    <t>theburgershopcolombia@gmail.com</t>
  </si>
  <si>
    <t>Daniela Cardozo Gardeazabal (Representante Legal)</t>
  </si>
  <si>
    <t>The Broaster's Queen S.A.S</t>
  </si>
  <si>
    <t>Carrera 11 65 73</t>
  </si>
  <si>
    <t>thebroastersqueen2024@gmail.com</t>
  </si>
  <si>
    <t>Martha Cecilia Jaimes (Representante Legal)</t>
  </si>
  <si>
    <t>Thai Mex Sas</t>
  </si>
  <si>
    <t>Cl 127 B Bis No 20 66 Of 205</t>
  </si>
  <si>
    <t>thai-express@hotmail.com</t>
  </si>
  <si>
    <t>Alvaro Hernando Camelo Lizarazo (Representante Legal)</t>
  </si>
  <si>
    <t>Tesoro Natural Colombia Sas</t>
  </si>
  <si>
    <t>Cafeterías y Bares para Bebidas sin Alcohol(722515); Tiendas de Electrónica y de Venta por Correo(4541); Supermercados(4451)</t>
  </si>
  <si>
    <t>Comercio Al Por Menor En Establecimientos No Especializados Con Surtido Compuesto Principalmente Por Alimentos, Bebidas O Tabaco (G4711); Comercio Al Por Menor Realizado A Través De Internet (G4791); Expendio De Comidas Preparadas En Cafeterías (I5613)</t>
  </si>
  <si>
    <t>Cl 160 No. 64 11 In 8 Ap 602</t>
  </si>
  <si>
    <t>sonia_constanza@yahoo.com</t>
  </si>
  <si>
    <t>Sonia Constanza Herrera Rojas (Representante Legal)</t>
  </si>
  <si>
    <t>Tertulia Cafe Libreria S.A.S</t>
  </si>
  <si>
    <t>Cafeterías y Bares para Bebidas sin Alcohol(722515); Dirección de Empresas(55111); Demás Servicios Profesionales, Científicos y Técnicos(54199); Tiendas de Libros y Periódicos(45121)</t>
  </si>
  <si>
    <t>Comercio Al Por Menor De Libros, Periódicos, Materiales Y Artículos De Papelería Y Escritorio, En Establecimientos Especializados (G4761); Expendio De Comidas Preparadas En Cafeterías (I5613); Actividades De Consultaría De Gestión (M7020); Otras Actividades Profesionales, Científicas Y Técnicas N.C.P. (M7490)</t>
  </si>
  <si>
    <t>Carrera 22 75 18</t>
  </si>
  <si>
    <t>Yenny Paola Gil Rios (Representante Legal)</t>
  </si>
  <si>
    <t>Terrazas Sas</t>
  </si>
  <si>
    <t>Demás Tipos de Alojamiento para Viajeros(721199); Hoteles (excepto Hoteles Casino) y Moteles(72111); Bares y Otros Lugares para Beber(7224)</t>
  </si>
  <si>
    <t>Alojamiento En Hoteles (I5511); Alojamiento En Apartahoteles (I5512); Otros Tipos De Alojamientos Para Visitantes (I5519); Expendio De Bebidas Alcohólicas Para El Consumo Dentro Del Establecimiento (I5630)</t>
  </si>
  <si>
    <t>Dg 55 3 12</t>
  </si>
  <si>
    <t>terrazas1.trendsuites@gmail.com</t>
  </si>
  <si>
    <t>Liliana Martinez Echeverry (Representante Legal)</t>
  </si>
  <si>
    <t>Terracosecha Sas</t>
  </si>
  <si>
    <t>Carnicerías(44521); Bares y Otros Lugares para Beber(7224); Servicios Especiales de Comida(7223); Supermercados(4451)</t>
  </si>
  <si>
    <t>Comercio Al Por Menor En Establecimientos No Especializados Con Surtido Compuesto Principalmente Por Alimentos, Bebidas O Tabaco (G4711); Comercio Al Por Menor De Carnes (Incluye Aves De Corral), Productos Cárnicos, Pescados Y Productos De Mar, En Establecimientos Especializados (G4723); Otros Tipos De Expendio De Comidas Preparadas N.C.P. (I5619); Expendio De Bebidas Alcohólicas Para El Consumo Dentro Del Establecimiento (I5630)</t>
  </si>
  <si>
    <t>Cr 78 G No. 45 52 Sur</t>
  </si>
  <si>
    <t>terracosechasas@hotmail.com</t>
  </si>
  <si>
    <t>Flor Daly Vega Alvarez (Representante Legal)</t>
  </si>
  <si>
    <t>Terra Club Sas</t>
  </si>
  <si>
    <t>Ac 53 No. 71 A 39 Normandia</t>
  </si>
  <si>
    <t>terraclub295@gmail.com</t>
  </si>
  <si>
    <t>Emilcen Rodriguez (Representante Legal)</t>
  </si>
  <si>
    <t>Termales Napoles Sas</t>
  </si>
  <si>
    <t>Cafeterías y Bares para Bebidas sin Alcohol(722515); Otros Alojamientos para Viajeros(72119); Demás Tipos de Industrias de Diversión y Recreativas(71399); Cervecerías, Vinaterías y Tiendas de Licores(4453)</t>
  </si>
  <si>
    <t>Comercio Al Por Menor De Bebidas Y Productos Del Tabaco, En Establecimientos Especializados (G4724); Alojamiento Rural (I5514); Expendio De Comidas Preparadas En Cafeterías (I5613); Otras Actividades Recreativas Y De Esparcimiento N.C.P. (R9329)</t>
  </si>
  <si>
    <t>Km 11 Vía Sisga Machetá Vereda Boquerón</t>
  </si>
  <si>
    <t>termalesnapoles@gmail.com</t>
  </si>
  <si>
    <t>Jeramy Jaysson Donato (Representante Legal)</t>
  </si>
  <si>
    <t>Tercer Tiempo Fc S.A.S</t>
  </si>
  <si>
    <t>Demás Tipos de Industrias de Diversión y Recreativas(71399); Bares y Otros Lugares para Beber(7224); Servicios Especiales de Comida(7223); Servicios Relacionados con el Transporte por Carretera(4884)</t>
  </si>
  <si>
    <t>Actividades De Estaciones, Vías Y Servicios Complementarios Para El Transporte Terrestre (H5221); Expendio A La Mesa De Comidas Preparadas (I5611); Expendio De Bebidas Alcohólicas Para El Consumo Dentro Del Establecimiento (I5630); Gestión De Instalaciones Deportivas (R9311)</t>
  </si>
  <si>
    <t>Calle 74 53 30</t>
  </si>
  <si>
    <t>contabilidad.tc10producciones@gmail.com</t>
  </si>
  <si>
    <t>Alvaro Andres Cordoba Conto (Representante Legal)</t>
  </si>
  <si>
    <t>Tercer Puerto Sas</t>
  </si>
  <si>
    <t>Cafeterías y Bares para Bebidas sin Alcohol(722515); Grupos Musicales y Artistas(71113); Bares y Otros Lugares para Beber(7224)</t>
  </si>
  <si>
    <t>Expendio De Comidas Preparadas En Cafeterías (I5613); Actividades De Otros Servicios De Comidas (I5629); Expendio De Bebidas Alcohólicas Para El Consumo Dentro Del Establecimiento (I5630); Actividades De Espectáculos Musicales En Vivo (R9007)</t>
  </si>
  <si>
    <t>Cl 22 B No. 54 21</t>
  </si>
  <si>
    <t>lighthousecoffeeplace@gmail.com</t>
  </si>
  <si>
    <t>Daniel Mateo Ibagon Rodriguez (Representante Legal)</t>
  </si>
  <si>
    <t>Tequileras.Com.Co Sas</t>
  </si>
  <si>
    <t>Demás Tipos de Industrias de Diversión y Recreativas(71399); Bares y Otros Lugares para Beber(7224)</t>
  </si>
  <si>
    <t>Expendio De Bebidas Alcohólicas Para El Consumo Dentro Del Establecimiento (I5630); Otras Actividades Recreativas Y De Esparcimiento N.C.P. (R9329)</t>
  </si>
  <si>
    <t>Cr 18 C No. 118 60</t>
  </si>
  <si>
    <t>tequileras.com@gmail.com</t>
  </si>
  <si>
    <t>Gina Isabel Zubieta Bernal (Representante Legal)</t>
  </si>
  <si>
    <t>Tequileras.Com Sas</t>
  </si>
  <si>
    <t>Otras Compañías de Artes Escénicas(71119); Bares y Otros Lugares para Beber(7224)</t>
  </si>
  <si>
    <t>Otras Compañías de Artes Escénicas(71119)</t>
  </si>
  <si>
    <t>Expendio De Bebidas Alcohólicas Para El Consumo Dentro Del Establecimiento (I5630); Otras Actividades De Espectáculos En Vivo N.C.P. (R9008)</t>
  </si>
  <si>
    <t>Otras Actividades De Espectáculos En Vivo N.C.P. (R9008)</t>
  </si>
  <si>
    <t>Tequeño Sas</t>
  </si>
  <si>
    <t>Fabricación de Todos los Demás Tipos de Alimentos Diversos(311999); Bares y Otros Lugares para Beber(7224); Servicios Especiales de Comida(7223)</t>
  </si>
  <si>
    <t>Elaboración De Otros Productos Alimenticios N.C.P. (C1089); Expendio A La Mesa De Comidas Preparadas (I5611); Otros Tipos De Expendio De Comidas Preparadas N.C.P. (I5619); Expendio De Bebidas Alcohólicas Para El Consumo Dentro Del Establecimiento (I5630)</t>
  </si>
  <si>
    <t>Calle 84A # 14 - 31</t>
  </si>
  <si>
    <t>tequenodelivery@gmail.com</t>
  </si>
  <si>
    <t>Lopez Ojeda Joeneli Del Valle (Representante Legal)</t>
  </si>
  <si>
    <t>Tempo Foods S.A.S</t>
  </si>
  <si>
    <t>Carrera 5 66 24</t>
  </si>
  <si>
    <t>metronomobarbogota@gmail.com</t>
  </si>
  <si>
    <t>Daniel Felipe Zuluaga Cardenas (Representante Legal)</t>
  </si>
  <si>
    <t>Templo Burger Sas</t>
  </si>
  <si>
    <t>Cl 44 D 4530</t>
  </si>
  <si>
    <t>temploburgerbogota@gmail.com</t>
  </si>
  <si>
    <t>Jorge Eduardo Barrios Orjuela (Representante Legal)</t>
  </si>
  <si>
    <t>Telate Sas</t>
  </si>
  <si>
    <t>Cl 59 A Bis No. 5 - 80 Ap 901</t>
  </si>
  <si>
    <t>vale1692@hotmail.com</t>
  </si>
  <si>
    <t>Valentina Botero Sánchez (Representante Legal)</t>
  </si>
  <si>
    <t>Tejo La Embajada S.A.S</t>
  </si>
  <si>
    <t>Demás Tipos de Industrias de Diversión y Recreativas(71399); Grupos Musicales y Artistas(71113); Bares y Otros Lugares para Beber(7224)</t>
  </si>
  <si>
    <t>Expendio De Bebidas Alcohólicas Para El Consumo Dentro Del Establecimiento (I5630); Actividades De Espectáculos Musicales En Vivo (R9007); Otras Actividades Deportivas (R9319); Otras Actividades Recreativas Y De Esparcimiento N.C.P. (R9329)</t>
  </si>
  <si>
    <t>Cl 19 No. 3 50 Of 1602</t>
  </si>
  <si>
    <t>SEBASTIAN@TEJOLAEMBAJADA.COM</t>
  </si>
  <si>
    <t>Juan Sebastian Otero Guzman (Representante Legal)</t>
  </si>
  <si>
    <t>Tejar Shop S.A.S</t>
  </si>
  <si>
    <t>Cr 52 19 65 Sur In 23 Mz 32</t>
  </si>
  <si>
    <t>avaluosodo@gmail.com</t>
  </si>
  <si>
    <t>Astrid Elena Jaramillo Caro (Representante Legal)</t>
  </si>
  <si>
    <t>Tego Cocina Sas</t>
  </si>
  <si>
    <t>Cl 120 A No. 3 A 93</t>
  </si>
  <si>
    <t>tegococinait@gmail.com</t>
  </si>
  <si>
    <t>Mateo Calderon Yañez (Representante Legal)</t>
  </si>
  <si>
    <t>Tecnologias Industriales S.A.S</t>
  </si>
  <si>
    <t>Destilerías(31214); Cerveceras(31212); Bares y Otros Lugares para Beber(7224)</t>
  </si>
  <si>
    <t>Destilación, Rectificación Y Mezcla De Bebidas Alcohólicas (C1101); Producción De Malta, Elaboración De Cervezas Y Otras Bebidas Malteadas (C1103); Expendio De Bebidas Alcohólicas Para El Consumo Dentro Del Establecimiento (I5630)</t>
  </si>
  <si>
    <t>Cra 78H # 67 - 23 Sur</t>
  </si>
  <si>
    <t>tecnologiasindustrialesdevzla@gmail.com</t>
  </si>
  <si>
    <t>Luis Jose Roa Zambrano (Representante Legal)</t>
  </si>
  <si>
    <t>Tdt Tierra De Todos Sas</t>
  </si>
  <si>
    <t>Cl 63 D Bis No. 26 4</t>
  </si>
  <si>
    <t>juliocvergelg@hotmail.com</t>
  </si>
  <si>
    <t>Julio Cesar Vergel Garnica (Representante Legal)</t>
  </si>
  <si>
    <t>Tatan Arroyo S.A.S</t>
  </si>
  <si>
    <t>Restaurantes y Otros Lugares para Comer(72251); Agencias de Publicidad(54181)</t>
  </si>
  <si>
    <t>Expendio Por Autoservicio De Comidas Preparadas (I5612); Publicidad (M7310)</t>
  </si>
  <si>
    <t>Cl 150 No. 19 19</t>
  </si>
  <si>
    <t>jdar241989@gmail.com</t>
  </si>
  <si>
    <t>Jhonatan David Arroyo Romero (Representante Legal)</t>
  </si>
  <si>
    <t>Tartin Colombia S.A.S</t>
  </si>
  <si>
    <t>Cafeterías y Bares para Bebidas sin Alcohol(722515); Fabricación de Alimentos Preparados Perecederos(311991); Panaderías y Producción de Tortillas(3118)</t>
  </si>
  <si>
    <t>Elaboración De Productos De Panadería (C1081); Elaboración De Comidas Y Platos Preparados (C1084); Expendio De Comidas Preparadas En Cafeterías (I5613); Actividades De Otros Servicios De Comidas (I5629)</t>
  </si>
  <si>
    <t>Cl 51 # 19 12 Primer P</t>
  </si>
  <si>
    <t>tartincolombia@gmail.com</t>
  </si>
  <si>
    <t>Daniel Ricardo Rojas Torres (Representante Legal)</t>
  </si>
  <si>
    <t>Tartara By Santander S.A.S</t>
  </si>
  <si>
    <t>Av La Esperanza No 81 C 23</t>
  </si>
  <si>
    <t>TARTARA_BY_SANTANDER@HOTMAIL.COM</t>
  </si>
  <si>
    <t>Zayra Melissa Gomez Velasquez (Representante Legal)</t>
  </si>
  <si>
    <t>Taqueria California S.A.S</t>
  </si>
  <si>
    <t>Fabricación de Alimentos Preparados Perecederos(311991); Bares y Otros Lugares para Beber(7224); Supermercados(4451)</t>
  </si>
  <si>
    <t>Elaboración De Comidas Y Platos Preparados (C1084); Comercio Al Por Menor En Establecimientos No Especializados Con Surtido Compuesto Principalmente Por Alimentos, Bebidas O Tabaco (G4711); Expendio De Bebidas Alcohólicas Para El Consumo Dentro Del Establecimiento (I5630)</t>
  </si>
  <si>
    <t>Carrera 90 # 6 A 47</t>
  </si>
  <si>
    <t>taqueria.california@outlook.com</t>
  </si>
  <si>
    <t>Jesus Gabriel Gonzalez Forero (Representante Legal)</t>
  </si>
  <si>
    <t>Taqueiros Sas</t>
  </si>
  <si>
    <t>Expendio A La Mesa De Comidas Preparadas (I5611); Expendio Por Autoservicio De Comidas Preparadas (I5612); Actividades De Otros Servicios De Comidas (I5629); Expendio De Bebidas Alcohólicas Para El Consumo Dentro Del Establecimiento (I5630)</t>
  </si>
  <si>
    <t>Cl 18 No. 3 18 Ed To Ventto Aeto 1128</t>
  </si>
  <si>
    <t>taqueriosbogota@gmail.com</t>
  </si>
  <si>
    <t>Valderrama Vega Jofred (Representante Legal)</t>
  </si>
  <si>
    <t>Tappanco S A S</t>
  </si>
  <si>
    <t>Cafeterías y Bares para Bebidas sin Alcohol(722515); Grupos Musicales y Artistas(71113); Servicios Especiales de Comida(7223); Industrias Cinematográficas y de Vídeo(5121)</t>
  </si>
  <si>
    <t>Industrias Cinematográficas y de Vídeo(5121)</t>
  </si>
  <si>
    <t>Expendio A La Mesa De Comidas Preparadas (I5611); Expendio De Comidas Preparadas En Cafeterías (I5613); Actividades De Producción De Películas Cinematográficas, Videos, Programas, Anuncios Y Comerciales De Televisión (J5911); Actividades De Espectáculos Musicales En Vivo (R9007)</t>
  </si>
  <si>
    <t>Actividades De Producción De Películas Cinematográficas, Videos, Programas, Anuncios Y Comerciales De Televisión (J5911)</t>
  </si>
  <si>
    <t>Cra 16 No. 76 - 42 Ofc 301</t>
  </si>
  <si>
    <t>tappancosas@gmail.com</t>
  </si>
  <si>
    <t>Juliana Rodriguez De La Torre (Representante Legal)</t>
  </si>
  <si>
    <t>Tapiceria Automotriz Narvaez S.A.S.</t>
  </si>
  <si>
    <t>Reparación y Mantenimiento de Vehículos(8111); Bares y Otros Lugares para Beber(7224); Servicios Especiales de Comida(7223); Confección de Textiles Mobiliarios(3141)</t>
  </si>
  <si>
    <t>Confección De Artículos Con Materiales Textiles, Excepto Prendas De Vestir (C1392); Mantenimiento Y Reparación De Vehículos Automotores (G4520); Expendio A La Mesa De Comidas Preparadas (I5611); Expendio De Bebidas Alcohólicas Para El Consumo Dentro Del Establecimiento (I5630)</t>
  </si>
  <si>
    <t>Carrera 28A # 70 - 36</t>
  </si>
  <si>
    <t>lorenanarvaez0426@gmail.com</t>
  </si>
  <si>
    <t>Yeimi Lorena Narvaez Ortiz (Representante Legal)</t>
  </si>
  <si>
    <t>Tap Room Bogota Sas</t>
  </si>
  <si>
    <t>Grupos Musicales y Artistas(71113); Cerveceras(31212); Bares y Otros Lugares para Beber(7224); Comerciantes al por Mayor de Maquinaría, Equipos y Suministros(4238)</t>
  </si>
  <si>
    <t>Producción De Malta, Elaboración De Cervezas Y Otras Bebidas Malteadas (C1103); Comercio Al Por Mayor De Otros Tipos De Maquinaria Y Equipo N.C.P. (G4659); Expendio De Bebidas Alcohólicas Para El Consumo Dentro Del Establecimiento (I5630); Actividades De Espectáculos Musicales En Vivo (R9007)</t>
  </si>
  <si>
    <t>Cr 7 A No. 127 B 35 Ap 201</t>
  </si>
  <si>
    <t>taproombogota@gmail.com</t>
  </si>
  <si>
    <t>Santiago Jimenez Baquero (Representante Legal)</t>
  </si>
  <si>
    <t>Taninos Park Wines Sas</t>
  </si>
  <si>
    <t>Cl 39 No. 21 19 Lc 1</t>
  </si>
  <si>
    <t>taninosparkwines@gmail.com</t>
  </si>
  <si>
    <t>Angela Maria Orbes Sarasty (Representante Legal)</t>
  </si>
  <si>
    <t>Tanimodi Chico Sas</t>
  </si>
  <si>
    <t>Cr 12 No. 93 08 Lc 1</t>
  </si>
  <si>
    <t>daqueimatti@gmail.com</t>
  </si>
  <si>
    <t>Eduardo Castro Gaitan (Representante Legal)</t>
  </si>
  <si>
    <t>Tancco's Sas</t>
  </si>
  <si>
    <t>Restaurantes y Otros Lugares para Comer(72251); Servicios Especiales de Comida(7223); Comerciantes al por Mayor de Bienes No Duraderos Diversos(4249)</t>
  </si>
  <si>
    <t>Comercio Al Por Mayor No Especializado (G4690); Expendio A La Mesa De Comidas Preparadas (I5611); Expendio Por Autoservicio De Comidas Preparadas (I5612); Actividades De Otros Servicios De Comidas (I5629)</t>
  </si>
  <si>
    <t>Cr 72 P Bis No. 43 34 Sur</t>
  </si>
  <si>
    <t>tanccos.sas@gmail.com</t>
  </si>
  <si>
    <t>Giovanni Espitia Fuquene (Representante Legal)</t>
  </si>
  <si>
    <t>Tamales Doña Diana Sas</t>
  </si>
  <si>
    <t>Cafeterías y Bares para Bebidas sin Alcohol(722515); Fabricación de Todos los Demás Tipos de Alimentos Diversos(311999); Fabricación de Alimentos Preparados Perecederos(311991)</t>
  </si>
  <si>
    <t>Elaboración De Comidas Y Platos Preparados (C1084); Elaboración De Otros Productos Alimenticios N.C.P. (C1089); Expendio De Comidas Preparadas En Cafeterías (I5613)</t>
  </si>
  <si>
    <t>Kra 87 K N 71 A 05 Sur</t>
  </si>
  <si>
    <t>tamalesdianaluna@gmail.com</t>
  </si>
  <si>
    <t>Diana Milena Luna Prada (Representante Legal)</t>
  </si>
  <si>
    <t>Taller De Origen S.A.S</t>
  </si>
  <si>
    <t>Demás Diversas Escuelas y Enseñanza(611699); Demás Servicios Profesionales, Científicos y Técnicos(54199); Bares y Otros Lugares para Beber(7224); Servicios Especiales de Comida(7223)</t>
  </si>
  <si>
    <t>Demás Servicios Profesionales, Científicos y Técnicos(54199)</t>
  </si>
  <si>
    <t>Expendio A La Mesa De Comidas Preparadas (I5611); Expendio De Bebidas Alcohólicas Para El Consumo Dentro Del Establecimiento (I5630); Otras Actividades Profesionales, Científicas Y Técnicas N.C.P. (M7490); Formación Para El Trabajo (P8551)</t>
  </si>
  <si>
    <t>Otras Actividades Profesionales, Científicas Y Técnicas N.C.P. (M7490)</t>
  </si>
  <si>
    <t>Cr 6 A No. 116 17 Piso 2</t>
  </si>
  <si>
    <t>juanjosetuchef@gmail.com</t>
  </si>
  <si>
    <t>Juan Jose Lopez Nañez (Representante Legal)</t>
  </si>
  <si>
    <t>Tallat Sas</t>
  </si>
  <si>
    <t>Cafeterías y Bares para Bebidas sin Alcohol(722515); Fabricación de Café y Té(31192)</t>
  </si>
  <si>
    <t>Descafeinado, Tostión Y Molienda Del Café (C1062); Expendio Por Autoservicio De Comidas Preparadas (I5612); Expendio De Comidas Preparadas En Cafeterías (I5613)</t>
  </si>
  <si>
    <t>Tv 77 No. 165 88</t>
  </si>
  <si>
    <t>CLAUDIA.LAROTTA@GMAIL.COM</t>
  </si>
  <si>
    <t>Claudia Esperanza La Rotta Higuera (Representante Legal)</t>
  </si>
  <si>
    <t>Takoy Sas</t>
  </si>
  <si>
    <t>Cl 103 No. 68 A 32</t>
  </si>
  <si>
    <t>ovalle08gm@gmail.com</t>
  </si>
  <si>
    <t>Daniel Felipe Ovalle Niño (Representante Legal)</t>
  </si>
  <si>
    <t>Takka S.A.S</t>
  </si>
  <si>
    <t>Fabricación de Alimentos Preparados Perecederos(311991); Dirección de Empresas(55111); Bares y Otros Lugares para Beber(7224); Servicios Especiales de Comida(7223)</t>
  </si>
  <si>
    <t>Elaboración De Comidas Y Platos Preparados (C1084); Expendio A La Mesa De Comidas Preparadas (I5611); Expendio De Bebidas Alcohólicas Para El Consumo Dentro Del Establecimiento (I5630); Actividades De Consultaría De Gestión (M7020)</t>
  </si>
  <si>
    <t>Cl 99 No. 9 A 54 Lc</t>
  </si>
  <si>
    <t>ismael.arciniegas@loi.com.co</t>
  </si>
  <si>
    <t>Philip Schutze Tobar (Representante Legal)</t>
  </si>
  <si>
    <t>Taka Investment Sas</t>
  </si>
  <si>
    <t>Cl 8 A No. 88 B 31 Castilla 7 Ca 92</t>
  </si>
  <si>
    <t>rodrigo.malagon1984@gmail.com</t>
  </si>
  <si>
    <t>Luis Rodrigo Malagon Gomez (Representante Legal)</t>
  </si>
  <si>
    <t>Taco Republica Sas</t>
  </si>
  <si>
    <t>Cr 13A 78 28</t>
  </si>
  <si>
    <t>VICTORMARTISHI@GMAIL.COM</t>
  </si>
  <si>
    <t>David Julian Martinez Ramirez (Representante Legal)</t>
  </si>
  <si>
    <t>Tabula Cafe Bar S.A.S</t>
  </si>
  <si>
    <t>Cafeterías y Bares para Bebidas sin Alcohol(722515); Demás Tipos de Industrias de Diversión y Recreativas(71399); Grupos Musicales y Artistas(71113); Bares y Otros Lugares para Beber(7224)</t>
  </si>
  <si>
    <t>Expendio De Comidas Preparadas En Cafeterías (I5613); Expendio De Bebidas Alcohólicas Para El Consumo Dentro Del Establecimiento (I5630); Actividades De Espectáculos Musicales En Vivo (R9007); Otras Actividades Recreativas Y De Esparcimiento N.C.P. (R9329)</t>
  </si>
  <si>
    <t>Cr 7 No. 27 68 Local 02</t>
  </si>
  <si>
    <t>macri_08@hotmail.com</t>
  </si>
  <si>
    <t>Duarte Gomez Maria Esperanza (Representante Legal)</t>
  </si>
  <si>
    <t>Taberna Fania All Star S.A.S</t>
  </si>
  <si>
    <t>Cl 6 Sur No. 71 D 17</t>
  </si>
  <si>
    <t>jobito1@hotmail.es</t>
  </si>
  <si>
    <t>Jobito Antonio Quiñones Villegas (Representante Legal)</t>
  </si>
  <si>
    <t>Syk Group S.A.S</t>
  </si>
  <si>
    <t>Empresas de Catering(72232); Grupos Musicales y Artistas(71113); Otro Tipo de Servicios de Preparación de Viajes y Reservaciones(56159); Bares y Otros Lugares para Beber(7224)</t>
  </si>
  <si>
    <t>Catering Para Eventos (I5621); Expendio De Bebidas Alcohólicas Para El Consumo Dentro Del Establecimiento (I5630); Otros Servicios De Reserva Y Actividades Relacionadas (N7990); Actividades De Espectáculos Musicales En Vivo (R9007)</t>
  </si>
  <si>
    <t>Cr 12 No. 119 08 Of 405</t>
  </si>
  <si>
    <t>administrativo@casallasduque.com</t>
  </si>
  <si>
    <t>Carolina Duque Marin (Representante Legal)</t>
  </si>
  <si>
    <t>Sweetart Cake Sensaciones Dulces S.A.S</t>
  </si>
  <si>
    <t>Cafeterías y Bares para Bebidas sin Alcohol(722515); Fabricación de Café y Té(31192); Panaderías y Producción de Tortillas(3118)</t>
  </si>
  <si>
    <t>Otros Derivados Del Café (C1063); Elaboración De Productos De Panadería (C1081); Expendio De Comidas Preparadas En Cafeterías (I5613)</t>
  </si>
  <si>
    <t>Calle 17 Sur 27 45</t>
  </si>
  <si>
    <t>sweetartcake11@gmail.com</t>
  </si>
  <si>
    <t>Julio Cesar Ocampo Ramirez (Representante Legal)</t>
  </si>
  <si>
    <t>Sushi Ride Take Out Sas</t>
  </si>
  <si>
    <t>Carrera 24 # 52 - 35</t>
  </si>
  <si>
    <t>sushiridetakeout@gmail.com</t>
  </si>
  <si>
    <t>Jhon Edward Gonzalez Reyes (Representante Legal)</t>
  </si>
  <si>
    <t>Sushi Ride Bogota Sas</t>
  </si>
  <si>
    <t>Cr 24 No. 52 35</t>
  </si>
  <si>
    <t>sushiridetakeoutgalerias@gmail.com</t>
  </si>
  <si>
    <t>Juan Diego Diaz Monroy (Representante Legal)</t>
  </si>
  <si>
    <t>Sushi Kau Express Bar Sas</t>
  </si>
  <si>
    <t>Cr 8 No. 64 11</t>
  </si>
  <si>
    <t>yuralis19castillo@hotmail.com</t>
  </si>
  <si>
    <t>Yuralis Carolina Castillo Mujica (Representante Legal)</t>
  </si>
  <si>
    <t>Surtidora Food Asociadas Sas</t>
  </si>
  <si>
    <t>Cl 23 D No. 103 A 14</t>
  </si>
  <si>
    <t>surtidoraasociadasas@gmail.com</t>
  </si>
  <si>
    <t>Evelio Sandoval Aranda (Representante Legal)</t>
  </si>
  <si>
    <t>Surgourmet S.A.S</t>
  </si>
  <si>
    <t>Cl 29 No. 4 46</t>
  </si>
  <si>
    <t>surgourmetsas@gmail.com</t>
  </si>
  <si>
    <t>Omar Jesus Huaman Paucar (Representante Legal)</t>
  </si>
  <si>
    <t>Surata S.A.S</t>
  </si>
  <si>
    <t>Fabricación de Alimentos Preparados Perecederos(311991); Bares y Otros Lugares para Beber(7224); Servicios de Diseño Especializado(5414); Panaderías y Producción de Tortillas(3118)</t>
  </si>
  <si>
    <t>Elaboración De Productos De Panadería (C1081); Elaboración De Comidas Y Platos Preparados (C1084); Expendio De Bebidas Alcohólicas Para El Consumo Dentro Del Establecimiento (I5630); Actividades Especializadas De Diseño (M7410)</t>
  </si>
  <si>
    <t>Cl 73 No. 20 B 67</t>
  </si>
  <si>
    <t>suratacolombia@gmail.com</t>
  </si>
  <si>
    <t>Carmen Beatriz Sanabria Tarazona (Representante Legal)</t>
  </si>
  <si>
    <t>Supernova Pizzeria S.A.S</t>
  </si>
  <si>
    <t>Cr 14 A No. 83 16</t>
  </si>
  <si>
    <t>galazu4@gmail.com</t>
  </si>
  <si>
    <t>Azucena Galvez Castillo (Representante Legal)</t>
  </si>
  <si>
    <t>Supermercado Servisantana E U - En Liquidacion</t>
  </si>
  <si>
    <t>Cl 66 # 11 - 91</t>
  </si>
  <si>
    <t>henaoirene46@gmail.com</t>
  </si>
  <si>
    <t>Benjamin Rodriguez Becerra (Representante Legal)</t>
  </si>
  <si>
    <t>Super-Bar El Palmetto Sas</t>
  </si>
  <si>
    <t>Cr 60 No 2 A 32</t>
  </si>
  <si>
    <t>elpalmettosuperbar@gmail.com</t>
  </si>
  <si>
    <t>Adriana Maria Ramirez Puerta (Representante Legal)</t>
  </si>
  <si>
    <t>Super Vegas S.A.S</t>
  </si>
  <si>
    <t>Carrera 78 C Sur 38 A 03</t>
  </si>
  <si>
    <t>supervegasas@hotmail.com</t>
  </si>
  <si>
    <t>Javier Mauricio Amado Garcia (Representante Legal)</t>
  </si>
  <si>
    <t>Súper Rayo Universal S.A.S</t>
  </si>
  <si>
    <t>Otras Compañías de Artes Escénicas(71119); Grupos Musicales y Artistas(71113); Bares y Otros Lugares para Beber(7224); Servicios Especiales de Comida(7223)</t>
  </si>
  <si>
    <t>Expendio A La Mesa De Comidas Preparadas (I5611); Expendio De Bebidas Alcohólicas Para El Consumo Dentro Del Establecimiento (I5630); Actividades De Espectáculos Musicales En Vivo (R9007); Otras Actividades De Espectáculos En Vivo N.C.P. (R9008)</t>
  </si>
  <si>
    <t>Cl 63 No. 07 58</t>
  </si>
  <si>
    <t>rincon.gaviria@gmail.com</t>
  </si>
  <si>
    <t>Juan Ricardo Rincon Gaviria (Representante Legal)</t>
  </si>
  <si>
    <t>Sunny Wok S.A.S</t>
  </si>
  <si>
    <t>Tiendas de Electrodomésticos(443141); Bares y Otros Lugares para Beber(7224); Servicios Especiales de Comida(7223)</t>
  </si>
  <si>
    <t>Comercio Al Por Menor De Artículos Y Utensilios De Uso Doméstico (G4755); Expendio A La Mesa De Comidas Preparadas (I5611); Expendio De Bebidas Alcohólicas Para El Consumo Dentro Del Establecimiento (I5630)</t>
  </si>
  <si>
    <t>Cl 99 No. 11 B 66 Workzone.</t>
  </si>
  <si>
    <t>suwei860217@gmail.com</t>
  </si>
  <si>
    <t>Suwei Zheng (Representante Legal)</t>
  </si>
  <si>
    <t>Summit Investments S.A.S</t>
  </si>
  <si>
    <t>Oficinas de Administrción Corporativas, Subsidiarias y Regionales(551114); Demás Servicios Profesionales, Científicos y Técnicos(54199); Bares y Otros Lugares para Beber(7224)</t>
  </si>
  <si>
    <t>Oficinas de Administrción Corporativas, Subsidiarias y Regionales(551114)</t>
  </si>
  <si>
    <t>Expendio De Bebidas Alcohólicas Para El Consumo Dentro Del Establecimiento (I5630); Actividades De Administración Empresarial (M7010); Otras Actividades Profesionales, Científicas Y Técnicas N.C.P. (M7490)</t>
  </si>
  <si>
    <t>Actividades De Administración Empresarial (M7010)</t>
  </si>
  <si>
    <t>Cl 140 No. 13 66 To</t>
  </si>
  <si>
    <t>jaquicu@gmail.com</t>
  </si>
  <si>
    <t>Javier Alonso Quiroga Cubides (Representante Legal)</t>
  </si>
  <si>
    <t>Sumerchela Sas</t>
  </si>
  <si>
    <t>Cl 161 No. 16 D 05 B</t>
  </si>
  <si>
    <t>sumerchela@gmail.com</t>
  </si>
  <si>
    <t>Abril Forero Keiddy Marcela (Representante Legal)</t>
  </si>
  <si>
    <t>Sumafood Sas</t>
  </si>
  <si>
    <t>Cl 22 B # 64 - 26 Ap 216</t>
  </si>
  <si>
    <t>sumafood@hotmail.com</t>
  </si>
  <si>
    <t>Juan Pablo Sanchez Garcia (Representante Legal)</t>
  </si>
  <si>
    <t>Sugar Pasteleria Sas</t>
  </si>
  <si>
    <t>Cl 127 B No. 89 45</t>
  </si>
  <si>
    <t>pastel.sugar@hotmail.com</t>
  </si>
  <si>
    <t>Jose Omar Rodriguez Murcia (Representante Legal)</t>
  </si>
  <si>
    <t>Succo Juicebar Sas</t>
  </si>
  <si>
    <t>Cafeterías y Bares para Bebidas sin Alcohol(722515); Oficinas de Administrción Corporativas, Subsidiarias y Regionales(551114)</t>
  </si>
  <si>
    <t>Expendio De Comidas Preparadas En Cafeterías (I5613); Actividades De Administración Empresarial (M7010)</t>
  </si>
  <si>
    <t>Calle 93B No. 12 - 30 Of 203</t>
  </si>
  <si>
    <t>succojbar@gmail.com</t>
  </si>
  <si>
    <t>Monica Raquel Ramos Raad (Representante Legal)</t>
  </si>
  <si>
    <t>Sublime Soluciones Alimenticias Sas</t>
  </si>
  <si>
    <t>Restaurantes y Otros Lugares para Comer(72251); Empresas de Catering(72232); Panaderías y Producción de Tortillas(3118)</t>
  </si>
  <si>
    <t>Elaboración De Productos De Panadería (C1081); Expendio Por Autoservicio De Comidas Preparadas (I5612); Catering Para Eventos (I5621)</t>
  </si>
  <si>
    <t>Av De Las Americas 62 84 Lc 3 35</t>
  </si>
  <si>
    <t>sublime.comidacasual@gmail.com</t>
  </si>
  <si>
    <t>Jeisson Andres Arevalo Galindo (Representante Legal)</t>
  </si>
  <si>
    <t>Studio 64 Sas</t>
  </si>
  <si>
    <t>Cr 13 No. 64 35</t>
  </si>
  <si>
    <t>barstudio64@gmail.com</t>
  </si>
  <si>
    <t>Alarcon Romero Maira Carolina (Representante Legal)</t>
  </si>
  <si>
    <t>Strong Mountain Coffee Sas</t>
  </si>
  <si>
    <t>Descafeinado, Tostión Y Molienda Del Café (C1062); Otros Derivados Del Café (C1063); Comercio Al Por Mayor De Productos Alimenticios (G4631); Expendio De Comidas Preparadas En Cafeterías (I5613)</t>
  </si>
  <si>
    <t>Cl 2 B No 56 A 29</t>
  </si>
  <si>
    <t>edilsonbrinezguzman@gmail.com</t>
  </si>
  <si>
    <t>Edilson Briñez Serrano (Representante Legal)</t>
  </si>
  <si>
    <t>Stromboli S A S</t>
  </si>
  <si>
    <t>Calle 70 No. 10 A - 25</t>
  </si>
  <si>
    <t>juamcamacho@gmail.com</t>
  </si>
  <si>
    <t>Paola Andrea Millan Rodriguez (Representante Legal)</t>
  </si>
  <si>
    <t>Stellina Pasta &amp; Pizza Sas</t>
  </si>
  <si>
    <t>Ac 24 No. 44 A - 71</t>
  </si>
  <si>
    <t>STELLINABOG@GMAIL.COM</t>
  </si>
  <si>
    <t>Juan Carlos Rico Aguirre (Representante Legal)</t>
  </si>
  <si>
    <t>Stellar Club Sas</t>
  </si>
  <si>
    <t>Demás Tipos de Industrias de Diversión y Recreativas(71399); Bares y Otros Lugares para Beber(7224); Servicios Especiales de Comida(7223); Supermercados(4451)</t>
  </si>
  <si>
    <t>Comercio Al Por Menor En Establecimientos No Especializados Con Surtido Compuesto Principalmente Por Alimentos, Bebidas O Tabaco (G4711); Expendio A La Mesa De Comidas Preparadas (I5611); Expendio De Bebidas Alcohólicas Para El Consumo Dentro Del Establecimiento (I5630); Otras Actividades Recreativas Y De Esparcimiento N.C.P. (R9329)</t>
  </si>
  <si>
    <t>Cl 66 No. 77 A - 25 P 1</t>
  </si>
  <si>
    <t>stellarclub23@gmail.com</t>
  </si>
  <si>
    <t>Jeisson Turriano Ciprian (Representante Legal)</t>
  </si>
  <si>
    <t>Steak Station S A S</t>
  </si>
  <si>
    <t>Cra18 Num 114A31</t>
  </si>
  <si>
    <t>jorgelizarazo42@gmail.com</t>
  </si>
  <si>
    <t>Jorge Milciades Lizarazo Ramirez (Representante Legal)</t>
  </si>
  <si>
    <t>Star Live Company S.A.S</t>
  </si>
  <si>
    <t>Cl 147 No. 7 A - 57</t>
  </si>
  <si>
    <t>VERTIGOWINGSPUB@GMAIL.COM</t>
  </si>
  <si>
    <t>Roberth Justiniano Peñaloza Peñaloza (Representante Legal)</t>
  </si>
  <si>
    <t>Star Capital Food Sas</t>
  </si>
  <si>
    <t>Calle 24 Bis # 48 - 37 Container La Ver</t>
  </si>
  <si>
    <t>starcapitalfoodsas@gmail.com</t>
  </si>
  <si>
    <t>John Jairo Granados Gomez (Representante Legal)</t>
  </si>
  <si>
    <t>Stadia Bares Sas</t>
  </si>
  <si>
    <t>Restaurantes y Otros Lugares para Comer(72251); Bares y Otros Lugares para Beber(7224); Supermercados(4451)</t>
  </si>
  <si>
    <t>Comercio Al Por Menor En Establecimientos No Especializados Con Surtido Compuesto Principalmente Por Alimentos, Bebidas O Tabaco (G4711); Expendio Por Autoservicio De Comidas Preparadas (I5612); Expendio De Bebidas Alcohólicas Para El Consumo Dentro Del Establecimiento (I5630)</t>
  </si>
  <si>
    <t>Carrera 15 # 76 - 40 Piso 2</t>
  </si>
  <si>
    <t>stadia.bares@gmail.com</t>
  </si>
  <si>
    <t>Daniela Esperanza Moncada Gaviria (Representante Legal)</t>
  </si>
  <si>
    <t>St Christopher Traveling Sas</t>
  </si>
  <si>
    <t>Oficinas de Administrción Corporativas, Subsidiarias y Regionales(551114); Hoteles (excepto Hoteles Casino) y Moteles(72111); Operadores Turísticos(56152); Bares y Otros Lugares para Beber(7224)</t>
  </si>
  <si>
    <t>Alojamiento En Hoteles (I5511); Expendio De Bebidas Alcohólicas Para El Consumo Dentro Del Establecimiento (I5630); Actividades De Administración Empresarial (M7010); Actividades De Operadores Turísticos (N7912)</t>
  </si>
  <si>
    <t>Cl 181 C No. 13 91 34 601</t>
  </si>
  <si>
    <t>j.gilfon@gmail.com</t>
  </si>
  <si>
    <t>Jose Gildardo Fonseca Rojas (Representante Legal)</t>
  </si>
  <si>
    <t>Ssluguez Group Sas</t>
  </si>
  <si>
    <t>Cr 24 No 76 - 56</t>
  </si>
  <si>
    <t>contabilidadled76@gmail.com</t>
  </si>
  <si>
    <t>Luis Eduardo Dominguez Montaño (Representante Legal)</t>
  </si>
  <si>
    <t>Ss Car Wash S.A.S</t>
  </si>
  <si>
    <t>Cafeterías y Bares para Bebidas sin Alcohol(722515); Comerciantes al por Mayor de Otros Productos No Duraderos Diversos(42499); Reparación y Mantenimiento de Vehículos(8111); Estaciones de Gasolina(4471)</t>
  </si>
  <si>
    <t>Mantenimiento Y Reparación De Vehículos Automotores (G4520); Comercio Al Por Mayor De Otros Productos N.C.P. (G4669); Comercio Al Por Menor De Lubricantes (Aceites, Grasas), Aditivos Y Productos De Limpieza Para Vehículos Automotores (G4732); Expendio De Comidas Preparadas En Cafeterías (I5613)</t>
  </si>
  <si>
    <t>Cl 170 No. 19 B 41</t>
  </si>
  <si>
    <t>GERENCIA@CARWASH170.COM</t>
  </si>
  <si>
    <t>Sandra Lucero Suarez Salinas (Representante Legal)</t>
  </si>
  <si>
    <t>Sr Parkway Sas</t>
  </si>
  <si>
    <t>Calle 39 B 21 54</t>
  </si>
  <si>
    <t>tabernassr@gmail.com</t>
  </si>
  <si>
    <t>Misaac Torres Cuervo (Representante Legal)</t>
  </si>
  <si>
    <t>Sr Libre Sas</t>
  </si>
  <si>
    <t>Calle 62 9 A 65</t>
  </si>
  <si>
    <t>Sr Lasagna S.A.S.</t>
  </si>
  <si>
    <t>Cr 7 B Bis No. 124 - 88</t>
  </si>
  <si>
    <t>luisda.112@hotmail.com</t>
  </si>
  <si>
    <t>Deyanira Toquica Gomez (Representante Legal)</t>
  </si>
  <si>
    <t>Sr Chapinero S.A.S.</t>
  </si>
  <si>
    <t>Cll 93 # 60 - 12</t>
  </si>
  <si>
    <t>elcuartohombre936012@gmail.com</t>
  </si>
  <si>
    <t>Spirits &amp; Co Sas</t>
  </si>
  <si>
    <t>Empresas de Catering(72232); Comerciantes al por Mayor de Tabaco y Productos de Tabaco(42494); Cerveceras(31212); Bares y Otros Lugares para Beber(7224); Comerciantes al por Mayor de Cerveza, Vino y Bebidas Alcohólicas(4248)</t>
  </si>
  <si>
    <t>Comerciantes al por Mayor de Tabaco y Productos de Tabaco(42494); Comerciantes al por Mayor de Cerveza, Vino y Bebidas Alcohólicas(4248)</t>
  </si>
  <si>
    <t>Producción De Malta, Elaboración De Cervezas Y Otras Bebidas Malteadas (C1103); Comercio Al Por Mayor De Bebidas Y Tabaco (G4632); Catering Para Eventos (I5621); Expendio De Bebidas Alcohólicas Para El Consumo Dentro Del Establecimiento (I5630)</t>
  </si>
  <si>
    <t>Comercio Al Por Mayor De Bebidas Y Tabaco (G4632)</t>
  </si>
  <si>
    <t>Kr 19 12 51 Lc 386</t>
  </si>
  <si>
    <t>facturacionspirits@gmail.com</t>
  </si>
  <si>
    <t>Widman Ubaldo Baez Avila (Representante Legal)</t>
  </si>
  <si>
    <t>Spirit Sabana S.A.S</t>
  </si>
  <si>
    <t>Comerciantes al por Mayor de Tabaco y Productos de Tabaco(42494); Bares y Otros Lugares para Beber(7224); Comerciantes al por Mayor de Cerveza, Vino y Bebidas Alcohólicas(4248)</t>
  </si>
  <si>
    <t>Comercio Al Por Mayor De Bebidas Y Tabaco (G4632); Expendio De Bebidas Alcohólicas Para El Consumo Dentro Del Establecimiento (I5630)</t>
  </si>
  <si>
    <t>Cr 19 No. 12 51 Lc 387 Cc Sabana Plaza</t>
  </si>
  <si>
    <t>Specia Natural S.A.S.</t>
  </si>
  <si>
    <t>Dg 40 A No. 13 26</t>
  </si>
  <si>
    <t>restaurantespecianatural@gmail.com</t>
  </si>
  <si>
    <t>Santiago Jimenez Pedraza (Representante Legal)</t>
  </si>
  <si>
    <t>Spa Pragma Beauty Bar S.A.S.</t>
  </si>
  <si>
    <t>Ac 39 No. 7 40 Lc 130 Y 131</t>
  </si>
  <si>
    <t>ventas@ipsceansas.com</t>
  </si>
  <si>
    <t>Juan David Copete Quintero (Representante Legal)</t>
  </si>
  <si>
    <t>Sov Logistic S A S</t>
  </si>
  <si>
    <t>Oficinas de Convenciones y Visitantes(561591); Concesionarios de Coches de Segunda Mano(44112); Otros Servicios Personales(8129); Bares y Otros Lugares para Beber(7224); Comerciantes al por Mayor de Vehículos Motorizados y Partes y Suministros de Vehículos Motorizados(4231)</t>
  </si>
  <si>
    <t>Oficinas de Convenciones y Visitantes(561591)</t>
  </si>
  <si>
    <t>Comercio De Vehículos Automotores Usados (G4512); Expendio De Bebidas Alcohólicas Para El Consumo Dentro Del Establecimiento (I5630); Organización De Convenciones Y Eventos Comerciales (N8230); Otras Actividades De Servicios Personales N.C.P. (S9609)</t>
  </si>
  <si>
    <t>Organización De Convenciones Y Eventos Comerciales (N8230)</t>
  </si>
  <si>
    <t>Cr 58 No. 128 B 65</t>
  </si>
  <si>
    <t>oscarecarrillo83@hotmail.com</t>
  </si>
  <si>
    <t>Sonia Rosa Velez De Carrillo (Representante Legal)</t>
  </si>
  <si>
    <t>Soundking Entertainment Sas</t>
  </si>
  <si>
    <t>Demás Tipos de Industrias de Diversión y Recreativas(71399); Bares y Otros Lugares para Beber(7224); Alquiler y Arrendamiento de Maquinaría y Equipo Comercial e Industrial(5324); Tiendas de Venta Directa(4543)</t>
  </si>
  <si>
    <t>Otros Tipos De Comercio Al Por Menor No Realizado En Establecimientos, Puestos De Venta O Mercados. (G4799); Expendio De Bebidas Alcohólicas Para El Consumo Dentro Del Establecimiento (I5630); Alquiler Y Arrendamiento De Otros Tipos De Maquinaria, Equipo Y Bienes Tangibles N.C.P. (N7730); Otras Actividades Recreativas Y De Esparcimiento N.C.P. (R9329)</t>
  </si>
  <si>
    <t>Cr 61 Bis No 99 71 Ap 407</t>
  </si>
  <si>
    <t>elkinf.roa@gmail.com</t>
  </si>
  <si>
    <t>Elkin Ferley Roa Castro (Representante Legal)</t>
  </si>
  <si>
    <t>Sottomayor Sas</t>
  </si>
  <si>
    <t>Expendio A La Mesa De Comidas Preparadas (I5611); Expendio De Comidas Preparadas En Cafeterías (I5613); Otros Tipos De Expendio De Comidas Preparadas N.C.P. (I5619); Actividades Inmobiliarias Realizadas Con Bienes Propios O Arrendados (L6810)</t>
  </si>
  <si>
    <t>Calle 17 S 24 14</t>
  </si>
  <si>
    <t>gruposottomayor57@outlook.com</t>
  </si>
  <si>
    <t>John Henry Soto Ruiz (Representante Legal)</t>
  </si>
  <si>
    <t>Sotano Barber Shop Reloaded Sas</t>
  </si>
  <si>
    <t>Cr 62 No. 161 A 04</t>
  </si>
  <si>
    <t>georgni9090@gmail.com</t>
  </si>
  <si>
    <t>Juan Diego Mosquera Alzate (Representante Legal)</t>
  </si>
  <si>
    <t>Sopitas Calientes Sas</t>
  </si>
  <si>
    <t>Otras Compañías de Artes Escénicas(71119); Bares y Otros Lugares para Beber(7224); Servicios Especiales de Comida(7223)</t>
  </si>
  <si>
    <t>Expendio A La Mesa De Comidas Preparadas (I5611); Expendio De Bebidas Alcohólicas Para El Consumo Dentro Del Establecimiento (I5630); Otras Actividades De Espectáculos En Vivo N.C.P. (R9008)</t>
  </si>
  <si>
    <t>Calle 85 13 85</t>
  </si>
  <si>
    <t>gerencia.elburger@gmail.com</t>
  </si>
  <si>
    <t>Juan Jose Sotelo Enriquez (Representante Legal)</t>
  </si>
  <si>
    <t>Sonrise Sas</t>
  </si>
  <si>
    <t>Carrera 13 # 64 - 39</t>
  </si>
  <si>
    <t>vargastovarmiguel@gmail.com</t>
  </si>
  <si>
    <t>Vargas Tovar Miguel Angel (Representante Legal)</t>
  </si>
  <si>
    <t>Sonora Social Club Sas En Liquidacion</t>
  </si>
  <si>
    <t>Cl 49 No. 7 19 Ap 4</t>
  </si>
  <si>
    <t>sonorasocialclub49@gmail.com</t>
  </si>
  <si>
    <t>Sonnte Sas</t>
  </si>
  <si>
    <t>Estacionamientos de Caravanas y Campamentos(721211); Grupos Musicales y Artistas(71113); Bares y Otros Lugares para Beber(7224); Servicios Especiales de Comida(7223)</t>
  </si>
  <si>
    <t>Actividades De Zonas De Camping Y Parques Para Vehículos Recreacionales (I5520); Expendio A La Mesa De Comidas Preparadas (I5611); Expendio De Bebidas Alcohólicas Para El Consumo Dentro Del Establecimiento (I5630); Actividades De Espectáculos Musicales En Vivo (R9007)</t>
  </si>
  <si>
    <t>Cr 20 No. 137 48 Ap</t>
  </si>
  <si>
    <t>daniel@sonnte.com</t>
  </si>
  <si>
    <t>Daniel Quiñones Gonzalez (Representante Legal)</t>
  </si>
  <si>
    <t>Somos Artesanos Sas</t>
  </si>
  <si>
    <t>Cl 8 Sur 40 D 24</t>
  </si>
  <si>
    <t>labonnecrepelbc@gmail.com</t>
  </si>
  <si>
    <t>Miryam Yolanda Espinosa Cruz (Representante Legal)</t>
  </si>
  <si>
    <t>Soluciones Mercantiles Andinas Ltda</t>
  </si>
  <si>
    <t>Restaurantes y Otros Lugares para Comer(72251); Tiendas de Mercancía General, incluyendo Grandes Almacenes(45231); Servicios Especiales de Comida(7223); Explotación de Otros Animales(1129)</t>
  </si>
  <si>
    <t>Explotación de Otros Animales(1129)</t>
  </si>
  <si>
    <t>Cría De Otros Animales N.C.P. (A0149); Comercio Al Por Menor En Establecimientos No Especializados, Con Surtido Compuesto Principalmente Por Productos Diferentes De Alimentos (Víveres En General), Bebidas Y Tabaco (G4719); Expendio A La Mesa De Comidas Preparadas (I5611); Expendio Por Autoservicio De Comidas Preparadas (I5612)</t>
  </si>
  <si>
    <t>Cría De Otros Animales N.C.P. (A0149)</t>
  </si>
  <si>
    <t>Cr 15 No. 77 05 Lc 1122</t>
  </si>
  <si>
    <t>someandi@hotmail.com</t>
  </si>
  <si>
    <t>Alberto Murcia Castelblanco (Representante Legal)</t>
  </si>
  <si>
    <t>Soluciones Logisticas Leon Sas</t>
  </si>
  <si>
    <t>Cafeterías y Bares para Bebidas sin Alcohol(722515); Supermercados(4451); Telecomunicaciones(517)</t>
  </si>
  <si>
    <t>Comercio Al Por Menor En Establecimientos No Especializados Con Surtido Compuesto Principalmente Por Alimentos, Bebidas O Tabaco (G4711); Expendio De Comidas Preparadas En Cafeterías (I5613); Actividades De Telecomunicaciones Alámbricas (J6110)</t>
  </si>
  <si>
    <t>Cl 60 No. 57 A 12 Lc</t>
  </si>
  <si>
    <t>solucioneslogisticasleon@gmail.com</t>
  </si>
  <si>
    <t>Cristian Fabian Bustos Salinas (Representante Legal)</t>
  </si>
  <si>
    <t>Soluciones Integrales Gonzalez Sas</t>
  </si>
  <si>
    <t>Restaurantes y Otros Lugares para Comer(72251); Empresas de Catering(72232); Otros Servicios de Apoyo de Negocios(56149)</t>
  </si>
  <si>
    <t>Expendio A La Mesa De Comidas Preparadas (I5611); Expendio Por Autoservicio De Comidas Preparadas (I5612); Catering Para Eventos (I5621); Otras Actividades De Servicio De Apoyo A Las Empresas N.C.P. (N8299)</t>
  </si>
  <si>
    <t>Cl 74 No. 15 15 Of 5</t>
  </si>
  <si>
    <t>admonsigonzalez@gmail.com</t>
  </si>
  <si>
    <t>Edgar Gonzalez Noguera (Representante Legal)</t>
  </si>
  <si>
    <t>Soluciones Estrategicas P H S A S</t>
  </si>
  <si>
    <t>Cafeterías y Bares para Bebidas sin Alcohol(722515); Dirección de Empresas(55111)</t>
  </si>
  <si>
    <t>Expendio De Comidas Preparadas En Cafeterías (I5613); Actividades De Otros Servicios De Comidas (I5629); Actividades De Consultaría De Gestión (M7020)</t>
  </si>
  <si>
    <t>Carrera 28 No. 11 - 67</t>
  </si>
  <si>
    <t>gerencia@solesphsas.com.co</t>
  </si>
  <si>
    <t>Hector Yair Rojas Hernandez (Representante Legal)</t>
  </si>
  <si>
    <t>Soluciones En Comida Express Sas</t>
  </si>
  <si>
    <t>Cl 161 No. 54 18</t>
  </si>
  <si>
    <t>SOLUCIONESCOMIDAEXPRESS@GMAIL.COM</t>
  </si>
  <si>
    <t>David David Coneo Mercado (Representante Legal)</t>
  </si>
  <si>
    <t>Soluciones Alimenticias Gourmet Sas</t>
  </si>
  <si>
    <t>Calle 162 # 18A - 62</t>
  </si>
  <si>
    <t>gerencia@gourmeten5.com</t>
  </si>
  <si>
    <t>Patricia Ivonne Etter Rothlisberger (Representante Legal)</t>
  </si>
  <si>
    <t>Solucion 2021 Sas</t>
  </si>
  <si>
    <t>Cr 71 A # 97 - 38 Ed Potosi Ap 103</t>
  </si>
  <si>
    <t>july.rojas.1@gmail.com</t>
  </si>
  <si>
    <t>Yuly Paola Rojas Muñoz (Representante Legal)</t>
  </si>
  <si>
    <t>Solari Food Sas</t>
  </si>
  <si>
    <t>Fabricación de Todos los Demás Tipos de Alimentos Diversos(311999); Restaurantes y Otros Lugares para Comer(72251); Cerveceras(31212); Servicios Especiales de Comida(7223)</t>
  </si>
  <si>
    <t>Elaboración De Otros Productos Alimenticios N.C.P. (C1089); Producción De Malta, Elaboración De Cervezas Y Otras Bebidas Malteadas (C1103); Expendio A La Mesa De Comidas Preparadas (I5611); Expendio Por Autoservicio De Comidas Preparadas (I5612)</t>
  </si>
  <si>
    <t>Cl 22 D No. 72 - 41 To 1 Ap 403</t>
  </si>
  <si>
    <t>alejandro@inversorasolari.co</t>
  </si>
  <si>
    <t>Hector Orlando Solano Novoa (Representante Legal)</t>
  </si>
  <si>
    <t>Solana Sas</t>
  </si>
  <si>
    <t>Cl 103 No. 19 60 P 4</t>
  </si>
  <si>
    <t>sandra.gomez@isarco.com.co</t>
  </si>
  <si>
    <t>Nicolas Londoño Mejia (Representante Legal)</t>
  </si>
  <si>
    <t>Soko Bar Y Cia Sas</t>
  </si>
  <si>
    <t>Cl 51 No. 7 25</t>
  </si>
  <si>
    <t>yorgy_bmx@hotmail.com</t>
  </si>
  <si>
    <t>William Gonzalez Castiblanco (Representante Legal)</t>
  </si>
  <si>
    <t>Soho Food &amp; Beer Sas</t>
  </si>
  <si>
    <t>Cr 73 A No. 51 A 53</t>
  </si>
  <si>
    <t>sohonormandia123@gmail.com</t>
  </si>
  <si>
    <t>Maira Ajellen Boada Pallares (Representante Legal)</t>
  </si>
  <si>
    <t>Sofon Sas</t>
  </si>
  <si>
    <t>Cafeterías y Bares para Bebidas sin Alcohol(722515); Fabricación de Refrescos(312111); Otras Tiendas de Comidas Artesanales(44529)</t>
  </si>
  <si>
    <t>Elaboración De Bebidas No Alcohólicas, Producción De Aguas Minerales Y De Otras Aguas Embotelladas (C1104); Comercio Al Por Menor De Otros Productos Alimenticios N.C.P., En Establecimientos Especializados (G4729); Expendio Por Autoservicio De Comidas Preparadas (I5612); Expendio De Comidas Preparadas En Cafeterías (I5613)</t>
  </si>
  <si>
    <t>Cr 65 No. 169 A 55 Ap 1511</t>
  </si>
  <si>
    <t>sofonsas@gmail.com</t>
  </si>
  <si>
    <t>Mathieu Jot (Representante Legal)</t>
  </si>
  <si>
    <t>Sociedad L. N. S.A.S</t>
  </si>
  <si>
    <t>Calle 117 No 6 - 24</t>
  </si>
  <si>
    <t>liliangarita69@gmail.com</t>
  </si>
  <si>
    <t>Martha Liliana Angarita Meneses (Representante Legal)</t>
  </si>
  <si>
    <t>Sociedad Hotelera Toscana Sas</t>
  </si>
  <si>
    <t>Demás Tipos de Alojamiento para Viajeros(721199); Otras Tiendas de Comidas Artesanales(44529); Bares y Otros Lugares para Beber(7224)</t>
  </si>
  <si>
    <t>Comercio Al Por Menor De Otros Productos Alimenticios N.C.P., En Establecimientos Especializados (G4729); Otros Tipos De Alojamientos Para Visitantes (I5519); Expendio De Bebidas Alcohólicas Para El Consumo Dentro Del Establecimiento (I5630)</t>
  </si>
  <si>
    <t>Cl 145 A No. 92 76 L 01</t>
  </si>
  <si>
    <t>hostaltoscana1@gmail.com</t>
  </si>
  <si>
    <t>Angelica Maria Perez Valentierra (Representante Legal)</t>
  </si>
  <si>
    <t>Sociedad Hotelera D'Colonial Sas</t>
  </si>
  <si>
    <t>Oficinas de Convenciones y Visitantes(561591); Hoteles (excepto Hoteles Casino) y Moteles(72111); Bares y Otros Lugares para Beber(7224); Servicios Especiales de Comida(7223)</t>
  </si>
  <si>
    <t>Alojamiento En Hoteles (I5511); Expendio A La Mesa De Comidas Preparadas (I5611); Expendio De Bebidas Alcohólicas Para El Consumo Dentro Del Establecimiento (I5630); Organización De Convenciones Y Eventos Comerciales (N8230)</t>
  </si>
  <si>
    <t>Cl 35 No. 19 57</t>
  </si>
  <si>
    <t>hoteles.dcolonial@gmail.com</t>
  </si>
  <si>
    <t>Erika Gonzalez Cruz (Representante Legal)</t>
  </si>
  <si>
    <t>Sociedad Empresarial Sjf S.A.S</t>
  </si>
  <si>
    <t>Carrera 14 # 83 - 11</t>
  </si>
  <si>
    <t>sociedadempresarialsjf@gmail.com</t>
  </si>
  <si>
    <t>Fredy Munzon Figueroa (Representante Legal)</t>
  </si>
  <si>
    <t>Sociedad Empresarial Milán S.A.S</t>
  </si>
  <si>
    <t>Cl 53 No. 70 D 06</t>
  </si>
  <si>
    <t>sociedadempresarialmilan@gmail.com</t>
  </si>
  <si>
    <t>Norma Adriana Barreto Ciprian (Representante Legal)</t>
  </si>
  <si>
    <t>Sociedad Angyen Ltda</t>
  </si>
  <si>
    <t>Otras Tiendas de Comidas Artesanales(44529); Bares y Otros Lugares para Beber(7224); Tiendas de Ropa(4481); Cervecerías, Vinaterías y Tiendas de Licores(4453)</t>
  </si>
  <si>
    <t>Comercio Al Por Menor De Bebidas Y Productos Del Tabaco, En Establecimientos Especializados (G4724); Comercio Al Por Menor De Otros Productos Alimenticios N.C.P., En Establecimientos Especializados (G4729); Comercio Al Por Menor De Prendas De Vestir Y Sus Accesorios (Incluye Artículos De Piel) En Establecimientos Especializados (G4771); Expendio De Bebidas Alcohólicas Para El Consumo Dentro Del Establecimiento (I5630)</t>
  </si>
  <si>
    <t>Dg 23 # 69 - 11 Modulo 2 Lc101</t>
  </si>
  <si>
    <t>angiefonseca_77@hotmail.com</t>
  </si>
  <si>
    <t>Maria Luz Angela Fonseca Higuera (Representante Legal)</t>
  </si>
  <si>
    <t>Sociedad Administradora Mercantil De Colombia Samko S.A.S</t>
  </si>
  <si>
    <t>Restaurantes y Otros Lugares para Comer(72251); Bares y Otros Lugares para Beber(7224); Servicios Especiales de Comida(7223); Arrendadores de Bienes Inmuebles(5311)</t>
  </si>
  <si>
    <t>Expendio A La Mesa De Comidas Preparadas (I5611); Expendio Por Autoservicio De Comidas Preparadas (I5612); Expendio De Bebidas Alcohólicas Para El Consumo Dentro Del Establecimiento (I5630); Actividades Inmobiliarias Realizadas Con Bienes Propios O Arrendados (L6810)</t>
  </si>
  <si>
    <t>Cr 22 No. 168 46</t>
  </si>
  <si>
    <t>CONTABILIDAD@TOPGOURMET.NET</t>
  </si>
  <si>
    <t>Max Zalta Ruben (Representante Legal)</t>
  </si>
  <si>
    <t>Sociedad Administradora De Cafeterias Y Restaurantes C Y C Ltda</t>
  </si>
  <si>
    <t>Expendio De Comidas Preparadas En Cafeterías (I5613); Catering Para Eventos (I5621)</t>
  </si>
  <si>
    <t>Cl 8 Bis 70 81</t>
  </si>
  <si>
    <t>camilo2025@yahoo.es</t>
  </si>
  <si>
    <t>Julian Camilo Castaño Castillo (Representante Legal)</t>
  </si>
  <si>
    <t>Snowlab S.A.S.</t>
  </si>
  <si>
    <t>Cl 127 A No. 18 B 10</t>
  </si>
  <si>
    <t>nicolasjimenezrueda@gmail.com</t>
  </si>
  <si>
    <t>Nicolas Jimenez Rueda (Representante Legal)</t>
  </si>
  <si>
    <t>Smoke &amp; Brew Sas</t>
  </si>
  <si>
    <t>Fabricación de Alimentos Preparados Perecederos(311991); Destilerías(31214); Bares y Otros Lugares para Beber(7224); Supermercados(4451)</t>
  </si>
  <si>
    <t>Elaboración De Comidas Y Platos Preparados (C1084); Destilación, Rectificación Y Mezcla De Bebidas Alcohólicas (C1101); Comercio Al Por Menor En Establecimientos No Especializados Con Surtido Compuesto Principalmente Por Alimentos, Bebidas O Tabaco (G4711); Expendio De Bebidas Alcohólicas Para El Consumo Dentro Del Establecimiento (I5630)</t>
  </si>
  <si>
    <t>Cl 23 No. 68 - 59 Ca 82</t>
  </si>
  <si>
    <t>smokeandbrew@hotmail.com</t>
  </si>
  <si>
    <t>Pulecio Trujillo Rafael Mateo (Representante Legal)</t>
  </si>
  <si>
    <t>Slow Beer Colombia Sas</t>
  </si>
  <si>
    <t>Carrera 14 Bis # 148 - 20</t>
  </si>
  <si>
    <t>slowbeercolombia@gmail.com</t>
  </si>
  <si>
    <t>Nini Johanna Contreras Castiblanco (Representante Legal)</t>
  </si>
  <si>
    <t>Sky Art S.A.S</t>
  </si>
  <si>
    <t>Cl 119 No. 05 08</t>
  </si>
  <si>
    <t>cafeskyart@gmail.com</t>
  </si>
  <si>
    <t>Stephanny Hurtado Labarce (Representante Legal)</t>
  </si>
  <si>
    <t>Sizu Group Sas</t>
  </si>
  <si>
    <t>Carrera 11 # 70 A - 35</t>
  </si>
  <si>
    <t>sizu.group@gmail.com</t>
  </si>
  <si>
    <t>Carrillo Lacouture Veronica (Representante Legal)</t>
  </si>
  <si>
    <t>Six Pack Meals Sas</t>
  </si>
  <si>
    <t>Cr 17 No. 90 50 Ap 308</t>
  </si>
  <si>
    <t>kamila_412@hotmail.com</t>
  </si>
  <si>
    <t>Andres Felipe Zuluaga Padilla (Representante Legal)</t>
  </si>
  <si>
    <t>Sistema Integrado Contable Y Administrativo Para Mipymes Sbs S.A.S</t>
  </si>
  <si>
    <t>Cafeterías y Bares para Bebidas sin Alcohol(722515); Empresas de Catering(72232); Organizaciones Empresariales Profesionales(56133); Servicios de Contabilidad, Preparación de Impuestos, Teneduría de Libros y Servicios de Nómina(54121)</t>
  </si>
  <si>
    <t>Servicios de Contabilidad, Preparación de Impuestos, Teneduría de Libros y Servicios de Nómina(54121)</t>
  </si>
  <si>
    <t>Expendio De Comidas Preparadas En Cafeterías (I5613); Catering Para Eventos (I5621); Actividades De Contabilidad, Teneduría De Libros, Auditoría Financiera Y Asesoría Tributaria (M6920); Otras Actividades De Provisión De Talento Humano (N7830)</t>
  </si>
  <si>
    <t>Actividades De Contabilidad, Teneduría De Libros, Auditoría Financiera Y Asesoría Tributaria (M6920)</t>
  </si>
  <si>
    <t>Carrera 45 B Norte 130 39 Piso 2</t>
  </si>
  <si>
    <t>antvans@hotmail.com</t>
  </si>
  <si>
    <t>Antonio De Jesus Vanegas Vanegas (Representante Legal)</t>
  </si>
  <si>
    <t>Sir Galiano S.A.S</t>
  </si>
  <si>
    <t>Cafeterías y Bares para Bebidas sin Alcohol(722515); Fabricación de Alimentos Preparados Perecederos(311991); Servicios Especiales de Comida(7223)</t>
  </si>
  <si>
    <t>Elaboración De Comidas Y Platos Preparados (C1084); Expendio A La Mesa De Comidas Preparadas (I5611); Expendio De Comidas Preparadas En Cafeterías (I5613)</t>
  </si>
  <si>
    <t>Carrera 16 79 96</t>
  </si>
  <si>
    <t>camilalosp19@hotmail.com</t>
  </si>
  <si>
    <t>Camila Lozada Ospina (Representante Legal)</t>
  </si>
  <si>
    <t>Sir Dito Sas</t>
  </si>
  <si>
    <t>Cl 165 No. 7 73</t>
  </si>
  <si>
    <t>sirdito.sas@gmail.com</t>
  </si>
  <si>
    <t>Daniel Felipe Dorado Robelto (Representante Legal)</t>
  </si>
  <si>
    <t>Sincelejo Sports Bar &amp; Bowling S.A.S</t>
  </si>
  <si>
    <t>Cl 100 No. 14 63 Of 503</t>
  </si>
  <si>
    <t>edmendezc@yahoo.com</t>
  </si>
  <si>
    <t>Juan Gilberto Hernandez Mora (Representante Legal)</t>
  </si>
  <si>
    <t>Sin Visa Sas</t>
  </si>
  <si>
    <t>Demás Tipos de Industrias de Diversión y Recreativas(71399); Grupos Musicales y Artistas(71113); Escuelas de Bellas Artes(61161); Bares y Otros Lugares para Beber(7224)</t>
  </si>
  <si>
    <t>Escuelas de Bellas Artes(61161)</t>
  </si>
  <si>
    <t>Expendio De Bebidas Alcohólicas Para El Consumo Dentro Del Establecimiento (I5630); Enseñanza Cultural (P8553); Actividades De Espectáculos Musicales En Vivo (R9007); Otras Actividades Recreativas Y De Esparcimiento N.C.P. (R9329)</t>
  </si>
  <si>
    <t>Enseñanza Cultural (P8553)</t>
  </si>
  <si>
    <t>Cl 71 No. 11 07</t>
  </si>
  <si>
    <t>sondehabana@gmail.com</t>
  </si>
  <si>
    <t>Paula Andrea Mejia Davila (Representante Legal)</t>
  </si>
  <si>
    <t>Siloh Burger Sas</t>
  </si>
  <si>
    <t>Cl 145 No. 91 19 Cc Centro Suba</t>
  </si>
  <si>
    <t>dsilohburger@gmail.com</t>
  </si>
  <si>
    <t>Jaiver Mauricio Cuellar Duran (Representante Legal)</t>
  </si>
  <si>
    <t>Silo Company Sas</t>
  </si>
  <si>
    <t>Cr 60 No. 24 09</t>
  </si>
  <si>
    <t>silo.cafe.bta@gmail.com</t>
  </si>
  <si>
    <t>Mayra Viviana Caldas Rocha (Representante Legal)</t>
  </si>
  <si>
    <t>Sillón Estudios S.A.S</t>
  </si>
  <si>
    <t>Otras Compañías de Artes Escénicas(71119); Bares y Otros Lugares para Beber(7224); Tiendas de Electrónica y de Venta por Correo(4541)</t>
  </si>
  <si>
    <t>Comercio Al Por Menor Realizado A Través De Internet (G4791); Expendio De Bebidas Alcohólicas Para El Consumo Dentro Del Establecimiento (I5630); Creación Audiovisual (R9004)</t>
  </si>
  <si>
    <t>Creación Audiovisual (R9004)</t>
  </si>
  <si>
    <t>Calle 74 No. 22 - 80</t>
  </si>
  <si>
    <t>admin@sillonestudios.com</t>
  </si>
  <si>
    <t>Sara Lucia Trejos Trejos (Representante Legal)</t>
  </si>
  <si>
    <t>Siga La Restaurante Sas</t>
  </si>
  <si>
    <t>Cr 28 No. 9 18 P 2</t>
  </si>
  <si>
    <t>sigalares.taurante@gmail.com</t>
  </si>
  <si>
    <t>Julian Camilo Castro Cifuentes (Representante Legal)</t>
  </si>
  <si>
    <t>Siete Onces Catering Sas</t>
  </si>
  <si>
    <t>Expendio A La Mesa De Comidas Preparadas (I5611); Expendio De Comidas Preparadas En Cafeterías (I5613); Catering Para Eventos (I5621); Actividades De Otros Servicios De Comidas (I5629)</t>
  </si>
  <si>
    <t>Cll 83 A No. 116 A</t>
  </si>
  <si>
    <t>sieteoncescatering@gmail.com</t>
  </si>
  <si>
    <t>Angel Edswin Motta Osorio (Representante Legal)</t>
  </si>
  <si>
    <t>Siempreviva Ancestral S.A.S</t>
  </si>
  <si>
    <t>Calle 38 29 29</t>
  </si>
  <si>
    <t>grupococinaancestral@gmail.com</t>
  </si>
  <si>
    <t>Luz Eyda Cordoba Panesso (Representante Legal)</t>
  </si>
  <si>
    <t>Siduni Group Sas</t>
  </si>
  <si>
    <t>Comerciantes al por Mayor de Tabaco y Productos de Tabaco(42494); Bares y Otros Lugares para Beber(7224); Servicios Especiales de Comida(7223); Comerciantes al por Mayor de Cerveza, Vino y Bebidas Alcohólicas(4248)</t>
  </si>
  <si>
    <t>Comercio Al Por Mayor De Bebidas Y Tabaco (G4632); Expendio A La Mesa De Comidas Preparadas (I5611); Actividades De Otros Servicios De Comidas (I5629); Expendio De Bebidas Alcohólicas Para El Consumo Dentro Del Establecimiento (I5630)</t>
  </si>
  <si>
    <t>Cl 117 D No. 58 50</t>
  </si>
  <si>
    <t>sidunigroup@gmail.com</t>
  </si>
  <si>
    <t>Yina Paola Nieto De La Rosa (Representante Legal)</t>
  </si>
  <si>
    <t>Siamo Cafe S A S</t>
  </si>
  <si>
    <t>Cl 75 No. 69 21</t>
  </si>
  <si>
    <t>mwilfrido@gmail.com</t>
  </si>
  <si>
    <t>Wilfrido Muñoz Herrera (Representante Legal)</t>
  </si>
  <si>
    <t>Shopper Colombia Sas</t>
  </si>
  <si>
    <t>Cr 23 No. 137 41 Ap 204</t>
  </si>
  <si>
    <t>shoppercolombiasas@gmail.com</t>
  </si>
  <si>
    <t>Billy John Cuisman Moreno (Representante Legal)</t>
  </si>
  <si>
    <t>Shop Express S.A.S</t>
  </si>
  <si>
    <t>Comercio Al Por Menor En Establecimientos No Especializados Con Surtido Compuesto Principalmente Por Alimentos, Bebidas O Tabaco (G4711); Expendio A La Mesa De Comidas Preparadas (I5611); Expendio De Comidas Preparadas En Cafeterías (I5613); Otros Tipos De Expendio De Comidas Preparadas N.C.P. (I5619)</t>
  </si>
  <si>
    <t>Carrera 54 103 B 01</t>
  </si>
  <si>
    <t>shopexpress1.contable@gmail.com</t>
  </si>
  <si>
    <t>Cesar Augusto Pineda Espitia (Representante Legal)</t>
  </si>
  <si>
    <t>Shoga Group Sas</t>
  </si>
  <si>
    <t>Cl 151 # 18 A 31 Lc 2</t>
  </si>
  <si>
    <t>shoga.sg@gmail.com</t>
  </si>
  <si>
    <t>Aixa Alexhandra Peñaranda Carrillo (Representante Legal)</t>
  </si>
  <si>
    <t>Ship Mental Sport Sas</t>
  </si>
  <si>
    <t>Cafeterías y Bares para Bebidas sin Alcohol(722515); Demás Tipos de Industrias de Diversión y Recreativas(71399); Enseñanza de Deporte y Recreación(61162); Otros Servicios Médicos Ambulatorios(6219)</t>
  </si>
  <si>
    <t>Otros Servicios Médicos Ambulatorios(6219)</t>
  </si>
  <si>
    <t>Expendio De Comidas Preparadas En Cafeterías (I5613); Enseñanza Deportiva Y Recreativa (P8552); Actividades De Apoyo Terapéutico (Q8692); Gestión De Instalaciones Deportivas (R9311)</t>
  </si>
  <si>
    <t>Actividades De Apoyo Terapéutico (Q8692)</t>
  </si>
  <si>
    <t>Cr 50 No. 134 55</t>
  </si>
  <si>
    <t>shipmentalsport@gmail.com</t>
  </si>
  <si>
    <t>Rivera Santisteban Miguel Esteban (Representante Legal)</t>
  </si>
  <si>
    <t>Shersa Ba S.A.S</t>
  </si>
  <si>
    <t>Oficinas de Convenciones y Visitantes(561591); Bares y Otros Lugares para Beber(7224); Servicios Especiales de Comida(7223)</t>
  </si>
  <si>
    <t>Expendio A La Mesa De Comidas Preparadas (I5611); Expendio De Bebidas Alcohólicas Para El Consumo Dentro Del Establecimiento (I5630); Organización De Convenciones Y Eventos Comerciales (N8230)</t>
  </si>
  <si>
    <t>Carrera 22 7 52</t>
  </si>
  <si>
    <t>shersabayautolavadosas@gmail.com</t>
  </si>
  <si>
    <t>Keidy Patricia Florido Vega (Representante Legal)</t>
  </si>
  <si>
    <t>Shaleen S A S</t>
  </si>
  <si>
    <t>Cl 63 No. 24 16</t>
  </si>
  <si>
    <t>luzmarinamorajimenez@yahoo.com</t>
  </si>
  <si>
    <t>Luz Marina Mora Jimenez (Representante Legal)</t>
  </si>
  <si>
    <t>Sgm Entretenimientos Sas</t>
  </si>
  <si>
    <t>Fabricación de Alimentos Preparados Perecederos(311991); Bares y Otros Lugares para Beber(7224); Servicios Especiales de Comida(7223); Industrias de Juego(7132)</t>
  </si>
  <si>
    <t>Industrias de Juego(7132)</t>
  </si>
  <si>
    <t>Elaboración De Comidas Y Platos Preparados (C1084); Expendio A La Mesa De Comidas Preparadas (I5611); Expendio De Bebidas Alcohólicas Para El Consumo Dentro Del Establecimiento (I5630); Actividades De Juegos De Azar Y Apuestas (R9200)</t>
  </si>
  <si>
    <t>Actividades De Juegos De Azar Y Apuestas (R9200)</t>
  </si>
  <si>
    <t>Cl 127 A No. 14 A 46</t>
  </si>
  <si>
    <t>lawrence.sgm@gmail.com</t>
  </si>
  <si>
    <t>Alejandro Charris Turiño (Representante Legal)</t>
  </si>
  <si>
    <t>Sestra Colombia Sas</t>
  </si>
  <si>
    <t>Ak 86 55 A 75 Lc L3267 Cc Nuestro Bogota</t>
  </si>
  <si>
    <t>sestrasas@gmail.com</t>
  </si>
  <si>
    <t>Mariajuliana Dussan Carreño (Representante Legal)</t>
  </si>
  <si>
    <t>Serviteca Carwash Aransua Sas</t>
  </si>
  <si>
    <t>Cafeterías y Bares para Bebidas sin Alcohol(722515); Reparación y Mantenimiento de Vehículos(8111)</t>
  </si>
  <si>
    <t>Mantenimiento Y Reparación De Vehículos Automotores (G4520); Expendio De Comidas Preparadas En Cafeterías (I5613)</t>
  </si>
  <si>
    <t>Calle 25D # 85C - 04</t>
  </si>
  <si>
    <t>carwash.aransua@gmail.com</t>
  </si>
  <si>
    <t>Orlando Garcia Ramirez (Representante Legal)</t>
  </si>
  <si>
    <t>Serviconfianza Asociados Sas</t>
  </si>
  <si>
    <t>Restaurantes y Otros Lugares para Comer(72251); Empresas de Catering(72232); Transporte Interurbano y Rural(4852); Autotransporte de Carga General(4841)</t>
  </si>
  <si>
    <t>Transporte De Pasajeros (H4921); Transporte De Carga Por Carretera (H4923); Expendio Por Autoservicio De Comidas Preparadas (I5612); Catering Para Eventos (I5621)</t>
  </si>
  <si>
    <t>Carrera 54 4 G 96</t>
  </si>
  <si>
    <t>ELPIDIA1968@HOTMAIL.COM</t>
  </si>
  <si>
    <t>Dora Maria Torres Rodriguez (Representante Legal)</t>
  </si>
  <si>
    <t>Servicios Profesionales Jcordero S A S</t>
  </si>
  <si>
    <t>Empresas de Catering(72232); Bares y Otros Lugares para Beber(7224); Oficinas de Agentes Inmobiliarios y Corredores(5312)</t>
  </si>
  <si>
    <t>Oficinas de Agentes Inmobiliarios y Corredores(5312)</t>
  </si>
  <si>
    <t>Expendio A La Mesa De Comidas Preparadas (I5611); Catering Para Eventos (I5621); Expendio De Bebidas Alcohólicas Para El Consumo Dentro Del Establecimiento (I5630); Actividades Inmobiliarias Realizadas A Cambio De Una Retribución O Por Contrata (L6820)</t>
  </si>
  <si>
    <t>Actividades Inmobiliarias Realizadas A Cambio De Una Retribución O Por Contrata (L6820)</t>
  </si>
  <si>
    <t>Cr 39 B No 4 45 Bl 1 12</t>
  </si>
  <si>
    <t>jcordero2005@hotmail.com</t>
  </si>
  <si>
    <t>Nubia Stella Uribe Pico (Representante Legal)</t>
  </si>
  <si>
    <t>Servicios Organizados De Limpieza Ltda</t>
  </si>
  <si>
    <t>Cafeterías y Bares para Bebidas sin Alcohol(722515); Servicios de Consejería(56172); Arrendadores de Bienes Inmuebles(5311)</t>
  </si>
  <si>
    <t>Expendio De Comidas Preparadas En Cafeterías (I5613); Actividades Inmobiliarias Realizadas Con Bienes Propios O Arrendados (L6810); Limpieza General Interior De Edificios (N8121); Otras Actividades De Limpieza De Edificios E Instalaciones Industriales (N8129)</t>
  </si>
  <si>
    <t>Calle 6D 5 50 Int 7 Ap 701</t>
  </si>
  <si>
    <t>serviciosorganizados.solltda@gmail.com</t>
  </si>
  <si>
    <t>Carlos Emilio Alarcon Laverde (Representante Legal)</t>
  </si>
  <si>
    <t>Servicios Inversiones Y Comercio S.A.S.</t>
  </si>
  <si>
    <t>Cr 79 No. 19 20 Lc 3</t>
  </si>
  <si>
    <t>gerencia.sicomer@gmail.com</t>
  </si>
  <si>
    <t>Snehider Alberto Vega Maldonado (Representante Legal)</t>
  </si>
  <si>
    <t>Servicios De Alimentacion Qp S.A.S</t>
  </si>
  <si>
    <t>Expendio A La Mesa De Comidas Preparadas (I5611); Expendio De Comidas Preparadas En Cafeterías (I5613); Actividades De Otros Servicios De Comidas (I5629)</t>
  </si>
  <si>
    <t>Cl 44 No. 59 75</t>
  </si>
  <si>
    <t>operacionesqp@gmail.com</t>
  </si>
  <si>
    <t>Monica Patricia Beltran Forero (Representante Legal)</t>
  </si>
  <si>
    <t>Servicios Alimenticios Sachiel S A S</t>
  </si>
  <si>
    <t>Ac 19 No. 28 80 Lc Ak 15</t>
  </si>
  <si>
    <t>sandrag1943@gmail.com</t>
  </si>
  <si>
    <t>Sandra Patricia Gonzalez Terreros (Representante Legal)</t>
  </si>
  <si>
    <t>Servicios Alimenticios De Colombia Sacol Ltda</t>
  </si>
  <si>
    <t>Calle 25 B No. 74 - 34</t>
  </si>
  <si>
    <t>azambrano31@hotmail.com</t>
  </si>
  <si>
    <t>Jorge Humberto Muñoz Correa (Representante Legal)</t>
  </si>
  <si>
    <t>Service Montezuma Sas</t>
  </si>
  <si>
    <t>Carrera 68 Nro.169B - 91</t>
  </si>
  <si>
    <t>comocaidodelcielodeli@yahoo.com</t>
  </si>
  <si>
    <t>Hector Faruk Beltran Velasquez (Representante Legal)</t>
  </si>
  <si>
    <t>Service College Sas</t>
  </si>
  <si>
    <t>Demás Diversas Escuelas y Enseñanza(611699); Restaurantes y Otros Lugares para Comer(72251); Tiendas de Ropa(4481)</t>
  </si>
  <si>
    <t>Comercio Al Por Menor De Prendas De Vestir Y Sus Accesorios (Incluye Artículos De Piel) En Establecimientos Especializados (G4771); Expendio Por Autoservicio De Comidas Preparadas (I5612); Formación Para El Trabajo (P8551)</t>
  </si>
  <si>
    <t>Cl 41 A No. 66 A 49</t>
  </si>
  <si>
    <t>servicecollegesas@gmail.com</t>
  </si>
  <si>
    <t>Karen Medrano Rojas (Representante Legal)</t>
  </si>
  <si>
    <t>Seoulmate Group S.A.S</t>
  </si>
  <si>
    <t>Oficinas de Convenciones y Visitantes(561591); Demás Tipos de Industrias de Diversión y Recreativas(71399); Bares y Otros Lugares para Beber(7224); Servicios Especiales de Comida(7223)</t>
  </si>
  <si>
    <t>Expendio A La Mesa De Comidas Preparadas (I5611); Expendio De Bebidas Alcohólicas Para El Consumo Dentro Del Establecimiento (I5630); Organización De Convenciones Y Eventos Comerciales (N8230); Otras Actividades Recreativas Y De Esparcimiento N.C.P. (R9329)</t>
  </si>
  <si>
    <t>Cr 49 No. 94 98</t>
  </si>
  <si>
    <t>seoulmate.kpopcafe@gmail.com</t>
  </si>
  <si>
    <t>Gonzalez Gonzalez Eliana Ibeth (Representante Legal)</t>
  </si>
  <si>
    <t>Sensor Festival Sas</t>
  </si>
  <si>
    <t>Cl 94 A No. 21 60</t>
  </si>
  <si>
    <t>sensorfestival1@gmail.com</t>
  </si>
  <si>
    <t>David Steven Mora Torres (Representante Legal)</t>
  </si>
  <si>
    <t>Sensor Events Sas</t>
  </si>
  <si>
    <t>Tv 68 H No. 44 46 Sur</t>
  </si>
  <si>
    <t>info.sensorevents@gmail.com</t>
  </si>
  <si>
    <t>Señor Tritón Sas</t>
  </si>
  <si>
    <t>Fabricación de Alimentos Preparados Perecederos(311991); Restaurantes y Otros Lugares para Comer(72251); Servicios Especiales de Comida(7223)</t>
  </si>
  <si>
    <t>Elaboración De Comidas Y Platos Preparados (C1084); Expendio A La Mesa De Comidas Preparadas (I5611); Expendio Por Autoservicio De Comidas Preparadas (I5612)</t>
  </si>
  <si>
    <t>Cr 9 No. 69 12</t>
  </si>
  <si>
    <t>srtritonseafood@gmail.com</t>
  </si>
  <si>
    <t>Luis Camilo Caicedo Lopez (Representante Legal)</t>
  </si>
  <si>
    <t>Semilla Mirari S.A.S.</t>
  </si>
  <si>
    <t>Plantaciones de Café(1113392); Cafeterías y Bares para Bebidas sin Alcohol(722515); Comerciantes al por Mayor de Tabaco y Productos de Tabaco(42494); Comerciantes al por Mayor de Cerveza, Vino y Bebidas Alcohólicas(4248); Comerciantes al por Mayor de Comestibles y Productos Relacionados(4244)</t>
  </si>
  <si>
    <t>Cultivo De Café (A0123); Comercio Al Por Mayor De Productos Alimenticios (G4631); Comercio Al Por Mayor De Bebidas Y Tabaco (G4632); Expendio De Comidas Preparadas En Cafeterías (I5613)</t>
  </si>
  <si>
    <t>Cl 125 No. 19 A 52 Ap 704</t>
  </si>
  <si>
    <t>marioalejandrov@gmail.com</t>
  </si>
  <si>
    <t>Mario Alejandro Valderrama Vivas (Representante Legal)</t>
  </si>
  <si>
    <t>Selva Y Rio S.A.S</t>
  </si>
  <si>
    <t>Comercio Al Por Menor De Otros Artículos Domésticos En Establecimientos Especializados (G4759); Expendio A La Mesa De Comidas Preparadas (I5611); Expendio De Bebidas Alcohólicas Para El Consumo Dentro Del Establecimiento (I5630)</t>
  </si>
  <si>
    <t>Carrera 26 # 49 - 04</t>
  </si>
  <si>
    <t>restaurante.selvayrio@gmail.com</t>
  </si>
  <si>
    <t>Arambula Tangoa Gerson Fabian (Representante Legal)</t>
  </si>
  <si>
    <t>Seis Artesanos S.A.S</t>
  </si>
  <si>
    <t>Expendio A La Mesa De Comidas Preparadas (I5611); Expendio Por Autoservicio De Comidas Preparadas (I5612); Expendio De Comidas Preparadas En Cafeterías (I5613); Actividades Inmobiliarias Realizadas Con Bienes Propios O Arrendados (L6810)</t>
  </si>
  <si>
    <t>Cr 16 No. 43 09</t>
  </si>
  <si>
    <t>herrera_hernando@hotmail.com</t>
  </si>
  <si>
    <t>Hernando Herrera Lozano (Representante Legal)</t>
  </si>
  <si>
    <t>Sebastian Sanint Sas</t>
  </si>
  <si>
    <t>Cr 12A # 71 - 80</t>
  </si>
  <si>
    <t>sebastiansanint@gmail.com</t>
  </si>
  <si>
    <t>Sebastian Sanint Silva (Representante Legal)</t>
  </si>
  <si>
    <t>Sears Social Club Studio 53 S.A.S</t>
  </si>
  <si>
    <t>Tv 24 No. 53 C 25</t>
  </si>
  <si>
    <t>orozcolila@gmail.com</t>
  </si>
  <si>
    <t>Maria Felicidad Orozco Cortes (Representante Legal)</t>
  </si>
  <si>
    <t>Sea Gourmeth Sc Sas</t>
  </si>
  <si>
    <t>Cr 98 A No. 15 A 70</t>
  </si>
  <si>
    <t>seagourmeth@gmail.com</t>
  </si>
  <si>
    <t>Alejandro Esteban Cardenas Gomez (Representante Legal)</t>
  </si>
  <si>
    <t>Se Y Ca S.A.S.</t>
  </si>
  <si>
    <t>Servicios de Preparación de Alimentos y Bebidas(722)</t>
  </si>
  <si>
    <t>Expendio A La Mesa De Comidas Preparadas (I5611); Expendio Por Autoservicio De Comidas Preparadas (I5612); Catering Para Eventos (I5621); Actividades De Otros Servicios De Comidas (I5629)</t>
  </si>
  <si>
    <t>Actividades De Otros Servicios De Comidas (I5629)</t>
  </si>
  <si>
    <t>Cr 4 A No. 53 - 12</t>
  </si>
  <si>
    <t>adaselo@gmail.com</t>
  </si>
  <si>
    <t>Sepulveda Lozano Adalin (Representante Legal)</t>
  </si>
  <si>
    <t>Scarpe 42 Sas</t>
  </si>
  <si>
    <t>Calle 22 K # 121 - 19</t>
  </si>
  <si>
    <t>scarpe42sas@gmail.com</t>
  </si>
  <si>
    <t>Julio Gerardo Morillo Izaguirre (Representante Legal)</t>
  </si>
  <si>
    <t>Sb Proyectos E Inversiones S.A.S</t>
  </si>
  <si>
    <t>Reparación y Mantenimiento de Equipos Electrónicos y de Precisión(81121); Restaurantes y Otros Lugares para Comer(72251); Construcción de Edificios Residenciales(23611); Arrendadores de Bienes Inmuebles(5311)</t>
  </si>
  <si>
    <t>Construcción de Edificios Residenciales(23611)</t>
  </si>
  <si>
    <t>Mantenimiento Y Reparación Especializado De Maquinaria Y Equipo (C3312); Construcción De Edificios Residenciales (F4111); Expendio Por Autoservicio De Comidas Preparadas (I5612); Actividades Inmobiliarias Realizadas Con Bienes Propios O Arrendados (L6810)</t>
  </si>
  <si>
    <t>Construcción De Edificios Residenciales (F4111)</t>
  </si>
  <si>
    <t>Cr 73 No. 152 B 65 In 2 Ap 403</t>
  </si>
  <si>
    <t>sbproyectoseinversiones@gmail.com</t>
  </si>
  <si>
    <t>Liliana Judith Bohorquez Zamora (Representante Legal)</t>
  </si>
  <si>
    <t>Sazonandote S.A.S</t>
  </si>
  <si>
    <t>Elaboración De Productos De Panadería (C1081); Expendio A La Mesa De Comidas Preparadas (I5611); Expendio De Bebidas Alcohólicas Para El Consumo Dentro Del Establecimiento (I5630)</t>
  </si>
  <si>
    <t>Cr 74 B No. 24 D 79</t>
  </si>
  <si>
    <t>sazonandotesas@gmail.com</t>
  </si>
  <si>
    <t>Bertha Jacqueline Gamba Castiblanco (Representante Legal)</t>
  </si>
  <si>
    <t>Sazon Del Mar Restaurante - Bar Sas</t>
  </si>
  <si>
    <t>Fabricación de Alimentos Preparados Perecederos(311991); Bares y Otros Lugares para Beber(7224); Supermercados(4451); Comerciantes al por Mayor de Comestibles y Productos Relacionados(4244)</t>
  </si>
  <si>
    <t>Elaboración De Comidas Y Platos Preparados (C1084); Comercio Al Por Mayor De Productos Alimenticios (G4631); Comercio Al Por Menor En Establecimientos No Especializados Con Surtido Compuesto Principalmente Por Alimentos, Bebidas O Tabaco (G4711); Expendio De Bebidas Alcohólicas Para El Consumo Dentro Del Establecimiento (I5630)</t>
  </si>
  <si>
    <t>Cl 52 A No. 25 28</t>
  </si>
  <si>
    <t>sazondelmar2022@gmail.com</t>
  </si>
  <si>
    <t>Carmen Maria Ramos Cuesta (Representante Legal)</t>
  </si>
  <si>
    <t>Sazón &amp; Son Sas</t>
  </si>
  <si>
    <t>Cr 8 A No. 156 B 27 P 1</t>
  </si>
  <si>
    <t>DMCLAVIJOR@GMAIL.COM</t>
  </si>
  <si>
    <t>Diana Marcela Clavijo Rodriguez (Representante Legal)</t>
  </si>
  <si>
    <t>Savour Foods Sas</t>
  </si>
  <si>
    <t>Cr 16 No. 127 81 To 4 Ap 901</t>
  </si>
  <si>
    <t>emartesb@gmail.com</t>
  </si>
  <si>
    <t>Emmanuel Fernando Martes Benavides (Representante Legal)</t>
  </si>
  <si>
    <t>Save Td Sas</t>
  </si>
  <si>
    <t>Grupos Musicales y Artistas(71113); Bares y Otros Lugares para Beber(7224)</t>
  </si>
  <si>
    <t>Expendio De Bebidas Alcohólicas Para El Consumo Dentro Del Establecimiento (I5630); Actividades De Espectáculos Musicales En Vivo (R9007)</t>
  </si>
  <si>
    <t>guillermohoyosc@gmail.com</t>
  </si>
  <si>
    <t>Guillermo Andres Hoyos Castañeda (Representante Legal)</t>
  </si>
  <si>
    <t>Sarnelli Sas</t>
  </si>
  <si>
    <t>Fabricación de Alimentos Preparados Perecederos(311991); Restaurantes y Otros Lugares para Comer(72251); Bares y Otros Lugares para Beber(7224); Servicios Especiales de Comida(7223)</t>
  </si>
  <si>
    <t>Elaboración De Comidas Y Platos Preparados (C1084); Expendio A La Mesa De Comidas Preparadas (I5611); Expendio Por Autoservicio De Comidas Preparadas (I5612); Expendio De Bebidas Alcohólicas Para El Consumo Dentro Del Establecimiento (I5630)</t>
  </si>
  <si>
    <t>Cr 11 No. 80 67</t>
  </si>
  <si>
    <t>COMPRAS@PIZZARDI.COM.CO</t>
  </si>
  <si>
    <t>Andrea Carolina Bornacelli Samudio (Representante Legal)</t>
  </si>
  <si>
    <t>Sarmiento Bello Sas</t>
  </si>
  <si>
    <t>Cl 4 No. 71 11</t>
  </si>
  <si>
    <t>VIVIANA.SARMIENTO_1219@HOTMAIL.COM</t>
  </si>
  <si>
    <t>Claudia Viviana Sarmiento Morales (Representante Legal)</t>
  </si>
  <si>
    <t>Sarandra S.A.S</t>
  </si>
  <si>
    <t>Cafeterías y Bares para Bebidas sin Alcohol(722515); Otras Actividades Relacionadas con la Intermediación de Crédito(52239); Bares y Otros Lugares para Beber(7224); Arrendadores de Bienes Inmuebles(5311)</t>
  </si>
  <si>
    <t>Expendio De Comidas Preparadas En Cafeterías (I5613); Expendio De Bebidas Alcohólicas Para El Consumo Dentro Del Establecimiento (I5630); Otras Actividades Auxiliares De Las Actividades De Servicios Financieros N.C.P. (K6619); Actividades Inmobiliarias Realizadas Con Bienes Propios O Arrendados (L6810)</t>
  </si>
  <si>
    <t>Calle 22 No. 45 - 36 Apto. 305</t>
  </si>
  <si>
    <t>osmanandradesarria@hotmail.com</t>
  </si>
  <si>
    <t>Osman Azael Andrade Sarria (Representante Legal)</t>
  </si>
  <si>
    <t>Sara Sofia Consultores Sas</t>
  </si>
  <si>
    <t>Demás Tipos de Industrias de Diversión y Recreativas(71399);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</si>
  <si>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Gestión De Instalaciones Deportivas (R9311)</t>
  </si>
  <si>
    <t>Calle 189 # 7 - 20</t>
  </si>
  <si>
    <t>fredymolina07@hotmail.com</t>
  </si>
  <si>
    <t>Molina Malagon Fredy Alexander (Representante Legal)</t>
  </si>
  <si>
    <t>Sanusa Sas</t>
  </si>
  <si>
    <t>Elaboración De Productos De Panadería (C1081); Elaboración De Comidas Y Platos Preparados (C1084); Expendio De Comidas Preparadas En Cafeterías (I5613)</t>
  </si>
  <si>
    <t>Cr 14 B No 3 - 06 Sur Bogota D.C</t>
  </si>
  <si>
    <t>thumanobritije@gmail.com</t>
  </si>
  <si>
    <t>Albeiro Sanchez Sanchez (Representante Legal)</t>
  </si>
  <si>
    <t>Santo Beer Sas</t>
  </si>
  <si>
    <t>Cerveceras(31212); Bares y Otros Lugares para Beber(7224); Cervecerías, Vinaterías y Tiendas de Licores(4453)</t>
  </si>
  <si>
    <t>Producción De Malta, Elaboración De Cervezas Y Otras Bebidas Malteadas (C1103); Comercio Al Por Menor De Bebidas Y Productos Del Tabaco, En Establecimientos Especializados (G4724); Expendio De Bebidas Alcohólicas Para El Consumo Dentro Del Establecimiento (I5630)</t>
  </si>
  <si>
    <t>Cl 25 B No. 85 C 64</t>
  </si>
  <si>
    <t>santobeersas@gmail.com</t>
  </si>
  <si>
    <t>Myriam Aguirre Osma (Representante Legal)</t>
  </si>
  <si>
    <t>Santísimo Carbón Sas</t>
  </si>
  <si>
    <t>Cl 163 A No. 8 27</t>
  </si>
  <si>
    <t>santismocarbon@gmail.com</t>
  </si>
  <si>
    <t>German Tovar Garzon (Representante Legal)</t>
  </si>
  <si>
    <t>Santiisima Sas</t>
  </si>
  <si>
    <t>Cafeterías y Bares para Bebidas sin Alcohol(722515); Cervecerías, Vinaterías y Tiendas de Licores(4453)</t>
  </si>
  <si>
    <t>Comercio Al Por Menor De Bebidas Y Productos Del Tabaco, En Establecimientos Especializados (G4724); Expendio De Comidas Preparadas En Cafeterías (I5613)</t>
  </si>
  <si>
    <t>Cl 46 No. 9 - 08</t>
  </si>
  <si>
    <t>OCGUERREROS@UNAL.EDU.CO</t>
  </si>
  <si>
    <t>Edwin Raul Alonso Villalba (Representante Legal)</t>
  </si>
  <si>
    <t>Santamacias Sas</t>
  </si>
  <si>
    <t>Cafeterías y Bares para Bebidas sin Alcohol(722515); Producción de Todos los Demás Tipos de Cultivos Diversos(111998)</t>
  </si>
  <si>
    <t>Producción de Todos los Demás Tipos de Cultivos Diversos(111998)</t>
  </si>
  <si>
    <t>Explotación Mixta (Agrícola Y Pecuaria) (A0150); Expendio De Comidas Preparadas En Cafeterías (I5613)</t>
  </si>
  <si>
    <t>Explotación Mixta (Agrícola Y Pecuaria) (A0150)</t>
  </si>
  <si>
    <t>Cl 133 No. 19 - 59 Ed Area 19</t>
  </si>
  <si>
    <t>maciasgomez@gmail.com</t>
  </si>
  <si>
    <t>Juan Manuel Macias Gomez (Representante Legal)</t>
  </si>
  <si>
    <t>Santaana Vending Sas</t>
  </si>
  <si>
    <t>Restaurantes y Otros Lugares para Comer(72251); Tiendas de Venta Directa(4543)</t>
  </si>
  <si>
    <t>Tiendas de Venta Directa(4543)</t>
  </si>
  <si>
    <t>Otros Tipos De Comercio Al Por Menor No Realizado En Establecimientos, Puestos De Venta O Mercados. (G4799); Expendio Por Autoservicio De Comidas Preparadas (I5612)</t>
  </si>
  <si>
    <t>Otros Tipos De Comercio Al Por Menor No Realizado En Establecimientos, Puestos De Venta O Mercados. (G4799)</t>
  </si>
  <si>
    <t>Cr 68 B No. 57 F 20 Sur</t>
  </si>
  <si>
    <t>santaanavending@gmail.com</t>
  </si>
  <si>
    <t>Julian Sanchez Robayo (Representante Legal)</t>
  </si>
  <si>
    <t>Santa Monica Investment S.A.S.</t>
  </si>
  <si>
    <t>Cafeterías y Bares para Bebidas sin Alcohol(722515); Diseño de Sistemas Computacionales y Servicios Relacionados(54151); Comercio de Artículos Electrónicos y Electrodomésticos(44314); Tiendas de Ropa(4481)</t>
  </si>
  <si>
    <t>Comercio Al Por Menor De Computadores, Equipos Periféricos, Programas De Informática Y Equipos De Telecomunicaciones En Establecimientos Especializados (G4741); Comercio Al Por Menor De Prendas De Vestir Y Sus Accesorios (Incluye Artículos De Piel) En Establecimientos Especializados (G4771); Expendio De Comidas Preparadas En Cafeterías (I5613); Actividades De Consultoría Informática Y Actividades De Administración De Instalaciones Informáticas (J6202)</t>
  </si>
  <si>
    <t>Actividades De Consultoría Informática Y Actividades De Administración De Instalaciones Informáticas (J6202)</t>
  </si>
  <si>
    <t>Carrera 104 # 148 - 07 Local 1 - 82</t>
  </si>
  <si>
    <t>info@santamonicainv.com</t>
  </si>
  <si>
    <t>German David Avila Bohorquez (Representante Legal)</t>
  </si>
  <si>
    <t>Santa Lucia Group Sas</t>
  </si>
  <si>
    <t>Cl 119 B No. 5 37</t>
  </si>
  <si>
    <t>santaluciabogota119@gmail.com</t>
  </si>
  <si>
    <t>Jorge Alexander Gelvez Corzo (Representante Legal)</t>
  </si>
  <si>
    <t>Sandel Company Sas</t>
  </si>
  <si>
    <t>Cr 56B # 127 - 27 Int 6 Of 524</t>
  </si>
  <si>
    <t>modeque77@gmail.com</t>
  </si>
  <si>
    <t>Francisco Julian Sanin Diaz (Representante Legal)</t>
  </si>
  <si>
    <t>Sana Te S.A.S.</t>
  </si>
  <si>
    <t>Cafeterías y Bares para Bebidas sin Alcohol(722515); Fabricación de Todos los Demás Tipos de Alimentos Diversos(311999); Otros Servicios de Apoyo de Negocios(56149); Otros Servicios Médicos Ambulatorios(6219)</t>
  </si>
  <si>
    <t>Elaboración De Otros Productos Alimenticios N.C.P. (C1089); Expendio De Comidas Preparadas En Cafeterías (I5613); Otras Actividades De Servicio De Apoyo A Las Empresas N.C.P. (N8299); Actividades De Apoyo Terapéutico (Q8692)</t>
  </si>
  <si>
    <t>Cl 161 # 20 - 51 Local 3</t>
  </si>
  <si>
    <t>oliverloyo@gmail.com</t>
  </si>
  <si>
    <t>Oliver Antonio Loyo Correa (Representante Legal)</t>
  </si>
  <si>
    <t>San Toro &amp; Lee S.A.S</t>
  </si>
  <si>
    <t>Expendio A La Mesa De Comidas Preparadas (I5611); Expendio De Comidas Preparadas En Cafeterías (I5613); Actividades Inmobiliarias Realizadas Con Bienes Propios O Arrendados (L6810)</t>
  </si>
  <si>
    <t>Cr 8 A No. 15 21 P 1</t>
  </si>
  <si>
    <t>castellano@naver.com</t>
  </si>
  <si>
    <t>Jonghyun Lee Hyun (Representante Legal)</t>
  </si>
  <si>
    <t>San Rooque Social Park Sas</t>
  </si>
  <si>
    <t>Cl 144 No. 9 75</t>
  </si>
  <si>
    <t>williamavzla@gmail.com</t>
  </si>
  <si>
    <t>William Alexis Peña Baron (Representante Legal)</t>
  </si>
  <si>
    <t>San Miguel Dulce Compañia Sas</t>
  </si>
  <si>
    <t>Demás Tipos de Alojamiento para Viajeros(721199); Restaurantes y Otros Lugares para Comer(72251); Grupos Musicales y Artistas(71113)</t>
  </si>
  <si>
    <t>Otros Tipos De Alojamientos Para Visitantes (I5519); Otros Tipos De Alojamiento N.C.P. (I5590); Expendio Por Autoservicio De Comidas Preparadas (I5612); Actividades De Espectáculos Musicales En Vivo (R9007)</t>
  </si>
  <si>
    <t>Cr 11 D No. 118 A 39</t>
  </si>
  <si>
    <t>diegocp1979@hotmail.com</t>
  </si>
  <si>
    <t>Diego Cifuentes Pardo (Representante Legal)</t>
  </si>
  <si>
    <t>San Juanes Sas</t>
  </si>
  <si>
    <t>Cafeterías y Bares para Bebidas sin Alcohol(722515); Empresas de Catering(72232); Comerciantes al por Mayor de Comestibles y Productos Relacionados(4244)</t>
  </si>
  <si>
    <t>Comercio Al Por Mayor De Productos Alimenticios (G4631); Expendio A La Mesa De Comidas Preparadas (I5611); Expendio De Comidas Preparadas En Cafeterías (I5613); Catering Para Eventos (I5621)</t>
  </si>
  <si>
    <t>Cr 15 No. 68 89</t>
  </si>
  <si>
    <t>sanenarp@gmail.com</t>
  </si>
  <si>
    <t>Sandra Eugenia Naranjo Pineda (Representante Legal)</t>
  </si>
  <si>
    <t>San Jose Cafe Express 54 S.A.S</t>
  </si>
  <si>
    <t>Cafeterías y Bares para Bebidas sin Alcohol(722515); Supermercados(4451)</t>
  </si>
  <si>
    <t>Comercio Al Por Menor En Establecimientos No Especializados Con Surtido Compuesto Principalmente Por Alimentos, Bebidas O Tabaco (G4711); Expendio De Comidas Preparadas En Cafeterías (I5613)</t>
  </si>
  <si>
    <t>Carrera 54 67 A 19</t>
  </si>
  <si>
    <t>sanjosecafeexpress54@gmail.com</t>
  </si>
  <si>
    <t>Sandra Liliana Peralta Romero (Representante Legal)</t>
  </si>
  <si>
    <t>San Diego Roasted Colombian Coffee Sas</t>
  </si>
  <si>
    <t>Plantaciones de Café(1113392); Cafeterías y Bares para Bebidas sin Alcohol(722515); Actividades de Poscosecha (excepto Desmotado de Algodón)(115114); Otras Tiendas de Comidas Artesanales(44529)</t>
  </si>
  <si>
    <t>Actividades de Poscosecha (excepto Desmotado de Algodón)(115114)</t>
  </si>
  <si>
    <t>Cultivo De Café (A0123); Actividades Posteriores A La Cosecha (A0163); Comercio Al Por Menor De Otros Productos Alimenticios N.C.P., En Establecimientos Especializados (G4729); Expendio De Comidas Preparadas En Cafeterías (I5613)</t>
  </si>
  <si>
    <t>Actividades Posteriores A La Cosecha (A0163)</t>
  </si>
  <si>
    <t>Cr 70 C No. 2 - 20 Sur Ap 206 Int 2</t>
  </si>
  <si>
    <t>cliente@cafesandiego.co</t>
  </si>
  <si>
    <t>Jose Andres Pabon Cabrera (Representante Legal)</t>
  </si>
  <si>
    <t>San Alejos El Monje S A S</t>
  </si>
  <si>
    <t>Cr 15 A No. 120 36</t>
  </si>
  <si>
    <t>elmonjebar01@gmail.com</t>
  </si>
  <si>
    <t>Gustavo Ernulfo Gamba Fernandez (Representante Legal)</t>
  </si>
  <si>
    <t>Samurai Group S.A.S</t>
  </si>
  <si>
    <t>Comercio Al Por Menor De Otros Productos Alimenticios N.C.P., En Establecimientos Especializados (G4729); Expendio A La Mesa De Comidas Preparadas (I5611); Actividades De Otros Servicios De Comidas (I5629); Expendio De Bebidas Alcohólicas Para El Consumo Dentro Del Establecimiento (I5630)</t>
  </si>
  <si>
    <t>Calle 12 B 8 23</t>
  </si>
  <si>
    <t>asujuicioabogadoslitigantes@gmail.com</t>
  </si>
  <si>
    <t>Sergio Alejandro Acosta Franco (Representante Legal)</t>
  </si>
  <si>
    <t>Samarcanda Food Sas</t>
  </si>
  <si>
    <t>Cr 80 No. 69 A 82</t>
  </si>
  <si>
    <t>oscarsierra1979@hotmail.com</t>
  </si>
  <si>
    <t>Luz Samarcanda Osorio Polania (Representante Legal)</t>
  </si>
  <si>
    <t>Salvaje Cartagena S.A.S</t>
  </si>
  <si>
    <t>Cl 81 # 8 50 Of 206 Bogotá</t>
  </si>
  <si>
    <t>salvajecartagena@gmail.com</t>
  </si>
  <si>
    <t>Hernan Felipe Wilson Martinez (Representante Legal)</t>
  </si>
  <si>
    <t>Salon Tropical Ceviche Bar S.A.S</t>
  </si>
  <si>
    <t>Cra 5 # 65 20</t>
  </si>
  <si>
    <t>andriusdidziulis@gmail.com</t>
  </si>
  <si>
    <t>Andrius Jonas Didziulis Pradilla (Representante Legal)</t>
  </si>
  <si>
    <t>Salon De Onces Cafe Y Aroma Sas</t>
  </si>
  <si>
    <t>Tv 73 A No. 81 G 03</t>
  </si>
  <si>
    <t>facturacioncafeyaroma@gmail.com</t>
  </si>
  <si>
    <t>Elieser Puentes Daza (Representante Legal)</t>
  </si>
  <si>
    <t>Salon De Billares Y Boliranas La Roca Sas</t>
  </si>
  <si>
    <t>Bares y Otros Lugares para Beber(7224); Servicios Especiales de Comida(7223); Industrias de Juego(7132); Cervecerías, Vinaterías y Tiendas de Licores(4453)</t>
  </si>
  <si>
    <t>Comercio Al Por Menor De Bebidas Y Productos Del Tabaco, En Establecimientos Especializados (G4724); Expendio A La Mesa De Comidas Preparadas (I5611); Expendio De Bebidas Alcohólicas Para El Consumo Dentro Del Establecimiento (I5630); Actividades De Juegos De Azar Y Apuestas (R9200)</t>
  </si>
  <si>
    <t>Cl 67 Sur No. 78 J 5</t>
  </si>
  <si>
    <t>jjcompresoresdetornillo@gmail.com</t>
  </si>
  <si>
    <t>Senen Mateus Vargas (Representante Legal)</t>
  </si>
  <si>
    <t>Salón Chinoise Sas</t>
  </si>
  <si>
    <t>Fabricación de Todos los Demás Tipos de Alimentos Diversos(311999); Grupos Musicales y Artistas(71113); Bares y Otros Lugares para Beber(7224); Servicios Especiales de Comida(7223)</t>
  </si>
  <si>
    <t>Elaboración De Otros Productos Alimenticios N.C.P. (C1089); Expendio A La Mesa De Comidas Preparadas (I5611); Expendio De Bebidas Alcohólicas Para El Consumo Dentro Del Establecimiento (I5630); Actividades De Espectáculos Musicales En Vivo (R9007)</t>
  </si>
  <si>
    <t>Calle 85 # 12 - 29 Piso 2</t>
  </si>
  <si>
    <t>tesoreria.frankcompany@gmail.com</t>
  </si>
  <si>
    <t>Salitre Maramaos Club S A S En Liquidacion</t>
  </si>
  <si>
    <t>La empresa Salitre Maramaos Club S A S se dedica a expendio de bebidas alcohólicas para el consumo dentro del establecimiento. Opera en el mercado colombiano desde el año 2007.</t>
  </si>
  <si>
    <t>Av 68 No. 64 32</t>
  </si>
  <si>
    <t>salitre.maramaosclub@hotmail.com</t>
  </si>
  <si>
    <t>Alexandra Perico Quimbaya (Representante Legal)</t>
  </si>
  <si>
    <t>4 (2013)</t>
  </si>
  <si>
    <t>Sal Pimienta Y Dulce Gourmet Sas</t>
  </si>
  <si>
    <t>Restaurantes y Otros Lugares para Comer(72251); Panaderías y Producción de Tortillas(3118)</t>
  </si>
  <si>
    <t>Elaboración De Productos De Panadería (C1081); Expendio Por Autoservicio De Comidas Preparadas (I5612)</t>
  </si>
  <si>
    <t>Cl 97 No. 70 C 95 To 5 Ap 404</t>
  </si>
  <si>
    <t>mariapaularojas@gmail.com</t>
  </si>
  <si>
    <t>Maria Paula Rojas Claros (Representante Legal)</t>
  </si>
  <si>
    <t>Saint Vapor S.A.S</t>
  </si>
  <si>
    <t>Bares y Otros Lugares para Beber(7224); Tiendas de Artículos Diversos(453)</t>
  </si>
  <si>
    <t>Tiendas de Artículos Diversos(453)</t>
  </si>
  <si>
    <t>Comercio Al Por Menor De Otros Productos Nuevos En Establecimientos Especializados (G4774); Expendio De Bebidas Alcohólicas Para El Consumo Dentro Del Establecimiento (I5630)</t>
  </si>
  <si>
    <t>Comercio Al Por Menor De Otros Productos Nuevos En Establecimientos Especializados (G4774)</t>
  </si>
  <si>
    <t>Cl 52 No. 23 09</t>
  </si>
  <si>
    <t>saintvaporsas@gmail.com</t>
  </si>
  <si>
    <t>Oscar Javier Torres Robayo (Representante Legal)</t>
  </si>
  <si>
    <t>Sagrada Familia Sas (Bogotá D.C.)</t>
  </si>
  <si>
    <t>Cl 83 Bis No. 24 - 09</t>
  </si>
  <si>
    <t>ANFITRIONA.SF@GMAIL.COM</t>
  </si>
  <si>
    <t>Yineth Guevara Guiza (Representante Legal)</t>
  </si>
  <si>
    <t>Saga Pasteleria Sas</t>
  </si>
  <si>
    <t>Cl 152 B No. 55 45 Ap 401 To 1</t>
  </si>
  <si>
    <t>gabriel_garcia0@hotmail.com</t>
  </si>
  <si>
    <t>Juan Gabriel Garcia Orduz (Representante Legal)</t>
  </si>
  <si>
    <t>Safira Corporation S.A.S</t>
  </si>
  <si>
    <t>Cl 97 No. 71 97 Of 601</t>
  </si>
  <si>
    <t>cesar.vargas@safiracorp.com</t>
  </si>
  <si>
    <t>Cesar Augusto Vargas Urrego (Representante Legal)</t>
  </si>
  <si>
    <t>Safari Investsment Group Sas</t>
  </si>
  <si>
    <t>Otros Alojamientos para Viajeros(72119); Construcción de Edificios Residenciales(23611); Bares y Otros Lugares para Beber(7224); Arrendadores de Bienes Inmuebles(5311)</t>
  </si>
  <si>
    <t>Construcción De Edificios Residenciales (F4111); Alojamiento En Apartahoteles (I5512); Expendio De Bebidas Alcohólicas Para El Consumo Dentro Del Establecimiento (I5630); Actividades Inmobiliarias Realizadas Con Bienes Propios O Arrendados (L6810)</t>
  </si>
  <si>
    <t>Cr 7 # 47 - 63</t>
  </si>
  <si>
    <t>MANOEL.MORANCAY@GMAIL.COM</t>
  </si>
  <si>
    <t>Manoel Florian Morancay Areias (Representante Legal)</t>
  </si>
  <si>
    <t>Sadhana Pyp S.A.S.</t>
  </si>
  <si>
    <t>Cafeterías y Bares para Bebidas sin Alcohol(722515); Otras Tiendas de Comidas Artesanales(44529); Arrendadores de Bienes Inmuebles(5311); Panaderías y Producción de Tortillas(3118)</t>
  </si>
  <si>
    <t>Elaboración De Productos De Panadería (C1081); Comercio Al Por Menor De Otros Productos Alimenticios N.C.P., En Establecimientos Especializados (G4729); Expendio De Comidas Preparadas En Cafeterías (I5613); Actividades Inmobiliarias Realizadas Con Bienes Propios O Arrendados (L6810)</t>
  </si>
  <si>
    <t>Calle 39 Sur # 53 46 Piso 3</t>
  </si>
  <si>
    <t>sadhanapypsas@gmail.com</t>
  </si>
  <si>
    <t>Maria Fernanda Figueroa Salgado (Representante Legal)</t>
  </si>
  <si>
    <t>Sabrosuras Costeñas S.A.S.</t>
  </si>
  <si>
    <t>Expendio Por Autoservicio De Comidas Preparadas (I5612); Otros Tipos De Expendio De Comidas Preparadas N.C.P. (I5619)</t>
  </si>
  <si>
    <t>Cl 140 No. 12 B 61 Lc Zc 03</t>
  </si>
  <si>
    <t>arcortes1103@hotmail.com</t>
  </si>
  <si>
    <t>Ana Ruth Cortes Monroy (Representante Legal)</t>
  </si>
  <si>
    <t>Sabores Y Aromas Andinos S.A.S</t>
  </si>
  <si>
    <t>Carrera 116 B 74 A Torre 2</t>
  </si>
  <si>
    <t>claudiam.zapatam@gmail.com</t>
  </si>
  <si>
    <t>William Mahecha Moreno (Representante Legal)</t>
  </si>
  <si>
    <t>Sabores Merced S.A.S</t>
  </si>
  <si>
    <t>Carrera 64 72 15</t>
  </si>
  <si>
    <t>saboresmerced@gmail.com</t>
  </si>
  <si>
    <t>Mercedes Hortua Velandia (Representante Legal)</t>
  </si>
  <si>
    <t>Sabor Saludable S.A.S</t>
  </si>
  <si>
    <t>Expendio Por Autoservicio De Comidas Preparadas (I5612); Expendio De Comidas Preparadas En Cafeterías (I5613)</t>
  </si>
  <si>
    <t>Carrera 95 A 136 42</t>
  </si>
  <si>
    <t>asmethsaavedra@gmail.com</t>
  </si>
  <si>
    <t>Cristhian Asmeth Saavedra Lozano (Representante Legal)</t>
  </si>
  <si>
    <t>Sabana Foods S.A.S</t>
  </si>
  <si>
    <t>Elaboración De Otros Productos Alimenticios N.C.P. (C1089); Expendio A La Mesa De Comidas Preparadas (I5611); Expendio De Comidas Preparadas En Cafeterías (I5613); Otros Tipos De Expendio De Comidas Preparadas N.C.P. (I5619)</t>
  </si>
  <si>
    <t>Cra 68 C 22 B 71 Trr 9 Apto 203</t>
  </si>
  <si>
    <t>TILEKA1111@GMAIL.COM</t>
  </si>
  <si>
    <t>Lili Sofia Mendoza Ortega (Representante Legal)</t>
  </si>
  <si>
    <t>S.Joseph S.A.S</t>
  </si>
  <si>
    <t>Cr 13 No. 86 A 74 To</t>
  </si>
  <si>
    <t>S'Pecia Pizzeria Sas En Liquidacion</t>
  </si>
  <si>
    <t>Cl 63 D No. 71 D 08</t>
  </si>
  <si>
    <t>buzonsugerencias.specia@gmail.com</t>
  </si>
  <si>
    <t>Giselle Johanna Rincon Cubillos (Representante Legal)</t>
  </si>
  <si>
    <t>Ryd Inversiones Sas</t>
  </si>
  <si>
    <t>Cl 131 A No. 53 60 To 6 Ap 201</t>
  </si>
  <si>
    <t>ryd.inversiones.ryd@gmail.com</t>
  </si>
  <si>
    <t>Aura Patricia Delgado Munevar (Representante Legal)</t>
  </si>
  <si>
    <t>Ruta De Seda Gourmet Sas</t>
  </si>
  <si>
    <t>Cr 9 No 80 - 45 P 4</t>
  </si>
  <si>
    <t>HAMIDULANURAN@GMAIL.COM</t>
  </si>
  <si>
    <t>Hamidula Nuan (Representante Legal)</t>
  </si>
  <si>
    <t>Ruiz Ovalle Asociados Sas</t>
  </si>
  <si>
    <t>Demás Tipos de Alojamiento para Viajeros(721199); Bares y Otros Lugares para Beber(7224); Servicios Especiales de Comida(7223); Servicios de Administrativos de Oficina(5611)</t>
  </si>
  <si>
    <t>Otros Tipos De Alojamientos Para Visitantes (I5519); Expendio A La Mesa De Comidas Preparadas (I5611); Expendio De Bebidas Alcohólicas Para El Consumo Dentro Del Establecimiento (I5630); Actividades Combinadas De Servicios Administrativos De Oficina (N8211)</t>
  </si>
  <si>
    <t>Cr Av 86 55 A 75</t>
  </si>
  <si>
    <t>ruizovalleasociados@gmail.com</t>
  </si>
  <si>
    <t>Nelsy Ruiz Hernandez (Representante Legal)</t>
  </si>
  <si>
    <t>Ruitoque Golf Ayb Sas</t>
  </si>
  <si>
    <t>Cl. 93 No. 12 - 14</t>
  </si>
  <si>
    <t>ruitoquegolfaybsas@gmail.com</t>
  </si>
  <si>
    <t>Carla Giovanna Aronna Restrepo (Representante Legal)</t>
  </si>
  <si>
    <t>Rubio Y Blanco Sas</t>
  </si>
  <si>
    <t>Cl 136 No. 18 B 28 L</t>
  </si>
  <si>
    <t>asesoriascontablesladg@yahoo.es</t>
  </si>
  <si>
    <t>Jose Fernando Rubio Vaca (Representante Legal)</t>
  </si>
  <si>
    <t>Royal Reserve Liquors Lr S.A.S</t>
  </si>
  <si>
    <t>Comerciantes al por Mayor de Tabaco y Productos de Tabaco(42494); Bares y Otros Lugares para Beber(7224); Cervecerías, Vinaterías y Tiendas de Licores(4453); Comerciantes al por Mayor de Cerveza, Vino y Bebidas Alcohólicas(4248); Comerciantes al por Mayor de Comestibles y Productos Relacionados(4244)</t>
  </si>
  <si>
    <t>Comercio Al Por Mayor De Productos Alimenticios (G4631); Comercio Al Por Mayor De Bebidas Y Tabaco (G4632); Comercio Al Por Menor De Bebidas Y Productos Del Tabaco, En Establecimientos Especializados (G4724); Expendio De Bebidas Alcohólicas Para El Consumo Dentro Del Establecimiento (I5630)</t>
  </si>
  <si>
    <t>Cr 19 No. 153 30</t>
  </si>
  <si>
    <t>ecosistema.royalreserveliquors@gmail.com</t>
  </si>
  <si>
    <t>Laura Alejandra Rodriguez Rodriguez (Representante Legal)</t>
  </si>
  <si>
    <t>Roxie S.A.S</t>
  </si>
  <si>
    <t>Cafeterías y Bares para Bebidas sin Alcohol(722515); Empresas de Catering(72232); Supermercados(4451); Panaderías y Producción de Tortillas(3118)</t>
  </si>
  <si>
    <t>Elaboración De Productos De Panadería (C1081); Comercio Al Por Menor En Establecimientos No Especializados Con Surtido Compuesto Principalmente Por Alimentos, Bebidas O Tabaco (G4711); Expendio De Comidas Preparadas En Cafeterías (I5613); Catering Para Eventos (I5621)</t>
  </si>
  <si>
    <t>Carrera 47 131 A 40</t>
  </si>
  <si>
    <t>roxieeatscake@gmail.com</t>
  </si>
  <si>
    <t>Sandra Liliana Peñuela Muñoz (Representante Legal)</t>
  </si>
  <si>
    <t>Rosveg Brand Sas</t>
  </si>
  <si>
    <t>Cl 80 No. 70 C 27</t>
  </si>
  <si>
    <t>kikavillamizar6@gmail.com</t>
  </si>
  <si>
    <t>Omar Saul Vega Barrantes (Representante Legal)</t>
  </si>
  <si>
    <t>Rosh Cafe Pub Dr Sas</t>
  </si>
  <si>
    <t>Cl 19 No. 6 39</t>
  </si>
  <si>
    <t>triiasas@gmail.com</t>
  </si>
  <si>
    <t>Robinson Hernando Diaz Vega (Representante Legal)</t>
  </si>
  <si>
    <t>Rosa Talavera Bogota Sas</t>
  </si>
  <si>
    <t>Cl 82 No. 19 A 14</t>
  </si>
  <si>
    <t>grpalomera@gmail.com</t>
  </si>
  <si>
    <t>Gerardo Roberto Rodriguez Palomera (Representante Legal)</t>
  </si>
  <si>
    <t>Rollin Group Sas</t>
  </si>
  <si>
    <t>Restaurantes y Otros Lugares para Comer(72251); Demás Tipos de Industrias de Diversión y Recreativas(71399); Bares y Otros Lugares para Beber(7224); Arrendadores de Bienes Inmuebles(5311)</t>
  </si>
  <si>
    <t>Expendio Por Autoservicio De Comidas Preparadas (I5612); Expendio De Bebidas Alcohólicas Para El Consumo Dentro Del Establecimiento (I5630); Actividades Inmobiliarias Realizadas Con Bienes Propios O Arrendados (L6810); Otras Actividades Recreativas Y De Esparcimiento N.C.P. (R9329)</t>
  </si>
  <si>
    <t>Cl 62 No. 9 A 28</t>
  </si>
  <si>
    <t>juancalderon1824@gmail.com</t>
  </si>
  <si>
    <t>Juan David Calderon Torres (Representante Legal)</t>
  </si>
  <si>
    <t>Rola Cerveceria Taproom Sas</t>
  </si>
  <si>
    <t>Producción De Malta, Elaboración De Cervezas Y Otras Bebidas Malteadas (C1103); Catering Para Eventos (I5621); Expendio De Bebidas Alcohólicas Para El Consumo Dentro Del Establecimiento (I5630)</t>
  </si>
  <si>
    <t>Cl 75 No. 22 40</t>
  </si>
  <si>
    <t>rolacerveceria@gmail.com</t>
  </si>
  <si>
    <t>Francisco Javier Vanegas Jimenez (Representante Legal)</t>
  </si>
  <si>
    <t>Rodrigo Miguel Moreno Diaz E Hijos Y Cia S En C</t>
  </si>
  <si>
    <t>Cr 5 No. 16 69</t>
  </si>
  <si>
    <t>armandomorenoa@hotmail.com</t>
  </si>
  <si>
    <t>Armando Moreno Aponte (Representante Legal)</t>
  </si>
  <si>
    <t>Rodizio Cabana Carioca Buffet Sas</t>
  </si>
  <si>
    <t>Av 39 No. 7 40 Lc 21</t>
  </si>
  <si>
    <t>jorgemoli07@hotmail.com</t>
  </si>
  <si>
    <t>Melo Rey Alex Farley (Representante Legal)</t>
  </si>
  <si>
    <t>Rockxy Sas</t>
  </si>
  <si>
    <t>Cl 65 No. 13 15 P 2</t>
  </si>
  <si>
    <t>leococinayrock@gmail.com</t>
  </si>
  <si>
    <t>Andrea Isabel Jaime Amaya (Representante Legal)</t>
  </si>
  <si>
    <t>Rockefeller Billiards S.A.S</t>
  </si>
  <si>
    <t>Otro Tipo de Industrias de Diversión y Recreación(7139)</t>
  </si>
  <si>
    <t>Expendio De Bebidas Alcohólicas Para El Consumo Dentro Del Establecimiento (I5630); Actividades De Clubes Deportivos (R9312); Otras Actividades Recreativas Y De Esparcimiento N.C.P. (R9329)</t>
  </si>
  <si>
    <t>Actividades De Clubes Deportivos (R9312)</t>
  </si>
  <si>
    <t>Cl 53 No. 21 36 P 2</t>
  </si>
  <si>
    <t>sharo_segovia@yahoo.com</t>
  </si>
  <si>
    <t>Lizeth Johana Celis Hormaza (Representante Legal)</t>
  </si>
  <si>
    <t>Roble Blanco Licores S.A.S</t>
  </si>
  <si>
    <t>Bares y Otros Lugares para Beber(7224); Cervecerías, Vinaterías y Tiendas de Licores(4453); Supermercados(4451)</t>
  </si>
  <si>
    <t>Comercio Al Por Menor En Establecimientos No Especializados Con Surtido Compuesto Principalmente Por Alimentos, Bebidas O Tabaco (G4711); Comercio Al Por Menor De Bebidas Y Productos Del Tabaco, En Establecimientos Especializados (G4724); Expendio De Bebidas Alcohólicas Para El Consumo Dentro Del Establecimiento (I5630)</t>
  </si>
  <si>
    <t>Dg 81 D No. 72 C 76</t>
  </si>
  <si>
    <t>rodrisanve@hotmail.com</t>
  </si>
  <si>
    <t>Rodrigo Alberto Sanchez Velandia (Representante Legal)</t>
  </si>
  <si>
    <t>Rma Inversiones Sas</t>
  </si>
  <si>
    <t>Demás Tipos de Alojamiento para Viajeros(721199); Bares y Otros Lugares para Beber(7224); Tiendas de Ropa(4481); Tiendas de Artículos Diversos(453)</t>
  </si>
  <si>
    <t>Comercio Al Por Menor De Prendas De Vestir Y Sus Accesorios (Incluye Artículos De Piel) En Establecimientos Especializados (G4771); Comercio Al Por Menor De Otros Productos Nuevos En Establecimientos Especializados (G4774); Servicio Por Horas (I5530); Expendio De Bebidas Alcohólicas Para El Consumo Dentro Del Establecimiento (I5630)</t>
  </si>
  <si>
    <t>Cl 31 Sur No. 71 D 25</t>
  </si>
  <si>
    <t>henrroqui7962@hotmail.com</t>
  </si>
  <si>
    <t>Henry Rodriguez Quiroga (Representante Legal)</t>
  </si>
  <si>
    <t>Rm Servicios de Alimentos S.A.S.</t>
  </si>
  <si>
    <t>Expendio por autoservicio de comidas preparadas en restaurantes, procesamiento y venta de alimentos, bar y bebidas</t>
  </si>
  <si>
    <t>Cl 78 28 A 45</t>
  </si>
  <si>
    <t>Mendez Morales Rubiela (Representante Legal), Francy Ines Quevedo Cruz (Representante Legal Suplente)</t>
  </si>
  <si>
    <t>Rivas S.A.S</t>
  </si>
  <si>
    <t>Carrera 16 # 93A - 16 Oficina 203</t>
  </si>
  <si>
    <t>rioseco10@gmail.com</t>
  </si>
  <si>
    <t>Rodrigo Ignacio Rioseco Bondi (Representante Legal)</t>
  </si>
  <si>
    <t>Risus Sas</t>
  </si>
  <si>
    <t>Cl 18 No 9 20 P 9</t>
  </si>
  <si>
    <t>maryossa70@gmail.com</t>
  </si>
  <si>
    <t>Luz Mary Ossa Ruiz (Representante Legal)</t>
  </si>
  <si>
    <t>Risetime Sas</t>
  </si>
  <si>
    <t>Oficinas de Administrción Corporativas, Subsidiarias y Regionales(551114); Restaurantes y Otros Lugares para Comer(72251); Servicios Especiales de Comida(7223)</t>
  </si>
  <si>
    <t>Expendio A La Mesa De Comidas Preparadas (I5611); Expendio Por Autoservicio De Comidas Preparadas (I5612); Actividades De Administración Empresarial (M7010); Actividades De Consultaría De Gestión (M7020)</t>
  </si>
  <si>
    <t>Cl 145 A No. 12 20 A</t>
  </si>
  <si>
    <t>leonardo_maidana@hotmail.com.ar</t>
  </si>
  <si>
    <t>Leonardo Miguel Maidana (Representante Legal)</t>
  </si>
  <si>
    <t>Rios &amp; Zamudio Ltda</t>
  </si>
  <si>
    <t>Venta y Distribucion de Productos Alimenticios de Consumo Humano Tales Como Comidas Rapidas</t>
  </si>
  <si>
    <t>Calle 123A No 47-69</t>
  </si>
  <si>
    <t>gloriarios58@hotmail.com</t>
  </si>
  <si>
    <t>Rios Macias Oscar Antonio (Representante Legal), Zamudio Echavarria Solastrid (Representante Legal Suplente), Yeimmy Consuegra Pardo (Contador)</t>
  </si>
  <si>
    <t>Rio Café Sas</t>
  </si>
  <si>
    <t>Cafeterías y Bares para Bebidas sin Alcohol(722515); Comerciantes al por Mayor de Comestibles y Productos Relacionados(4244); Comerciantes al por Mayor de Maquinaría, Equipos y Suministros(4238); Arrendadores de Bienes Intangibles No Financieros (excepto Obras con los Derechos Reservados)(533)</t>
  </si>
  <si>
    <t>Comercio Al Por Mayor De Productos Alimenticios (G4631); Comercio Al Por Mayor De Otros Tipos De Maquinaria Y Equipo N.C.P. (G4659); Expendio De Comidas Preparadas En Cafeterías (I5613); Arrendamiento De Propiedad Intelectual Y Productos Similares, Excepto Obras Protegidas Por Derechos De Autor (N7740)</t>
  </si>
  <si>
    <t>Cr 7 A No. 123 40</t>
  </si>
  <si>
    <t>riocafecolombia@gmail.com</t>
  </si>
  <si>
    <t>Gaeva Monclou Pedraza (Representante Legal)</t>
  </si>
  <si>
    <t>Rio Bamba Gourmet Sas</t>
  </si>
  <si>
    <t>Cl 51 No. 70 C 36</t>
  </si>
  <si>
    <t>johnazv77@gmail.com</t>
  </si>
  <si>
    <t>John Alveiro Zapata Velandia (Representante Legal)</t>
  </si>
  <si>
    <t>Rinos S A S</t>
  </si>
  <si>
    <t>Cl 54 F Sur No 94 18 Local 248</t>
  </si>
  <si>
    <t>8edgarquintero@gmail.com</t>
  </si>
  <si>
    <t>Luz Angela Quintero Maya (Representante Legal)</t>
  </si>
  <si>
    <t>Riff Nation Sas</t>
  </si>
  <si>
    <t>Grupos Musicales y Artistas(71113); Otro Tipo de Servicios de Preparación de Viajes y Reservaciones(56159); Bares y Otros Lugares para Beber(7224); Servicios Especiales de Comida(7223)</t>
  </si>
  <si>
    <t>Expendio A La Mesa De Comidas Preparadas (I5611); Expendio De Bebidas Alcohólicas Para El Consumo Dentro Del Establecimiento (I5630); Otros Servicios De Reserva Y Actividades Relacionadas (N7990); Actividades De Espectáculos Musicales En Vivo (R9007)</t>
  </si>
  <si>
    <t>Cr 101 No. 73 - 02</t>
  </si>
  <si>
    <t>riffnationbar@gmail.com</t>
  </si>
  <si>
    <t>Fredy Alberto Rojas Torres (Representante Legal)</t>
  </si>
  <si>
    <t>Ricoalimentos S.A.S</t>
  </si>
  <si>
    <t>Calle 2 A Sur 70 64</t>
  </si>
  <si>
    <t>afiliaciones@asesoriayservicios.co</t>
  </si>
  <si>
    <t>David Felipe Salinas Gallego (Representante Legal)</t>
  </si>
  <si>
    <t>Rickys Pollo Y Parrila Sas</t>
  </si>
  <si>
    <t>Restaurantes y Otros Lugares para Comer(72251); Bares y Otros Lugares para Beber(7224)</t>
  </si>
  <si>
    <t>Expendio Por Autoservicio De Comidas Preparadas (I5612); Expendio De Bebidas Alcohólicas Para El Consumo Dentro Del Establecimiento (I5630)</t>
  </si>
  <si>
    <t>Carrera 16 # 63 - 69</t>
  </si>
  <si>
    <t>guillermo.ochoa@gmail.com</t>
  </si>
  <si>
    <t>Guillermo Alexander Ochoa Gaviria (Representante Legal)</t>
  </si>
  <si>
    <t>Rhinos Entertainment Sas</t>
  </si>
  <si>
    <t>Fabricación de Alimentos Preparados Perecederos(311991); Demás Tipos de Industrias de Diversión y Recreativas(71399); Bares y Otros Lugares para Beber(7224)</t>
  </si>
  <si>
    <t>Elaboración De Comidas Y Platos Preparados (C1084); Expendio De Bebidas Alcohólicas Para El Consumo Dentro Del Establecimiento (I5630); Gestión De Instalaciones Deportivas (R9311); Otras Actividades Recreativas Y De Esparcimiento N.C.P. (R9329)</t>
  </si>
  <si>
    <t>Carrera 62 # 17B - 24</t>
  </si>
  <si>
    <t>rhinoboy77@outlook.com</t>
  </si>
  <si>
    <t>Edison Andres Suarez Rodriguez (Representante Legal)</t>
  </si>
  <si>
    <t>Rf2 Sas</t>
  </si>
  <si>
    <t>Expendio A La Mesa De Comidas Preparadas (I5611); Expendio Por Autoservicio De Comidas Preparadas (I5612); Catering Para Eventos (I5621)</t>
  </si>
  <si>
    <t>Cl 72 No. 74 A - 37</t>
  </si>
  <si>
    <t>admikiresushi@gmail.com</t>
  </si>
  <si>
    <t>Roberto Carlos Quintero Garcia (Representante Legal)</t>
  </si>
  <si>
    <t>Reyz Urban Grill Sas</t>
  </si>
  <si>
    <t>Cr 13 No. 28 08</t>
  </si>
  <si>
    <t>reyzurbangrill@gmail.com</t>
  </si>
  <si>
    <t>Oscar Felipe Rey Mantilla (Representante Legal)</t>
  </si>
  <si>
    <t>Rey Guerrero El Despertar De Los Sentidos Sas</t>
  </si>
  <si>
    <t>Cl 77 No 14 - 24</t>
  </si>
  <si>
    <t>reyguerreropescaderia@gmail.com</t>
  </si>
  <si>
    <t>Claudia Esther Pelaez Uribe (Representante Legal)</t>
  </si>
  <si>
    <t>Resto Lab Sas</t>
  </si>
  <si>
    <t>Cr 9 No. 59 91 Of 202</t>
  </si>
  <si>
    <t>olga@publiscape.com</t>
  </si>
  <si>
    <t>Olga Libia Ramirez Calderon (Representante Legal)</t>
  </si>
  <si>
    <t>Restaurantes G.R.M. Sas</t>
  </si>
  <si>
    <t>Cl 21 No. 43 A 85</t>
  </si>
  <si>
    <t>restaurantegrmz@outlook.com</t>
  </si>
  <si>
    <t>Guzman Mesa Ronald Steven (Representante Legal)</t>
  </si>
  <si>
    <t>Restaurantes Amado Bocado Sas</t>
  </si>
  <si>
    <t>Cafeterías y Bares para Bebidas sin Alcohol(722515); Otros Servicios de Apoyo de Negocios(56149); Servicios Especiales de Comida(7223)</t>
  </si>
  <si>
    <t>Expendio De Comidas Preparadas En Cafeterías (I5613); Otros Tipos De Expendio De Comidas Preparadas N.C.P. (I5619); Otras Actividades De Servicio De Apoyo A Las Empresas N.C.P. (N8299)</t>
  </si>
  <si>
    <t>La empresa Amado Alvarez Y Cia Ltda se dedica a expendio de comidas preparadas en cafeterías. Opera en el mercado colombiano desde el año 2008.</t>
  </si>
  <si>
    <t>Cr 13 27 50 Local 178</t>
  </si>
  <si>
    <t>amadoalvarez24@yahoo.com</t>
  </si>
  <si>
    <t>Alvaro Jose Alvarez Grajales (Representante Legal)</t>
  </si>
  <si>
    <t>20 (2013)</t>
  </si>
  <si>
    <t>Restaurante Y Pescaderia Villa Mar De Bosa Sas</t>
  </si>
  <si>
    <t>Cl 68 B Sur No. 78 H 73</t>
  </si>
  <si>
    <t>pescavilla@hotmail.com</t>
  </si>
  <si>
    <t>William Emilio Rodriguez Jimenez (Representante Legal)</t>
  </si>
  <si>
    <t>Restaurante Y Galeria El Museo Sas</t>
  </si>
  <si>
    <t>Fabricación de Alimentos Preparados Perecederos(311991); Otras Compañías de Artes Escénicas(71119); Bares y Otros Lugares para Beber(7224)</t>
  </si>
  <si>
    <t>Elaboración De Comidas Y Platos Preparados (C1084); Expendio De Bebidas Alcohólicas Para El Consumo Dentro Del Establecimiento (I5630); Artes Plásticas Y Visuales (R9005)</t>
  </si>
  <si>
    <t>Cl 72 No. 9 55 Of 203</t>
  </si>
  <si>
    <t>rozojuanca@yahoo.com</t>
  </si>
  <si>
    <t>Juan Carlos Rozo Bernal (Representante Legal)</t>
  </si>
  <si>
    <t>Restaurante Y Cafeteria Mandorla Sas</t>
  </si>
  <si>
    <t>Cr 54 No. 26 54</t>
  </si>
  <si>
    <t>loperajohnnyjl@gmail.com</t>
  </si>
  <si>
    <t>John Jairo Lopera Rodriguez (Representante Legal)</t>
  </si>
  <si>
    <t>Restaurante Rescoldos Sas</t>
  </si>
  <si>
    <t>Fabricación de Alimentos Preparados Perecederos(311991); Carnicerías(44521); Bares y Otros Lugares para Beber(7224); Servicios Especiales de Comida(7223)</t>
  </si>
  <si>
    <t>Elaboración De Comidas Y Platos Preparados (C1084); Comercio Al Por Menor De Carnes (Incluye Aves De Corral), Productos Cárnicos, Pescados Y Productos De Mar, En Establecimientos Especializados (G4723); Expendio A La Mesa De Comidas Preparadas (I5611); Expendio De Bebidas Alcohólicas Para El Consumo Dentro Del Establecimiento (I5630)</t>
  </si>
  <si>
    <t>Cl 10 No. 3 87</t>
  </si>
  <si>
    <t>RESTAURANTERESCOLDOS@GMAIL.COM</t>
  </si>
  <si>
    <t>Maryluz Castaño Lopez (Representante Legal)</t>
  </si>
  <si>
    <t>Restaurante Real Barril S.A.S</t>
  </si>
  <si>
    <t>Calle 11 Sur No. 15</t>
  </si>
  <si>
    <t>realbarril.sas@gmail.com</t>
  </si>
  <si>
    <t>Oscar Orlando Lopez Gonzalez (Representante Legal)</t>
  </si>
  <si>
    <t>Restaurante Porque Ajá S.A.S</t>
  </si>
  <si>
    <t>Cl 67 No. 6 32 Of 16</t>
  </si>
  <si>
    <t>porqueajasas@gmail.com</t>
  </si>
  <si>
    <t>Jose Miguel Santamaria Uribe (Representante Legal)</t>
  </si>
  <si>
    <t>Restaurante Panda Y Pollo Sas</t>
  </si>
  <si>
    <t>Cl 136 45 38</t>
  </si>
  <si>
    <t>wong.eliana@gmail.com</t>
  </si>
  <si>
    <t>Wang Lei (Representante Legal)</t>
  </si>
  <si>
    <t>Restaurante Los Reyes Del Ajedrez S.A.S</t>
  </si>
  <si>
    <t>Av Jimenez No. 9 - 68 Piso 2</t>
  </si>
  <si>
    <t>luisp165@hotmail.com</t>
  </si>
  <si>
    <t>Luis Alberto Pulido Martinez (Representante Legal)</t>
  </si>
  <si>
    <t>Restaurante La Vieja Antioquia S.A.S</t>
  </si>
  <si>
    <t>Avenida Calle 128 A 98</t>
  </si>
  <si>
    <t>facturacionrestaurantejmm@gmail.com</t>
  </si>
  <si>
    <t>Jonathan Ferley Murcia Monroy (Representante Legal)</t>
  </si>
  <si>
    <t>Restaurante Idilico S.A.S</t>
  </si>
  <si>
    <t>Cr 19 A No. 102 09</t>
  </si>
  <si>
    <t>restaurante.idilicosas@gmail.com</t>
  </si>
  <si>
    <t>Yulenis Ramirez Marmol (Representante Legal)</t>
  </si>
  <si>
    <t>Restaurante Casa Gomez Sas</t>
  </si>
  <si>
    <t>Cr 9 No. 58 07 Lc 02</t>
  </si>
  <si>
    <t>gerencia@cotidianacasagomez.com</t>
  </si>
  <si>
    <t>Daniella Sierra Lara (Representante Legal)</t>
  </si>
  <si>
    <t>Restaurante Cafe Natural Deli's S.A.S</t>
  </si>
  <si>
    <t>Calle 128 Bis A 59 B 23</t>
  </si>
  <si>
    <t>mhbebe129@hotmail.com</t>
  </si>
  <si>
    <t>Monica Elena Bejarano Beltran (Representante Legal)</t>
  </si>
  <si>
    <t>Restaurante Buffet Olga S A S</t>
  </si>
  <si>
    <t>Dg 15 B No. 104 46 Et 2 Ca 283</t>
  </si>
  <si>
    <t>restaurantebuffetolga@gmail.com</t>
  </si>
  <si>
    <t>Olga Marina Celis Bohorquez (Representante Legal)</t>
  </si>
  <si>
    <t>Restaurante Bonsai Sushi Colombia S.A.S</t>
  </si>
  <si>
    <t>Carrera 59B Numero 130A - 01 Local 01</t>
  </si>
  <si>
    <t>cmjcg2906@gmail.com</t>
  </si>
  <si>
    <t>Cesar Maria Carrillo Marquez (Representante Legal)</t>
  </si>
  <si>
    <t>Restaurante Bar Pura Vibra S.A.S</t>
  </si>
  <si>
    <t>Carrera 30 1 D 44</t>
  </si>
  <si>
    <t>restaurantepura778@gmail.com</t>
  </si>
  <si>
    <t>Cristian Oswaldo Santos Tellez (Representante Legal)</t>
  </si>
  <si>
    <t>Restaurante Bar Juan Chorizo S A S</t>
  </si>
  <si>
    <t>Cl 93 B No. 13 65 Lc 01</t>
  </si>
  <si>
    <t>juanchorizobar@gmail.com</t>
  </si>
  <si>
    <t>Yadith Maria Marmol Barrios (Representante Legal)</t>
  </si>
  <si>
    <t>Restaurante Bar El Sabrozon S.A.S</t>
  </si>
  <si>
    <t>Comercio Al Por Menor En Establecimientos No Especializados Con Surtido Compuesto Principalmente Por Alimentos, Bebidas O Tabaco (G4711); Expendio A La Mesa De Comidas Preparadas (I5611); Actividades De Otros Servicios De Comidas (I5629); Expendio De Bebidas Alcohólicas Para El Consumo Dentro Del Establecimiento (I5630)</t>
  </si>
  <si>
    <t>Cr 73 No. 57 R 12 Sur Lc 122</t>
  </si>
  <si>
    <t>asgrupoinmobiliario@hotmail.com</t>
  </si>
  <si>
    <t>Brandon Jeferson Sanchez Diaz (Representante Legal)</t>
  </si>
  <si>
    <t>Restaurante Bar El Rincon Del Viejo Willy Sas</t>
  </si>
  <si>
    <t>Cl 127 D No. 54 08</t>
  </si>
  <si>
    <t>woa1717@hotmail.com</t>
  </si>
  <si>
    <t>Welington Ortiz Aguilar (Representante Legal)</t>
  </si>
  <si>
    <t>Restaurante Aria Italiano Sas</t>
  </si>
  <si>
    <t>Cr 5 No. 29 33</t>
  </si>
  <si>
    <t>restauranteitalianoaria@gmail.com</t>
  </si>
  <si>
    <t>Daniel Stivel Jaramillo Gomez (Representante Legal)</t>
  </si>
  <si>
    <t>Restaurant San Sebastian S.A.S</t>
  </si>
  <si>
    <t>Carrera 69 B 18 29 Sur</t>
  </si>
  <si>
    <t>conta.sansebastian@gmail.com</t>
  </si>
  <si>
    <t>Nelly Fabiola Cepeda Ortiz (Representante Legal)</t>
  </si>
  <si>
    <t>Responsive Sas</t>
  </si>
  <si>
    <t>Cafeterías y Bares para Bebidas sin Alcohol(722515); Demás Tipos de Alojamiento para Viajeros(721199); Oficinas de Convenciones y Visitantes(561591)</t>
  </si>
  <si>
    <t>Otros Tipos De Alojamientos Para Visitantes (I5519); Expendio De Comidas Preparadas En Cafeterías (I5613); Organización De Convenciones Y Eventos Comerciales (N8230)</t>
  </si>
  <si>
    <t>Cr 64 No. 103 C 16</t>
  </si>
  <si>
    <t>santiago@103wh.com.co</t>
  </si>
  <si>
    <t>Santiago Andres Cabrera Moreno (Representante Legal)</t>
  </si>
  <si>
    <t>Residencial 10 S A S</t>
  </si>
  <si>
    <t>Demás Tipos de Alojamiento para Viajeros(721199); Hoteles (excepto Hoteles Casino) y Moteles(72111); Bares y Otros Lugares para Beber(7224); Arrendadores de Bienes Inmuebles(5311)</t>
  </si>
  <si>
    <t>Alojamiento En Hoteles (I5511); Otros Tipos De Alojamiento N.C.P. (I5590); Expendio De Bebidas Alcohólicas Para El Consumo Dentro Del Establecimiento (I5630); Actividades Inmobiliarias Realizadas Con Bienes Propios O Arrendados (L6810)</t>
  </si>
  <si>
    <t>Otros Tipos De Alojamiento N.C.P. (I5590)</t>
  </si>
  <si>
    <t>Cl 12 C No. 3 64</t>
  </si>
  <si>
    <t>residencial10bogota@gmail.com</t>
  </si>
  <si>
    <t>Juan Sebastian Pescador Gomez (Representante Legal)</t>
  </si>
  <si>
    <t>Representaciones La Corona A.F. S.A.S</t>
  </si>
  <si>
    <t>Cl 91 Sur 10 A - 06</t>
  </si>
  <si>
    <t>arlavifi75@gmail.com</t>
  </si>
  <si>
    <t>Alexander Avila Fino (Representante Legal)</t>
  </si>
  <si>
    <t>Representaciones Arias Pardo S.A.S</t>
  </si>
  <si>
    <t>Tv 73 No. 11 B 77 To</t>
  </si>
  <si>
    <t>bogotawingscompany@gmail.com</t>
  </si>
  <si>
    <t>Juan Carlos Arias Betancourt (Representante Legal)</t>
  </si>
  <si>
    <t>Reinbou Sas</t>
  </si>
  <si>
    <t>Cl 72 No. 86 60 Lc 09</t>
  </si>
  <si>
    <t>surtieldiamante@gmail.com</t>
  </si>
  <si>
    <t>Nelson Steven Florido Zapata (Representante Legal)</t>
  </si>
  <si>
    <t>Refugio Gourmet Sas</t>
  </si>
  <si>
    <t>Bares y Otros Lugares para Beber(7224); Servicios Especiales de Comida(7223); Servicios Relacionados con Arquitectura e Ingeniería(5413); Oficinas de Agentes Inmobiliarios y Corredores(5312)</t>
  </si>
  <si>
    <t>Otros Tipos De Expendio De Comidas Preparadas N.C.P. (I5619); Expendio De Bebidas Alcohólicas Para El Consumo Dentro Del Establecimiento (I5630); Actividades Inmobiliarias Realizadas A Cambio De Una Retribución O Por Contrata (L6820); Actividades De Arquitectura E Ingeniería; Ensayos Y Análisis Técnicos (M71)</t>
  </si>
  <si>
    <t>Cr 53 B 131 A 85</t>
  </si>
  <si>
    <t>administracion@refugiogourmet.com</t>
  </si>
  <si>
    <t>Christian David Gonzalez Peña (Representante Legal)</t>
  </si>
  <si>
    <t>Refri Vending S.A.S</t>
  </si>
  <si>
    <t>Restaurantes y Otros Lugares para Comer(72251); Empresas de Catering(72232); Tiendas de Venta Directa(4543)</t>
  </si>
  <si>
    <t>Otros Tipos De Comercio Al Por Menor No Realizado En Establecimientos, Puestos De Venta O Mercados. (G4799); Expendio Por Autoservicio De Comidas Preparadas (I5612); Catering Para Eventos (I5621)</t>
  </si>
  <si>
    <t>Calle 88 61 58 Ca 214</t>
  </si>
  <si>
    <t>refrivendingb@gmail.com</t>
  </si>
  <si>
    <t>Mauricio Parada Mesa (Representante Legal)</t>
  </si>
  <si>
    <t>Redss Entertaiment Company Sas</t>
  </si>
  <si>
    <t>Otros Servicios Personales(8129); Bares y Otros Lugares para Beber(7224); Servicios Especiales de Comida(7223); Industrias de Juego(7132)</t>
  </si>
  <si>
    <t>Expendio A La Mesa De Comidas Preparadas (I5611); Expendio De Bebidas Alcohólicas Para El Consumo Dentro Del Establecimiento (I5630); Actividades De Juegos De Azar Y Apuestas (R9200); Otras Actividades De Servicios Personales N.C.P. (S9609)</t>
  </si>
  <si>
    <t>Cr 14 No. 51 40</t>
  </si>
  <si>
    <t>gerenciaredssco@gmail.com</t>
  </si>
  <si>
    <t>Andres Orlando Lopez Rubio (Representante Legal)</t>
  </si>
  <si>
    <t>Red Wings Colombia Sas</t>
  </si>
  <si>
    <t>Cl 99 No. 47 A 46</t>
  </si>
  <si>
    <t>calidad@lalonchera.com.co</t>
  </si>
  <si>
    <t>Jimmy Andres Troya Chavarriaga (Representante Legal)</t>
  </si>
  <si>
    <t>Rebels Records S.A.S</t>
  </si>
  <si>
    <t>Grupos Musicales y Artistas(71113); Demás Servicios Profesionales, Científicos y Técnicos(54199); Bares y Otros Lugares para Beber(7224)</t>
  </si>
  <si>
    <t>Expendio De Bebidas Alcohólicas Para El Consumo Dentro Del Establecimiento (I5630); Otras Actividades Profesionales, Científicas Y Técnicas N.C.P. (M7490); Actividades De Espectáculos Musicales En Vivo (R9007)</t>
  </si>
  <si>
    <t>Carrera 18 B 145 48 Apartamento 203</t>
  </si>
  <si>
    <t>rebelsrecordscol@gmail.com</t>
  </si>
  <si>
    <t>Carlos Andres Vargas Garcia (Representante Legal)</t>
  </si>
  <si>
    <t>Rebelco S.A.S.</t>
  </si>
  <si>
    <t>Cr 4 No. 12 B 18</t>
  </si>
  <si>
    <t>casakanu19@gmail.com</t>
  </si>
  <si>
    <t>Henricus Gerhardus Paulus Ellenbroek (Representante Legal)</t>
  </si>
  <si>
    <t>Rebelarte Comunicación Visual Sas</t>
  </si>
  <si>
    <t>Cafeterías y Bares para Bebidas sin Alcohol(722515); Agencias de Publicidad(54181); Impresión(32311)</t>
  </si>
  <si>
    <t>Impresión(32311)</t>
  </si>
  <si>
    <t>Actividades De Impresión (C1811); Expendio De Comidas Preparadas En Cafeterías (I5613); Publicidad (M7310)</t>
  </si>
  <si>
    <t>Actividades De Impresión (C1811)</t>
  </si>
  <si>
    <t>Cr 27 10 65 Cc C Krea Lc 805</t>
  </si>
  <si>
    <t>rebelartecomunicacionvisual@gmail.com</t>
  </si>
  <si>
    <t>Carlos Alejandro Pineda Alvarez (Representante Legal)</t>
  </si>
  <si>
    <t>Rearb Asociados S.A.S</t>
  </si>
  <si>
    <t>Oficinas de Administrción Corporativas, Subsidiarias y Regionales(551114); Empresas de Catering(72232); Bares y Otros Lugares para Beber(7224); Otros Servicios Médicos Ambulatorios(6219)</t>
  </si>
  <si>
    <t>Catering Para Eventos (I5621); Expendio De Bebidas Alcohólicas Para El Consumo Dentro Del Establecimiento (I5630); Actividades De Administración Empresarial (M7010); Otras Actividades De Atención De La Salud Humana (Q8699)</t>
  </si>
  <si>
    <t>Cl 141 No. 9 - 64 Ap 302</t>
  </si>
  <si>
    <t>angelicarestrepoa@hotmail.com</t>
  </si>
  <si>
    <t>Sandra Angelica Restrepo Arbelaez (Representante Legal)</t>
  </si>
  <si>
    <t>Real Ambrosia S.A.S</t>
  </si>
  <si>
    <t>Cr 18 No. 17 86 Sur</t>
  </si>
  <si>
    <t>ambrosiasas23@gmail.com</t>
  </si>
  <si>
    <t>Jairo Orlando Restrepo Amador (Representante Legal)</t>
  </si>
  <si>
    <t>Rc Food Company Sas</t>
  </si>
  <si>
    <t>Cl 151 No. 103 B 16 18</t>
  </si>
  <si>
    <t>rcfoodcompany1@gmail.com</t>
  </si>
  <si>
    <t>Rodrigo De Jesus Castro Espitia (Representante Legal)</t>
  </si>
  <si>
    <t>Rbh Sas</t>
  </si>
  <si>
    <t>Servicios de Cuidado de Uñas, Pelo y Piel(81211); Restaurantes y Otros Lugares para Comer(72251); Bares y Otros Lugares para Beber(7224); Supermercados(4451)</t>
  </si>
  <si>
    <t>Comercio Al Por Menor En Establecimientos No Especializados Con Surtido Compuesto Principalmente Por Alimentos, Bebidas O Tabaco (G4711); Expendio Por Autoservicio De Comidas Preparadas (I5612); Expendio De Bebidas Alcohólicas Para El Consumo Dentro Del Establecimiento (I5630); Peluquería Y Otros Tratamientos De Belleza (S9602)</t>
  </si>
  <si>
    <t>Cl 90 No. 15 21</t>
  </si>
  <si>
    <t>rainbowhousenail@gmail.com</t>
  </si>
  <si>
    <t>Riveros Paez Maria Jose (Representante Legal)</t>
  </si>
  <si>
    <t>Rapix Food Sas</t>
  </si>
  <si>
    <t>Expendio Por Autoservicio De Comidas Preparadas (I5612); Actividades De Otros Servicios De Comidas (I5629)</t>
  </si>
  <si>
    <t>Cr 20 No. 187 40 Ca</t>
  </si>
  <si>
    <t>rapixfood@gmail.com</t>
  </si>
  <si>
    <t>Rafael Ricardo Medina Mendoza (Representante Legal)</t>
  </si>
  <si>
    <t>Ramun J.M. S.A.S.</t>
  </si>
  <si>
    <t>Cafeterías y Bares para Bebidas sin Alcohol(722515); Otros Servicios Relacionados con el Transporte(48899); Transporte Interurbano y Rural(4852)</t>
  </si>
  <si>
    <t>Transporte Interurbano y Rural(4852)</t>
  </si>
  <si>
    <t>Transporte De Pasajeros (H4921); Otras Actividades Complementarias Al Transporte (H5229); Expendio De Comidas Preparadas En Cafeterías (I5613)</t>
  </si>
  <si>
    <t>Transporte De Pasajeros (H4921)</t>
  </si>
  <si>
    <t>Cr 108 No. 82 - 50 In 1 Ap 401</t>
  </si>
  <si>
    <t>carolina.ramos09@hotmail.com</t>
  </si>
  <si>
    <t>Jeny Carolina Ramos Jimenez (Representante Legal)</t>
  </si>
  <si>
    <t>Raices Inversiones S.A.S</t>
  </si>
  <si>
    <t>Cafeterías y Bares para Bebidas sin Alcohol(722515); Otras Tiendas de Comidas Artesanales(44529); Tiendas de Electrónica y de Venta por Correo(4541)</t>
  </si>
  <si>
    <t>Comercio Al Por Menor De Otros Productos Alimenticios N.C.P., En Establecimientos Especializados (G4729); Comercio Al Por Menor Realizado A Través De Internet (G4791); Expendio De Comidas Preparadas En Cafeterías (I5613)</t>
  </si>
  <si>
    <t>Cra 7B Bis # 126 - 36</t>
  </si>
  <si>
    <t>gruporaicescol@gmail.com</t>
  </si>
  <si>
    <t>Rengifo Nuñez Alfredo Enrique (Representante Legal)</t>
  </si>
  <si>
    <t>Ragnarök Viking Pub Sas</t>
  </si>
  <si>
    <t>Calle 45 Kr 21 - 07</t>
  </si>
  <si>
    <t>ragnarokvikingpub@gmail.com</t>
  </si>
  <si>
    <t>Janny Francesco Sanabria Parra (Representante Legal)</t>
  </si>
  <si>
    <t>Ragafood S.A.S.</t>
  </si>
  <si>
    <t>Fabricación de Alimentos Preparados Perecederos(311991); Restaurantes y Otros Lugares para Comer(72251)</t>
  </si>
  <si>
    <t>Elaboración De Comidas Y Platos Preparados (C1084); Expendio Por Autoservicio De Comidas Preparadas (I5612); Actividades De Otros Servicios De Comidas (I5629)</t>
  </si>
  <si>
    <t>Cl 50 No. 14 - 70</t>
  </si>
  <si>
    <t>gravyhomecol@gmail.com</t>
  </si>
  <si>
    <t>Ana Carolina Galarza Guzman (Representante Legal)</t>
  </si>
  <si>
    <t>Radovic &amp; Gomez Sas</t>
  </si>
  <si>
    <t>Ac 127 No. 7 89 A D 1</t>
  </si>
  <si>
    <t>jcamilog@gmail.com</t>
  </si>
  <si>
    <t>Juan Camilo Gomez Parada (Representante Legal)</t>
  </si>
  <si>
    <t>Radioberlin Sas</t>
  </si>
  <si>
    <t>Otras Compañías de Artes Escénicas(71119); Grupos Musicales y Artistas(71113); Bares y Otros Lugares para Beber(7224); Alquiler y Arrendamiento de Maquinaría y Equipo Comercial e Industrial(5324)</t>
  </si>
  <si>
    <t>Expendio De Bebidas Alcohólicas Para El Consumo Dentro Del Establecimiento (I5630); Alquiler Y Arrendamiento De Otros Tipos De Maquinaria, Equipo Y Bienes Tangibles N.C.P. (N7730); Actividades De Espectáculos Musicales En Vivo (R9007); Otras Actividades De Espectáculos En Vivo N.C.P. (R9008)</t>
  </si>
  <si>
    <t>Cl 20 No. 7 - 45 Lc 1</t>
  </si>
  <si>
    <t>radioberlinbta@gmail.com</t>
  </si>
  <si>
    <t>Maria Cristina Lizarazo Gonzalez (Representante Legal)</t>
  </si>
  <si>
    <t>Radio Bemba Eventos Sas</t>
  </si>
  <si>
    <t>Bares y Otros Lugares para Beber(7224); Servicios Especiales de Comida(7223); Industrias de Juego(7132); Supermercados(4451)</t>
  </si>
  <si>
    <t>Comercio Al Por Menor En Establecimientos No Especializados Con Surtido Compuesto Principalmente Por Alimentos, Bebidas O Tabaco (G4711); Expendio A La Mesa De Comidas Preparadas (I5611); Expendio De Bebidas Alcohólicas Para El Consumo Dentro Del Establecimiento (I5630); Actividades De Juegos De Azar Y Apuestas (R9200)</t>
  </si>
  <si>
    <t>Cr 71 D No 4 - 27 Sur</t>
  </si>
  <si>
    <t>radiobembaeventos@gmail.com</t>
  </si>
  <si>
    <t>Lizzi Yined Lopez Betancourt (Representante Legal)</t>
  </si>
  <si>
    <t>Racar Exclusive S A S</t>
  </si>
  <si>
    <t>Cl 114 19 30</t>
  </si>
  <si>
    <t>rafacardenas93@hotmail.com</t>
  </si>
  <si>
    <t>Rafael Cardenas Arredondo (Representante Legal)</t>
  </si>
  <si>
    <t>Rabit Sas</t>
  </si>
  <si>
    <t>Cafeterías y Bares para Bebidas sin Alcohol(722515); Empresas de Catering(72232); Autotransporte de Carga General(4841)</t>
  </si>
  <si>
    <t>Autotransporte de Carga General(4841)</t>
  </si>
  <si>
    <t>Transporte De Carga Por Carretera (H4923); Expendio Por Autoservicio De Comidas Preparadas (I5612); Expendio De Comidas Preparadas En Cafeterías (I5613); Catering Para Eventos (I5621)</t>
  </si>
  <si>
    <t>Transporte De Carga Por Carretera (H4923)</t>
  </si>
  <si>
    <t>Carrera 19 # 50 - 23</t>
  </si>
  <si>
    <t>rabitcontabilidad@gmail.com</t>
  </si>
  <si>
    <t>Faruk Abder Rahman Del Campo (Representante Legal)</t>
  </si>
  <si>
    <t>Rabelly Cocina S.A.S</t>
  </si>
  <si>
    <t>Expendio Por Autoservicio De Comidas Preparadas (I5612); Catering Para Eventos (I5621); Actividades De Otros Servicios De Comidas (I5629)</t>
  </si>
  <si>
    <t>Cl 50 No. 14 70</t>
  </si>
  <si>
    <t>rabellycocina@gmail.com</t>
  </si>
  <si>
    <t>Iveth Johanna Haddad Lopez (Representante Legal)</t>
  </si>
  <si>
    <t>Rabbit French Bakery Sas</t>
  </si>
  <si>
    <t>Expendio De Comidas Preparadas En Cafeterías (I5613); Otros Tipos De Expendio De Comidas Preparadas N.C.P. (I5619); Expendio De Bebidas Alcohólicas Para El Consumo Dentro Del Establecimiento (I5630)</t>
  </si>
  <si>
    <t>Cr 7 C Bis No.139 57</t>
  </si>
  <si>
    <t>danielandresrojasossa@gmail.com</t>
  </si>
  <si>
    <t>Rojas Ossa Daniel Andres (Representante Legal)</t>
  </si>
  <si>
    <t>Raad Inversiones S.A.S</t>
  </si>
  <si>
    <t>Oficinas de Convenciones y Visitantes(561591); Fabricación de Alimentos Preparados Perecederos(311991); Empresas de Catering(72232); Bares y Otros Lugares para Beber(7224)</t>
  </si>
  <si>
    <t>Elaboración De Comidas Y Platos Preparados (C1084); Catering Para Eventos (I5621); Expendio De Bebidas Alcohólicas Para El Consumo Dentro Del Establecimiento (I5630); Organización De Convenciones Y Eventos Comerciales (N8230)</t>
  </si>
  <si>
    <t>Cra 4A # 27 - 40</t>
  </si>
  <si>
    <t>administracion@raadarabianrestaurant.com</t>
  </si>
  <si>
    <t>Maria Fernanda Raad Castañeda (Representante Legal)</t>
  </si>
  <si>
    <t>R&amp;B Foods Sas</t>
  </si>
  <si>
    <t>Elaboración De Comidas Y Platos Preparados (C1084); Expendio Por Autoservicio De Comidas Preparadas (I5612)</t>
  </si>
  <si>
    <t>Cr 16 No. 127 B 43 Ap 103 T 3</t>
  </si>
  <si>
    <t>andrew_210@hotmail.com</t>
  </si>
  <si>
    <t>Jairo Francisco Buitrago Forero - En Reorganización (Representante Legal)</t>
  </si>
  <si>
    <t>R &amp; F Inversiones S.A.S.</t>
  </si>
  <si>
    <t>Cl 11 No. 2 80</t>
  </si>
  <si>
    <t>aquelarre.adm@gmail.com</t>
  </si>
  <si>
    <t>Laura Juliana Rubiano Sediel (Representante Legal)</t>
  </si>
  <si>
    <t>Quoc Sas</t>
  </si>
  <si>
    <t>Restaurantes y Otros Lugares para Comer(72251); Agencias de Publicidad(54181); Servicios Especiales de Comida(7223)</t>
  </si>
  <si>
    <t>Expendio A La Mesa De Comidas Preparadas (I5611); Expendio Por Autoservicio De Comidas Preparadas (I5612); Publicidad (M7310)</t>
  </si>
  <si>
    <t>Tv 100 A 80 A 20 Local 3 - 024</t>
  </si>
  <si>
    <t>sasquoc@gmail.com</t>
  </si>
  <si>
    <t>Daniela Ferro Guzman (Representante Legal)</t>
  </si>
  <si>
    <t>Quipile Coffee Sas</t>
  </si>
  <si>
    <t>Cr 24 No. 42 71</t>
  </si>
  <si>
    <t>quipilecoffee@gmail.com</t>
  </si>
  <si>
    <t>Omar Ricardo Rubiano Gallo (Representante Legal)</t>
  </si>
  <si>
    <t>Quinua Panaderia Artesanal Sas</t>
  </si>
  <si>
    <t>Cafeterías y Bares para Bebidas sin Alcohol(722515); Estaciones de Gasolina(4471); Panaderías y Producción de Tortillas(3118)</t>
  </si>
  <si>
    <t>Elaboración De Productos De Panadería (C1081); Comercio Al Por Menor De Combustible Para Automotores (G4731); Expendio De Comidas Preparadas En Cafeterías (I5613)</t>
  </si>
  <si>
    <t>Cr 56 No. 4 G 72</t>
  </si>
  <si>
    <t>quinuacafeypan@gmail.com</t>
  </si>
  <si>
    <t>Diana Carolina Ballen Diaz (Representante Legal)</t>
  </si>
  <si>
    <t>Quinta Madero Sas</t>
  </si>
  <si>
    <t>Cl 144 No. 46 80</t>
  </si>
  <si>
    <t>quintamadero4@gmail.com</t>
  </si>
  <si>
    <t>Josue Cibel Parra Lara (Representante Legal)</t>
  </si>
  <si>
    <t>Quinta Cerveceria Sas</t>
  </si>
  <si>
    <t>Cerveceras(31212); Bares y Otros Lugares para Beber(7224); Servicios Especiales de Comida(7223)</t>
  </si>
  <si>
    <t>Producción De Malta, Elaboración De Cervezas Y Otras Bebidas Malteadas (C1103); Expendio A La Mesa De Comidas Preparadas (I5611); Expendio De Bebidas Alcohólicas Para El Consumo Dentro Del Establecimiento (I5630)</t>
  </si>
  <si>
    <t>Cr 11 No. 67 63</t>
  </si>
  <si>
    <t>quintacerveceriasas@gmail.com</t>
  </si>
  <si>
    <t>Andres Mauricio Acosta Castro (Representante Legal)</t>
  </si>
  <si>
    <t>Quiay Cafés Especiales S.A.S</t>
  </si>
  <si>
    <t>Cafeterías y Bares para Bebidas sin Alcohol(722515); Empresas de Catering(72232); Tiendas de Electrónica y de Venta por Correo(4541)</t>
  </si>
  <si>
    <t>Tiendas de Electrónica y de Venta por Correo(4541)</t>
  </si>
  <si>
    <t>Comercio Al Por Menor Realizado A Través De Internet (G4791); Expendio De Comidas Preparadas En Cafeterías (I5613); Otros Tipos De Expendio De Comidas Preparadas N.C.P. (I5619); Catering Para Eventos (I5621)</t>
  </si>
  <si>
    <t>Comercio Al Por Menor Realizado A Través De Internet (G4791)</t>
  </si>
  <si>
    <t>Calle 31 A No 16 A - 29 Apt 301</t>
  </si>
  <si>
    <t>joaquinblancorp@gmail.com</t>
  </si>
  <si>
    <t>Joaquin Alfonso Blanco Bohorquez (Representante Legal)</t>
  </si>
  <si>
    <t>Quevedo Pastelería Sas</t>
  </si>
  <si>
    <t>Cr 11 # 70 A 35 Lc 3</t>
  </si>
  <si>
    <t>lapicos@unal.edu.co</t>
  </si>
  <si>
    <t>Luis Alejandro Pico Silva (Representante Legal)</t>
  </si>
  <si>
    <t>Quelle S A S</t>
  </si>
  <si>
    <t>Cl 22 D No. 93 - 16</t>
  </si>
  <si>
    <t>quellesas@gmail.com</t>
  </si>
  <si>
    <t>Edward Giovanni Prieto Lara (Representante Legal)</t>
  </si>
  <si>
    <t>Quasares S.A.S.</t>
  </si>
  <si>
    <t>Cl 166 Bis No. 54 C - 63</t>
  </si>
  <si>
    <t>info.legalquasares@gmail.com</t>
  </si>
  <si>
    <t>Lady Vanessa Anaya Pabon (Representante Legal)</t>
  </si>
  <si>
    <t>Purpura &amp; Escarlata Sas En Liquidacion</t>
  </si>
  <si>
    <t>Ac 116 No. 70 D - 94</t>
  </si>
  <si>
    <t>willy-francog@hotmail.com</t>
  </si>
  <si>
    <t>Willy Rene Franco Gordillo (Representante Legal)</t>
  </si>
  <si>
    <t>Puro Humo Sas</t>
  </si>
  <si>
    <t>Cl 67 # 11 72 Ap 32</t>
  </si>
  <si>
    <t>ahumadoskanaya@gmail.com</t>
  </si>
  <si>
    <t>Luisa Fernanda Abella Afanador (Representante Legal)</t>
  </si>
  <si>
    <t>Purapizza Social Jazz S.A.S</t>
  </si>
  <si>
    <t>Cl 93 No. 11 A 11 Lc</t>
  </si>
  <si>
    <t>purapizzasocialjazz@gmail.com</t>
  </si>
  <si>
    <t>Diego Santanelli (Representante Legal)</t>
  </si>
  <si>
    <t>Pura Sangre Beer Company Sas</t>
  </si>
  <si>
    <t>Cafeterías y Bares para Bebidas sin Alcohol(722515); Comerciantes al por Mayor de Tabaco y Productos de Tabaco(42494); Bares y Otros Lugares para Beber(7224); Supermercados(4451); Comerciantes al por Mayor de Cerveza, Vino y Bebidas Alcohólicas(4248)</t>
  </si>
  <si>
    <t>Comercio Al Por Mayor De Bebidas Y Tabaco (G4632); Comercio Al Por Menor En Establecimientos No Especializados Con Surtido Compuesto Principalmente Por Alimentos, Bebidas O Tabaco (G4711); Expendio De Comidas Preparadas En Cafeterías (I5613); Expendio De Bebidas Alcohólicas Para El Consumo Dentro Del Establecimiento (I5630)</t>
  </si>
  <si>
    <t>Cr 102 No. 56 F 48 Sur</t>
  </si>
  <si>
    <t>purasangre.beercompany@gmail.com</t>
  </si>
  <si>
    <t>Oscar Santiago Cruz Castiblanco (Representante Legal)</t>
  </si>
  <si>
    <t>Punto Horizonte S.A.S</t>
  </si>
  <si>
    <t>Demás Tipos de Alojamiento para Viajeros(721199); Otras Tiendas de Comidas Artesanales(44529); Bares y Otros Lugares para Beber(7224); Supermercados(4451)</t>
  </si>
  <si>
    <t>Comercio Al Por Menor En Establecimientos No Especializados Con Surtido Compuesto Principalmente Por Alimentos, Bebidas O Tabaco (G4711); Comercio Al Por Menor De Otros Productos Alimenticios N.C.P., En Establecimientos Especializados (G4729); Servicio Por Horas (I5530); Expendio De Bebidas Alcohólicas Para El Consumo Dentro Del Establecimiento (I5630)</t>
  </si>
  <si>
    <t>Transversal 69 B Bis # 72 - 35/51</t>
  </si>
  <si>
    <t>mialternativacomercial@hotmail.com</t>
  </si>
  <si>
    <t>David Armando Rivera Gomez (Representante Legal)</t>
  </si>
  <si>
    <t>Pulenta &amp; Chevere Sas</t>
  </si>
  <si>
    <t>Cr 8 No. 65 35</t>
  </si>
  <si>
    <t>lauravodniza@gmail.com</t>
  </si>
  <si>
    <t>Laura Catalina Vodniza Pardo (Representante Legal)</t>
  </si>
  <si>
    <t>Publipaper Creativos Sas</t>
  </si>
  <si>
    <t>Agencias de Publicidad(54181); Otras Editoriales(51119); Servicios Relacionados con la Impresión(32312); Bares y Otros Lugares para Beber(7224)</t>
  </si>
  <si>
    <t>Actividades De Servicios Relacionados Con La Impresión (C1812); Expendio De Bebidas Alcohólicas Para El Consumo Dentro Del Establecimiento (I5630); Otros Trabajos De Edición (J5819); Publicidad (M7310)</t>
  </si>
  <si>
    <t>Calle 68B Sur # 68 - 34</t>
  </si>
  <si>
    <t>publipapercreativos@gmail.com</t>
  </si>
  <si>
    <t>Angelica Cecilia Vesga Buitrago (Representante Legal)</t>
  </si>
  <si>
    <t>Pt Commerce &amp; Trade Sas</t>
  </si>
  <si>
    <t>Fabricación de Refrescos(312111); Cerveceras(31212); Bares y Otros Lugares para Beber(7224); Comerciantes al por Mayor de Bienes No Duraderos Diversos(4249)</t>
  </si>
  <si>
    <t>Producción De Malta, Elaboración De Cervezas Y Otras Bebidas Malteadas (C1103); Elaboración De Bebidas No Alcohólicas, Producción De Aguas Minerales Y De Otras Aguas Embotelladas (C1104); Comercio Al Por Mayor No Especializado (G4690); Expendio De Bebidas Alcohólicas Para El Consumo Dentro Del Establecimiento (I5630)</t>
  </si>
  <si>
    <t>Cr 93 A 22 45</t>
  </si>
  <si>
    <t>lilia_egparra@yahoo.com</t>
  </si>
  <si>
    <t>Elvia Lilia Parra Murillo (Representante Legal)</t>
  </si>
  <si>
    <t>Prozet S.A.S</t>
  </si>
  <si>
    <t>Cafeterías y Bares para Bebidas sin Alcohol(722515); Tiendas de Venta Directa(4543)</t>
  </si>
  <si>
    <t>Otros Tipos De Comercio Al Por Menor No Realizado En Establecimientos, Puestos De Venta O Mercados. (G4799); Expendio De Comidas Preparadas En Cafeterías (I5613)</t>
  </si>
  <si>
    <t>Cr 91 No. 99 A 34</t>
  </si>
  <si>
    <t>paulaoortiz109@gmail.com</t>
  </si>
  <si>
    <t>Cristian David Ortiz Moreno (Representante Legal)</t>
  </si>
  <si>
    <t>Proyectos Y Estrategias Gm Sas</t>
  </si>
  <si>
    <t>Cafeterías y Bares para Bebidas sin Alcohol(722515); Oficinas de Convenciones y Visitantes(561591); Arrendadores de Bienes Inmuebles(5311); Supermercados(4451)</t>
  </si>
  <si>
    <t>Comercio Al Por Menor En Establecimientos No Especializados Con Surtido Compuesto Principalmente Por Alimentos, Bebidas O Tabaco (G4711); Expendio De Comidas Preparadas En Cafeterías (I5613); Actividades Inmobiliarias Realizadas Con Bienes Propios O Arrendados (L6810); Organización De Convenciones Y Eventos Comerciales (N8230)</t>
  </si>
  <si>
    <t>Cl 78 No. 8 51 Ap 301</t>
  </si>
  <si>
    <t>jegcaqx@yahoo.com</t>
  </si>
  <si>
    <t>Dora Maria Montes Hernandez (Representante Legal)</t>
  </si>
  <si>
    <t>Proyectos E Inversiones Garcia &amp; Bustos Sas</t>
  </si>
  <si>
    <t>Otras Compañías de Artes Escénicas(71119); Transmisión de Información y Publicaciones por Internet(51913); Bares y Otros Lugares para Beber(7224)</t>
  </si>
  <si>
    <t>Expendio De Bebidas Alcohólicas Para El Consumo Dentro Del Establecimiento (I5630); Portales Web (J6312); Otras Actividades De Espectáculos En Vivo N.C.P. (R9008)</t>
  </si>
  <si>
    <t>Cl 82 No. 19 A 05</t>
  </si>
  <si>
    <t>garcialinita@hotmail.com</t>
  </si>
  <si>
    <t>Lina Fernanda Garcia Pino (Representante Legal)</t>
  </si>
  <si>
    <t>Proyectos Bajo Cero S.A.S</t>
  </si>
  <si>
    <t>Cra 16 A # 143 80</t>
  </si>
  <si>
    <t>oclegal@gmail.com</t>
  </si>
  <si>
    <t>Ivan Daniel Olaya Campos (Representante Legal)</t>
  </si>
  <si>
    <t>Proyecto Fahrenheit Sas</t>
  </si>
  <si>
    <t>Descafeinado, Tostión Y Molienda Del Café (C1062); Comercio Al Por Mayor De Productos Alimenticios (G4631); Expendio De Comidas Preparadas En Cafeterías (I5613)</t>
  </si>
  <si>
    <t>Cl 105 # 46 - 51 Piso 1</t>
  </si>
  <si>
    <t>legal@rostedincolombia.com</t>
  </si>
  <si>
    <t>Norma Constanza Gaitan Beltran (Representante Legal)</t>
  </si>
  <si>
    <t>Proyecto 85 Sas</t>
  </si>
  <si>
    <t>Restaurantes y Otros Lugares para Comer(72251); Grupos Musicales y Artistas(71113); Bares y Otros Lugares para Beber(7224)</t>
  </si>
  <si>
    <t>Expendio Por Autoservicio De Comidas Preparadas (I5612); Expendio De Bebidas Alcohólicas Para El Consumo Dentro Del Establecimiento (I5630); Actividades De Espectáculos Musicales En Vivo (R9007)</t>
  </si>
  <si>
    <t>Cl 85 No 12 - 71</t>
  </si>
  <si>
    <t>NFOREROM@CALA.COM.CO</t>
  </si>
  <si>
    <t>Nixon David Forero Mora (Representante Legal)</t>
  </si>
  <si>
    <t>Proyecto 48 Sas</t>
  </si>
  <si>
    <t>Oficinas de Convenciones y Visitantes(561591); Comerciantes al por Mayor de Tabaco y Productos de Tabaco(42494); Bares y Otros Lugares para Beber(7224); Servicios Especiales de Comida(7223); Comerciantes al por Mayor de Cerveza, Vino y Bebidas Alcohólicas(4248)</t>
  </si>
  <si>
    <t>Comercio Al Por Mayor De Bebidas Y Tabaco (G4632); Expendio A La Mesa De Comidas Preparadas (I5611); Expendio De Bebidas Alcohólicas Para El Consumo Dentro Del Establecimiento (I5630); Organización De Convenciones Y Eventos Comerciales (N8230)</t>
  </si>
  <si>
    <t>Cr 19 No. 48 33</t>
  </si>
  <si>
    <t>TERRAZA48.BOGOTA@GMAIL.COM</t>
  </si>
  <si>
    <t>Ivan Camilo Hernandez Nuñez (Representante Legal)</t>
  </si>
  <si>
    <t>Prosb S.A.S</t>
  </si>
  <si>
    <t>Alquiler de Bienes Recreativos(532284); Restaurantes y Otros Lugares para Comer(72251); Servicios de Apoyo Educativo(6117)</t>
  </si>
  <si>
    <t>Servicios de Apoyo Educativo(6117)</t>
  </si>
  <si>
    <t>Expendio Por Autoservicio De Comidas Preparadas (I5612); Alquiler Y Arrendamiento De Equipo Recreativo Y Deportivo (N7721); Actividades De Apoyo A La Educación (P8560)</t>
  </si>
  <si>
    <t>Actividades De Apoyo A La Educación (P8560)</t>
  </si>
  <si>
    <t>Calle 174A # 50A - 17</t>
  </si>
  <si>
    <t>procesossbnanis@gmail.com</t>
  </si>
  <si>
    <t>Diana Fernanda Bejarano Guevara (Representante Legal)</t>
  </si>
  <si>
    <t>Pronto Deliquick S.A.S.</t>
  </si>
  <si>
    <t>Cl 116 No. 9 - 76</t>
  </si>
  <si>
    <t>Promotora Ra Encanto S.A.S.</t>
  </si>
  <si>
    <t>Cr 69 H No. 73 26</t>
  </si>
  <si>
    <t>albercruz2013@gmail.com</t>
  </si>
  <si>
    <t>Maria Elba Rodriguez Amado (Representante Legal)</t>
  </si>
  <si>
    <t>Promotora Porvecab Sas</t>
  </si>
  <si>
    <t>Cr 69 H 72 70</t>
  </si>
  <si>
    <t>alba2780@hotmail.com</t>
  </si>
  <si>
    <t>Miguel Alberto Cruz Rodriguez (Representante Legal)</t>
  </si>
  <si>
    <t>Promotora De Alimentos Y Servicios S.A.S</t>
  </si>
  <si>
    <t>Restaurantes y Otros Lugares para Comer(72251); Transporte Interurbano y Rural(4852); Comerciantes al por Mayor de Comestibles y Productos Relacionados(4244)</t>
  </si>
  <si>
    <t>Comercio Al Por Mayor De Productos Alimenticios (G4631); Transporte De Pasajeros (H4921); Expendio Por Autoservicio De Comidas Preparadas (I5612)</t>
  </si>
  <si>
    <t>Cr 8 C No. 185 A 24</t>
  </si>
  <si>
    <t>luelequi@gmail.com</t>
  </si>
  <si>
    <t>Luz Eneth Leon Quintero (Representante Legal)</t>
  </si>
  <si>
    <t>Prologo Cafe Y Libro S.A.S</t>
  </si>
  <si>
    <t>Cafeterías y Bares para Bebidas sin Alcohol(722515); Tiendas de Libros y Periódicos(45121)</t>
  </si>
  <si>
    <t>Comercio Al Por Menor De Libros, Periódicos, Materiales Y Artículos De Papelería Y Escritorio, En Establecimientos Especializados (G4761); Expendio De Comidas Preparadas En Cafeterías (I5613)</t>
  </si>
  <si>
    <t>Cr 5 # 67 01</t>
  </si>
  <si>
    <t>prologolibros@cable.net.co</t>
  </si>
  <si>
    <t>Jose Manuel Lleras Valencia (Representante Legal)</t>
  </si>
  <si>
    <t>Prolau S A S</t>
  </si>
  <si>
    <t>Cr 14 No. 89 48 Lc 104</t>
  </si>
  <si>
    <t>bodeguetacafe@gmail.com</t>
  </si>
  <si>
    <t>Laura Bohorquez Granados (Representante Legal)</t>
  </si>
  <si>
    <t>Professional Services Fort Lauderdale Sas</t>
  </si>
  <si>
    <t>Cafeterías y Bares para Bebidas sin Alcohol(722515); Tiendas de Mercancía General, incluyendo Grandes Almacenes(45231); Oficinas de Agentes Inmobiliarios y Corredores(5312)</t>
  </si>
  <si>
    <t>Tiendas de Mercancía General, incluyendo Grandes Almacenes(45231)</t>
  </si>
  <si>
    <t>Comercio Al Por Menor En Establecimientos No Especializados, Con Surtido Compuesto Principalmente Por Productos Diferentes De Alimentos (Víveres En General), Bebidas Y Tabaco (G4719); Expendio De Comidas Preparadas En Cafeterías (I5613); Actividades Inmobiliarias Realizadas A Cambio De Una Retribución O Por Contrata (L6820)</t>
  </si>
  <si>
    <t>Comercio Al Por Menor En Establecimientos No Especializados, Con Surtido Compuesto Principalmente Por Productos Diferentes De Alimentos (Víveres En General), Bebidas Y Tabaco (G4719)</t>
  </si>
  <si>
    <t>Dg 61 C No. 22 A 38 Brr San Luis</t>
  </si>
  <si>
    <t>aagftlauderdale@gmail.com</t>
  </si>
  <si>
    <t>Alvaro Alonso Avila Gallego (Representante Legal)</t>
  </si>
  <si>
    <t>Productos Y Servicios A Y R Sas</t>
  </si>
  <si>
    <t>Calle 165 52 54 Blq 4 Apt 303</t>
  </si>
  <si>
    <t>Juan Bernardo Roa (Representante Legal)</t>
  </si>
  <si>
    <t>Productos Y Alimentos De Colombia S.A.S</t>
  </si>
  <si>
    <t>Cr 79 19 20 Lc 3</t>
  </si>
  <si>
    <t>gerencia.prodalcol@gmail.com</t>
  </si>
  <si>
    <t>Frank Yoani Yepes Mendez (Representante Legal)</t>
  </si>
  <si>
    <t>Productos Scr Sas</t>
  </si>
  <si>
    <t>Cl 23 No. 68 - 50 In 13 Of 502</t>
  </si>
  <si>
    <t>sandycul01@gmail.com</t>
  </si>
  <si>
    <t>Sandra Liliana Cuellar Triviño (Representante Legal)</t>
  </si>
  <si>
    <t>Productos Crepetto Ltda</t>
  </si>
  <si>
    <t>Cr 71 C No. 52 - 39</t>
  </si>
  <si>
    <t>carlosdap@hotmail.com</t>
  </si>
  <si>
    <t>Carlos David Perez Ruiz (Representante Legal)</t>
  </si>
  <si>
    <t>Productos Clapaca S A S</t>
  </si>
  <si>
    <t>Cl 131 A No. 9 20 To 3 Ap 305</t>
  </si>
  <si>
    <t>clau.plata@hotmail.com</t>
  </si>
  <si>
    <t>Claudia Patricia Plata De Herrera (Representante Legal)</t>
  </si>
  <si>
    <t>Productos Alimenticios Valdani Sas</t>
  </si>
  <si>
    <t>Cafeterías y Bares para Bebidas sin Alcohol(722515); Fabricación de Todos los Demás Tipos de Alimentos Diversos(311999)</t>
  </si>
  <si>
    <t>Elaboración De Otros Productos Alimenticios N.C.P. (C1089); Expendio De Comidas Preparadas En Cafeterías (I5613)</t>
  </si>
  <si>
    <t>Calle 66 74B - 05</t>
  </si>
  <si>
    <t>valdani.sas@hotmail.com</t>
  </si>
  <si>
    <t>Flor Martha Bautista Vargas (Representante Legal)</t>
  </si>
  <si>
    <t>Productos Alimenticios Magolita Sas</t>
  </si>
  <si>
    <t>Cl 171 Cr 55 34</t>
  </si>
  <si>
    <t>larecetaoriginaldelaabuela@gmail.com</t>
  </si>
  <si>
    <t>Manuel Vicente Neira Aponte (Representante Legal)</t>
  </si>
  <si>
    <t>Productos Alimenticios El Corrido Parrila S.A.S</t>
  </si>
  <si>
    <t>Cra 103 B # 23D - 11</t>
  </si>
  <si>
    <t>corridoparilla2024@gmail.com</t>
  </si>
  <si>
    <t>Giovanna Alejandra Silva Moncada (Representante Legal)</t>
  </si>
  <si>
    <t>Productos Alimenticios Abuela Leito S.A.S.</t>
  </si>
  <si>
    <t>Cafeterías y Bares para Bebidas sin Alcohol(722515); Fabricación de Todos los Demás Tipos de Alimentos Diversos(311999); Fabricación de Alimentos Preparados Perecederos(311991); Servicios Especiales de Comida(7223)</t>
  </si>
  <si>
    <t>Elaboración De Comidas Y Platos Preparados (C1084); Elaboración De Otros Productos Alimenticios N.C.P. (C1089); Expendio A La Mesa De Comidas Preparadas (I5611); Expendio De Comidas Preparadas En Cafeterías (I5613)</t>
  </si>
  <si>
    <t>Calle 53B # 19 - 38 Apto 108</t>
  </si>
  <si>
    <t>abuelaleito2021@gmail.com</t>
  </si>
  <si>
    <t>Vargas Camargo Santiago Ivan (Representante Legal)</t>
  </si>
  <si>
    <t>Productores Unidos De Cundinamarca Sas</t>
  </si>
  <si>
    <t>Cafeterías y Bares para Bebidas sin Alcohol(722515); Tiendas de Mercancía General, incluyendo Grandes Almacenes(45231)</t>
  </si>
  <si>
    <t>Comercio Al Por Menor En Establecimientos No Especializados, Con Surtido Compuesto Principalmente Por Productos Diferentes De Alimentos (Víveres En General), Bebidas Y Tabaco (G4719); Expendio De Comidas Preparadas En Cafeterías (I5613)</t>
  </si>
  <si>
    <t>Cr 72 C No. 7 F 44</t>
  </si>
  <si>
    <t>j.p.gutierrez@hotmail.com</t>
  </si>
  <si>
    <t>Laura Camila Carrillo Lopez (Representante Legal)</t>
  </si>
  <si>
    <t>Productora De Experiencias Gastronomicas S.A.S</t>
  </si>
  <si>
    <t>Cr 76 145 51 To 1 Ap 404</t>
  </si>
  <si>
    <t>hugovabueno@gmail.com</t>
  </si>
  <si>
    <t>Natalia Escobar Pradilla (Representante Legal)</t>
  </si>
  <si>
    <t>Producciones Sonora S.A.S.</t>
  </si>
  <si>
    <t>Expendio De Bebidas Alcohólicas Para El Consumo Dentro Del Establecimiento (I5630); Actividades De Espectáculos Musicales En Vivo (R9007); Otras Actividades Recreativas Y De Esparcimiento N.C.P. (R9329)</t>
  </si>
  <si>
    <t>Cl 17 7 60 Of 733</t>
  </si>
  <si>
    <t>amarroquin@mgasociados.coam</t>
  </si>
  <si>
    <t>Sebastian Gongora Avila (Representante Legal)</t>
  </si>
  <si>
    <t>Producciones Rancho La Maria Sas</t>
  </si>
  <si>
    <t>Cl 245 No. 7 15 La Maria</t>
  </si>
  <si>
    <t>INFORANCHOLAMARIA@GMAIL.COM</t>
  </si>
  <si>
    <t>Rojas Rivera Alejandro (Representante Legal)</t>
  </si>
  <si>
    <t>Producción Y Venta De Alimentos Dact Sas</t>
  </si>
  <si>
    <t>Fabricación de Todos los Demás Tipos de Alimentos Diversos(311999); Empresas de Catering(72232); Bares y Otros Lugares para Beber(7224)</t>
  </si>
  <si>
    <t>Elaboración De Otros Productos Alimenticios N.C.P. (C1089); Expendio A La Mesa De Comidas Preparadas (I5611); Catering Para Eventos (I5621); Expendio De Bebidas Alcohólicas Para El Consumo Dentro Del Establecimiento (I5630)</t>
  </si>
  <si>
    <t>Ac 100 No. 49 66 In 313</t>
  </si>
  <si>
    <t>dancastillotorres@hotmail.com</t>
  </si>
  <si>
    <t>Daniel Alfonso Castillo Torres (Representante Legal)</t>
  </si>
  <si>
    <t>Procesadora Alepan S.A.S</t>
  </si>
  <si>
    <t>Cafeterías y Bares para Bebidas sin Alcohol(722515); Fabricación de Todos los Demás Tipos de Alimentos Diversos(311999); Panaderías y Producción de Tortillas(3118)</t>
  </si>
  <si>
    <t>Elaboración De Productos De Panadería (C1081); Elaboración De Otros Productos Alimenticios N.C.P. (C1089); Expendio De Comidas Preparadas En Cafeterías (I5613)</t>
  </si>
  <si>
    <t>Carrera 14 169 N 49</t>
  </si>
  <si>
    <t>procesadoraalepan@gmail.com</t>
  </si>
  <si>
    <t>Luis Gabriel Alvarez Mantilla (Representante Legal)</t>
  </si>
  <si>
    <t>Prisma Proevent Sas</t>
  </si>
  <si>
    <t>Oficinas de Convenciones y Visitantes(561591); Grupos Musicales y Artistas(71113); Bares y Otros Lugares para Beber(7224); Tiendas de Electrónica y de Venta por Correo(4541)</t>
  </si>
  <si>
    <t>Comercio Al Por Menor Realizado A Través De Internet (G4791); Expendio De Bebidas Alcohólicas Para El Consumo Dentro Del Establecimiento (I5630); Organización De Convenciones Y Eventos Comerciales (N8230); Actividades De Espectáculos Musicales En Vivo (R9007)</t>
  </si>
  <si>
    <t>Tv 77 84A 30 Ap 402</t>
  </si>
  <si>
    <t>prismaproevent@gmail.com</t>
  </si>
  <si>
    <t>Juan Jose Jimenez Torres (Representante Legal)</t>
  </si>
  <si>
    <t>Priori Incantatem Sas</t>
  </si>
  <si>
    <t>Cafeterías y Bares para Bebidas sin Alcohol(722515); Servicios Especiales de Comida(7223); Comerciantes al por Mayor de Bienes No Duraderos Diversos(4249)</t>
  </si>
  <si>
    <t>Comercio Al Por Mayor No Especializado (G4690); Expendio A La Mesa De Comidas Preparadas (I5611); Expendio De Comidas Preparadas En Cafeterías (I5613)</t>
  </si>
  <si>
    <t>Cl 57 No. 7 38 Lc 1</t>
  </si>
  <si>
    <t>tapiasjanine@gmail.com</t>
  </si>
  <si>
    <t>Janine Lucia Tapias Espriella (Representante Legal)</t>
  </si>
  <si>
    <t>Primitivos Restaurante Bar Karaoke Sas</t>
  </si>
  <si>
    <t>Calle 19 A # 72 - 57 C C Multiplaza</t>
  </si>
  <si>
    <t>primitivorestaurantebar@gmail.com</t>
  </si>
  <si>
    <t>Primitivo Pinto Garcia Eu</t>
  </si>
  <si>
    <t>Cr 9 No. 17 97 P 2</t>
  </si>
  <si>
    <t>tatismat@hotmail.com</t>
  </si>
  <si>
    <t>Primitivo Pinto Garcia (Representante Legal)</t>
  </si>
  <si>
    <t>Primates Pub &amp; Grill Sas</t>
  </si>
  <si>
    <t>Cr 24 No. 40 19</t>
  </si>
  <si>
    <t>primatespub@gmail.com</t>
  </si>
  <si>
    <t>Jhon Alejandro Franco Molano (Representante Legal)</t>
  </si>
  <si>
    <t>Primal Alimentos S.A.S</t>
  </si>
  <si>
    <t>Calle 93A # 59 - 22</t>
  </si>
  <si>
    <t>pabloriosuribe@gmail.com</t>
  </si>
  <si>
    <t>Pablo Adrian Rios Uribe (Representante Legal)</t>
  </si>
  <si>
    <t>Present And Futureats S A S</t>
  </si>
  <si>
    <t>Calle 127D # 58 - 99 Centro Comercial Bule</t>
  </si>
  <si>
    <t>presentandfeats20@gmail.com</t>
  </si>
  <si>
    <t>Miguel Angel Florez Contreras (Representante Legal)</t>
  </si>
  <si>
    <t>Presas &amp; Francesas E.U.</t>
  </si>
  <si>
    <t>Cra 121C # 128 - 62</t>
  </si>
  <si>
    <t>ednatf_13@hotmail.com</t>
  </si>
  <si>
    <t>Edna Giselle Trujillo Fonseca (Representante Legal)</t>
  </si>
  <si>
    <t>Pratha Corporation Sas</t>
  </si>
  <si>
    <t>Cr 82 A No. 6 37</t>
  </si>
  <si>
    <t>corporationpartha@gmail.com</t>
  </si>
  <si>
    <t>Diana Marcela Muñoz Santodomingo (Representante Legal)</t>
  </si>
  <si>
    <t>Practico Y Eficiente Sas</t>
  </si>
  <si>
    <t>Restaurantes y Otros Lugares para Comer(72251); Otros Servicios de Apoyo de Negocios(56149); Otros Servicios Personales(8129); Tiendas de Electrónica y de Venta por Correo(4541)</t>
  </si>
  <si>
    <t>Comercio Al Por Menor Realizado A Través De Internet (G4791); Expendio Por Autoservicio De Comidas Preparadas (I5612); Otras Actividades De Servicio De Apoyo A Las Empresas N.C.P. (N8299); Otras Actividades De Servicios Personales N.C.P. (S9609)</t>
  </si>
  <si>
    <t>Cl 49A No. 28 86</t>
  </si>
  <si>
    <t>servicioalcliente@tiendaconsentido.com</t>
  </si>
  <si>
    <t>Andres Botero Hoyos (Representante Legal)</t>
  </si>
  <si>
    <t>Power Logistica Soluciones Empresariales S.A.S</t>
  </si>
  <si>
    <t>Cafeterías y Bares para Bebidas sin Alcohol(722515); Empresas de Catering(72232); Demás Tipos de Industrias de Diversión y Recreativas(71399); Otros Servicios de Apoyo de Negocios(56149)</t>
  </si>
  <si>
    <t>Otros Servicios de Apoyo de Negocios(56149)</t>
  </si>
  <si>
    <t>Expendio De Comidas Preparadas En Cafeterías (I5613); Catering Para Eventos (I5621); Otras Actividades De Servicio De Apoyo A Las Empresas N.C.P. (N8299); Otras Actividades Recreativas Y De Esparcimiento N.C.P. (R9329)</t>
  </si>
  <si>
    <t>Otras Actividades De Servicio De Apoyo A Las Empresas N.C.P. (N8299)</t>
  </si>
  <si>
    <t>Cl 60 Sur 68 B 39 To 1 Ap 503 Conj Madel</t>
  </si>
  <si>
    <t>plsolucionesempresariales2617@gmail.co</t>
  </si>
  <si>
    <t>Andres Gil Ramirez (Representante Legal)</t>
  </si>
  <si>
    <t>Poutine &amp; Poutine Sas</t>
  </si>
  <si>
    <t>Expendio Por Autoservicio De Comidas Preparadas (I5612); Expendio De Comidas Preparadas En Cafeterías (I5613); Otros Tipos De Expendio De Comidas Preparadas N.C.P. (I5619); Expendio De Bebidas Alcohólicas Para El Consumo Dentro Del Establecimiento (I5630)</t>
  </si>
  <si>
    <t>Cr 5 B No. 27 68</t>
  </si>
  <si>
    <t>hormiga477@gmail.com</t>
  </si>
  <si>
    <t>Claudia Monroy Ramirez (Representante Legal)</t>
  </si>
  <si>
    <t>Positiva Estrategias Y Resultados Sas</t>
  </si>
  <si>
    <t>Cafeterías y Bares para Bebidas sin Alcohol(722515); Investigación del Mercado y Encuestas de Opinión Pública(54191); Autotransporte de Carga General(4841); Tiendas de Electrónica y de Venta por Correo(4541)</t>
  </si>
  <si>
    <t>Investigación del Mercado y Encuestas de Opinión Pública(54191)</t>
  </si>
  <si>
    <t>Comercio Al Por Menor Realizado A Través De Internet (G4791); Transporte De Carga Por Carretera (H4923); Expendio De Comidas Preparadas En Cafeterías (I5613); Estudios De Mercado Y Realización De Encuestas De Opinión Pública (M7320)</t>
  </si>
  <si>
    <t>Estudios De Mercado Y Realización De Encuestas De Opinión Pública (M7320)</t>
  </si>
  <si>
    <t>Carrera 28A No. 67 - 94 Ap 100</t>
  </si>
  <si>
    <t>positiva.eyr.sas@gmail.com</t>
  </si>
  <si>
    <t>Oscar Armando Cardenas Gaitan (Representante Legal)</t>
  </si>
  <si>
    <t>Pos Manager Billiards Sas</t>
  </si>
  <si>
    <t>Demás Tipos de Industrias de Diversión y Recreativas(71399); Diseño de Sistemas Computacionales y Servicios Relacionados(54151);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</si>
  <si>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Actividades De Consultoría Informática Y Actividades De Administración De Instalaciones Informáticas (J6202); Otras Actividades Recreativas Y De Esparcimiento N.C.P. (R9329)</t>
  </si>
  <si>
    <t>Carrera 15 N0 72 - 62 Oficina 204</t>
  </si>
  <si>
    <t>shariengandur@gmail.com</t>
  </si>
  <si>
    <t>Sharie Nabila Gandur Suarez (Representante Legal)</t>
  </si>
  <si>
    <t>Portal Eventos Sas</t>
  </si>
  <si>
    <t>Empresas de Catering(72232); Grupos Musicales y Artistas(71113); Bares y Otros Lugares para Beber(7224); Supermercados(4451)</t>
  </si>
  <si>
    <t>Comercio Al Por Menor En Establecimientos No Especializados Con Surtido Compuesto Principalmente Por Alimentos, Bebidas O Tabaco (G4711); Catering Para Eventos (I5621); Expendio De Bebidas Alcohólicas Para El Consumo Dentro Del Establecimiento (I5630); Actividades De Espectáculos Musicales En Vivo (R9007)</t>
  </si>
  <si>
    <t>Cr 91 No 132 A - 61</t>
  </si>
  <si>
    <t>manzomarcela9@gmail.com</t>
  </si>
  <si>
    <t>Marcela Lucia Manzo Romero (Representante Legal)</t>
  </si>
  <si>
    <t>Popularisimos S.A.S.</t>
  </si>
  <si>
    <t>Grupos Musicales y Artistas(71113); Agencias de Publicidad(54181); Bares y Otros Lugares para Beber(7224)</t>
  </si>
  <si>
    <t>Expendio De Bebidas Alcohólicas Para El Consumo Dentro Del Establecimiento (I5630); Publicidad (M7310); Actividades De Espectáculos Musicales En Vivo (R9007)</t>
  </si>
  <si>
    <t>Cl 63 No. 15 - 13 Piso 3</t>
  </si>
  <si>
    <t>gerencia@popularisimos.com</t>
  </si>
  <si>
    <t>Gina Paola Ramirez Velez (Representante Legal)</t>
  </si>
  <si>
    <t>Popsicle S.A.S</t>
  </si>
  <si>
    <t>Restaurantes y Otros Lugares para Comer(72251); Tiendas de Libros y Periódicos(45121)</t>
  </si>
  <si>
    <t>Comercio Al Por Menor De Libros, Periódicos, Materiales Y Artículos De Papelería Y Escritorio, En Establecimientos Especializados (G4761); Expendio Por Autoservicio De Comidas Preparadas (I5612); Actividades De Otros Servicios De Comidas (I5629)</t>
  </si>
  <si>
    <t>Transversal 1 Este # 70 57 Apt 301</t>
  </si>
  <si>
    <t>tecuentommu@gmail.com</t>
  </si>
  <si>
    <t>Maria Margarita Uribe Perez (Representante Legal)</t>
  </si>
  <si>
    <t>Póngale Ruedas Sas</t>
  </si>
  <si>
    <t>Cr 10 A No. 69 22</t>
  </si>
  <si>
    <t>feriapongaleruedas@gmail.com</t>
  </si>
  <si>
    <t>Ulpiano Antonio Herrera Garcia (Representante Legal)</t>
  </si>
  <si>
    <t>Pong Sas</t>
  </si>
  <si>
    <t>Cra 5 # 119 - 47</t>
  </si>
  <si>
    <t>juank@pongcolombia.com</t>
  </si>
  <si>
    <t>Juan Camilo Cardona Gonzalez (Representante Legal)</t>
  </si>
  <si>
    <t>Pollos Mario D.C S.A.S</t>
  </si>
  <si>
    <t>Av. Calle 24 # 47 A - 05</t>
  </si>
  <si>
    <t>alejaherr1992@gmail.com</t>
  </si>
  <si>
    <t>Nury Alejandra Herrera Palacio (Representante Legal)</t>
  </si>
  <si>
    <t>Pollito.Com.Co Sas</t>
  </si>
  <si>
    <t>Av Ciudad De Cali No</t>
  </si>
  <si>
    <t>equipo@pollito.com.co</t>
  </si>
  <si>
    <t>Henry Geovanni Rojas Abril (Representante Legal)</t>
  </si>
  <si>
    <t>Polleria Artesanal S.A.S</t>
  </si>
  <si>
    <t>Cl 54 No. 7 26</t>
  </si>
  <si>
    <t>lasuerte.pmp54@gmail.com</t>
  </si>
  <si>
    <t>Jaime Alexander Cruz (Representante Legal)</t>
  </si>
  <si>
    <t>Podero Sas</t>
  </si>
  <si>
    <t>Cr 7 No. 72 80</t>
  </si>
  <si>
    <t>poderoblanco@gmail.com</t>
  </si>
  <si>
    <t>Veronica Maria Lazara Gomez Blanco (Representante Legal)</t>
  </si>
  <si>
    <t>Pmys &amp; Cia Sas</t>
  </si>
  <si>
    <t>Demás Tipos de Alquiler de Bienes de Consumo(532289); Fabricación de Alimentos Preparados Perecederos(311991); Bares y Otros Lugares para Beber(7224); Servicios Especiales de Comida(7223)</t>
  </si>
  <si>
    <t>Elaboración De Comidas Y Platos Preparados (C1084); Expendio A La Mesa De Comidas Preparadas (I5611); Expendio De Bebidas Alcohólicas Para El Consumo Dentro Del Establecimiento (I5630); Alquiler Y Arrendamiento De Otros Efectos Personales Y Enseres Domésticos N.C.P. (N7729)</t>
  </si>
  <si>
    <t>Av. Calle 24 (Av La Esperanza) No. 99</t>
  </si>
  <si>
    <t>asaderoparillamamonayson@gmail.com</t>
  </si>
  <si>
    <t>Leonardo Yefrith Perez Rojas (Representante Legal)</t>
  </si>
  <si>
    <t>Plaza Vino &amp; Cafe Sas</t>
  </si>
  <si>
    <t>Cr 21 No. 128 D 50</t>
  </si>
  <si>
    <t>videostargames@yahoo.com</t>
  </si>
  <si>
    <t>Libardo Ariza Masmela (Representante Legal)</t>
  </si>
  <si>
    <t>Plaza Group S.A.S</t>
  </si>
  <si>
    <t>Calle 151 103 C 21</t>
  </si>
  <si>
    <t>grupoplaza8@gmail.com</t>
  </si>
  <si>
    <t>Plaza Sierra María Natalia (Representante Legal)</t>
  </si>
  <si>
    <t>Playhouse Productions Sas</t>
  </si>
  <si>
    <t>Grupos Musicales y Artistas(71113); Bares y Otros Lugares para Beber(7224); Tiendas de Electrónica y de Venta por Correo(4541)</t>
  </si>
  <si>
    <t>Comercio Al Por Menor Realizado A Través De Internet (G4791); Expendio De Bebidas Alcohólicas Para El Consumo Dentro Del Establecimiento (I5630); Actividades De Espectáculos Musicales En Vivo (R9007)</t>
  </si>
  <si>
    <t>Cra 67 # 97 2</t>
  </si>
  <si>
    <t>playhouseproductions.col@gmail.com</t>
  </si>
  <si>
    <t>Gustavo Adolfo Rodriguez Bazurto (Representante Legal)</t>
  </si>
  <si>
    <t>Play Sport Bar S.A.S</t>
  </si>
  <si>
    <t>Avenida Calle 53 73 A 21</t>
  </si>
  <si>
    <t>gastrobarplaysport@gmail.com</t>
  </si>
  <si>
    <t>Laura Valentina Arcila Muñoz (Representante Legal)</t>
  </si>
  <si>
    <t>Plata Ramirez Asociados S.A.S</t>
  </si>
  <si>
    <t>Cafeterías y Bares para Bebidas sin Alcohol(722515); Tiendas de Libros y Periódicos(45121); Intérpretes, Artistas y Escritores Independientes(7115)</t>
  </si>
  <si>
    <t>Comercio Al Por Menor De Libros, Periódicos, Materiales Y Artículos De Papelería Y Escritorio, En Establecimientos Especializados (G4761); Expendio De Comidas Preparadas En Cafeterías (I5613); Creación Literaria (R9001)</t>
  </si>
  <si>
    <t>Carrera 9 73 09</t>
  </si>
  <si>
    <t>poemaliacafes@gmail.com</t>
  </si>
  <si>
    <t>Paula Melisa Plata Ramírez (Representante Legal)</t>
  </si>
  <si>
    <t>Planeta Origami Ltda - En Liquidacion</t>
  </si>
  <si>
    <t>Cafeterías y Bares para Bebidas sin Alcohol(722515); Bares y Otros Lugares para Beber(7224); Otras Escuelas e Instituciones Instructivas(6116); Otra Fabricación Diversa(3399)</t>
  </si>
  <si>
    <t>Otra Fabricación Diversa(3399)</t>
  </si>
  <si>
    <t>Otras Industrias Manufactureras N.C.P. (C3290); Expendio De Comidas Preparadas En Cafeterías (I5613); Expendio De Bebidas Alcohólicas Para El Consumo Dentro Del Establecimiento (I5630); Otros Tipos De Educación N.C.P. (P8559)</t>
  </si>
  <si>
    <t>Otras Industrias Manufactureras N.C.P. (C3290)</t>
  </si>
  <si>
    <t>Cl 3 B No. 71F - 22</t>
  </si>
  <si>
    <t>info@planetaorigami.com</t>
  </si>
  <si>
    <t>Monica Janeth Niño Barbosa (Representante Legal)</t>
  </si>
  <si>
    <t>Plancha Bar Sas</t>
  </si>
  <si>
    <t>Cr 4 No 19 56</t>
  </si>
  <si>
    <t>planchabar2023@gmail.com</t>
  </si>
  <si>
    <t>Lopez Cantor Juddy Alexis (Representante Legal)</t>
  </si>
  <si>
    <t>Placo S.A.S.</t>
  </si>
  <si>
    <t>Cafeterías y Bares para Bebidas sin Alcohol(722515); Otras Tiendas de Comidas Artesanales(44529); Servicios Especiales de Comida(7223); Comerciantes al por Mayor de Comestibles y Productos Relacionados(4244)</t>
  </si>
  <si>
    <t>Comercio Al Por Mayor De Productos Alimenticios (G4631); Comercio Al Por Menor De Otros Productos Alimenticios N.C.P., En Establecimientos Especializados (G4729); Expendio De Comidas Preparadas En Cafeterías (I5613); Otros Tipos De Expendio De Comidas Preparadas N.C.P. (I5619)</t>
  </si>
  <si>
    <t>Carrera 9 # 110 - 51 Apto 413 To B Conjunt</t>
  </si>
  <si>
    <t>bakerscolombia@gmail.com</t>
  </si>
  <si>
    <t>Camilo Gutierrez Ilian (Representante Legal)</t>
  </si>
  <si>
    <t>Pizzas Garlick S.A.S</t>
  </si>
  <si>
    <t>Empresas de Catering(72232); Bares y Otros Lugares para Beber(7224); Servicios Postales(491)</t>
  </si>
  <si>
    <t>Actividades Postales Nacionales (H5310); Expendio A La Mesa De Comidas Preparadas (I5611); Catering Para Eventos (I5621); Expendio De Bebidas Alcohólicas Para El Consumo Dentro Del Establecimiento (I5630)</t>
  </si>
  <si>
    <t>Cl 62 No. 9 A 40</t>
  </si>
  <si>
    <t>greyavila643@gmail.com</t>
  </si>
  <si>
    <t>Maicker Leonel Rodriguez Yajure (Representante Legal)</t>
  </si>
  <si>
    <t>Pizzabella Food And Beer Sas</t>
  </si>
  <si>
    <t>Otros Servicios de Apoyo de Negocios(56149); Bares y Otros Lugares para Beber(7224); Servicios Especiales de Comida(7223)</t>
  </si>
  <si>
    <t>Expendio A La Mesa De Comidas Preparadas (I5611); Expendio De Bebidas Alcohólicas Para El Consumo Dentro Del Establecimiento (I5630); Otras Actividades De Servicio De Apoyo A Las Empresas N.C.P. (N8299)</t>
  </si>
  <si>
    <t>Cr 103 No. 152 D 33</t>
  </si>
  <si>
    <t>pizzabellafoodandbeer@gmail.com</t>
  </si>
  <si>
    <t>Ronimar Beatriz Urdaneta Reverol (Representante Legal)</t>
  </si>
  <si>
    <t>Pizza Pola Y Pong Sas</t>
  </si>
  <si>
    <t>Fabricación de Todos los Demás Tipos de Alimentos Diversos(311999); Comerciantes al por Mayor de Otros Productos No Duraderos Diversos(42499); Bares y Otros Lugares para Beber(7224); Servicios Especiales de Comida(7223)</t>
  </si>
  <si>
    <t>Elaboración De Otros Productos Alimenticios N.C.P. (C1089); Comercio Al Por Mayor De Otros Productos N.C.P. (G4669); Expendio A La Mesa De Comidas Preparadas (I5611); Expendio De Bebidas Alcohólicas Para El Consumo Dentro Del Establecimiento (I5630)</t>
  </si>
  <si>
    <t>Cl 72 No. 10 34 Lc 403 B</t>
  </si>
  <si>
    <t>cisarsavchile@gmail.com</t>
  </si>
  <si>
    <t>Cesar Augusto Gonzalez Perez (Representante Legal)</t>
  </si>
  <si>
    <t>Pizza Obrador S.A.S</t>
  </si>
  <si>
    <t>Carrera 5 58 55</t>
  </si>
  <si>
    <t>felipeyacaman@gmail.com</t>
  </si>
  <si>
    <t>Felipe Yacaman Baez (Representante Legal)</t>
  </si>
  <si>
    <t>Pizza Joint S.A.S</t>
  </si>
  <si>
    <t>Cr 9 No. 81 A 19</t>
  </si>
  <si>
    <t>ph.pizza81@gmail.com</t>
  </si>
  <si>
    <t>Laura Gutierrez Vallejo (Representante Legal)</t>
  </si>
  <si>
    <t>Pizza 911 Sas</t>
  </si>
  <si>
    <t>Cl 65 No. 2 19</t>
  </si>
  <si>
    <t>pizzas.911.2024@gmail.com</t>
  </si>
  <si>
    <t>Natalia Andrade Duarte (Representante Legal)</t>
  </si>
  <si>
    <t>Pizca De Amor Desayunos Sas</t>
  </si>
  <si>
    <t>Cr 72 No 163 - 31 To 2 Ap 708</t>
  </si>
  <si>
    <t>katerinvillalobos19@gmail.com</t>
  </si>
  <si>
    <t>Villalobos Santana Katerin Alexandra (Representante Legal)</t>
  </si>
  <si>
    <t>Pitti S.A.S</t>
  </si>
  <si>
    <t>Demás Tipos de Transporte Público(485999); Restaurantes y Otros Lugares para Comer(72251); Servicios Especiales de Comida(7223)</t>
  </si>
  <si>
    <t>Transporte Mixto (H4922); Expendio A La Mesa De Comidas Preparadas (I5611); Expendio Por Autoservicio De Comidas Preparadas (I5612)</t>
  </si>
  <si>
    <t>Calle 93 A 12 35</t>
  </si>
  <si>
    <t>andreskawas@hotmail.com</t>
  </si>
  <si>
    <t>Andres Ernesto Kawas Canales (Representante Legal)</t>
  </si>
  <si>
    <t>Pisapore S A S</t>
  </si>
  <si>
    <t>Cr 80 8 11 Bloque 6 Apto 322 Torres De S</t>
  </si>
  <si>
    <t>buentenis@gmail.com</t>
  </si>
  <si>
    <t>Luis Ariel Enciso Figueroa (Representante Legal)</t>
  </si>
  <si>
    <t>Pinot Servicio De Cathering Sas</t>
  </si>
  <si>
    <t>Cr 67 No. 4 G 68</t>
  </si>
  <si>
    <t>alimentos.pinot@gmail.com</t>
  </si>
  <si>
    <t>Cindy Liliana Bermudez Burgos (Representante Legal)</t>
  </si>
  <si>
    <t>Pincho Express Sas</t>
  </si>
  <si>
    <t>Fabricación de Alimentos Preparados Perecederos(311991); Carne Procesada de Canales(311612); Restaurantes y Otros Lugares para Comer(72251); Servicios Especiales de Comida(7223)</t>
  </si>
  <si>
    <t>Procesamiento Y Conservación De Carne Y Productos Cárnicos (C1011); Elaboración De Comidas Y Platos Preparados (C1084); Expendio A La Mesa De Comidas Preparadas (I5611); Expendio Por Autoservicio De Comidas Preparadas (I5612)</t>
  </si>
  <si>
    <t>Cr 27 No 51 88</t>
  </si>
  <si>
    <t>pinchoexpress8@gmail.com</t>
  </si>
  <si>
    <t>Camacho Salcedo Martha Alexandra (Representante Legal)</t>
  </si>
  <si>
    <t>Pinachos Sas</t>
  </si>
  <si>
    <t>Cll 67 # 8 - 12 Ofic</t>
  </si>
  <si>
    <t>giraldo_asociados@yahoo.es</t>
  </si>
  <si>
    <t>Jorge Ivan Garcia Garcia (Representante Legal)</t>
  </si>
  <si>
    <t>Piedra Sagrada Gastro Bar Sas</t>
  </si>
  <si>
    <t>Cl 67 No. 11 33 2 P</t>
  </si>
  <si>
    <t>piedrasagradagastro@hotmail.com</t>
  </si>
  <si>
    <t>Nelson Armando Mendez Segura (Representante Legal)</t>
  </si>
  <si>
    <t>Picolina Pega Y Gallina S.A.S</t>
  </si>
  <si>
    <t>Cr 21 No. 8 41</t>
  </si>
  <si>
    <t>picolinalagallina@gmail.com</t>
  </si>
  <si>
    <t>Teresa Rojas Gonzalez (Representante Legal)</t>
  </si>
  <si>
    <t>Picnic Club House S.A.S</t>
  </si>
  <si>
    <t>Calle 8 Sur 38 B 35</t>
  </si>
  <si>
    <t>picnicclubhouse@gmail.com</t>
  </si>
  <si>
    <t>Navarro Herrera Juan Camilo (Representante Legal)</t>
  </si>
  <si>
    <t>Pícara Pizza S.A.S</t>
  </si>
  <si>
    <t>Expendio Por Autoservicio De Comidas Preparadas (I5612); Otros Tipos De Expendio De Comidas Preparadas N.C.P. (I5619); Expendio De Bebidas Alcohólicas Para El Consumo Dentro Del Establecimiento (I5630)</t>
  </si>
  <si>
    <t>Cl 98 No. 9 A 46</t>
  </si>
  <si>
    <t>info@picarapizza.com</t>
  </si>
  <si>
    <t>Mauricio Marti Silva (Representante Legal)</t>
  </si>
  <si>
    <t>Phonorama Sas</t>
  </si>
  <si>
    <t>Grupos Musicales y Artistas(71113); Transmisión de Radio(51511); Bares y Otros Lugares para Beber(7224); Servicios Especiales de Comida(7223)</t>
  </si>
  <si>
    <t>Expendio A La Mesa De Comidas Preparadas (I5611); Expendio De Bebidas Alcohólicas Para El Consumo Dentro Del Establecimiento (I5630); Actividades De Programación Y Transmisión En El Servicio De Radiodifusión Sonora (J6010); Actividades De Espectáculos Musicales En Vivo (R9007)</t>
  </si>
  <si>
    <t>Cl 72 A No. 20 40</t>
  </si>
  <si>
    <t>jgnoriega50@gmail.com</t>
  </si>
  <si>
    <t>Juan Guillermo Noriega Ramirez (Representante Legal)</t>
  </si>
  <si>
    <t>Pezcabar Angel S A S</t>
  </si>
  <si>
    <t>Bares y Otros Lugares para Beber(7224); Servicios Especiales de Comida(7223); Industrias de Juego(7132)</t>
  </si>
  <si>
    <t>Expendio A La Mesa De Comidas Preparadas (I5611); Expendio De Bebidas Alcohólicas Para El Consumo Dentro Del Establecimiento (I5630); Actividades De Juegos De Azar Y Apuestas (R9200)</t>
  </si>
  <si>
    <t>Cr 11 No. 12 54</t>
  </si>
  <si>
    <t>pezcabarangelsas@gmail.com</t>
  </si>
  <si>
    <t>German Angel Florian (Representante Legal)</t>
  </si>
  <si>
    <t>Petrona S.A.S.</t>
  </si>
  <si>
    <t>Cafeterías y Bares para Bebidas sin Alcohol(722515); Hoteles (excepto Hoteles Casino) y Moteles(72111); Servicios de Administrativos de Oficina(5611); Supermercados(4451)</t>
  </si>
  <si>
    <t>Comercio Al Por Menor En Establecimientos No Especializados Con Surtido Compuesto Principalmente Por Alimentos, Bebidas O Tabaco (G4711); Alojamiento En Hoteles (I5511); Expendio De Comidas Preparadas En Cafeterías (I5613); Actividades Combinadas De Servicios Administrativos De Oficina (N8211)</t>
  </si>
  <si>
    <t>Cr 43 A No. 24 A 29</t>
  </si>
  <si>
    <t>petronahotelycafe@gmail.com</t>
  </si>
  <si>
    <t>Liseth Paola Meza Ulloa (Representante Legal)</t>
  </si>
  <si>
    <t>Perros El Gordito De La 3 Sas</t>
  </si>
  <si>
    <t>Ac 3 No. 30 41</t>
  </si>
  <si>
    <t>perroselgordito3@gmail.com</t>
  </si>
  <si>
    <t>Diana Catalina Sanchez Romero (Representante Legal)</t>
  </si>
  <si>
    <t>Perpetua Bar Sas</t>
  </si>
  <si>
    <t>Carrera 14 A # 83 - 37</t>
  </si>
  <si>
    <t>perpetuabar85@gmail.com</t>
  </si>
  <si>
    <t>Miller Adrian Castiblanco Arevalo (Representante Legal)</t>
  </si>
  <si>
    <t>Perini y Pelfini S.A.</t>
  </si>
  <si>
    <t>Servicio de Alimentos</t>
  </si>
  <si>
    <t>Calle 67 No.15-38</t>
  </si>
  <si>
    <t>periniypelfini@cable.net.co</t>
  </si>
  <si>
    <t>Perini Rodriguez Jose Luis (Representante Legal), Ott Saavedra Norma Yolanda (Miembro de la Junta Directiva), Perini Rodriguez Emilio Manuel (Miembro de la Junta Directiva), Laura Maria Perini España (Miembro Suplente de la Junta Directiva), Nicolas Perini España (Miembro Suplente de la Junta Directiva), Maria Isabel España Fajardo (Representante Legal Suplente), Luis Enrique Medina Lagos (Revisor Fiscal), Jorge Oswaldo Parra Cordovez (Revisor Fiscal Suplente), Nidia Sanchez Pena (Contador)</t>
  </si>
  <si>
    <t>117 (2009)</t>
  </si>
  <si>
    <t>Performdance Sas</t>
  </si>
  <si>
    <t>Cr 15 No. 95 80 / 82</t>
  </si>
  <si>
    <t>Thompson Sanchez Luna (Representante Legal)</t>
  </si>
  <si>
    <t>Perez Lopez Asociados Sas</t>
  </si>
  <si>
    <t>Cl 176 No. 54 15 Torre 4 Apt 626</t>
  </si>
  <si>
    <t>perezlopezsashermanos@gmail.com</t>
  </si>
  <si>
    <t>Daniel Felipe Perez Lopez (Representante Legal)</t>
  </si>
  <si>
    <t>Peregrinos Libreria Cafe Sas</t>
  </si>
  <si>
    <t>Cr 49 A No. 94 90</t>
  </si>
  <si>
    <t>peregrinoscafe@hotmail.com</t>
  </si>
  <si>
    <t>Tatiana Ines Acosta Leal (Representante Legal)</t>
  </si>
  <si>
    <t>Perdido Sas</t>
  </si>
  <si>
    <t>Cafeterías y Bares para Bebidas sin Alcohol(722515); Otras Tiendas de Comidas Artesanales(44529); Bares y Otros Lugares para Beber(7224)</t>
  </si>
  <si>
    <t>Comercio Al Por Menor De Otros Productos Alimenticios N.C.P., En Establecimientos Especializados (G4729); Expendio De Comidas Preparadas En Cafeterías (I5613); Expendio De Bebidas Alcohólicas Para El Consumo Dentro Del Establecimiento (I5630)</t>
  </si>
  <si>
    <t>Cl 68 No. 4 A 08</t>
  </si>
  <si>
    <t>ju_santacruz@hotmail.com</t>
  </si>
  <si>
    <t>Claudia Patricia Caviedes Reinaguerra (Representante Legal)</t>
  </si>
  <si>
    <t>Perbacco Group Sas</t>
  </si>
  <si>
    <t>Cr 13 No. 84 04</t>
  </si>
  <si>
    <t>perbaccorooftop@gmail.com</t>
  </si>
  <si>
    <t>Daniel Velasco Mejia (Representante Legal)</t>
  </si>
  <si>
    <t>Pepina S.A.S</t>
  </si>
  <si>
    <t>Cl 56 No. 4 A 11</t>
  </si>
  <si>
    <t>pepinabogota@gmail.com</t>
  </si>
  <si>
    <t>Guillermo De La Torre Franco (Representante Legal)</t>
  </si>
  <si>
    <t>Pepe Mabu S.A.S</t>
  </si>
  <si>
    <t>Calle 167 62 48</t>
  </si>
  <si>
    <t>pepemabumercadogastronomico@gmail.com</t>
  </si>
  <si>
    <t>Mabel Julietta Perilla Alfonso (Representante Legal)</t>
  </si>
  <si>
    <t>Pepe Food &amp; Drinks S.A.S.</t>
  </si>
  <si>
    <t>Dg 115 A No. 70 F 57</t>
  </si>
  <si>
    <t>hrios990@gmail.com</t>
  </si>
  <si>
    <t>Henry Alberto Rios Rodriguez (Representante Legal)</t>
  </si>
  <si>
    <t>Pecoar Sas</t>
  </si>
  <si>
    <t>Cl 26 C No. 4 42</t>
  </si>
  <si>
    <t>humbertoguevara85@gmail.com</t>
  </si>
  <si>
    <t>Carlos Eduardo Moreno Fonseca (Representante Legal)</t>
  </si>
  <si>
    <t>Pecas Y Fresas Pasteleria Artesanal Sas</t>
  </si>
  <si>
    <t>Cr 17 No. 52 58</t>
  </si>
  <si>
    <t>pecasyfresaspasteleria@gmail.com</t>
  </si>
  <si>
    <t>Vivian Rocio Cortes Ramirez (Representante Legal)</t>
  </si>
  <si>
    <t>Pecado Sas</t>
  </si>
  <si>
    <t>Cr 14 No. 82 79 Tercer Piso</t>
  </si>
  <si>
    <t>andreatorresrodriguez26@gmail.com</t>
  </si>
  <si>
    <t>Jhon Alexander Paez Rojas (Representante Legal)</t>
  </si>
  <si>
    <t>Pausa Tomate Un Respiro Y Saborea El Momento Sas</t>
  </si>
  <si>
    <t>Cr 46 No. 22 A 89</t>
  </si>
  <si>
    <t>marianamancipe72@gmail.com</t>
  </si>
  <si>
    <t>Mariana Mancipe Botache (Representante Legal)</t>
  </si>
  <si>
    <t>Patronus Co Sas</t>
  </si>
  <si>
    <t>Cl 78 B No. 120 A 56</t>
  </si>
  <si>
    <t>patronus.sas.co@gmail.com</t>
  </si>
  <si>
    <t>Camilo Esteban Moreno Ospina (Representante Legal)</t>
  </si>
  <si>
    <t>Patco Global Enterprise Sas</t>
  </si>
  <si>
    <t>Calle 85 # 13 - 52 Piso 2</t>
  </si>
  <si>
    <t>PURPLEFLAMEINDIANCUISINE@YAHOO.COM</t>
  </si>
  <si>
    <t>Harsh Bhatia (Representante Legal)</t>
  </si>
  <si>
    <t>Pasteles Chelita Sas</t>
  </si>
  <si>
    <t>Calle 1C No 32C - 10</t>
  </si>
  <si>
    <t>pasteleschelita@gmail.com</t>
  </si>
  <si>
    <t>Jessica Marcela Avila Bonilla (Representante Legal)</t>
  </si>
  <si>
    <t>Pasteleria Salon De Onces Cafe Y Aroma S.A.S</t>
  </si>
  <si>
    <t>Pasteleria Sacher Sas</t>
  </si>
  <si>
    <t>Cr 5 Z No. 49 G 58 Sur</t>
  </si>
  <si>
    <t>alvaromanrriquecortes@gmail.com</t>
  </si>
  <si>
    <t>Vallejo Arcila Diana Cristina (Representante Legal)</t>
  </si>
  <si>
    <t>Pasteleria Monte Verde Sas</t>
  </si>
  <si>
    <t>Carrera 13A No. 78 - 04</t>
  </si>
  <si>
    <t>golaya64@hotmail.com</t>
  </si>
  <si>
    <t>Gonzalo Olaya Gomez (Representante Legal)</t>
  </si>
  <si>
    <t>Pasta Y Pesto Servicios Gastronomicos Sas</t>
  </si>
  <si>
    <t>Cr 3 No. 12 C 94</t>
  </si>
  <si>
    <t>ondepp@gmail.com</t>
  </si>
  <si>
    <t>Jose Manuel Rios Moltedo (Representante Legal)</t>
  </si>
  <si>
    <t>Past Art Colombia Sas</t>
  </si>
  <si>
    <t>Cr 70 B No. 102 33</t>
  </si>
  <si>
    <t>pastartcolombia@gmail.com</t>
  </si>
  <si>
    <t>Cesar Rodrigo Cayambe Ardila (Representante Legal)</t>
  </si>
  <si>
    <t>Pasoancho S.A.S.</t>
  </si>
  <si>
    <t>Demás Tipos de Industrias de Diversión y Recreativas(71399); Bares y Otros Lugares para Beber(7224); Servicios Especiales de Comida(7223); Tiendas de Comidas Artesanales(4452)</t>
  </si>
  <si>
    <t>Comercio Al Por Menor De Productos Agrícolas Para El Consumo En Establecimientos Especializados (G4721); Expendio A La Mesa De Comidas Preparadas (I5611); Expendio De Bebidas Alcohólicas Para El Consumo Dentro Del Establecimiento (I5630); Otras Actividades Recreativas Y De Esparcimiento N.C.P. (R9329)</t>
  </si>
  <si>
    <t>Ac 22 No 42-76 Of 202</t>
  </si>
  <si>
    <t>pasoancho2019@hotmail.com</t>
  </si>
  <si>
    <t>Christian Muñoz (Representante Legal), Diego Felipe Rios Ortiz (Representante Legal Suplente)</t>
  </si>
  <si>
    <t>Pasitaspizza S.A.S</t>
  </si>
  <si>
    <t>Avenida Carrera 70 22 38</t>
  </si>
  <si>
    <t>pasitaspizza@gmail.com</t>
  </si>
  <si>
    <t>Kaled Rolando Rojas Santana (Representante Legal)</t>
  </si>
  <si>
    <t>Parvus Sas</t>
  </si>
  <si>
    <t>Cr 4 A No. 26 B 34</t>
  </si>
  <si>
    <t>parvus2021@outlook.com</t>
  </si>
  <si>
    <t>Adrian Ernesto Levrard Velandia (Representante Legal)</t>
  </si>
  <si>
    <t>Party Chaps S.A.S</t>
  </si>
  <si>
    <t>Cr 12 A No. 79 46</t>
  </si>
  <si>
    <t>hoover116@hotmail.com</t>
  </si>
  <si>
    <t>Samuel Danilo Parra Parra (Representante Legal)</t>
  </si>
  <si>
    <t>Parrilla Jhl S.A.S.</t>
  </si>
  <si>
    <t>Av Cl 24 44 A 05</t>
  </si>
  <si>
    <t>alejandro_hcr@msn.com</t>
  </si>
  <si>
    <t>Hugo Alejandro Contreras Rodriguez (Representante Legal)</t>
  </si>
  <si>
    <t>Parrilla Farandula S.A.S</t>
  </si>
  <si>
    <t>Cl 94 A 11 A 93</t>
  </si>
  <si>
    <t>parrilla.farandula@gmail.com</t>
  </si>
  <si>
    <t>Elkin Dairo Alfonso Rodriguez (Representante Legal)</t>
  </si>
  <si>
    <t>Parrilla Burguers E.G. 1983 S.A.S.</t>
  </si>
  <si>
    <t>Cr 13 No. 61 - 80</t>
  </si>
  <si>
    <t>parrilla1983restaurantebar@gmail.com</t>
  </si>
  <si>
    <t>Maritza Yaneth Pintor Osorio (Representante Legal)</t>
  </si>
  <si>
    <t>Parqueadero Restaurante La 27 S A S</t>
  </si>
  <si>
    <t>Cafeterías y Bares para Bebidas sin Alcohol(722515); Otros Servicios Personales(8129); Servicios Relacionados con el Transporte por Carretera(4884)</t>
  </si>
  <si>
    <t>Servicios Relacionados con el Transporte por Carretera(4884)</t>
  </si>
  <si>
    <t>Actividades De Estaciones, Vías Y Servicios Complementarios Para El Transporte Terrestre (H5221); Expendio De Comidas Preparadas En Cafeterías (I5613); Otras Actividades De Servicios Personales N.C.P. (S9609)</t>
  </si>
  <si>
    <t>Actividades De Estaciones, Vías Y Servicios Complementarios Para El Transporte Terrestre (H5221)</t>
  </si>
  <si>
    <t>Cr 27 No. 13 72</t>
  </si>
  <si>
    <t>jotalu@hotmail.com</t>
  </si>
  <si>
    <t>Carlos Julio Santamaria Herreño (Representante Legal)</t>
  </si>
  <si>
    <t>Parnita S.A.S.</t>
  </si>
  <si>
    <t>Calle 116 # 19 - 66</t>
  </si>
  <si>
    <t>info@parnita.co</t>
  </si>
  <si>
    <t>Andres Felipe Gutierrez Zamora (Representante Legal)</t>
  </si>
  <si>
    <t>Parisina Franquicias Sas</t>
  </si>
  <si>
    <t>Restaurantes y Otros Lugares para Comer(72251); Arrendadores de Bienes Intangibles No Financieros (excepto Obras con los Derechos Reservados)(533)</t>
  </si>
  <si>
    <t>Arrendadores de Bienes Intangibles No Financieros (excepto Obras con los Derechos Reservados)(533)</t>
  </si>
  <si>
    <t>Expendio Por Autoservicio De Comidas Preparadas (I5612); Arrendamiento De Propiedad Intelectual Y Productos Similares, Excepto Obras Protegidas Por Derechos De Autor (N7740)</t>
  </si>
  <si>
    <t>Arrendamiento De Propiedad Intelectual Y Productos Similares, Excepto Obras Protegidas Por Derechos De Autor (N7740)</t>
  </si>
  <si>
    <t>Cl 93 B No. 13 65</t>
  </si>
  <si>
    <t>sebastien.brageul@gmail.com</t>
  </si>
  <si>
    <t>Sebastien Raphael Brageul (Representante Legal)</t>
  </si>
  <si>
    <t>Paris Foods &amp; Catering Sas</t>
  </si>
  <si>
    <t>Elaboración De Productos De Panadería (C1081); Expendio A La Mesa De Comidas Preparadas (I5611); Expendio Por Autoservicio De Comidas Preparadas (I5612); Catering Para Eventos (I5621)</t>
  </si>
  <si>
    <t>Cr 12 No. 70 A 06</t>
  </si>
  <si>
    <t>parisbakeryshop@gmail.com</t>
  </si>
  <si>
    <t>Esther Carolina Medina Salinas (Representante Legal)</t>
  </si>
  <si>
    <t>Parce Hostels S.A.S</t>
  </si>
  <si>
    <t>Demás Tipos de Alojamiento para Viajeros(721199); Hoteles (excepto Hoteles Casino) y Moteles(72111); Bares y Otros Lugares para Beber(7224); Servicios Especiales de Comida(7223)</t>
  </si>
  <si>
    <t>Alojamiento En Hoteles (I5511); Otros Tipos De Alojamientos Para Visitantes (I5519); Expendio A La Mesa De Comidas Preparadas (I5611); Expendio De Bebidas Alcohólicas Para El Consumo Dentro Del Establecimiento (I5630)</t>
  </si>
  <si>
    <t>Cr 56 No. 151 51 In</t>
  </si>
  <si>
    <t>contabilidad@parcehostels.com</t>
  </si>
  <si>
    <t>Fabian Andres Botero Cardona (Representante Legal)</t>
  </si>
  <si>
    <t>Paramarte S.A.S.</t>
  </si>
  <si>
    <t>Cl 119 # 12 16 Lc 1</t>
  </si>
  <si>
    <t>casadiegocar1@hotmail.com</t>
  </si>
  <si>
    <t>Carlos Rene Casadiego Castañeda (Representante Legal)</t>
  </si>
  <si>
    <t>Paralisis Club Sas</t>
  </si>
  <si>
    <t>Expendio A La Mesa De Comidas Preparadas (I5611); Otros Tipos De Expendio De Comidas Preparadas N.C.P. (I5619); Expendio De Bebidas Alcohólicas Para El Consumo Dentro Del Establecimiento (I5630); Organización De Convenciones Y Eventos Comerciales (N8230)</t>
  </si>
  <si>
    <t>Av Jimenez No. 5 36</t>
  </si>
  <si>
    <t>jlroblesh@gmail.com</t>
  </si>
  <si>
    <t>Jose Luis Robles Herrera (Representante Legal)</t>
  </si>
  <si>
    <t>Paraisos Marquez Sas</t>
  </si>
  <si>
    <t>Otras Organizaciones Similares (excepto Organizaciones de Negocios, Profesionales, de Trabajadores y Políticas)(81399); Demás Tipos de Industrias de Diversión y Recreativas(71399); Bares y Otros Lugares para Beber(7224); Industrias de Juego(7132)</t>
  </si>
  <si>
    <t>Expendio De Bebidas Alcohólicas Para El Consumo Dentro Del Establecimiento (I5630); Actividades De Juegos De Azar Y Apuestas (R9200); Otras Actividades Recreativas Y De Esparcimiento N.C.P. (R9329); Actividades De Otras Asociaciones N.C.P. (S9499)</t>
  </si>
  <si>
    <t>Cl 14 No. 83 13</t>
  </si>
  <si>
    <t>paraisomarquez14@gmail.com</t>
  </si>
  <si>
    <t>Jose Miguel Marquez Nuñez (Representante Legal)</t>
  </si>
  <si>
    <t>Paraiso Azul A Sas</t>
  </si>
  <si>
    <t>Cl 17 A Sur No. 14 67</t>
  </si>
  <si>
    <t>motelparaiso1714@gmail.com</t>
  </si>
  <si>
    <t>Fernando Isai Amado Angulo (Representante Legal)</t>
  </si>
  <si>
    <t>Parada 53 Sas</t>
  </si>
  <si>
    <t>Otras Tiendas de Comidas Artesanales(44529); Bares y Otros Lugares para Beber(7224); Comerciantes al por Mayor de Comestibles y Productos Relacionados(4244)</t>
  </si>
  <si>
    <t>Comercio Al Por Mayor De Productos Alimenticios (G4631); Comercio Al Por Menor De Otros Productos Alimenticios N.C.P., En Establecimientos Especializados (G4729); Expendio De Bebidas Alcohólicas Para El Consumo Dentro Del Establecimiento (I5630)</t>
  </si>
  <si>
    <t>Cl 136 100 A 11</t>
  </si>
  <si>
    <t>licoreraparada53@gmail.com</t>
  </si>
  <si>
    <t>Julieth Valentina Guerrero Sosa (Representante Legal)</t>
  </si>
  <si>
    <t>Par-Patadas Sas</t>
  </si>
  <si>
    <t>Cl 84 Bis No. 14 A</t>
  </si>
  <si>
    <t>santiago.villarreal@urosario.edu.co</t>
  </si>
  <si>
    <t>Santiago Villarreal Llano (Representante Legal)</t>
  </si>
  <si>
    <t>Papis Fast Food Sas</t>
  </si>
  <si>
    <t>Carrera 14 B 106 60</t>
  </si>
  <si>
    <t>papisbogota@gmail.com</t>
  </si>
  <si>
    <t>Isabella Sorza Zabaleta (Representante Legal)</t>
  </si>
  <si>
    <t>Paparte Sas</t>
  </si>
  <si>
    <t>Cr 71 D No. 12 A 94 Lc 2</t>
  </si>
  <si>
    <t>paparteof@gmail.com</t>
  </si>
  <si>
    <t>Christian Camilo Castro Lozano (Representante Legal)</t>
  </si>
  <si>
    <t>Pans Coffee Zf Sas</t>
  </si>
  <si>
    <t>Cafeterías y Bares para Bebidas sin Alcohol(722515); Fabricación de Alimentos Preparados Perecederos(311991)</t>
  </si>
  <si>
    <t>Elaboración De Comidas Y Platos Preparados (C1084); Expendio De Comidas Preparadas En Cafeterías (I5613)</t>
  </si>
  <si>
    <t>Cr 56 # 16 50 Sur In</t>
  </si>
  <si>
    <t>financierosycontables.sy@gmail.com</t>
  </si>
  <si>
    <t>Sandra Consuelo Correa Ferro (Representante Legal)</t>
  </si>
  <si>
    <t>Panolan Sas</t>
  </si>
  <si>
    <t>Cl 90 No. 19 - 41</t>
  </si>
  <si>
    <t>RIANNE.HENSEN@PANOLAN.CO</t>
  </si>
  <si>
    <t>Rianne Mareille Hensen (Representante Legal)</t>
  </si>
  <si>
    <t>Panificadora Mas Que Pan S.A.S</t>
  </si>
  <si>
    <t>Carrera 91 90 12</t>
  </si>
  <si>
    <t>panaderiamasquepansas@gmail.com</t>
  </si>
  <si>
    <t>Eucaryz Reyes Loaiza (Representante Legal)</t>
  </si>
  <si>
    <t>Panfrut S.A.S</t>
  </si>
  <si>
    <t>Cr 77 A Bis No. 68 B 26</t>
  </si>
  <si>
    <t>luisorlandogalvizestevez@gmail.com</t>
  </si>
  <si>
    <t>Luis Orlando Galvis Estevez (Representante Legal)</t>
  </si>
  <si>
    <t>Panderino Gourmet Sas</t>
  </si>
  <si>
    <t>Cafeterías y Bares para Bebidas sin Alcohol(722515); Fabricación de Refrescos(312111); Panaderías y Producción de Tortillas(3118)</t>
  </si>
  <si>
    <t>Elaboración De Productos De Panadería (C1081); Elaboración De Bebidas No Alcohólicas, Producción De Aguas Minerales Y De Otras Aguas Embotelladas (C1104); Expendio Por Autoservicio De Comidas Preparadas (I5612); Expendio De Comidas Preparadas En Cafeterías (I5613)</t>
  </si>
  <si>
    <t>Cl 187 No. 55 B 60 Lc B 15</t>
  </si>
  <si>
    <t>1008mparada@gmail.com</t>
  </si>
  <si>
    <t>Martha Liliana Parada Landazabal (Representante Legal)</t>
  </si>
  <si>
    <t>Pancake Pranzu Sas</t>
  </si>
  <si>
    <t>Cr 69 B No. 24 B 55 In 4 Ap 701</t>
  </si>
  <si>
    <t>pancake.pranzu@gmail.com</t>
  </si>
  <si>
    <t>Ricardo Rodriguez Cruz (Representante Legal)</t>
  </si>
  <si>
    <t>Panaderosos Sas</t>
  </si>
  <si>
    <t>Av Suba No. 120 49 Lc 2</t>
  </si>
  <si>
    <t>panaderosos07@gmail.com</t>
  </si>
  <si>
    <t>Nicolas Perini España (Representante Legal)</t>
  </si>
  <si>
    <t>Panaderias Suizo Sas</t>
  </si>
  <si>
    <t>Cafeterías y Bares para Bebidas sin Alcohol(722515); Supermercados(4451); Panaderías y Producción de Tortillas(3118)</t>
  </si>
  <si>
    <t>Elaboración De Productos De Panadería (C1081); Comercio Al Por Menor En Establecimientos No Especializados Con Surtido Compuesto Principalmente Por Alimentos, Bebidas O Tabaco (G4711); Expendio De Comidas Preparadas En Cafeterías (I5613)</t>
  </si>
  <si>
    <t>Cr 69 B No. 24 33 Lc 101</t>
  </si>
  <si>
    <t>panaderias.suizo@gmail.com</t>
  </si>
  <si>
    <t>Roberto Quintero Caceres (Representante Legal)</t>
  </si>
  <si>
    <t>Panaderias Pastelerias Y Restaurantes Rojas Meza S.A.S</t>
  </si>
  <si>
    <t>Cafeterías y Bares para Bebidas sin Alcohol(722515); Empresas de Catering(72232); Arrendadores de Bienes Inmuebles(5311); Panaderías y Producción de Tortillas(3118)</t>
  </si>
  <si>
    <t>Elaboración De Productos De Panadería (C1081); Expendio De Comidas Preparadas En Cafeterías (I5613); Catering Para Eventos (I5621); Actividades Inmobiliarias Realizadas Con Bienes Propios O Arrendados (L6810)</t>
  </si>
  <si>
    <t>Cr 63 No. 96 60</t>
  </si>
  <si>
    <t>gerencia@vasconia.co</t>
  </si>
  <si>
    <t>David Santiago Rojas Meza (Representante Legal)</t>
  </si>
  <si>
    <t>Panadería Y Pastelería Punto Genial S.A.S</t>
  </si>
  <si>
    <t>Cafeterías y Bares para Bebidas sin Alcohol(722515); Tiendas de Venta Directa(4543); Panaderías y Producción de Tortillas(3118)</t>
  </si>
  <si>
    <t>Elaboración De Productos De Panadería (C1081); Otros Tipos De Comercio Al Por Menor No Realizado En Establecimientos, Puestos De Venta O Mercados. (G4799); Expendio De Comidas Preparadas En Cafeterías (I5613)</t>
  </si>
  <si>
    <t>Cr 52 A # 47 38 Sur</t>
  </si>
  <si>
    <t>fampuntogenial@gmail.com</t>
  </si>
  <si>
    <t>Mauricio Rosero Gonzalez (Representante Legal)</t>
  </si>
  <si>
    <t>Panaderia Y Pasteleria Galette Sas</t>
  </si>
  <si>
    <t>Carr 8 D 191 15</t>
  </si>
  <si>
    <t>edwinchiki22@gmail.com</t>
  </si>
  <si>
    <t>Edwin Humberto Piñeros Barreto (Representante Legal)</t>
  </si>
  <si>
    <t>Panaderia Y Pasteleria El Triunfo Jl S.A.S</t>
  </si>
  <si>
    <t>Cr 67 A No. 9 A - 99</t>
  </si>
  <si>
    <t>luisdaniel64@hotmail.com</t>
  </si>
  <si>
    <t>Luis Daniel Valenzuela (Representante Legal)</t>
  </si>
  <si>
    <t>Panaderia Y Cafeteria Super Pan 1 A Sas</t>
  </si>
  <si>
    <t>Cafeterías y Bares para Bebidas sin Alcohol(722515); Tiendas de Mercancía General, incluyendo Grandes Almacenes(45231); Bares y Otros Lugares para Beber(7224); Panaderías y Producción de Tortillas(3118)</t>
  </si>
  <si>
    <t>Elaboración De Productos De Panadería (C1081); Comercio Al Por Menor En Establecimientos No Especializados, Con Surtido Compuesto Principalmente Por Productos Diferentes De Alimentos (Víveres En General), Bebidas Y Tabaco (G4719); Expendio De Comidas Preparadas En Cafeterías (I5613); Expendio De Bebidas Alcohólicas Para El Consumo Dentro Del Establecimiento (I5630)</t>
  </si>
  <si>
    <t>Cl 57 No. 27 - 93 Lc 3</t>
  </si>
  <si>
    <t>maisacriollo@gmail.com</t>
  </si>
  <si>
    <t>Jeisson Andres Rubio Criollo (Representante Legal)</t>
  </si>
  <si>
    <t>Panaderia Y Cafeteria Sevilla S.A.S.</t>
  </si>
  <si>
    <t>Cl 63 A No. 24 86 Lc</t>
  </si>
  <si>
    <t>panaderiasevilla@hotmail.com</t>
  </si>
  <si>
    <t>Dora Ligia Criollo Montoya (Representante Legal)</t>
  </si>
  <si>
    <t>Panadería Artesanal Tahona Y Cocoa S.A.S</t>
  </si>
  <si>
    <t>Calle 125 # 19A - 28 Local 103 - 104</t>
  </si>
  <si>
    <t>tahona.cocoa@hotmail.com</t>
  </si>
  <si>
    <t>Mayolina Garcia Martinez (Representante Legal)</t>
  </si>
  <si>
    <t>Panaderia &amp; Pasteleria Donnos S A S</t>
  </si>
  <si>
    <t>Cafeterías y Bares para Bebidas sin Alcohol(722515); Autotransporte de Carga General(4841); Panaderías y Producción de Tortillas(3118)</t>
  </si>
  <si>
    <t>Elaboración De Productos De Panadería (C1081); Transporte De Carga Por Carretera (H4923); Expendio De Comidas Preparadas En Cafeterías (I5613)</t>
  </si>
  <si>
    <t>Cr 3 71 C - 18 Sur</t>
  </si>
  <si>
    <t>pan-donnos-pasteleria@hotmail.com</t>
  </si>
  <si>
    <t>Jose Plinio Aponte Galindo (Representante Legal)</t>
  </si>
  <si>
    <t>Pana Burger S.A.S</t>
  </si>
  <si>
    <t>Cafeterías y Bares para Bebidas sin Alcohol(722515); Fabricación de Alimentos Preparados Perecederos(311991); Tiendas de Venta Directa(4543)</t>
  </si>
  <si>
    <t>Elaboración De Comidas Y Platos Preparados (C1084); Otros Tipos De Comercio Al Por Menor No Realizado En Establecimientos, Puestos De Venta O Mercados. (G4799); Expendio Por Autoservicio De Comidas Preparadas (I5612); Expendio De Comidas Preparadas En Cafeterías (I5613)</t>
  </si>
  <si>
    <t>Cra. 7F No. 155 74</t>
  </si>
  <si>
    <t>jrhurtado24@gmail.com</t>
  </si>
  <si>
    <t>Jose Rafael Hurtado (Representante Legal)</t>
  </si>
  <si>
    <t>Pan Dorado Gourmet S.A.S</t>
  </si>
  <si>
    <t>Carrera 76 72 B 05</t>
  </si>
  <si>
    <t>pandoradogourmetsas@gmail.com</t>
  </si>
  <si>
    <t>Nelson Yoham Matiz Perez (Representante Legal)</t>
  </si>
  <si>
    <t>Pan Dorado Cegm S.A.S</t>
  </si>
  <si>
    <t>Calle 47 8 16</t>
  </si>
  <si>
    <t>pandoradomarly@gmail.com</t>
  </si>
  <si>
    <t>Camilo Espitia Gonzalez (Representante Legal)</t>
  </si>
  <si>
    <t>Pan Dorado 80 S.A.S</t>
  </si>
  <si>
    <t>Avenida Calle 80 73 B 04</t>
  </si>
  <si>
    <t>pandorado80@gmail.com</t>
  </si>
  <si>
    <t>Jeysson Andres Velasquez Reyes (Representante Legal)</t>
  </si>
  <si>
    <t>Pan &amp; Vino Sas</t>
  </si>
  <si>
    <t>Cl 104 No. 75 B 23</t>
  </si>
  <si>
    <t>pitidonpanino@gmail.com</t>
  </si>
  <si>
    <t>Oscar Andrei Peralta Martinez (Representante Legal)</t>
  </si>
  <si>
    <t>Palomino Playa Sas</t>
  </si>
  <si>
    <t>Demás Tipos de Alojamiento para Viajeros(721199); Bares y Otros Lugares para Beber(7224); Servicios Especiales de Comida(7223); Arrendadores de Bienes Inmuebles(5311)</t>
  </si>
  <si>
    <t>Otros Tipos De Alojamientos Para Visitantes (I5519); Expendio A La Mesa De Comidas Preparadas (I5611); Expendio De Bebidas Alcohólicas Para El Consumo Dentro Del Establecimiento (I5630); Actividades Inmobiliarias Realizadas Con Bienes Propios O Arrendados (L6810)</t>
  </si>
  <si>
    <t>Cra 2 # 16 A - 38 Torre 5 Apto 1701</t>
  </si>
  <si>
    <t>kuacolombia@gmail.com</t>
  </si>
  <si>
    <t>Adriana Lucia Sarmiento Toquica (Representante Legal)</t>
  </si>
  <si>
    <t>Palmetto Restaurante Bar Sas</t>
  </si>
  <si>
    <t>Cl 64 No. 7 72 Lc 10</t>
  </si>
  <si>
    <t>palmetto.restaurantebar@gmail.com</t>
  </si>
  <si>
    <t>Laura Camila Plata Forero (Representante Legal)</t>
  </si>
  <si>
    <t>Pall Investments Sas</t>
  </si>
  <si>
    <t>Restaurantes y Otros Lugares para Comer(72251); Servicios de Contabilidad, Preparación de Impuestos, Teneduría de Libros y Servicios de Nómina(54121); Supermercados y Otras Tiendas de Abarrotes(44511); Comercio al por Mayor(42)</t>
  </si>
  <si>
    <t>Comercio Al Por Mayor A Cambio De Una Retribución O Por Contrata (G4610); Comercio Al Por Menor De Alimentos, Bebidas Y Tabaco, En Puestos De Venta Móviles (G4781); Expendio Por Autoservicio De Comidas Preparadas (I5612); Actividades De Contabilidad, Teneduría De Libros, Auditoría Financiera Y Asesoría Tributaria (M6920)</t>
  </si>
  <si>
    <t>Cr 37 A No. 25 71</t>
  </si>
  <si>
    <t>distribuidorapall@gmail.com</t>
  </si>
  <si>
    <t>Dario Alejandro Pulido Martinez (Representante Legal)</t>
  </si>
  <si>
    <t>Palacios E Hijos Inversionistas S A S</t>
  </si>
  <si>
    <t>Cafeterías y Bares para Bebidas sin Alcohol(722515); Oficinas de Convenciones y Visitantes(561591); Servicios Especiales de Comida(7223); Panaderías y Producción de Tortillas(3118)</t>
  </si>
  <si>
    <t>Elaboración De Productos De Panadería (C1081); Expendio De Comidas Preparadas En Cafeterías (I5613); Otros Tipos De Expendio De Comidas Preparadas N.C.P. (I5619); Organización De Convenciones Y Eventos Comerciales (N8230)</t>
  </si>
  <si>
    <t>Cl 176 No. 50 A 04</t>
  </si>
  <si>
    <t>palacioscorp@yahoo.com</t>
  </si>
  <si>
    <t>Felix Del Carmen Palacios Ochoa (Representante Legal)</t>
  </si>
  <si>
    <t>Padel Cien S.A.S.</t>
  </si>
  <si>
    <t>Expendio De Bebidas Alcohólicas Para El Consumo Dentro Del Establecimiento (I5630); Gestión De Instalaciones Deportivas (R9311)</t>
  </si>
  <si>
    <t>Cl 100 # 11 - 79</t>
  </si>
  <si>
    <t>padelcien@gmail.com</t>
  </si>
  <si>
    <t>Esteban Castro Ramirez (Representante Legal)</t>
  </si>
  <si>
    <t>Padel 94 S.A.S.</t>
  </si>
  <si>
    <t>Cr 11 No. 94 46</t>
  </si>
  <si>
    <t>94padel@gmail.com</t>
  </si>
  <si>
    <t>Padel &amp; Sports Investments S.A.S</t>
  </si>
  <si>
    <t>Cafeterías y Bares para Bebidas sin Alcohol(722515); Demás Tipos de Industrias de Diversión y Recreativas(71399)</t>
  </si>
  <si>
    <t>Expendio De Comidas Preparadas En Cafeterías (I5613); Gestión De Instalaciones Deportivas (R9311)</t>
  </si>
  <si>
    <t>Avenida Carrera 9 141 55</t>
  </si>
  <si>
    <t>PADELYSPORTS@GMAIL.COM</t>
  </si>
  <si>
    <t>Camilo Arturo Urrego Ramirez (Representante Legal)</t>
  </si>
  <si>
    <t>Paddockers S.A.S</t>
  </si>
  <si>
    <t>Restaurantes y Otros Lugares para Comer(72251); Demás Tipos de Industrias de Diversión y Recreativas(71399); Bares y Otros Lugares para Beber(7224)</t>
  </si>
  <si>
    <t>Expendio Por Autoservicio De Comidas Preparadas (I5612); Expendio De Bebidas Alcohólicas Para El Consumo Dentro Del Establecimiento (I5630); Otras Actividades Recreativas Y De Esparcimiento N.C.P. (R9329)</t>
  </si>
  <si>
    <t>Carrera 13 79 59</t>
  </si>
  <si>
    <t>fabianortizvives@gmail.com</t>
  </si>
  <si>
    <t>Ortiz Vives Fabian Eduardo (Representante Legal)</t>
  </si>
  <si>
    <t>Pa'Comer Sas</t>
  </si>
  <si>
    <t>Calle 39 A 21 - 43</t>
  </si>
  <si>
    <t>admin@pacomer.com.co</t>
  </si>
  <si>
    <t>Hans Schaepper Alarcon (Representante Legal)</t>
  </si>
  <si>
    <t>Pa Pache Sas</t>
  </si>
  <si>
    <t>Transmisión de Radio(51511); Bares y Otros Lugares para Beber(7224); Servicios Especiales de Comida(7223)</t>
  </si>
  <si>
    <t>Expendio A La Mesa De Comidas Preparadas (I5611); Actividades De Otros Servicios De Comidas (I5629); Expendio De Bebidas Alcohólicas Para El Consumo Dentro Del Establecimiento (I5630); Actividades De Programación Y Transmisión En El Servicio De Radiodifusión Sonora (J6010)</t>
  </si>
  <si>
    <t>Calle 117 # 6 - 40</t>
  </si>
  <si>
    <t>papachebog@gmail.com</t>
  </si>
  <si>
    <t>Edgar Andres Fernandez Falla (Representante Legal)</t>
  </si>
  <si>
    <t>P&amp;P Liquors Store S.A.S</t>
  </si>
  <si>
    <t>Carnicerías(44521); Bares y Otros Lugares para Beber(7224); Cervecerías, Vinaterías y Tiendas de Licores(4453)</t>
  </si>
  <si>
    <t>Comercio Al Por Menor De Carnes (Incluye Aves De Corral), Productos Cárnicos, Pescados Y Productos De Mar, En Establecimientos Especializados (G4723); Comercio Al Por Menor De Bebidas Y Productos Del Tabaco, En Establecimientos Especializados (G4724); Expendio De Bebidas Alcohólicas Para El Consumo Dentro Del Establecimiento (I5630)</t>
  </si>
  <si>
    <t>Cl 31 No. 13 A 51 Lc</t>
  </si>
  <si>
    <t>pypliquorsstore@gmail.com</t>
  </si>
  <si>
    <t>Jhon Jairo Lopez Cuesta (Representante Legal)</t>
  </si>
  <si>
    <t>P Cadiz Real Sas</t>
  </si>
  <si>
    <t>Cafeterías y Bares para Bebidas sin Alcohol(722515); Servicios Relacionados con el Transporte por Carretera(4884)</t>
  </si>
  <si>
    <t>Actividades De Estaciones, Vías Y Servicios Complementarios Para El Transporte Terrestre (H5221); Expendio De Comidas Preparadas En Cafeterías (I5613)</t>
  </si>
  <si>
    <t>Cl 19 No. 5 - 51 Of 202</t>
  </si>
  <si>
    <t>pcadizreal@gmail.com</t>
  </si>
  <si>
    <t>Israel Antonio Gomez Guzman (Representante Legal)</t>
  </si>
  <si>
    <t>Ozzy Company Sas</t>
  </si>
  <si>
    <t>Av Boyaca No. 64 F - 15</t>
  </si>
  <si>
    <t>ozzyrocksociety@gmail.com</t>
  </si>
  <si>
    <t>Juan Felipe Gutierrez Ruiz (Representante Legal)</t>
  </si>
  <si>
    <t>Ozuland Sas</t>
  </si>
  <si>
    <t>Demás Servicios Profesionales, Científicos y Técnicos(54199); Bares y Otros Lugares para Beber(7224); Otras Construcciones Pesadas y de Ingeniería Civil(2379)</t>
  </si>
  <si>
    <t>Construcción De Otras Obras De Ingeniería Civil (F4290); Expendio De Bebidas Alcohólicas Para El Consumo Dentro Del Establecimiento (I5630); Otras Actividades Profesionales, Científicas Y Técnicas N.C.P. (M7490)</t>
  </si>
  <si>
    <t>Cl 53 A Bis No. 21 54 To C Ap 301</t>
  </si>
  <si>
    <t>ozulandsas@gmail.com</t>
  </si>
  <si>
    <t>Orto Enrique Zurique Land (Representante Legal)</t>
  </si>
  <si>
    <t>Oz Corporation Sas</t>
  </si>
  <si>
    <t>Cra 18 # 10 - 38</t>
  </si>
  <si>
    <t>oz2004@yahoo.com</t>
  </si>
  <si>
    <t>Nathalia Andrea Lombana Maldonado (Representante Legal)</t>
  </si>
  <si>
    <t>Oz Colombia S.A.S</t>
  </si>
  <si>
    <t>Cl 21 No. 5 31</t>
  </si>
  <si>
    <t>ozfunplace@gmail.com</t>
  </si>
  <si>
    <t>Carlos Alberto Marin Meneses (Representante Legal)</t>
  </si>
  <si>
    <t>Overground Sas</t>
  </si>
  <si>
    <t>Cl 113 No. 10 13</t>
  </si>
  <si>
    <t>overgroundcollectiveog@gmail.com</t>
  </si>
  <si>
    <t>Luis Felipe Rodriguez Segura (Representante Legal)</t>
  </si>
  <si>
    <t>Over-Bet Sas</t>
  </si>
  <si>
    <t>Demás Tipos de Industrias de Diversión y Recreativas(71399); Bares y Otros Lugares para Beber(7224); Industrias de Juego(7132)</t>
  </si>
  <si>
    <t>Expendio De Bebidas Alcohólicas Para El Consumo Dentro Del Establecimiento (I5630); Actividades De Juegos De Azar Y Apuestas (R9200); Otras Actividades Recreativas Y De Esparcimiento N.C.P. (R9329)</t>
  </si>
  <si>
    <t>Cr 13 No 83 - 54</t>
  </si>
  <si>
    <t>overbet2023@gmail.com</t>
  </si>
  <si>
    <t>Nohora Patricia Garzon Hernandez (Representante Legal)</t>
  </si>
  <si>
    <t>Otra S.A.S</t>
  </si>
  <si>
    <t>Cr 4 No. 58 32 Lc B</t>
  </si>
  <si>
    <t>PIZZABARVINILOS@GMAIL.COM</t>
  </si>
  <si>
    <t>Guillermo Palacio Uribe (Representante Legal)</t>
  </si>
  <si>
    <t>Osmuben S.A.S</t>
  </si>
  <si>
    <t>Cafeterías y Bares para Bebidas sin Alcohol(722515); Tiendas de Comidas Artesanales(4452); Panaderías y Producción de Tortillas(3118)</t>
  </si>
  <si>
    <t>Elaboración De Productos De Panadería (C1081); Comercio Al Por Menor De Leche, Productos Lácteos Y Huevos, En Establecimientos Especializados (G4722); Expendio De Comidas Preparadas En Cafeterías (I5613)</t>
  </si>
  <si>
    <t>Cl 175 No. 61 24</t>
  </si>
  <si>
    <t>osmubensas@hotmail.com</t>
  </si>
  <si>
    <t>Claudia Lizeth Ostos Muñoz (Representante Legal)</t>
  </si>
  <si>
    <t>Oscan Sas</t>
  </si>
  <si>
    <t>Cl 128 B No. 21 93 Ap 704 To 2</t>
  </si>
  <si>
    <t>argemironi@hotmail.com</t>
  </si>
  <si>
    <t>Argemiro Niño Ojeda (Representante Legal)</t>
  </si>
  <si>
    <t>Oryza Sativa Sas</t>
  </si>
  <si>
    <t>Cr 8 A 98 38</t>
  </si>
  <si>
    <t>cgiraldoe@hotmail.com</t>
  </si>
  <si>
    <t>Jose Neftali Acuña Bayona (Representante Legal)</t>
  </si>
  <si>
    <t>Orleans House S.A.S</t>
  </si>
  <si>
    <t>Tv 3 No. 47 53</t>
  </si>
  <si>
    <t>admin@orleansh.com</t>
  </si>
  <si>
    <t>Gustavo Adolfo Carvajal Vergara (Representante Legal)</t>
  </si>
  <si>
    <t>Orja Inversiones S.A.S.</t>
  </si>
  <si>
    <t>Cr 6 No. 57 44 In 2 Ap 202</t>
  </si>
  <si>
    <t>orjainversiones@gmail.com</t>
  </si>
  <si>
    <t>Jose Javier Hernandez (Representante Legal)</t>
  </si>
  <si>
    <t>Orion Gastrobar Sas</t>
  </si>
  <si>
    <t>Kr 71 D # 12 85</t>
  </si>
  <si>
    <t>oriongastrobar@gmail.com</t>
  </si>
  <si>
    <t>Julian Alberto Dussan Gomez (Representante Legal)</t>
  </si>
  <si>
    <t>Orígenes Café Colombia S.A.S.</t>
  </si>
  <si>
    <t>Tiendas de Electrodomésticos(443141); Otras Tiendas de Comidas Artesanales(44529); Bares y Otros Lugares para Beber(7224); Comerciantes al por Mayor de Productos Agrícolas de Materias Primas(4245)</t>
  </si>
  <si>
    <t>Comerciantes al por Mayor de Productos Agrícolas de Materias Primas(4245)</t>
  </si>
  <si>
    <t>Comercio Al Por Mayor De Materias Primas Agropecuarias; Animales Vivos (G4620); Comercio Al Por Menor De Otros Productos Alimenticios N.C.P., En Establecimientos Especializados (G4729); Comercio Al Por Menor De Artículos Y Utensilios De Uso Doméstico (G4755); Expendio De Bebidas Alcohólicas Para El Consumo Dentro Del Establecimiento (I5630)</t>
  </si>
  <si>
    <t>Comercio Al Por Mayor De Materias Primas Agropecuarias; Animales Vivos (G4620)</t>
  </si>
  <si>
    <t>Calle 11 No. 2 - 98</t>
  </si>
  <si>
    <t>origenescafe@origenescafe.net</t>
  </si>
  <si>
    <t>Juan Camilo Valencia Mendoza (Representante Legal)</t>
  </si>
  <si>
    <t>Origen Coffee Group Sas</t>
  </si>
  <si>
    <t>Cafeterías y Bares para Bebidas sin Alcohol(722515); Empresas de Catering(72232); Hoteles (excepto Hoteles Casino) y Moteles(72111)</t>
  </si>
  <si>
    <t>Alojamiento En Hoteles (I5511); Expendio De Comidas Preparadas En Cafeterías (I5613); Catering Para Eventos (I5621)</t>
  </si>
  <si>
    <t>Cl 25 B No 69B 71</t>
  </si>
  <si>
    <t>juans.correar@hotmail.com</t>
  </si>
  <si>
    <t>Juan Sebastian Correa Ramirez (Representante Legal)</t>
  </si>
  <si>
    <t>Organización Sirblack Sas</t>
  </si>
  <si>
    <t>Cl 72 No. 9 60 Lc 1 Ed Torre Porcincula</t>
  </si>
  <si>
    <t>DANIELRIVERA94@HOTMAIL.COM</t>
  </si>
  <si>
    <t>Jesus Daniel Rivera Soto (Representante Legal)</t>
  </si>
  <si>
    <t>Organizacion Rqc S A S</t>
  </si>
  <si>
    <t>Cr 82 No. 17 95 Lc 7</t>
  </si>
  <si>
    <t>organizacionrqc@gmail.com</t>
  </si>
  <si>
    <t>Organizacion Jofra S A S</t>
  </si>
  <si>
    <t>Cr 68 D No. 24A - 50 In 3 / 704</t>
  </si>
  <si>
    <t>jorjisal41@gmail.com</t>
  </si>
  <si>
    <t>Jorge Jimenez Sabogal (Representante Legal)</t>
  </si>
  <si>
    <t>Organización Buna Sas</t>
  </si>
  <si>
    <t>Cl 104 No. 19 40</t>
  </si>
  <si>
    <t>organizacionbuma01@gmail.com</t>
  </si>
  <si>
    <t>Juan Pablo Ramirez Perez (Representante Legal)</t>
  </si>
  <si>
    <t>Organicos D&amp;D Sas</t>
  </si>
  <si>
    <t>Fabricación de Todos los Demás Tipos de Alimentos Diversos(311999); Restaurantes y Otros Lugares para Comer(72251); Empresas de Catering(72232)</t>
  </si>
  <si>
    <t>Elaboración De Otros Productos Alimenticios N.C.P. (C1089); Expendio A La Mesa De Comidas Preparadas (I5611); Expendio Por Autoservicio De Comidas Preparadas (I5612); Catering Para Eventos (I5621)</t>
  </si>
  <si>
    <t>Cl 127 C No. 5 A 29</t>
  </si>
  <si>
    <t>mvzcatalina@gmail.com</t>
  </si>
  <si>
    <t>Laura Catalina Peña Ramirez (Representante Legal)</t>
  </si>
  <si>
    <t>Oreto S A S</t>
  </si>
  <si>
    <t>Cl 127 C Bis No. 7 - 20 Ap 201</t>
  </si>
  <si>
    <t>pizzaoreto@gmail.com</t>
  </si>
  <si>
    <t>Monica Otero Baron (Representante Legal)</t>
  </si>
  <si>
    <t>Orejas El Original Ns S.A.S</t>
  </si>
  <si>
    <t>Expendio A La Mesa De Comidas Preparadas (I5611); Expendio De Bebidas Alcohólicas Para El Consumo Dentro Del Establecimiento (I5630); Actividades De Espectáculos Musicales En Vivo (R9007); Otras Actividades Recreativas Y De Esparcimiento N.C.P. (R9329)</t>
  </si>
  <si>
    <t>Cl 1 D Bis No. 26 A 13</t>
  </si>
  <si>
    <t>OREJASELORIGINALNS@GMAIL.COM</t>
  </si>
  <si>
    <t>Serna Ortiz Natalia Maria (Representante Legal)</t>
  </si>
  <si>
    <t>Orange Green Investments S.A.S</t>
  </si>
  <si>
    <t>Bares y Otros Lugares para Beber(7224); Servicios Especiales de Comida(7223); Comerciantes al por Mayor de Bienes No Duraderos Diversos(4249)</t>
  </si>
  <si>
    <t>Comercio Al Por Mayor No Especializado (G4690); Expendio A La Mesa De Comidas Preparadas (I5611); Expendio De Bebidas Alcohólicas Para El Consumo Dentro Del Establecimiento (I5630)</t>
  </si>
  <si>
    <t>Calle 24 D 80 B 44 Piso 2</t>
  </si>
  <si>
    <t>contabilidad.oginvestments@gmail.com</t>
  </si>
  <si>
    <t>Elizabeth Castrillon Moreno (Representante Legal)</t>
  </si>
  <si>
    <t>Orale Guey Gastrobar S.A.S</t>
  </si>
  <si>
    <t>Carrera 113 18 A 71</t>
  </si>
  <si>
    <t>oraleguey.col@gmail.com</t>
  </si>
  <si>
    <t>Joan Sebastian Macias Sanchez (Representante Legal)</t>
  </si>
  <si>
    <t>Oporto Pollo Portugues Sas</t>
  </si>
  <si>
    <t>Cr 68 A No. 24 B 10 Lc 2 36</t>
  </si>
  <si>
    <t>oportopolloportugues@gmail.com</t>
  </si>
  <si>
    <t>Julian Emilio Montenegro Salazar (Representante Legal)</t>
  </si>
  <si>
    <t>Operadora De Restaurantes Cash Sas</t>
  </si>
  <si>
    <t>Cl 93 B No. 11 A 84</t>
  </si>
  <si>
    <t>contabilidadyfinanzasms@outlook.com</t>
  </si>
  <si>
    <t>Alvaro Javier Castaño Haddad (Representante Legal)</t>
  </si>
  <si>
    <t>Operadora De Alimentos Y Bebidas S.A.S</t>
  </si>
  <si>
    <t>Cl 59C Sur51 - 21Lc 289</t>
  </si>
  <si>
    <t>operadoradealimentosybebidas@gmail.com</t>
  </si>
  <si>
    <t>Lina Vanessa Torres Quiroga (Representante Legal)</t>
  </si>
  <si>
    <t>Operacion 8 S.A.S.</t>
  </si>
  <si>
    <t>Comerciantes al por Mayor de Otros Productos No Duraderos Diversos(42499); Bares y Otros Lugares para Beber(7224); Servicios Especiales de Comida(7223); Supermercados(4451)</t>
  </si>
  <si>
    <t>Comerciantes al por Mayor de Otros Productos No Duraderos Diversos(42499)</t>
  </si>
  <si>
    <t>Comercio Al Por Mayor De Otros Productos N.C.P. (G4669); Comercio Al Por Menor En Establecimientos No Especializados Con Surtido Compuesto Principalmente Por Alimentos, Bebidas O Tabaco (G4711); Expendio A La Mesa De Comidas Preparadas (I5611); Expendio De Bebidas Alcohólicas Para El Consumo Dentro Del Establecimiento (I5630)</t>
  </si>
  <si>
    <t>Comercio Al Por Mayor De Otros Productos N.C.P. (G4669)</t>
  </si>
  <si>
    <t>Calle 102 A # 70 C - 55</t>
  </si>
  <si>
    <t>sjaramillodlr@gmail.com</t>
  </si>
  <si>
    <t>Sebastian Jaramillo De La Roche (Representante Legal)</t>
  </si>
  <si>
    <t>Open Drinks D.C. Sas</t>
  </si>
  <si>
    <t>Cl 10 B No. 81 F 20</t>
  </si>
  <si>
    <t>opendrinksdcsas@gmail.com</t>
  </si>
  <si>
    <t>Hugo German Ocampo Cabrera (Representante Legal)</t>
  </si>
  <si>
    <t>Open Café Bistró S.A.S.</t>
  </si>
  <si>
    <t>Cl 145 No. 91 19 Lc 13 101</t>
  </si>
  <si>
    <t>opencafelibro@gmail.com</t>
  </si>
  <si>
    <t>Hilber Gabriel Narvaez Alvarez (Representante Legal)</t>
  </si>
  <si>
    <t>Onza Sas</t>
  </si>
  <si>
    <t>Cr 9 # 79 - 02</t>
  </si>
  <si>
    <t>m.alejandraug@gmail.com</t>
  </si>
  <si>
    <t>Maria Alejandra Uribe Garcia (Representante Legal)</t>
  </si>
  <si>
    <t>One Pola Pub Sas</t>
  </si>
  <si>
    <t>Ak 27 No. 2 B 40</t>
  </si>
  <si>
    <t>co450271@gmail.com</t>
  </si>
  <si>
    <t>Cristian David Ortega Ramirez (Representante Legal)</t>
  </si>
  <si>
    <t>Onceyonce Sas</t>
  </si>
  <si>
    <t>Restaurantes y Otros Lugares para Comer(72251); Industrias de Grabación de Sonido(5122)</t>
  </si>
  <si>
    <t>Expendio Por Autoservicio De Comidas Preparadas (I5612); Actividades De Grabación De Sonido Y Edición De Música (J5920)</t>
  </si>
  <si>
    <t>Cl 118 # 15A - 56 Ap 602</t>
  </si>
  <si>
    <t>bogota1216@freshii.com</t>
  </si>
  <si>
    <t>Alejandro Gonzalez Piñeros (Representante Legal)</t>
  </si>
  <si>
    <t>Once Trigos Sas</t>
  </si>
  <si>
    <t>Calle 90 # 15 - 25</t>
  </si>
  <si>
    <t>annatnaumova@gmail.com</t>
  </si>
  <si>
    <t>Anna Maria Tejada Naumova (Representante Legal)</t>
  </si>
  <si>
    <t>Onapo Salitre Sas</t>
  </si>
  <si>
    <t>Tv 19 A No 98 - 28</t>
  </si>
  <si>
    <t>onaposalitreplaza@gmail.com</t>
  </si>
  <si>
    <t>Jose Luis Moreno Caballero (Representante Legal)</t>
  </si>
  <si>
    <t>Omac Grupo Empresarial Sas</t>
  </si>
  <si>
    <t>Cafeterías y Bares para Bebidas sin Alcohol(722515); Oficinas de Administrción Corporativas, Subsidiarias y Regionales(551114); Otras Compañías de Artes Escénicas(71119); Servicios Especiales de Comida(7223)</t>
  </si>
  <si>
    <t>Expendio A La Mesa De Comidas Preparadas (I5611); Expendio De Comidas Preparadas En Cafeterías (I5613); Actividades De Administración Empresarial (M7010); Otras Actividades De Espectáculos En Vivo N.C.P. (R9008)</t>
  </si>
  <si>
    <t>Calle 4 # 51 A - 92</t>
  </si>
  <si>
    <t>omacgrupoemp@gmail.com</t>
  </si>
  <si>
    <t>Claudia Patricia Camargo Pareja (Representante Legal)</t>
  </si>
  <si>
    <t>Oliva Comida Saludable S A S</t>
  </si>
  <si>
    <t>Calle 70 A No. 6 24</t>
  </si>
  <si>
    <t>soco1soco1soco1@yahoo.com</t>
  </si>
  <si>
    <t>Maria Del Socorro Alvarez Jaramillo (Representante Legal)</t>
  </si>
  <si>
    <t>Olimpo Club Mirador Centro De Convenciones Calera Plaza Sas</t>
  </si>
  <si>
    <t>Km 4.5 Via A La Calera</t>
  </si>
  <si>
    <t>jaimefino2013@hotmail.com</t>
  </si>
  <si>
    <t>Jaime Alexander Fino Narvaez (Representante Legal)</t>
  </si>
  <si>
    <t>Oldtrafford Pub S.A.S. En Liquidacion</t>
  </si>
  <si>
    <t>Cl 34 No. 13 A 84</t>
  </si>
  <si>
    <t>iomar-10@hotmail.com</t>
  </si>
  <si>
    <t>Iomar Ervey Yara Bautista (Representante Legal)</t>
  </si>
  <si>
    <t>Old Texas Grill Sas S.A.S</t>
  </si>
  <si>
    <t>Carrera 93 B 129 B 53</t>
  </si>
  <si>
    <t>oldtexasgrill1@gmail.com</t>
  </si>
  <si>
    <t>Maria Camila Parra Mora (Representante Legal)</t>
  </si>
  <si>
    <t>Ok Organikos Sas</t>
  </si>
  <si>
    <t>Ak 45 No. 93 39</t>
  </si>
  <si>
    <t>ymorales@bienestarprimero.com</t>
  </si>
  <si>
    <t>Hector Daniel Garcia Cruz (Representante Legal)</t>
  </si>
  <si>
    <t>Ojo De Gato Market Sas</t>
  </si>
  <si>
    <t>Tiendas de Electrodomésticos(443141); Bares y Otros Lugares para Beber(7224); Servicios Especiales de Comida(7223); Fabricación de Jabón, Productos de Limpieza y Artículos de Tocador(3256)</t>
  </si>
  <si>
    <t>Fabricación De Jabones Y Detergentes, Preparados Para Limpiar Y Pulir; Perfumes Y Preparados De Tocador (C2023); Comercio Al Por Menor De Otros Artículos Domésticos En Establecimientos Especializados (G4759); Expendio A La Mesa De Comidas Preparadas (I5611); Expendio De Bebidas Alcohólicas Para El Consumo Dentro Del Establecimiento (I5630)</t>
  </si>
  <si>
    <t>Cl 45 No. 20 43 Lc 2</t>
  </si>
  <si>
    <t>godegatotienda@gmail.com</t>
  </si>
  <si>
    <t>Giselle Paola Tovar Barragan (Representante Legal)</t>
  </si>
  <si>
    <t>Ohana Sas (Bogotá D.C.)</t>
  </si>
  <si>
    <t>Alojamiento En Hoteles (I5511); Servicio Por Horas (I5530); Expendio A La Mesa De Comidas Preparadas (I5611); Expendio De Bebidas Alcohólicas Para El Consumo Dentro Del Establecimiento (I5630)</t>
  </si>
  <si>
    <t>Cl 24 B # 71 A 53 To 5 Ap 103</t>
  </si>
  <si>
    <t>info@ohanasas.com</t>
  </si>
  <si>
    <t>Jose Francisco Pana Maestre (Representante Legal)</t>
  </si>
  <si>
    <t>Offside Club Sas</t>
  </si>
  <si>
    <t>Fabricación de Alimentos Preparados Perecederos(311991); Bares y Otros Lugares para Beber(7224); Servicios Especiales de Comida(7223); Tiendas de Venta Directa(4543)</t>
  </si>
  <si>
    <t>Elaboración De Comidas Y Platos Preparados (C1084); Otros Tipos De Comercio Al Por Menor No Realizado En Establecimientos, Puestos De Venta O Mercados. (G4799); Expendio A La Mesa De Comidas Preparadas (I5611); Expendio De Bebidas Alcohólicas Para El Consumo Dentro Del Establecimiento (I5630)</t>
  </si>
  <si>
    <t>Cl 74 No. 15 - 42 P 2</t>
  </si>
  <si>
    <t>offside74@gmail.com</t>
  </si>
  <si>
    <t>Fredy Alejandro Delgado Gonzalez (Representante Legal)</t>
  </si>
  <si>
    <t>Office Coffee Sas</t>
  </si>
  <si>
    <t>Cr 8D No. 192 40 Ap 105</t>
  </si>
  <si>
    <t>officecoffeesas@gmail.com</t>
  </si>
  <si>
    <t>Yesi Catalina Zuluaga Calderon (Representante Legal)</t>
  </si>
  <si>
    <t>Odeli Bogota Sas</t>
  </si>
  <si>
    <t>Calle 113 # 7 - 21 L</t>
  </si>
  <si>
    <t>odelibogota@hotmail.com</t>
  </si>
  <si>
    <t>Juan Pablo Torres De Los Rios (Representante Legal)</t>
  </si>
  <si>
    <t>Oculto Sas</t>
  </si>
  <si>
    <t>Dg 23 Bis No. 19 A 41</t>
  </si>
  <si>
    <t>burgeroculto@gmail.com</t>
  </si>
  <si>
    <t>Ortiz Ramirez Jeisson Mauricio (Representante Legal)</t>
  </si>
  <si>
    <t>Oculto Coffee Sas</t>
  </si>
  <si>
    <t>Cafeterías y Bares para Bebidas sin Alcohol(722515); Fabricación de Café y Té(31192); Tiendas de Electrónica y de Venta por Correo(4541); Supermercados(4451)</t>
  </si>
  <si>
    <t>Otros Derivados Del Café (C1063); Comercio Al Por Menor En Establecimientos No Especializados Con Surtido Compuesto Principalmente Por Alimentos, Bebidas O Tabaco (G4711); Comercio Al Por Menor Realizado A Través De Internet (G4791); Expendio De Comidas Preparadas En Cafeterías (I5613)</t>
  </si>
  <si>
    <t>Cr 62 No. 100 63</t>
  </si>
  <si>
    <t>MATEO@OCULTOCO.COM</t>
  </si>
  <si>
    <t>Osorio Haeckermann Mateo (Representante Legal)</t>
  </si>
  <si>
    <t>Octiclean Car Wash S.A.S.</t>
  </si>
  <si>
    <t>Cr 19 C 86 30 Of 504</t>
  </si>
  <si>
    <t>eruedaprada@gmail.com</t>
  </si>
  <si>
    <t>Erica Leonor Rueda Prada (Representante Legal)</t>
  </si>
  <si>
    <t>Obradorcol S.A.S</t>
  </si>
  <si>
    <t>Carrera 24 39 22 Local 3</t>
  </si>
  <si>
    <t>obradorbogota@gmail.com</t>
  </si>
  <si>
    <t>Juan Pablo Aloisi (Representante Legal)</t>
  </si>
  <si>
    <t>O&amp;P1 S.A.S</t>
  </si>
  <si>
    <t>Restaurantes y Otros Lugares para Comer(72251); Servicios Especiales de Comida(7223); Conservación de Frutas, Verduras y Fabricación de Alimentos Especializados(3114)</t>
  </si>
  <si>
    <t>Procesamiento Y Conservación De Frutas, Legumbres, Hortalizas Y Tubérculos (C1020); Expendio Por Autoservicio De Comidas Preparadas (I5612); Otros Tipos De Expendio De Comidas Preparadas N.C.P. (I5619)</t>
  </si>
  <si>
    <t>Av Boyacá # 80 - 94 Cen</t>
  </si>
  <si>
    <t>oyp1.sas@gmail.com</t>
  </si>
  <si>
    <t>Jeisson Fernando Leon Alonso (Representante Legal)</t>
  </si>
  <si>
    <t>O Clock Universe Sas</t>
  </si>
  <si>
    <t>Cafeterías y Bares para Bebidas sin Alcohol(722515); Demás Diversas Escuelas y Enseñanza(611699); Tiendas de Mercancía General, incluyendo Grandes Almacenes(45231); Panaderías y Producción de Tortillas(3118)</t>
  </si>
  <si>
    <t>Elaboración De Productos De Panadería (C1081); Comercio Al Por Menor En Establecimientos No Especializados, Con Surtido Compuesto Principalmente Por Productos Diferentes De Alimentos (Víveres En General), Bebidas Y Tabaco (G4719); Expendio De Comidas Preparadas En Cafeterías (I5613); Formación Para El Trabajo (P8551)</t>
  </si>
  <si>
    <t>Cl 64 F No. 97 A 72</t>
  </si>
  <si>
    <t>vmr.diez@gmail.com</t>
  </si>
  <si>
    <t>Luz Vanessa Maldonado Ramirez (Representante Legal)</t>
  </si>
  <si>
    <t>Nymy S A S</t>
  </si>
  <si>
    <t>Cafeterías y Bares para Bebidas sin Alcohol(722515); Servicios de Ingeniería(54133); Oficinas de Agentes Inmobiliarios y Corredores(5312); Tiendas de Artículos Diversos(453)</t>
  </si>
  <si>
    <t>Comercio Al Por Menor De Otros Productos Nuevos En Establecimientos Especializados (G4774); Expendio De Comidas Preparadas En Cafeterías (I5613); Actividades Inmobiliarias Realizadas A Cambio De Una Retribución O Por Contrata (L6820); Actividades De Ingeniería Y Otras Actividades Conexas De Consultoría Técnica (M7112)</t>
  </si>
  <si>
    <t>Cl 90 # 18 53</t>
  </si>
  <si>
    <t>info@nymy.com.co</t>
  </si>
  <si>
    <t>Sergio Felipe Blanco Barrero (Representante Legal)</t>
  </si>
  <si>
    <t>Nutriservir Gourmet Sas</t>
  </si>
  <si>
    <t>Calle 38 No. 8 - 28 Ofc. 501</t>
  </si>
  <si>
    <t>gerencia@nutriservirgourmet.com</t>
  </si>
  <si>
    <t>Claudia Alexandra Caballero Torres (Representante Legal)</t>
  </si>
  <si>
    <t>Nutriservicio Jj Sas</t>
  </si>
  <si>
    <t>Diagonal 77 B 119 A 73 Torre 1 602</t>
  </si>
  <si>
    <t>nutriserviciojj@gmail.com</t>
  </si>
  <si>
    <t>Jose Joaquin Ortiz Leon (Representante Legal)</t>
  </si>
  <si>
    <t>Nutri Food Sas</t>
  </si>
  <si>
    <t>Expendio Por Autoservicio De Comidas Preparadas (I5612); Expendio De Comidas Preparadas En Cafeterías (I5613); Otros Tipos De Expendio De Comidas Preparadas N.C.P. (I5619)</t>
  </si>
  <si>
    <t>Cr 50 79 14 Piso 3</t>
  </si>
  <si>
    <t>nutrifoodsas@hotmail.com</t>
  </si>
  <si>
    <t>Laura Mercedes Saenz Torres (Representante Legal)</t>
  </si>
  <si>
    <t>Nuestro Pan 76 S.A.S.</t>
  </si>
  <si>
    <t>Cafeterías y Bares para Bebidas sin Alcohol(722515); Fabricación de Alimentos Preparados Perecederos(311991); Fabricación de Pasta Seca, Masa y Harinas Preparadas de Harina Comprada(311824)</t>
  </si>
  <si>
    <t>Elaboración De Productos De Panadería (C1081); Elaboración De Macarrones, Fideos, Alcuzcuz Y Productos Farináceos Similares (C1083); Elaboración De Comidas Y Platos Preparados (C1084); Expendio De Comidas Preparadas En Cafeterías (I5613)</t>
  </si>
  <si>
    <t>Cr 11 76 14 Lc 1</t>
  </si>
  <si>
    <t>gerencia@doja.com.co</t>
  </si>
  <si>
    <t>Carlos Alberto Jaimes De Leon (Representante Legal)</t>
  </si>
  <si>
    <t>Nuestra Generacion Sas</t>
  </si>
  <si>
    <t>Bares y Otros Lugares para Beber(7224); Servicios Especiales de Comida(7223); Tiendas de Artículos Diversos(453)</t>
  </si>
  <si>
    <t>Comercio Al Por Menor De Otros Productos Nuevos En Establecimientos Especializados (G4774); Expendio A La Mesa De Comidas Preparadas (I5611); Expendio De Bebidas Alcohólicas Para El Consumo Dentro Del Establecimiento (I5630)</t>
  </si>
  <si>
    <t>Cr 4 No. 54 31</t>
  </si>
  <si>
    <t>nuestrageneracionsas@gmail.com</t>
  </si>
  <si>
    <t>Mauricio Bernal Galindo (Representante Legal)</t>
  </si>
  <si>
    <t>Nova Tech Corp S.A.S</t>
  </si>
  <si>
    <t>Restaurantes y Otros Lugares para Comer(72251); Otras Telecomunicaciones(51791); Comercio de Artículos Electrónicos y Electrodomésticos(44314); Comerciantes al por Mayor de Electrodomésticos, Artículos del Hogar Eléctricos y Electrónicos de Consumo(42362)</t>
  </si>
  <si>
    <t>Comerciantes al por Mayor de Electrodomésticos, Artículos del Hogar Eléctricos y Electrónicos de Consumo(42362)</t>
  </si>
  <si>
    <t>Comercio Al Por Mayor De Equipo, Partes Y Piezas Electrónicos Y De Telecomunicaciones (G4652); Comercio Al Por Menor De Computadores, Equipos Periféricos, Programas De Informática Y Equipos De Telecomunicaciones En Establecimientos Especializados (G4741); Expendio Por Autoservicio De Comidas Preparadas (I5612); Otras Actividades De Telecomunicaciones (J6190)</t>
  </si>
  <si>
    <t>Comercio Al Por Mayor De Equipo, Partes Y Piezas Electrónicos Y De Telecomunicaciones (G4652)</t>
  </si>
  <si>
    <t>Carrera 80C # 24C - 13</t>
  </si>
  <si>
    <t>novatechcorpsas@gmail.com</t>
  </si>
  <si>
    <t>Juan Eduardo Mejia Zarate (Representante Legal)</t>
  </si>
  <si>
    <t>Nova Club Cms Sas</t>
  </si>
  <si>
    <t>Oficinas de Convenciones y Visitantes(561591); Bares y Otros Lugares para Beber(7224)</t>
  </si>
  <si>
    <t>Expendio De Bebidas Alcohólicas Para El Consumo Dentro Del Establecimiento (I5630); Organización De Convenciones Y Eventos Comerciales (N8230)</t>
  </si>
  <si>
    <t>Cr 13 A No 98 - 74</t>
  </si>
  <si>
    <t>sergiotautiva@gmail.com</t>
  </si>
  <si>
    <t>Sergio Andres Tautiva Ochoa (Representante Legal)</t>
  </si>
  <si>
    <t>Nostro Sas</t>
  </si>
  <si>
    <t>Cl 95 No. 47 33 Lc 8</t>
  </si>
  <si>
    <t>nostro.panaderia@gmail.com</t>
  </si>
  <si>
    <t>Ana Isabel Jimenez Galvis (Representante Legal)</t>
  </si>
  <si>
    <t>Nostra Tienda Sas</t>
  </si>
  <si>
    <t>Restaurantes y Otros Lugares para Comer(72251); Comercio de Artículos Electrónicos y Electrodomésticos(44314); Tiendas de Electrónica y de Venta por Correo(4541); Procesamiento de Datos, Proveedores de Internet y Servicios Relacionados(518)</t>
  </si>
  <si>
    <t>Comercio de Artículos Electrónicos y Electrodomésticos(44314)</t>
  </si>
  <si>
    <t>Comercio Al Por Menor De Computadores, Equipos Periféricos, Programas De Informática Y Equipos De Telecomunicaciones En Establecimientos Especializados (G4741); Comercio Al Por Menor Realizado A Través De Internet (G4791); Expendio Por Autoservicio De Comidas Preparadas (I5612); Procesamiento De Datos, Alojamiento (Hosting) Y Actividades Relacionadas (J6311)</t>
  </si>
  <si>
    <t>Comercio Al Por Menor De Computadores, Equipos Periféricos, Programas De Informática Y Equipos De Telecomunicaciones En Establecimientos Especializados (G4741)</t>
  </si>
  <si>
    <t>Cr 12 No. 16 74</t>
  </si>
  <si>
    <t>ipablovargas@yahoo.com</t>
  </si>
  <si>
    <t>Pablo Enrique Vargas Estevez (Representante Legal)</t>
  </si>
  <si>
    <t>Nordico Café Sas</t>
  </si>
  <si>
    <t>Cafeterías y Bares para Bebidas sin Alcohol(722515); Empresas de Catering(72232); Fabricación de Café y Té(31192); Comerciantes al por Mayor de Comestibles y Productos Relacionados(4244)</t>
  </si>
  <si>
    <t>Trilla De Café (C1061); Comercio Al Por Mayor De Productos Alimenticios (G4631); Expendio De Comidas Preparadas En Cafeterías (I5613); Catering Para Eventos (I5621)</t>
  </si>
  <si>
    <t>Cr 30 A 25 A 20</t>
  </si>
  <si>
    <t>catalinamr04@hotmail.com</t>
  </si>
  <si>
    <t>Diana Catalina Martinez Rodriguez (Representante Legal)</t>
  </si>
  <si>
    <t>Nopalitos.Co Sas</t>
  </si>
  <si>
    <t>Cr 67 No. 62 - 35 Sur</t>
  </si>
  <si>
    <t>NOPALITOS.CO@GMAIL.COM</t>
  </si>
  <si>
    <t>Castro Perez Diana Isabel (Representante Legal)</t>
  </si>
  <si>
    <t>Nocciola Bakery Sas</t>
  </si>
  <si>
    <t>Cafeterías y Bares para Bebidas sin Alcohol(722515); Servicios Especiales de Comida(7223); Comerciantes al por Mayor de Comestibles y Productos Relacionados(4244); Panaderías y Producción de Tortillas(3118)</t>
  </si>
  <si>
    <t>Elaboración De Productos De Panadería (C1081); Comercio Al Por Mayor De Productos Alimenticios (G4631); Expendio A La Mesa De Comidas Preparadas (I5611); Expendio De Comidas Preparadas En Cafeterías (I5613)</t>
  </si>
  <si>
    <t>Cl 128 A No 54 - 47</t>
  </si>
  <si>
    <t>asis.nocciolabakery@gmail.com</t>
  </si>
  <si>
    <t>Daniela Alejandra Cadavid Ovalle (Representante Legal)</t>
  </si>
  <si>
    <t>Noas Corporation S.A.S</t>
  </si>
  <si>
    <t>Cafeterías y Bares para Bebidas sin Alcohol(722515); Tiendas de Electrodomésticos(443141); Tiendas de Electrónica y de Venta por Correo(4541)</t>
  </si>
  <si>
    <t>Tiendas de Electrodomésticos(443141)</t>
  </si>
  <si>
    <t>Comercio Al Por Menor De Artículos Y Utensilios De Uso Doméstico (G4755); Comercio Al Por Menor Realizado A Través De Internet (G4791); Expendio Por Autoservicio De Comidas Preparadas (I5612); Expendio De Comidas Preparadas En Cafeterías (I5613)</t>
  </si>
  <si>
    <t>Comercio Al Por Menor De Artículos Y Utensilios De Uso Doméstico (G4755)</t>
  </si>
  <si>
    <t>Cr 11 No. 73 44 Of 405</t>
  </si>
  <si>
    <t>noascorporation@gmail.com</t>
  </si>
  <si>
    <t>Ana Gilma Gutierrez Parra (Representante Legal)</t>
  </si>
  <si>
    <t>Ninja Group S.A.S</t>
  </si>
  <si>
    <t>Calle 12 8 23</t>
  </si>
  <si>
    <t>alejandroacostachef@gmail.com</t>
  </si>
  <si>
    <t>Nila Beautiful Sas</t>
  </si>
  <si>
    <t>Cafeterías y Bares para Bebidas sin Alcohol(722515); Servicios de Cuidado de Uñas, Pelo y Piel(81211); Tiendas de Electrónica y de Venta por Correo(4541); Supermercados(4451)</t>
  </si>
  <si>
    <t>Comercio Al Por Menor En Establecimientos No Especializados Con Surtido Compuesto Principalmente Por Alimentos, Bebidas O Tabaco (G4711); Comercio Al Por Menor Realizado A Través De Internet (G4791); Expendio De Comidas Preparadas En Cafeterías (I5613); Peluquería Y Otros Tratamientos De Belleza (S9602)</t>
  </si>
  <si>
    <t>Calle 9 Sur # 1 - 36</t>
  </si>
  <si>
    <t>panycanelamarket@gmail.com</t>
  </si>
  <si>
    <t>Lina Jineth Bareño Quintero (Representante Legal)</t>
  </si>
  <si>
    <t>Night Club Paso Texas Sas</t>
  </si>
  <si>
    <t>Demás Tipos de Alojamiento para Viajeros(721199); Otras Compañías de Artes Escénicas(71119); Otros Servicios Personales(8129); Bares y Otros Lugares para Beber(7224)</t>
  </si>
  <si>
    <t>Servicio Por Horas (I5530); Expendio De Bebidas Alcohólicas Para El Consumo Dentro Del Establecimiento (I5630); Otras Actividades De Espectáculos En Vivo N.C.P. (R9008); Otras Actividades De Servicios Personales N.C.P. (S9609)</t>
  </si>
  <si>
    <t>Cr 16 No. 23 02</t>
  </si>
  <si>
    <t>nightclubpasotexascontab@gmail.com</t>
  </si>
  <si>
    <t>Marisol Valencia Gonzalez (Representante Legal)</t>
  </si>
  <si>
    <t>Nidris Food S.A.S</t>
  </si>
  <si>
    <t>Calle 53 15 76</t>
  </si>
  <si>
    <t>nidrisfood@gmail.com</t>
  </si>
  <si>
    <t>Blanca Adriana Diaz Saenz (Representante Legal)</t>
  </si>
  <si>
    <t>Ngc Inversiones Sas</t>
  </si>
  <si>
    <t>Cra 7 # 61 - 38 Local 2 Piso</t>
  </si>
  <si>
    <t>glitchbogbar@gmail.com</t>
  </si>
  <si>
    <t>Nicolas Esteban Navas Agudelo (Representante Legal)</t>
  </si>
  <si>
    <t>Next Potion Sas</t>
  </si>
  <si>
    <t>Cafeterías y Bares para Bebidas sin Alcohol(722515); Servicios de Empaque y Etiquetado(56191); Servicios Especiales de Comida(7223)</t>
  </si>
  <si>
    <t>Servicios de Empaque y Etiquetado(56191)</t>
  </si>
  <si>
    <t>Expendio A La Mesa De Comidas Preparadas (I5611); Expendio De Comidas Preparadas En Cafeterías (I5613); Actividades De Envase Y Empaque (N8292)</t>
  </si>
  <si>
    <t>Actividades De Envase Y Empaque (N8292)</t>
  </si>
  <si>
    <t>Cr 23 No 106 - 54 Ap 301</t>
  </si>
  <si>
    <t>pocima.co@gmail.com</t>
  </si>
  <si>
    <t>Maria Paula Marulanda Vega (Representante Legal)</t>
  </si>
  <si>
    <t>Newway Business S.A.S.</t>
  </si>
  <si>
    <t>Cl 25 A 32 55</t>
  </si>
  <si>
    <t>subgerencia@trabajadorestemporales.net</t>
  </si>
  <si>
    <t>Hugo Andres Agudelo Gomez (Representante Legal)</t>
  </si>
  <si>
    <t>New Road Sas</t>
  </si>
  <si>
    <t>Restaurantes y Otros Lugares para Comer(72251); Comercio de Artículos Electrónicos y Electrodomésticos(44314)</t>
  </si>
  <si>
    <t>Comercio Al Por Menor De Computadores, Equipos Periféricos, Programas De Informática Y Equipos De Telecomunicaciones En Establecimientos Especializados (G4741); Expendio Por Autoservicio De Comidas Preparadas (I5612)</t>
  </si>
  <si>
    <t>Cr 7 C No. 130 A 21 To B Ap 408</t>
  </si>
  <si>
    <t>newroadsas@gmail.com</t>
  </si>
  <si>
    <t>Jose Alonso Umbarila Chauta (Representante Legal)</t>
  </si>
  <si>
    <t>Nevado's Ice Cream Sas</t>
  </si>
  <si>
    <t>Expendio De Comidas Preparadas En Cafeterías (I5613); Actividades De Otros Servicios De Comidas (I5629)</t>
  </si>
  <si>
    <t>Calle 6 79 59 Barrio San Pio Xii</t>
  </si>
  <si>
    <t>nevados.col@gmail.com</t>
  </si>
  <si>
    <t>Brayan David Gambasica Ariza (Representante Legal)</t>
  </si>
  <si>
    <t>Netaco Taco Sas</t>
  </si>
  <si>
    <t>Calle 119 11 A 45</t>
  </si>
  <si>
    <t>netaco.taco.bog@gmail.com</t>
  </si>
  <si>
    <t>Ernesto Fabian Abril Martinez (Representante Legal)</t>
  </si>
  <si>
    <t>Nero Hospitality Group Sas</t>
  </si>
  <si>
    <t>Cr 14 No. 77 A - 61</t>
  </si>
  <si>
    <t>joseorrego214@gmail.com</t>
  </si>
  <si>
    <t>Jose Luis Orrego Ramos (Representante Legal)</t>
  </si>
  <si>
    <t>Nero Gelateria Sas</t>
  </si>
  <si>
    <t>Tv 5 No. 87 15 Ap 80</t>
  </si>
  <si>
    <t>julioschneider@me.com</t>
  </si>
  <si>
    <t>Julio Schneider Citron (Representante Legal)</t>
  </si>
  <si>
    <t>Nelson Valbuena Pineda S.A.S</t>
  </si>
  <si>
    <t>Cafeterías y Bares para Bebidas sin Alcohol(722515); Tiendas de Mercancía General, incluyendo Grandes Almacenes(45231); Servicios Especiales de Comida(7223); Tiendas de Ropa(4481)</t>
  </si>
  <si>
    <t>Comercio Al Por Menor En Establecimientos No Especializados, Con Surtido Compuesto Principalmente Por Productos Diferentes De Alimentos (Víveres En General), Bebidas Y Tabaco (G4719); Comercio Al Por Menor De Prendas De Vestir Y Sus Accesorios (Incluye Artículos De Piel) En Establecimientos Especializados (G4771); Expendio A La Mesa De Comidas Preparadas (I5611); Expendio De Comidas Preparadas En Cafeterías (I5613)</t>
  </si>
  <si>
    <t>Cr 99 # 25 F 33</t>
  </si>
  <si>
    <t>Negroni Il Venecia Bistro Sas</t>
  </si>
  <si>
    <t>Cl 23 No. 4 A 08</t>
  </si>
  <si>
    <t>NEGRONIILVENEZIA@GMAIL.COM</t>
  </si>
  <si>
    <t>Sanchez Peña Estefania (Representante Legal)</t>
  </si>
  <si>
    <t>Navegations And Gourmet Plus Market Empresa Unipersonal</t>
  </si>
  <si>
    <t>Cafeterías y Bares para Bebidas sin Alcohol(722515); Otros Servicios de Apoyo de Negocios(56149); Tiendas de Libros y Periódicos(45121)</t>
  </si>
  <si>
    <t>Comercio Al Por Menor De Libros, Periódicos, Materiales Y Artículos De Papelería Y Escritorio, En Establecimientos Especializados (G4761); Expendio De Comidas Preparadas En Cafeterías (I5613); Otras Actividades De Servicio De Apoyo A Las Empresas N.C.P. (N8299)</t>
  </si>
  <si>
    <t>Carrera 136 A Nro 15</t>
  </si>
  <si>
    <t>romanofundador@gmail.com</t>
  </si>
  <si>
    <t>Romulo Ortiz Rodriguez (Representante Legal)</t>
  </si>
  <si>
    <t>Natutivo Mercado Saludable Sas</t>
  </si>
  <si>
    <t>Cafeterías y Bares para Bebidas sin Alcohol(722515); Otras Tiendas de Comidas Artesanales(44529)</t>
  </si>
  <si>
    <t>Comercio Al Por Menor De Otros Productos Alimenticios N.C.P., En Establecimientos Especializados (G4729); Expendio De Comidas Preparadas En Cafeterías (I5613)</t>
  </si>
  <si>
    <t>Av El Dorado No. 68 C 61 Of 318</t>
  </si>
  <si>
    <t>natutivomercado@gmail.com</t>
  </si>
  <si>
    <t>Thomas Oyuela Romero (Representante Legal)</t>
  </si>
  <si>
    <t>Natsuki Bistro Bar Sas</t>
  </si>
  <si>
    <t>Cl 12 B No. 1 26</t>
  </si>
  <si>
    <t>luzethortega@gmail.com</t>
  </si>
  <si>
    <t>Fernandez Medicci Laura Virginia (Representante Legal)</t>
  </si>
  <si>
    <t>Nativo Musik Nc Sas</t>
  </si>
  <si>
    <t>Bares y Otros Lugares para Beber(7224); Servicios Especiales de Comida(7223); Arrendadores de Bienes Inmuebles(5311)</t>
  </si>
  <si>
    <t>Expendio A La Mesa De Comidas Preparadas (I5611); Expendio De Bebidas Alcohólicas Para El Consumo Dentro Del Establecimiento (I5630); Actividades Inmobiliarias Realizadas Con Bienes Propios O Arrendados (L6810)</t>
  </si>
  <si>
    <t>Cl 135 No. 19 - 78 In 302</t>
  </si>
  <si>
    <t>octavajuridico@gmail.com</t>
  </si>
  <si>
    <t>Juan Jose Londoño Martinez (Representante Legal)</t>
  </si>
  <si>
    <t>Nastus Sas</t>
  </si>
  <si>
    <t>Cr 36 No. 25 A 34</t>
  </si>
  <si>
    <t>JAVIERCHOCOLATIER@GMAIL.COM</t>
  </si>
  <si>
    <t>Ulloa Rosatti Maria Cristina (Representante Legal)</t>
  </si>
  <si>
    <t>Naranjo &amp; Mana S.A.S</t>
  </si>
  <si>
    <t>Carrera 102 A 129 C 24</t>
  </si>
  <si>
    <t>esmeralda.naranjoc@gmail.com</t>
  </si>
  <si>
    <t>Maria Esmeralda Naranjo Cifuentes (Representante Legal)</t>
  </si>
  <si>
    <t>Napolyon El Perro Frances S.A.S</t>
  </si>
  <si>
    <t>Carrera 20 185 58</t>
  </si>
  <si>
    <t>napolyon.epf@gmail.com</t>
  </si>
  <si>
    <t>Oscar Fernando Moya Cruz (Representante Legal)</t>
  </si>
  <si>
    <t>Napoles Centro Sas</t>
  </si>
  <si>
    <t>Cr 13 A No. 18 21</t>
  </si>
  <si>
    <t>napolescentrosas@gmail.com</t>
  </si>
  <si>
    <t>Elizabeth Angulo Angulo (Representante Legal)</t>
  </si>
  <si>
    <t>Namas Sas</t>
  </si>
  <si>
    <t>Cafeterías y Bares para Bebidas sin Alcohol(722515); Servicios Especiales de Comida(7223); Comerciantes al por Mayor de Comestibles y Productos Relacionados(4244)</t>
  </si>
  <si>
    <t>Comercio Al Por Mayor De Productos Alimenticios (G4631); Expendio Por Autoservicio De Comidas Preparadas (I5612); Expendio De Comidas Preparadas En Cafeterías (I5613); Otros Tipos De Expendio De Comidas Preparadas N.C.P. (I5619)</t>
  </si>
  <si>
    <t>Cl 86 A No. 27 34 Lc</t>
  </si>
  <si>
    <t>gerencianamas@gmail.com</t>
  </si>
  <si>
    <t>Mayra Nathaly Guerra Velasquez (Representante Legal)</t>
  </si>
  <si>
    <t>Nallino Rogeles Sas</t>
  </si>
  <si>
    <t>Cl 71 No. 11 17</t>
  </si>
  <si>
    <t>yerbamateasados@hotmail.com</t>
  </si>
  <si>
    <t>Hector Fernando Nallino Mora (Representante Legal)</t>
  </si>
  <si>
    <t>Nakama Geek S.A.S</t>
  </si>
  <si>
    <t>Carrera 73 Bis 81 57 Piso 2</t>
  </si>
  <si>
    <t>admin@nakamageek.com</t>
  </si>
  <si>
    <t>Juan Sebastian Barajas Gonzalez (Representante Legal)</t>
  </si>
  <si>
    <t>Naguara House S.A.S</t>
  </si>
  <si>
    <t>Calle 156 8 A 07 Barrio Barrancas</t>
  </si>
  <si>
    <t>naguarahousecol@gmail.com</t>
  </si>
  <si>
    <t>Luis Felipe Umaña Bernal (Representante Legal)</t>
  </si>
  <si>
    <t>My Voyage Sas</t>
  </si>
  <si>
    <t>Cr 72 No. 55 78 P 1</t>
  </si>
  <si>
    <t>info@myvoyage.co</t>
  </si>
  <si>
    <t>Jeison Enrique Baron Patiño (Representante Legal)</t>
  </si>
  <si>
    <t>My Perrito Social Club Sas</t>
  </si>
  <si>
    <t>Cra 17 60 25</t>
  </si>
  <si>
    <t>tatisbar18@gmail.com</t>
  </si>
  <si>
    <t>Beatriz Alicia Ramirez Soto (Representante Legal)</t>
  </si>
  <si>
    <t>My Coffee Sas</t>
  </si>
  <si>
    <t>Cafeterías y Bares para Bebidas sin Alcohol(722515); Fabricación de Café y Té(31192); Arrendadores de Bienes Intangibles No Financieros (excepto Obras con los Derechos Reservados)(533)</t>
  </si>
  <si>
    <t>Otros Derivados Del Café (C1063); Expendio De Comidas Preparadas En Cafeterías (I5613); Arrendamiento De Propiedad Intelectual Y Productos Similares, Excepto Obras Protegidas Por Derechos De Autor (N7740)</t>
  </si>
  <si>
    <t>Cl 13 No. 19 71 En 3</t>
  </si>
  <si>
    <t>trunksgorka@gmail.com</t>
  </si>
  <si>
    <t>Gorka Carballo Lomas (Representante Legal)</t>
  </si>
  <si>
    <t>Mvd Inversiones S.A.S. en Liquidacion Judicial Simplificada</t>
  </si>
  <si>
    <t>La empresa MVD Inversiones S.A.S. se dedica a expendio por autoservicio de comidas preparadas. Opera en el mercado colombiano desde el año 2008. Tiene su sede central en la ciudad de Bogotá.</t>
  </si>
  <si>
    <t>Calle 155 # 14 - 80 Apto 204</t>
  </si>
  <si>
    <t>mvdtesoreria@gmail.com</t>
  </si>
  <si>
    <t>Gerardo Vargas Vargas en Reorganizacion (Representante Legal), Gerardo David Vargas Garnica (Representante Legal Suplente)</t>
  </si>
  <si>
    <t>Muy Buñuelo Sas</t>
  </si>
  <si>
    <t>Fabricación de Todos los Demás Tipos de Alimentos Diversos(311999); Fabricación de Alimentos Preparados Perecederos(311991); Restaurantes y Otros Lugares para Comer(72251); Comerciantes al por Mayor de Comestibles y Productos Relacionados(4244)</t>
  </si>
  <si>
    <t>Elaboración De Comidas Y Platos Preparados (C1084); Elaboración De Otros Productos Alimenticios N.C.P. (C1089); Comercio Al Por Mayor De Productos Alimenticios (G4631); Expendio Por Autoservicio De Comidas Preparadas (I5612)</t>
  </si>
  <si>
    <t>Calle 163 # 19A - 04</t>
  </si>
  <si>
    <t>info@muybunuelo.com</t>
  </si>
  <si>
    <t>Felipe Andres Lopez Moscoso (Representante Legal)</t>
  </si>
  <si>
    <t>Muvol Sas</t>
  </si>
  <si>
    <t>Cl 71 No. 1 48</t>
  </si>
  <si>
    <t>conavollmer@gmail.com</t>
  </si>
  <si>
    <t>Maria Del Consuelo Vollmer Rueda (Representante Legal)</t>
  </si>
  <si>
    <t>Musictrends Colombia Sas</t>
  </si>
  <si>
    <t>Grupos Musicales y Artistas(71113); Agencias de Publicidad(54181); Bares y Otros Lugares para Beber(7224); Tiendas de Artículos Deportivos, Hobbies e Instrumentos Musicales(4511)</t>
  </si>
  <si>
    <t>Comercio Al Por Menor De Otros Artículos Culturales Y De Entretenimiento N.C.P. En Establecimientos Especializados (G4769); Expendio De Bebidas Alcohólicas Para El Consumo Dentro Del Establecimiento (I5630); Publicidad (M7310); Actividades De Espectáculos Musicales En Vivo (R9007)</t>
  </si>
  <si>
    <t>Cll 54 A Sur No. 37 - 81 To 9 Ap 101</t>
  </si>
  <si>
    <t>contacto@musictrendcol.com</t>
  </si>
  <si>
    <t>Guasca Jimenez Andres Felipe (Representante Legal)</t>
  </si>
  <si>
    <t>Mundo Kakao S.A.S.</t>
  </si>
  <si>
    <t>Cafeterías y Bares para Bebidas sin Alcohol(722515); Fabricación de Alimentos Preparados Perecederos(311991); Supermercados(4451); Panaderías y Producción de Tortillas(3118)</t>
  </si>
  <si>
    <t>Elaboración De Productos De Panadería (C1081); Elaboración De Comidas Y Platos Preparados (C1084); Comercio Al Por Menor En Establecimientos No Especializados Con Surtido Compuesto Principalmente Por Alimentos, Bebidas O Tabaco (G4711); Expendio De Comidas Preparadas En Cafeterías (I5613)</t>
  </si>
  <si>
    <t>Cr 7 No. 77 07 Of 802</t>
  </si>
  <si>
    <t>GERENCIA@VERDORCAPITAL.COM</t>
  </si>
  <si>
    <t>Monica Del Socorro Botero Ramirez (Representante Legal)</t>
  </si>
  <si>
    <t>Mundial De Licores Mayoristas Sas</t>
  </si>
  <si>
    <t>Comerciantes al por Mayor de Tabaco y Productos de Tabaco(42494); Bares y Otros Lugares para Beber(7224); Supermercados(4451); Comerciantes al por Mayor de Cerveza, Vino y Bebidas Alcohólicas(4248)</t>
  </si>
  <si>
    <t>Comercio Al Por Mayor De Bebidas Y Tabaco (G4632); Comercio Al Por Menor En Establecimientos No Especializados Con Surtido Compuesto Principalmente Por Alimentos, Bebidas O Tabaco (G4711); Expendio De Bebidas Alcohólicas Para El Consumo Dentro Del Establecimiento (I5630)</t>
  </si>
  <si>
    <t>Cl 9 62 84 Lc 1 26</t>
  </si>
  <si>
    <t>mundialdelicoresmayoristasas@gmail.com</t>
  </si>
  <si>
    <t>Diana Paola Quiñones Villegas (Representante Legal)</t>
  </si>
  <si>
    <t>Multiverso Cultural Sas</t>
  </si>
  <si>
    <t>Cafeterías y Bares para Bebidas sin Alcohol(722515); Tiendas de Electrodomésticos(443141); Tiendas de Libros y Periódicos(45121); Bares y Otros Lugares para Beber(7224)</t>
  </si>
  <si>
    <t>Comercio Al Por Menor De Otros Artículos Domésticos En Establecimientos Especializados (G4759); Comercio Al Por Menor De Libros, Periódicos, Materiales Y Artículos De Papelería Y Escritorio, En Establecimientos Especializados (G4761); Expendio De Comidas Preparadas En Cafeterías (I5613); Expendio De Bebidas Alcohólicas Para El Consumo Dentro Del Establecimiento (I5630)</t>
  </si>
  <si>
    <t>Cr 14 No. 76 11 Of 3</t>
  </si>
  <si>
    <t>multiverso.culturalsas@gmail.com</t>
  </si>
  <si>
    <t>Daniela Velandia Anzola (Representante Legal)</t>
  </si>
  <si>
    <t>Multimarca Cido Sas</t>
  </si>
  <si>
    <t>Cr 91 147 48</t>
  </si>
  <si>
    <t>milena.malagon@spicewise.co</t>
  </si>
  <si>
    <t>Carlos Ivan Diaz Otero (Representante Legal)</t>
  </si>
  <si>
    <t>Muffins Y Panes Sas</t>
  </si>
  <si>
    <t>Cafeterías y Bares para Bebidas sin Alcohol(722515); Fabricación de Todos los Demás Tipos de Alimentos Diversos(311999); Servicios Especiales de Comida(7223); Panaderías y Producción de Tortillas(3118)</t>
  </si>
  <si>
    <t>Elaboración De Productos De Panadería (C1081); Elaboración De Otros Productos Alimenticios N.C.P. (C1089); Expendio A La Mesa De Comidas Preparadas (I5611); Expendio De Comidas Preparadas En Cafeterías (I5613)</t>
  </si>
  <si>
    <t>Cr 53 No. 103 B 01</t>
  </si>
  <si>
    <t>muffinsypanes@hotmail.com</t>
  </si>
  <si>
    <t>Guerly Rodriguez Rodriguez (Representante Legal)</t>
  </si>
  <si>
    <t>Muffins &amp; Crepes S A S</t>
  </si>
  <si>
    <t>Cr 9 No. 52 A 35</t>
  </si>
  <si>
    <t>muffinsycrepessas@gmail.com</t>
  </si>
  <si>
    <t>Fernando Murcia Gomez (Representante Legal)</t>
  </si>
  <si>
    <t>Mr. Spikes Sas</t>
  </si>
  <si>
    <t>Elaboración De Comidas Y Platos Preparados (C1084); Expendio A La Mesa De Comidas Preparadas (I5611); Expendio De Comidas Preparadas En Cafeterías (I5613); Otros Tipos De Expendio De Comidas Preparadas N.C.P. (I5619)</t>
  </si>
  <si>
    <t>Cr 113 B No. 153 - 20</t>
  </si>
  <si>
    <t>mr.spikes2024@gmail.com</t>
  </si>
  <si>
    <t>Veronica Orozco Vargas (Representante Legal)</t>
  </si>
  <si>
    <t>Mr. Pollo Company S.A.S</t>
  </si>
  <si>
    <t>Restaurantes y Otros Lugares para Comer(72251); Servicios Especiales de Comida(7223); Tiendas de Comidas Artesanales(4452); Granjas Avícolas y Producción de Huevos(1123)</t>
  </si>
  <si>
    <t>Cría De Aves De Corral (A0145); Comercio Al Por Menor De Leche, Productos Lácteos Y Huevos, En Establecimientos Especializados (G4722); Expendio A La Mesa De Comidas Preparadas (I5611); Expendio Por Autoservicio De Comidas Preparadas (I5612)</t>
  </si>
  <si>
    <t>Kr 10 # 15 - 83</t>
  </si>
  <si>
    <t>fereirafereira258@gmail.com</t>
  </si>
  <si>
    <t>Jose Gregorio Callejas Rolon (Representante Legal)</t>
  </si>
  <si>
    <t>Mr Gol Sas</t>
  </si>
  <si>
    <t>Demás Tipos de Industrias de Diversión y Recreativas(71399); Bares y Otros Lugares para Beber(7224); Servicios Relacionados con el Transporte por Carretera(4884); Supermercados(4451)</t>
  </si>
  <si>
    <t>Comercio Al Por Menor En Establecimientos No Especializados Con Surtido Compuesto Principalmente Por Alimentos, Bebidas O Tabaco (G4711); Actividades De Estaciones, Vías Y Servicios Complementarios Para El Transporte Terrestre (H5221); Expendio De Bebidas Alcohólicas Para El Consumo Dentro Del Establecimiento (I5630); Gestión De Instalaciones Deportivas (R9311)</t>
  </si>
  <si>
    <t>Cl 19 66 55</t>
  </si>
  <si>
    <t>lgr593@gmail.com</t>
  </si>
  <si>
    <t>Leonardo Gutierrez Rodriguez (Representante Legal)</t>
  </si>
  <si>
    <t>Mp Coffee Company S.A.S</t>
  </si>
  <si>
    <t>Tv 1 Este No. 57 98</t>
  </si>
  <si>
    <t>andrea.londono@aproa.co</t>
  </si>
  <si>
    <t>Pier Luigi Penalba (Representante Legal)</t>
  </si>
  <si>
    <t>Motorbike Company S.A.S</t>
  </si>
  <si>
    <t>Restaurantes y Otros Lugares para Comer(72251); Tiendas de Mercancía General, incluyendo Grandes Almacenes(45231); Bares y Otros Lugares para Beber(7224)</t>
  </si>
  <si>
    <t>Comercio Al Por Menor En Establecimientos No Especializados, Con Surtido Compuesto Principalmente Por Productos Diferentes De Alimentos (Víveres En General), Bebidas Y Tabaco (G4719); Expendio Por Autoservicio De Comidas Preparadas (I5612); Expendio De Bebidas Alcohólicas Para El Consumo Dentro Del Establecimiento (I5630)</t>
  </si>
  <si>
    <t>Cl 17 # 15 64</t>
  </si>
  <si>
    <t>miguelmbc@outlook.com</t>
  </si>
  <si>
    <t>Miguel Angel Atuesta Vallejo (Representante Legal)</t>
  </si>
  <si>
    <t>Motomachi Sas</t>
  </si>
  <si>
    <t>Cafeterías y Bares para Bebidas sin Alcohol(722515); Escuelas de Bellas Artes(61161); Servicios Especiales de Comida(7223)</t>
  </si>
  <si>
    <t>Expendio A La Mesa De Comidas Preparadas (I5611); Expendio De Comidas Preparadas En Cafeterías (I5613); Enseñanza Cultural (P8553)</t>
  </si>
  <si>
    <t>Cra 8 A No 108 A - 36</t>
  </si>
  <si>
    <t>rgfinanciero@yahoo.es</t>
  </si>
  <si>
    <t>Kim Minkyung (Representante Legal)</t>
  </si>
  <si>
    <t>Mostos S.A.S.</t>
  </si>
  <si>
    <t>Ak 19 No. 95 55 Of 7</t>
  </si>
  <si>
    <t>acorreal@hotmail.com</t>
  </si>
  <si>
    <t>Andres Correal Gutierrez (Representante Legal)</t>
  </si>
  <si>
    <t>Moreno &amp; Jimenez Asociados Sas</t>
  </si>
  <si>
    <t>Servicios de Cuidado de Uñas, Pelo y Piel(81211); Demás Tipos de Industrias de Diversión y Recreativas(71399); Bares y Otros Lugares para Beber(7224)</t>
  </si>
  <si>
    <t>Expendio De Bebidas Alcohólicas Para El Consumo Dentro Del Establecimiento (I5630); Otras Actividades Recreativas Y De Esparcimiento N.C.P. (R9329); Peluquería Y Otros Tratamientos De Belleza (S9602)</t>
  </si>
  <si>
    <t>Cr 54D 134 21 Apto 707 Torre 2</t>
  </si>
  <si>
    <t>morenojimenezasociados@gmail.com</t>
  </si>
  <si>
    <t>Manuel Ricardo Moreno Lasprilla (Representante Legal)</t>
  </si>
  <si>
    <t>Mooncaffee Sas</t>
  </si>
  <si>
    <t>Otros Derivados Del Café (C1063); Expendio De Comidas Preparadas En Cafeterías (I5613)</t>
  </si>
  <si>
    <t>Otros Derivados Del Café (C1063)</t>
  </si>
  <si>
    <t>Calle 119 # 14 A - 26</t>
  </si>
  <si>
    <t>christianvaron21@hotmail.com</t>
  </si>
  <si>
    <t>Christian Leonardo Varon Manzano (Representante Legal)</t>
  </si>
  <si>
    <t>Moon Food's 1969 S.A.S</t>
  </si>
  <si>
    <t>Dg 78Bis 53 - 16 Bogota</t>
  </si>
  <si>
    <t>hals_93@hotmail.es</t>
  </si>
  <si>
    <t>Luna Sanchez Harol Andrey (Representante Legal)</t>
  </si>
  <si>
    <t>Montoya &amp; Munera S.A.S</t>
  </si>
  <si>
    <t>Expendio A La Mesa De Comidas Preparadas (I5611); Expendio Por Autoservicio De Comidas Preparadas (I5612); Expendio De Comidas Preparadas En Cafeterías (I5613); Expendio De Bebidas Alcohólicas Para El Consumo Dentro Del Establecimiento (I5630)</t>
  </si>
  <si>
    <t>Cr 69 D No. 4 28 Sur</t>
  </si>
  <si>
    <t>alejomoca@gmail.com</t>
  </si>
  <si>
    <t>Alejandro Montoya Camelo (Representante Legal)</t>
  </si>
  <si>
    <t>Montevideo Billiards Sas</t>
  </si>
  <si>
    <t>Demás Tipos de Industrias de Diversión y Recreativas(71399); Bares y Otros Lugares para Beber(7224); Industrias de Juego(7132); Supermercados(4451)</t>
  </si>
  <si>
    <t>Comercio Al Por Menor En Establecimientos No Especializados Con Surtido Compuesto Principalmente Por Alimentos, Bebidas O Tabaco (G4711); Expendio De Bebidas Alcohólicas Para El Consumo Dentro Del Establecimiento (I5630); Actividades De Juegos De Azar Y Apuestas (R9200); Otras Actividades Recreativas Y De Esparcimiento N.C.P. (R9329)</t>
  </si>
  <si>
    <t>Cl 17 No. 68 84</t>
  </si>
  <si>
    <t>montevideobilliard@gmail.com</t>
  </si>
  <si>
    <t>Eder Mateo Reales Salinas (Representante Legal)</t>
  </si>
  <si>
    <t>Montescala Sas</t>
  </si>
  <si>
    <t>Cafeterías y Bares para Bebidas sin Alcohol(722515); Comerciantes al por Mayor de Tabaco y Productos de Tabaco(42494); Destilerías(31214); Tiendas de Venta Directa(4543); Comerciantes al por Mayor de Cerveza, Vino y Bebidas Alcohólicas(4248)</t>
  </si>
  <si>
    <t>Destilación, Rectificación Y Mezcla De Bebidas Alcohólicas (C1101); Comercio Al Por Mayor De Bebidas Y Tabaco (G4632); Otros Tipos De Comercio Al Por Menor No Realizado En Establecimientos, Puestos De Venta O Mercados. (G4799); Expendio De Comidas Preparadas En Cafeterías (I5613)</t>
  </si>
  <si>
    <t>Cl 118 No. 11 A 34 Ap 204</t>
  </si>
  <si>
    <t>ceo.montescala@gmail.com</t>
  </si>
  <si>
    <t>Flórez Ruíz Daniel Iván (Representante Legal)</t>
  </si>
  <si>
    <t>Monterroso Gourmet Sas</t>
  </si>
  <si>
    <t>Cafeterías y Bares para Bebidas sin Alcohol(722515); Servicios Especiales de Comida(7223); Supermercados(4451); Panaderías y Producción de Tortillas(3118)</t>
  </si>
  <si>
    <t>Elaboración De Productos De Panadería (C1081); Comercio Al Por Menor En Establecimientos No Especializados Con Surtido Compuesto Principalmente Por Alimentos, Bebidas O Tabaco (G4711); Expendio A La Mesa De Comidas Preparadas (I5611); Expendio De Comidas Preparadas En Cafeterías (I5613)</t>
  </si>
  <si>
    <t>Cr 100 No. 22 A 06</t>
  </si>
  <si>
    <t>monterrosopasteleria@gmail.com</t>
  </si>
  <si>
    <t>Edson Nolberto Canizales Moreno (Representante Legal)</t>
  </si>
  <si>
    <t>Monteriana Group S.A.S</t>
  </si>
  <si>
    <t>Cra 16 # 79 58 Piso 2</t>
  </si>
  <si>
    <t>yolie@elsitiogroup.com</t>
  </si>
  <si>
    <t>Yolima Espinoza Reinel (Representante Legal)</t>
  </si>
  <si>
    <t>Montecruz S.A.S</t>
  </si>
  <si>
    <t>Cafeterías y Bares para Bebidas sin Alcohol(722515); Fabricación de Café y Té(31192); Comerciantes al por Mayor de Productos Agrícolas de Materias Primas(4245); Comerciantes al por Mayor de Comestibles y Productos Relacionados(4244)</t>
  </si>
  <si>
    <t>Otros Derivados Del Café (C1063); Comercio Al Por Mayor De Materias Primas Agropecuarias; Animales Vivos (G4620); Comercio Al Por Mayor De Productos Alimenticios (G4631); Expendio De Comidas Preparadas En Cafeterías (I5613)</t>
  </si>
  <si>
    <t>Carrera 90 A 8 A 68</t>
  </si>
  <si>
    <t>leocruzc@gmail.com</t>
  </si>
  <si>
    <t>Cruz Coral Leonardo (Representante Legal)</t>
  </si>
  <si>
    <t>Monte Moreno Sas</t>
  </si>
  <si>
    <t>Cafeterías y Bares para Bebidas sin Alcohol(722515); Oficinas de Abogados(54111); Bares y Otros Lugares para Beber(7224); Servicios de Administrativos de Oficina(5611)</t>
  </si>
  <si>
    <t>Expendio De Comidas Preparadas En Cafeterías (I5613); Expendio De Bebidas Alcohólicas Para El Consumo Dentro Del Establecimiento (I5630); Actividades Jurídicas (M6910); Actividades Combinadas De Servicios Administrativos De Oficina (N8211)</t>
  </si>
  <si>
    <t>Cr 20 C 73 - 56</t>
  </si>
  <si>
    <t>MONTEMORENOSAS@GMAIL.COM</t>
  </si>
  <si>
    <t>Hector Andres Moreno Vasquez (Representante Legal)</t>
  </si>
  <si>
    <t>Montcabrer Sas</t>
  </si>
  <si>
    <t>Cr 15 No. 119 - 31</t>
  </si>
  <si>
    <t>arielvalencial29@gmail.com</t>
  </si>
  <si>
    <t>Ariel Vicente Valencia Lastra (Representante Legal)</t>
  </si>
  <si>
    <t>Mons Eco-Glamping Sas</t>
  </si>
  <si>
    <t>Otros Alojamientos para Viajeros(72119); Bares y Otros Lugares para Beber(7224)</t>
  </si>
  <si>
    <t>Otros Alojamientos para Viajeros(72119)</t>
  </si>
  <si>
    <t>Alojamiento Rural (I5514); Expendio De Bebidas Alcohólicas Para El Consumo Dentro Del Establecimiento (I5630)</t>
  </si>
  <si>
    <t>Alojamiento Rural (I5514)</t>
  </si>
  <si>
    <t>Cr 7 B No. 151 12</t>
  </si>
  <si>
    <t>monsecoglamping@gmail.com</t>
  </si>
  <si>
    <t>Juan Camilo Naranjo Sepulveda (Representante Legal)</t>
  </si>
  <si>
    <t>Monaco Sports Bar S.A.S.</t>
  </si>
  <si>
    <t>Bares y Otros Lugares para Beber(7224); Servicios Especiales de Comida(7223); Alquiler y Arrendamiento de Maquinaría y Equipo Comercial e Industrial(5324)</t>
  </si>
  <si>
    <t>Expendio A La Mesa De Comidas Preparadas (I5611); Expendio De Bebidas Alcohólicas Para El Consumo Dentro Del Establecimiento (I5630); Alquiler Y Arrendamiento De Otros Tipos De Maquinaria, Equipo Y Bienes Tangibles N.C.P. (N7730)</t>
  </si>
  <si>
    <t>Ak 104 # 148 - 07 Lc 201</t>
  </si>
  <si>
    <t>monacosportsbar.col@gmail.com</t>
  </si>
  <si>
    <t>Jorge Andres Torrijos Garzon (Representante Legal)</t>
  </si>
  <si>
    <t>Molécula Coffee S.A.S</t>
  </si>
  <si>
    <t>Trilla De Café (C1061); Expendio De Comidas Preparadas En Cafeterías (I5613); Expendio De Bebidas Alcohólicas Para El Consumo Dentro Del Establecimiento (I5630)</t>
  </si>
  <si>
    <t>Cr 2 No. 11 88</t>
  </si>
  <si>
    <t>contabilidadcafedelmercado@gmail.com</t>
  </si>
  <si>
    <t>Juan Sebastian Hernandez Hernandez (Representante Legal)</t>
  </si>
  <si>
    <t>Mole Pizza Sas</t>
  </si>
  <si>
    <t>Cl 60 No. 9 15</t>
  </si>
  <si>
    <t>molepizza2024@gmail.com</t>
  </si>
  <si>
    <t>Marleny Lopez Valencia (Representante Legal)</t>
  </si>
  <si>
    <t>Mole Arepas Sas</t>
  </si>
  <si>
    <t>Cr 9 # 59 14</t>
  </si>
  <si>
    <t>molearepas@gmail.com</t>
  </si>
  <si>
    <t>Leidy Johanna Lopez Agudelo (Representante Legal)</t>
  </si>
  <si>
    <t>Molanocobos S.A.S</t>
  </si>
  <si>
    <t>Fabricación de Alimentos Preparados Perecederos(311991); Restaurantes y Otros Lugares para Comer(72251); Bares y Otros Lugares para Beber(7224)</t>
  </si>
  <si>
    <t>Elaboración De Comidas Y Platos Preparados (C1084); Expendio Por Autoservicio De Comidas Preparadas (I5612); Expendio De Bebidas Alcohólicas Para El Consumo Dentro Del Establecimiento (I5630)</t>
  </si>
  <si>
    <t>Cr 7 No. 41 69</t>
  </si>
  <si>
    <t>criolloentrepanesyparrilla@gmail.com</t>
  </si>
  <si>
    <t>Edgar Andres Molano Cobos (Representante Legal)</t>
  </si>
  <si>
    <t>Mminnovate S.A.S</t>
  </si>
  <si>
    <t>Cr 13 No. 97 - 51 Of 201</t>
  </si>
  <si>
    <t>mminnovate.sas@gmail.com</t>
  </si>
  <si>
    <t>Daniel Ricardo Mejia Gutierrez (Representante Legal)</t>
  </si>
  <si>
    <t>Ml Boutique Hotel S.A.S</t>
  </si>
  <si>
    <t>Hoteles (excepto Hoteles Casino) y Moteles(72111); Bares y Otros Lugares para Beber(7224); Servicios Especiales de Comida(7223); Supermercados(4451)</t>
  </si>
  <si>
    <t>Comercio Al Por Menor En Establecimientos No Especializados Con Surtido Compuesto Principalmente Por Alimentos, Bebidas O Tabaco (G4711); Alojamiento En Hoteles (I5511); Expendio A La Mesa De Comidas Preparadas (I5611); Expendio De Bebidas Alcohólicas Para El Consumo Dentro Del Establecimiento (I5630)</t>
  </si>
  <si>
    <t>Cr 71 D # 48 A 45</t>
  </si>
  <si>
    <t>mybusinessmlhotelboutique@gmail.com</t>
  </si>
  <si>
    <t>Miguel Angel Fernandez Jimenez (Representante Legal)</t>
  </si>
  <si>
    <t>Mjsa Sas</t>
  </si>
  <si>
    <t>Cl 138 No. 10 A - 53</t>
  </si>
  <si>
    <t>mjsa.gomez@gmail.com</t>
  </si>
  <si>
    <t>Juan Sebastian Gomez Diaz (Representante Legal)</t>
  </si>
  <si>
    <t>Mjs Cafes Sas</t>
  </si>
  <si>
    <t>Expendio A La Mesa De Comidas Preparadas (I5611); Expendio De Comidas Preparadas En Cafeterías (I5613); Actividades De Otros Servicios De Comidas (I5629); Expendio De Bebidas Alcohólicas Para El Consumo Dentro Del Establecimiento (I5630)</t>
  </si>
  <si>
    <t>Cl 119 B No. 6 21</t>
  </si>
  <si>
    <t>elaltillocafe@hotmail.com</t>
  </si>
  <si>
    <t>Maria Jose Suarez (Representante Legal)</t>
  </si>
  <si>
    <t>Mistico Peruano Gourmet S.A.S</t>
  </si>
  <si>
    <t>Carrera 12 N 98 - 10</t>
  </si>
  <si>
    <t>adm.misticoperuanogourmet@gmail.com</t>
  </si>
  <si>
    <t>Luis Alfredo Cárdenas Ramírez (Representante Legal)</t>
  </si>
  <si>
    <t>Mishimishi S.A.S</t>
  </si>
  <si>
    <t>Cl 19 No 72 - 57 Lc 114</t>
  </si>
  <si>
    <t>mishimishisas@gmail.com</t>
  </si>
  <si>
    <t>John Fredy Valderrama Daza (Representante Legal)</t>
  </si>
  <si>
    <t>Miranda's Bar Sas</t>
  </si>
  <si>
    <t>Cr 79 C Bis No. 58 K Sur 05</t>
  </si>
  <si>
    <t>ginnacarolina85@hotmail.com</t>
  </si>
  <si>
    <t>Yina Carolina Miranda Devia (Representante Legal)</t>
  </si>
  <si>
    <t>Mira Ve! Fulanitos S A S</t>
  </si>
  <si>
    <t>Cr 13 No. 27 00 Lc 01</t>
  </si>
  <si>
    <t>fulanitos.centrointernacional@gmail.com</t>
  </si>
  <si>
    <t>Lucia Stella Caicedo Garcia (Representante Legal)</t>
  </si>
  <si>
    <t>Minka Cafe De Especialidad Sas</t>
  </si>
  <si>
    <t>Cl 25 B No. 69 A - 50 Lc 102</t>
  </si>
  <si>
    <t>cafeminka@gmail.com</t>
  </si>
  <si>
    <t>Rojas Fuerte Juan Sebastian (Representante Legal)</t>
  </si>
  <si>
    <t>Minimarket Roraima S.A.S</t>
  </si>
  <si>
    <t>Cr 50 No. 128 C 42 L</t>
  </si>
  <si>
    <t>cshernandezs@gmail.com</t>
  </si>
  <si>
    <t>Caterin Solyu Hernandez Sandoval (Representante Legal)</t>
  </si>
  <si>
    <t>Minimarket Nuestra Despensa Sas</t>
  </si>
  <si>
    <t>Cr 8 C # 162 12</t>
  </si>
  <si>
    <t>minimarketnuestradespensasas@gmail.com</t>
  </si>
  <si>
    <t>Yomijara Elizabeth Curvelo Giron (Representante Legal)</t>
  </si>
  <si>
    <t>Mini Mal Ltda</t>
  </si>
  <si>
    <t>Transversal 4 Bis # 56 A - 52</t>
  </si>
  <si>
    <t>efrensand@yahoo.es</t>
  </si>
  <si>
    <t>Eduardo Martinez Cañas (Representante Legal)</t>
  </si>
  <si>
    <t>Minermes Colombia S.A.S</t>
  </si>
  <si>
    <t>Cafeterías y Bares para Bebidas sin Alcohol(722515); Otras Tiendas de Comidas Artesanales(44529); Supermercados(4451)</t>
  </si>
  <si>
    <t>Comercio Al Por Menor En Establecimientos No Especializados Con Surtido Compuesto Principalmente Por Alimentos, Bebidas O Tabaco (G4711); Comercio Al Por Menor De Otros Productos Alimenticios N.C.P., En Establecimientos Especializados (G4729); Expendio De Comidas Preparadas En Cafeterías (I5613)</t>
  </si>
  <si>
    <t>Calle 24 7 12</t>
  </si>
  <si>
    <t>minermescol@gmail.com</t>
  </si>
  <si>
    <t>Duvan Santiago Martinez Ospina (Representante Legal)</t>
  </si>
  <si>
    <t>Mimi's Integral S.A.S</t>
  </si>
  <si>
    <t>Cafeterías y Bares para Bebidas sin Alcohol(722515); Fabricación de Alimentos Preparados Perecederos(311991); Fabricación de Chocolate y Pastelería(31135); Panaderías y Producción de Tortillas(3118)</t>
  </si>
  <si>
    <t>Elaboración De Productos De Panadería (C1081); Elaboración De Cacao, Chocolate Y Productos De Confitería (C1082); Elaboración De Comidas Y Platos Preparados (C1084); Expendio De Comidas Preparadas En Cafeterías (I5613)</t>
  </si>
  <si>
    <t>Cr 101 C No. 130 A 1</t>
  </si>
  <si>
    <t>mimis.integrales@gmail.com</t>
  </si>
  <si>
    <t>Carlos Eduardo Velasco Vega (Representante Legal)</t>
  </si>
  <si>
    <t>Mil Delicias La Floresta S.A.S.</t>
  </si>
  <si>
    <t>Cafeterías y Bares para Bebidas sin Alcohol(722515); Bares y Otros Lugares para Beber(7224); Servicios Especiales de Comida(7223); Panaderías y Producción de Tortillas(3118)</t>
  </si>
  <si>
    <t>Elaboración De Productos De Panadería (C1081); Expendio A La Mesa De Comidas Preparadas (I5611); Expendio De Comidas Preparadas En Cafeterías (I5613); Expendio De Bebidas Alcohólicas Para El Consumo Dentro Del Establecimiento (I5630)</t>
  </si>
  <si>
    <t>Cl 98 No. 69 C 39</t>
  </si>
  <si>
    <t>contabilidadbl2021@gmail.com</t>
  </si>
  <si>
    <t>Wilson Javier Olarte Angarita (Representante Legal)</t>
  </si>
  <si>
    <t>Mil Delicias Cl 64 Sas</t>
  </si>
  <si>
    <t>Cr 17 No. 64 12</t>
  </si>
  <si>
    <t>admonafiliaciones4764@gmail.com</t>
  </si>
  <si>
    <t>Mil Delicias Cl 38 Sas</t>
  </si>
  <si>
    <t>Cr 13 No. 38 73</t>
  </si>
  <si>
    <t>mildeliciasas@gmail.com</t>
  </si>
  <si>
    <t>Mil Delicias Calle 45 Sas</t>
  </si>
  <si>
    <t>Cr 13 No. 45 19</t>
  </si>
  <si>
    <t>Adela Angarita Hernandez (Representante Legal)</t>
  </si>
  <si>
    <t>Mil Delicias Calle 28 Sas</t>
  </si>
  <si>
    <t>Cl 63 F No. 28 A 11</t>
  </si>
  <si>
    <t>Rook Divier Villalba Angarita (Representante Legal)</t>
  </si>
  <si>
    <t>Mil Delicias Av Primera De Mayo S.A.S.</t>
  </si>
  <si>
    <t>Cl 22 Sur # 16 88</t>
  </si>
  <si>
    <t>Mijosion Sas</t>
  </si>
  <si>
    <t>Cr 47 A No. 91 44 B La Castellana</t>
  </si>
  <si>
    <t>MARINAMEJIA@ZONAK.COM.CO</t>
  </si>
  <si>
    <t>Leonardo Katz Stein (Representante Legal)</t>
  </si>
  <si>
    <t>Miguel Cocina Y Su Hermana Lo Anima Sas</t>
  </si>
  <si>
    <t>Calle 97 No. 11 A - 10 Local 1</t>
  </si>
  <si>
    <t>kt_arjona@hotmail.com</t>
  </si>
  <si>
    <t>Katherin Gisell Moreno Camargo (Representante Legal)</t>
  </si>
  <si>
    <t>Miguel Burger Hamburguesas Artesanales S.A.S</t>
  </si>
  <si>
    <t>Carrera 78 L 65 I 17 Sur</t>
  </si>
  <si>
    <t>diegoor190@gmail.com</t>
  </si>
  <si>
    <t>Ortiz Jimenez Diego Alejandro (Representante Legal)</t>
  </si>
  <si>
    <t>Miel De Poesia Sas En Liquidacion</t>
  </si>
  <si>
    <t>Tiendas de Mercancía General, incluyendo Grandes Almacenes(45231); Bodegas(31213); Bares y Otros Lugares para Beber(7224); Supermercados(4451)</t>
  </si>
  <si>
    <t>Elaboración De Bebidas Fermentadas No Destiladas (C1102); Comercio Al Por Menor En Establecimientos No Especializados Con Surtido Compuesto Principalmente Por Alimentos, Bebidas O Tabaco (G4711); Comercio Al Por Menor En Establecimientos No Especializados, Con Surtido Compuesto Principalmente Por Productos Diferentes De Alimentos (Víveres En General), Bebidas Y Tabaco (G4719); Expendio De Bebidas Alcohólicas Para El Consumo Dentro Del Establecimiento (I5630)</t>
  </si>
  <si>
    <t>Cr 53 No. 134 31 Ap 1 301</t>
  </si>
  <si>
    <t>contact@mieldepoesia.com</t>
  </si>
  <si>
    <t>German Leonardo Silva Fuentes (Representante Legal)</t>
  </si>
  <si>
    <t>Mida Holdings Sas En Liquidacion</t>
  </si>
  <si>
    <t>Cafeterías y Bares para Bebidas sin Alcohol(722515); Cultivo de Todos los Demás Tipos de Cereales(111199); Fabricación de Chocolate y Pastelería(31135); Bares y Otros Lugares para Beber(7224)</t>
  </si>
  <si>
    <t>Fabricación de Chocolate y Pastelería(31135)</t>
  </si>
  <si>
    <t>Cultivo De Plantas Con Las Que Se Preparan Bebidas (A0127); Elaboración De Cacao, Chocolate Y Productos De Confitería (C1082); Expendio De Comidas Preparadas En Cafeterías (I5613); Expendio De Bebidas Alcohólicas Para El Consumo Dentro Del Establecimiento (I5630)</t>
  </si>
  <si>
    <t>Elaboración De Cacao, Chocolate Y Productos De Confitería (C1082)</t>
  </si>
  <si>
    <t>Cra 49 # 134 A - 68</t>
  </si>
  <si>
    <t>midachocolatl@gmail.com</t>
  </si>
  <si>
    <t>Miguel Alberto Perez Cabas (Representante Legal)</t>
  </si>
  <si>
    <t>Mias Comer Bonito Sas</t>
  </si>
  <si>
    <t>Cl 97 No. 11 A 10 Local 3</t>
  </si>
  <si>
    <t>juliana37_@hotmail.com</t>
  </si>
  <si>
    <t>Martha Juliana Villarreal Angarita (Representante Legal)</t>
  </si>
  <si>
    <t>Mi Doggy Hot Dogs S.A.S.</t>
  </si>
  <si>
    <t>Cafeterías y Bares para Bebidas sin Alcohol(722515); Servicios Especiales de Comida(7223); Tiendas de Comidas Artesanales(4452)</t>
  </si>
  <si>
    <t>Comercio Al Por Menor De Leche, Productos Lácteos Y Huevos, En Establecimientos Especializados (G4722); Expendio A La Mesa De Comidas Preparadas (I5611); Expendio De Comidas Preparadas En Cafeterías (I5613); Otros Tipos De Expendio De Comidas Preparadas N.C.P. (I5619)</t>
  </si>
  <si>
    <t>Cr 6 No 46 92</t>
  </si>
  <si>
    <t>gomezbarajas1@gmail.com</t>
  </si>
  <si>
    <t>Jesus Alejandro Gomez Barajas (Representante Legal)</t>
  </si>
  <si>
    <t>Metrofood Limitada</t>
  </si>
  <si>
    <t>Kr 9 No 45 A - 18 Local Citadino</t>
  </si>
  <si>
    <t>hdo.guzman@gmail.com</t>
  </si>
  <si>
    <t>Ricardo Alfonso Valderrama Mantilla (Representante Legal)</t>
  </si>
  <si>
    <t>Meta Amor S.A.S</t>
  </si>
  <si>
    <t>Cl 70 A No. 13 83</t>
  </si>
  <si>
    <t>metamorsas@gmail.com</t>
  </si>
  <si>
    <t>Miguel Angel Sanchez Marin (Representante Legal)</t>
  </si>
  <si>
    <t>Messva Sas</t>
  </si>
  <si>
    <t>Cl 145 A No. 12 A 45</t>
  </si>
  <si>
    <t>messvasas@gmail.com</t>
  </si>
  <si>
    <t>Jaime Mauricio Valderrama Lopez (Representante Legal)</t>
  </si>
  <si>
    <t>Mesa Salvaje S.A.S.</t>
  </si>
  <si>
    <t>Cafeterías y Bares para Bebidas sin Alcohol(722515); Tiendas de Libros y Periódicos(45121); Servicios Especiales de Comida(7223)</t>
  </si>
  <si>
    <t>Comercio Al Por Menor De Libros, Periódicos, Materiales Y Artículos De Papelería Y Escritorio, En Establecimientos Especializados (G4761); Expendio A La Mesa De Comidas Preparadas (I5611); Expendio De Comidas Preparadas En Cafeterías (I5613)</t>
  </si>
  <si>
    <t>Dg 55 # 4 - 14</t>
  </si>
  <si>
    <t>MESASALVAJE@GMAIL.COM</t>
  </si>
  <si>
    <t>Ross Frederick Garlick (Representante Legal)</t>
  </si>
  <si>
    <t>Mercados Regionales Sosil S.A.S</t>
  </si>
  <si>
    <t>Comerciantes al por Mayor de Tabaco y Productos de Tabaco(42494); Bares y Otros Lugares para Beber(7224); Cervecerías, Vinaterías y Tiendas de Licores(4453); Supermercados(4451); Comerciantes al por Mayor de Cerveza, Vino y Bebidas Alcohólicas(4248)</t>
  </si>
  <si>
    <t>Comercio Al Por Mayor De Bebidas Y Tabaco (G4632); Comercio Al Por Menor En Establecimientos No Especializados Con Surtido Compuesto Principalmente Por Alimentos, Bebidas O Tabaco (G4711); Comercio Al Por Menor De Bebidas Y Productos Del Tabaco, En Establecimientos Especializados (G4724); Expendio De Bebidas Alcohólicas Para El Consumo Dentro Del Establecimiento (I5630)</t>
  </si>
  <si>
    <t>Cr 13 No. 118 A 48</t>
  </si>
  <si>
    <t>mercadosregionales2@gmail.com</t>
  </si>
  <si>
    <t>Solano Bautista Isabel (Representante Legal)</t>
  </si>
  <si>
    <t>Mercado Artesanal De Colombia Sas Bic</t>
  </si>
  <si>
    <t>Cl 19 No. 25 - 4 Lc 80 - 014</t>
  </si>
  <si>
    <t>CARMEN.MOLINAC@GMAIL.COM</t>
  </si>
  <si>
    <t>Molina Capacho Carmen Teresa (Representante Legal)</t>
  </si>
  <si>
    <t>Menestral S.A.S</t>
  </si>
  <si>
    <t>Cerveceras(31212); Bares y Otros Lugares para Beber(7224); Servicios Especiales de Comida(7223); Tiendas de Electrónica y de Venta por Correo(4541)</t>
  </si>
  <si>
    <t>Producción De Malta, Elaboración De Cervezas Y Otras Bebidas Malteadas (C1103); Comercio Al Por Menor Realizado A Través De Internet (G4791); Expendio A La Mesa De Comidas Preparadas (I5611); Expendio De Bebidas Alcohólicas Para El Consumo Dentro Del Establecimiento (I5630)</t>
  </si>
  <si>
    <t>Cr 4 A No. 66 10 Ap 201</t>
  </si>
  <si>
    <t>info@menestral.co</t>
  </si>
  <si>
    <t>Carlos Mario Arenas Morales (Representante Legal)</t>
  </si>
  <si>
    <t>Mendoza Group Sas</t>
  </si>
  <si>
    <t>Cl 144 No. 9 75 Lc 9</t>
  </si>
  <si>
    <t>mendozagroupsas@gmail.com</t>
  </si>
  <si>
    <t>Sharly Alexander Mendoza Valero (Representante Legal)</t>
  </si>
  <si>
    <t>Melek Food Sas</t>
  </si>
  <si>
    <t>Cl 57 B Sur No. 64 0</t>
  </si>
  <si>
    <t>gerencia@melekbs.com</t>
  </si>
  <si>
    <t>Karen Estefania Simbaqueva Ortiz (Representante Legal)</t>
  </si>
  <si>
    <t>Melas-Entrega S.A.S.</t>
  </si>
  <si>
    <t>Cr 13 A No. 89 38 Of</t>
  </si>
  <si>
    <t>admon@melascraftbeer.com</t>
  </si>
  <si>
    <t>Juan Carlos Tafur Hernandez (Representante Legal)</t>
  </si>
  <si>
    <t>Mejijar S.A.S</t>
  </si>
  <si>
    <t>Cr 45 A No. 106 08 A</t>
  </si>
  <si>
    <t>maririja@hotmail.com</t>
  </si>
  <si>
    <t>Maria Paula Rios Jaramillo (Representante Legal)</t>
  </si>
  <si>
    <t>Mega2Go Sas</t>
  </si>
  <si>
    <t>Tiendas de Mercancía General, incluyendo Grandes Almacenes(45231); Otras Tiendas de Comidas Artesanales(44529); Bares y Otros Lugares para Beber(7224)</t>
  </si>
  <si>
    <t>Comercio Al Por Menor En Establecimientos No Especializados, Con Surtido Compuesto Principalmente Por Productos Diferentes De Alimentos (Víveres En General), Bebidas Y Tabaco (G4719); Comercio Al Por Menor De Otros Productos Alimenticios N.C.P., En Establecimientos Especializados (G4729); Expendio De Bebidas Alcohólicas Para El Consumo Dentro Del Establecimiento (I5630)</t>
  </si>
  <si>
    <t>Cl 148 No. 94 A 59 L</t>
  </si>
  <si>
    <t>joseenriquegarcia111@gmail.com</t>
  </si>
  <si>
    <t>Jose Enrique Garcia Mosquera (Representante Legal)</t>
  </si>
  <si>
    <t>Meetinghouse Sas</t>
  </si>
  <si>
    <t>Escuelas de Bellas Artes(61161); Bares y Otros Lugares para Beber(7224); Servicios Especiales de Comida(7223)</t>
  </si>
  <si>
    <t>Expendio A La Mesa De Comidas Preparadas (I5611); Expendio De Bebidas Alcohólicas Para El Consumo Dentro Del Establecimiento (I5630); Enseñanza Cultural (P8553)</t>
  </si>
  <si>
    <t>Cl 32 # 6 B - 43 Piso 3</t>
  </si>
  <si>
    <t>chris.poey@gmail.com</t>
  </si>
  <si>
    <t>Christopher Daniel Poey (Representante Legal)</t>
  </si>
  <si>
    <t>Mediter Café Sas</t>
  </si>
  <si>
    <t>Cr 56 No. 152 77 Ca 8</t>
  </si>
  <si>
    <t>fabiansimles@gmail.com</t>
  </si>
  <si>
    <t>Maria Esmeralda De La Trinidad Morales De Sierra (Representante Legal)</t>
  </si>
  <si>
    <t>Media &amp; Estudios Rp S.A.S</t>
  </si>
  <si>
    <t>Cafeterías y Bares para Bebidas sin Alcohol(722515); Demás Tipos de Industrias de Diversión y Recreativas(71399); Servicios de Administrativos de Oficina(5611)</t>
  </si>
  <si>
    <t>Expendio De Comidas Preparadas En Cafeterías (I5613); Actividades Combinadas De Servicios Administrativos De Oficina (N8211); Otras Actividades Recreativas Y De Esparcimiento N.C.P. (R9329)</t>
  </si>
  <si>
    <t>Tv 24 No. 54 31</t>
  </si>
  <si>
    <t>aduenas@fginversiones.com</t>
  </si>
  <si>
    <t>Juan Sebastian Hernandez Castellanos (Representante Legal)</t>
  </si>
  <si>
    <t>Medbar Sas</t>
  </si>
  <si>
    <t>Tiendas de Mercancía General, incluyendo Grandes Almacenes(45231); Comerciantes al por Mayor de Tabaco y Productos de Tabaco(42494); Bares y Otros Lugares para Beber(7224); Supermercados(4451); Comerciantes al por Mayor de Cerveza, Vino y Bebidas Alcohólicas(4248)</t>
  </si>
  <si>
    <t>Comercio Al Por Mayor De Bebidas Y Tabaco (G4632); Comercio Al Por Menor En Establecimientos No Especializados Con Surtido Compuesto Principalmente Por Alimentos, Bebidas O Tabaco (G4711); Comercio Al Por Menor En Establecimientos No Especializados, Con Surtido Compuesto Principalmente Por Productos Diferentes De Alimentos (Víveres En General), Bebidas Y Tabaco (G4719); Expendio De Bebidas Alcohólicas Para El Consumo Dentro Del Establecimiento (I5630)</t>
  </si>
  <si>
    <t>Cl 138 No. 75 - 75</t>
  </si>
  <si>
    <t>juanbarreto123@hotmail.com</t>
  </si>
  <si>
    <t>Juan Fernando Barreto Urrea (Representante Legal)</t>
  </si>
  <si>
    <t>Mcvg Healthy Food Solutions Sas</t>
  </si>
  <si>
    <t>Maria Camila Velasco Gordillo (Representante Legal)</t>
  </si>
  <si>
    <t>Mcg Cafes Sas</t>
  </si>
  <si>
    <t>Cl 119 No 12 - 08</t>
  </si>
  <si>
    <t>Gonzalo Agustin Crusoe (Representante Legal)</t>
  </si>
  <si>
    <t>Mb Carros Y Propiedades S.A.S</t>
  </si>
  <si>
    <t>Concesionarios de Coches de Segunda Mano(44112); Bares y Otros Lugares para Beber(7224); Servicios Especiales de Comida(7223); Comerciantes al por Mayor de Medicamentos y Productos Relacionados(4242); Comerciantes al por Mayor de Vehículos Motorizados y Partes y Suministros de Vehículos Motorizados(4231)</t>
  </si>
  <si>
    <t>Concesionarios de Coches de Segunda Mano(44112); Comerciantes al por Mayor de Vehículos Motorizados y Partes y Suministros de Vehículos Motorizados(4231)</t>
  </si>
  <si>
    <t>Comercio De Vehículos Automotores Usados (G4512); Comercio Al Por Mayor De Productos Farmacéuticos, Medicinales, Cosméticos Y De Tocador (G4645); Expendio A La Mesa De Comidas Preparadas (I5611); Expendio De Bebidas Alcohólicas Para El Consumo Dentro Del Establecimiento (I5630)</t>
  </si>
  <si>
    <t>Comercio De Vehículos Automotores Usados (G4512)</t>
  </si>
  <si>
    <t>Cl 102 A No. 70 B 58</t>
  </si>
  <si>
    <t>mbcarrosypropiedades@gmail.com</t>
  </si>
  <si>
    <t>Camilo Jose Taborda Osorio (Representante Legal)</t>
  </si>
  <si>
    <t>Matverso Sas</t>
  </si>
  <si>
    <t>Cafeterías y Bares para Bebidas sin Alcohol(722515); Fabricación de Refrescos(312111); Fabricación de Todos los Demás Tipos de Alimentos Diversos(311999); Otras Tiendas de Comidas Artesanales(44529)</t>
  </si>
  <si>
    <t>Elaboración De Otros Productos Alimenticios N.C.P. (C1089); Elaboración De Bebidas No Alcohólicas, Producción De Aguas Minerales Y De Otras Aguas Embotelladas (C1104); Comercio Al Por Menor De Otros Productos Alimenticios N.C.P., En Establecimientos Especializados (G4729); Expendio De Comidas Preparadas En Cafeterías (I5613)</t>
  </si>
  <si>
    <t>Cr 13 # 118 - 15 Piso 1</t>
  </si>
  <si>
    <t>INFO@MATCHACHA.CO</t>
  </si>
  <si>
    <t>Marisol Joly Villarreal (Representante Legal)</t>
  </si>
  <si>
    <t>Matutino Vespertino Sas</t>
  </si>
  <si>
    <t>Cl 98 No. 9 03 Lc 105</t>
  </si>
  <si>
    <t>cafematutino.23@gmail.com</t>
  </si>
  <si>
    <t>Brayan Nicolas Trujillo Corredor (Representante Legal)</t>
  </si>
  <si>
    <t>Matuca S.A.S</t>
  </si>
  <si>
    <t>Cafeterías y Bares para Bebidas sin Alcohol(722515); Operadores Turísticos(56152); Fabricación de Café y Té(31192); Servicios Especiales de Comida(7223)</t>
  </si>
  <si>
    <t>Descafeinado, Tostión Y Molienda Del Café (C1062); Expendio A La Mesa De Comidas Preparadas (I5611); Expendio De Comidas Preparadas En Cafeterías (I5613); Actividades De Operadores Turísticos (N7912)</t>
  </si>
  <si>
    <t>Avenida Calle 100 64 51 Apartamento 401</t>
  </si>
  <si>
    <t>floresgallardorene@gmail.com</t>
  </si>
  <si>
    <t>Rene Cristian Flores Gallardo (Representante Legal)</t>
  </si>
  <si>
    <t>Matriarte Sas</t>
  </si>
  <si>
    <t>Enseñanza de Deporte y Recreación(61162); Bares y Otros Lugares para Beber(7224); Servicios Especiales de Comida(7223)</t>
  </si>
  <si>
    <t>Expendio A La Mesa De Comidas Preparadas (I5611); Expendio De Bebidas Alcohólicas Para El Consumo Dentro Del Establecimiento (I5630); Enseñanza Deportiva Y Recreativa (P8552)</t>
  </si>
  <si>
    <t>Cr 111 No. 157 30</t>
  </si>
  <si>
    <t>bellahilo@hotmail.com</t>
  </si>
  <si>
    <t>Behttsee Llaned Hincapie Loaiza (Representante Legal)</t>
  </si>
  <si>
    <t>Matorral Libreria Sas</t>
  </si>
  <si>
    <t>Cafeterías y Bares para Bebidas sin Alcohol(722515); Grupos Musicales y Artistas(71113); Tiendas de Libros y Periódicos(45121); Bares y Otros Lugares para Beber(7224)</t>
  </si>
  <si>
    <t>Comercio Al Por Menor De Libros, Periódicos, Materiales Y Artículos De Papelería Y Escritorio, En Establecimientos Especializados (G4761); Expendio De Comidas Preparadas En Cafeterías (I5613); Expendio De Bebidas Alcohólicas Para El Consumo Dentro Del Establecimiento (I5630); Actividades De Espectáculos Musicales En Vivo (R9007)</t>
  </si>
  <si>
    <t>Cr 19 No. 36 55</t>
  </si>
  <si>
    <t>stabilitassas@gmail.com</t>
  </si>
  <si>
    <t>Cesar Ricardo Hernandez Martinez (Representante Legal)</t>
  </si>
  <si>
    <t>Matlup Sas</t>
  </si>
  <si>
    <t>Tiendas de Electrodomésticos(443141); Bares y Otros Lugares para Beber(7224)</t>
  </si>
  <si>
    <t>Comercio Al Por Menor De Artículos Y Utensilios De Uso Doméstico (G4755); Expendio De Bebidas Alcohólicas Para El Consumo Dentro Del Establecimiento (I5630)</t>
  </si>
  <si>
    <t>Cr 54 D 135 60 In 5 Ap 507</t>
  </si>
  <si>
    <t>matlup1030@gmail.com</t>
  </si>
  <si>
    <t>Diana Carolina Cabrera Collazos (Representante Legal)</t>
  </si>
  <si>
    <t>Matik Matik Bar S.A.S</t>
  </si>
  <si>
    <t>Carrera 11 67 20</t>
  </si>
  <si>
    <t>bencalais@gmail.com</t>
  </si>
  <si>
    <t>Benjamin Louis Calais (Representante Legal)</t>
  </si>
  <si>
    <t>Mastil Cafe Sas</t>
  </si>
  <si>
    <t>Trilla De Café (C1061); Descafeinado, Tostión Y Molienda Del Café (C1062); Otros Derivados Del Café (C1063); Expendio De Comidas Preparadas En Cafeterías (I5613)</t>
  </si>
  <si>
    <t>Cl 70 A Bis No. 115</t>
  </si>
  <si>
    <t>mastilcaferoasters@gmail.com</t>
  </si>
  <si>
    <t>Sandra Liliana Rodriguez Alfonso (Representante Legal)</t>
  </si>
  <si>
    <t>Master Sushi Nuestro Bogota Sas</t>
  </si>
  <si>
    <t>Fabricación de Alimentos Preparados Perecederos(311991); Restaurantes y Otros Lugares para Comer(72251); Carnicerías(44521); Servicios Especiales de Comida(7223)</t>
  </si>
  <si>
    <t>Elaboración De Comidas Y Platos Preparados (C1084); Comercio Al Por Menor De Carnes (Incluye Aves De Corral), Productos Cárnicos, Pescados Y Productos De Mar, En Establecimientos Especializados (G4723); Expendio A La Mesa De Comidas Preparadas (I5611); Expendio Por Autoservicio De Comidas Preparadas (I5612)</t>
  </si>
  <si>
    <t>Cr 68 A No. 24 B 10</t>
  </si>
  <si>
    <t>camiloarenasf@gmail.com</t>
  </si>
  <si>
    <t>Camilo Andres Arenas Frias (Representante Legal)</t>
  </si>
  <si>
    <t>Máster Sushi Chicó S.A.S</t>
  </si>
  <si>
    <t>Cl 90 No. 16 56</t>
  </si>
  <si>
    <t>gerencia@mastersushi.co</t>
  </si>
  <si>
    <t>Arenas Frias Camilo Andres (Representante Legal)</t>
  </si>
  <si>
    <t>Master Kitchens Sas</t>
  </si>
  <si>
    <t>Cl 97 No. 23 37 Of 604</t>
  </si>
  <si>
    <t>otorodsan@gmail.com</t>
  </si>
  <si>
    <t>Rafael Giovanny Melo Leon (Representante Legal)</t>
  </si>
  <si>
    <t>Máster Inversiones Colombia Sas En Liquidacion</t>
  </si>
  <si>
    <t>Cr 26 No. 71 B 30 Of 814</t>
  </si>
  <si>
    <t>garagebar0922@gmail.com</t>
  </si>
  <si>
    <t>Rolando Escobar Lozano (Representante Legal)</t>
  </si>
  <si>
    <t>Master Empanadas S A S</t>
  </si>
  <si>
    <t>Cra 11 N 75 71 Of 50</t>
  </si>
  <si>
    <t>Master Chef Gurmet S.A.S</t>
  </si>
  <si>
    <t>Cr 87 No. 48 Sur 50</t>
  </si>
  <si>
    <t>masterchefdelicias1130@gmail.com</t>
  </si>
  <si>
    <t>Luz Dary Enciso Rubio (Representante Legal)</t>
  </si>
  <si>
    <t>Maskotco Sas</t>
  </si>
  <si>
    <t>Cr 70 C No. 50 66</t>
  </si>
  <si>
    <t>casuru25@gmail.com</t>
  </si>
  <si>
    <t>Anyi Lorena Espinel Barrera (Representante Legal)</t>
  </si>
  <si>
    <t>Mash Group Sas</t>
  </si>
  <si>
    <t>Carnicerías(44521); Bares y Otros Lugares para Beber(7224); Servicios Especiales de Comida(7223)</t>
  </si>
  <si>
    <t>Comercio Al Por Menor De Carnes (Incluye Aves De Corral), Productos Cárnicos, Pescados Y Productos De Mar, En Establecimientos Especializados (G4723); Expendio A La Mesa De Comidas Preparadas (I5611); Expendio De Bebidas Alcohólicas Para El Consumo Dentro Del Establecimiento (I5630)</t>
  </si>
  <si>
    <t>Cl 160 No. 58 50 To 2 Ap 304</t>
  </si>
  <si>
    <t>mashgroupsas@gmail.com</t>
  </si>
  <si>
    <t>Igor Ivan Mogollon Mestre (Representante Legal)</t>
  </si>
  <si>
    <t>Mas Que Arroz Sas En Liquidacion</t>
  </si>
  <si>
    <t>Cl 140 No. 13 62 Lc</t>
  </si>
  <si>
    <t>masquearroz21@gmail.com</t>
  </si>
  <si>
    <t>Hernan Dario Beltran Carranza (Representante Legal)</t>
  </si>
  <si>
    <t>Martinez Mendez Asociados S A S</t>
  </si>
  <si>
    <t>Avenida Calle 116 No. 70G - 79</t>
  </si>
  <si>
    <t>capachores@hotmail.com</t>
  </si>
  <si>
    <t>Jhon Evert Martinez Diaz (Representante Legal)</t>
  </si>
  <si>
    <t>Martínez &amp; Peña Investment Group Sas</t>
  </si>
  <si>
    <t>Cafeterías y Bares para Bebidas sin Alcohol(722515); Producción de Alimentos para Animales(31111); Bares y Otros Lugares para Beber(7224); Panaderías y Producción de Tortillas(3118)</t>
  </si>
  <si>
    <t>Elaboración De Productos De Panadería (C1081); Elaboración De Alimentos Preparados Para Animales (C1090); Expendio De Comidas Preparadas En Cafeterías (I5613); Expendio De Bebidas Alcohólicas Para El Consumo Dentro Del Establecimiento (I5630)</t>
  </si>
  <si>
    <t>Cl 33 No. 6 39 Ap 2208</t>
  </si>
  <si>
    <t>contactochorreo@gmail.com</t>
  </si>
  <si>
    <t>Martinez Uricohechea Yesney Felipe (Representante Legal)</t>
  </si>
  <si>
    <t>Martilucci Sas</t>
  </si>
  <si>
    <t>Fabricación de Alimentos Preparados Perecederos(311991); Restaurantes y Otros Lugares para Comer(72251); Empresas de Catering(72232)</t>
  </si>
  <si>
    <t>Elaboración De Comidas Y Platos Preparados (C1084); Expendio A La Mesa De Comidas Preparadas (I5611); Expendio Por Autoservicio De Comidas Preparadas (I5612); Catering Para Eventos (I5621)</t>
  </si>
  <si>
    <t>Calle 118 # 16 - 16 Apto 304</t>
  </si>
  <si>
    <t>mariajimena98@hotmail.com</t>
  </si>
  <si>
    <t>Maria Jimena Granados Gil (Representante Legal)</t>
  </si>
  <si>
    <t>Marsk S A S</t>
  </si>
  <si>
    <t>Cl 129 B No. 54 20 Bl 1 In 68</t>
  </si>
  <si>
    <t>marsksas@yahoo.com.co</t>
  </si>
  <si>
    <t>Manuel Alejandro De La Rosa Pachon (Representante Legal)</t>
  </si>
  <si>
    <t>Mars81 Sas</t>
  </si>
  <si>
    <t>Demás Tipos de Industrias de Diversión y Recreativas(71399); Comerciantes al por Mayor de Tabaco y Productos de Tabaco(42494); Bares y Otros Lugares para Beber(7224); Servicios Especiales de Comida(7223); Comerciantes al por Mayor de Cerveza, Vino y Bebidas Alcohólicas(4248)</t>
  </si>
  <si>
    <t>Comercio Al Por Mayor De Bebidas Y Tabaco (G4632); Expendio A La Mesa De Comidas Preparadas (I5611); Expendio De Bebidas Alcohólicas Para El Consumo Dentro Del Establecimiento (I5630); Otras Actividades Recreativas Y De Esparcimiento N.C.P. (R9329)</t>
  </si>
  <si>
    <t>Cra 18 12 39 Piso 2</t>
  </si>
  <si>
    <t>mars81sas@gmail.com</t>
  </si>
  <si>
    <t>Eduardo Porras Estevez (Representante Legal)</t>
  </si>
  <si>
    <t>Marroquin Escobar Inversiones Gastronomicas Sas</t>
  </si>
  <si>
    <t>Elaboración De Comidas Y Platos Preparados (C1084); Catering Para Eventos (I5621); Actividades De Otros Servicios De Comidas (I5629); Expendio De Bebidas Alcohólicas Para El Consumo Dentro Del Establecimiento (I5630)</t>
  </si>
  <si>
    <t>Cl 104 B No. 54 26 O</t>
  </si>
  <si>
    <t>marroquin4mireya@gmail.com</t>
  </si>
  <si>
    <t>Dora Mireya Marroquin Escobar (Representante Legal)</t>
  </si>
  <si>
    <t>Marquindu S.A.S</t>
  </si>
  <si>
    <t>Calle 139 112 B 10</t>
  </si>
  <si>
    <t>marquindusas@gmail.com</t>
  </si>
  <si>
    <t>Teresa De Jesus Duque Giraldo (Representante Legal)</t>
  </si>
  <si>
    <t>Market House Bar Sas</t>
  </si>
  <si>
    <t>Carnicerías(44521); Bares y Otros Lugares para Beber(7224); Supermercados(4451)</t>
  </si>
  <si>
    <t>Comercio Al Por Menor En Establecimientos No Especializados Con Surtido Compuesto Principalmente Por Alimentos, Bebidas O Tabaco (G4711); Comercio Al Por Menor De Carnes (Incluye Aves De Corral), Productos Cárnicos, Pescados Y Productos De Mar, En Establecimientos Especializados (G4723); Expendio De Bebidas Alcohólicas Para El Consumo Dentro Del Establecimiento (I5630)</t>
  </si>
  <si>
    <t>Cl 183 No. 11 55 To</t>
  </si>
  <si>
    <t>acar.consulting.sas@gmail.com</t>
  </si>
  <si>
    <t>Hernandez Salazar Dania Carolina (Representante Legal)</t>
  </si>
  <si>
    <t>Market El Mercado S.A.S.</t>
  </si>
  <si>
    <t>Otras Tiendas de Comidas Artesanales(44529); Bares y Otros Lugares para Beber(7224); Supermercados(4451)</t>
  </si>
  <si>
    <t>Comercio Al Por Menor En Establecimientos No Especializados Con Surtido Compuesto Principalmente Por Alimentos, Bebidas O Tabaco (G4711); Comercio Al Por Menor De Otros Productos Alimenticios N.C.P., En Establecimientos Especializados (G4729); Expendio De Bebidas Alcohólicas Para El Consumo Dentro Del Establecimiento (I5630)</t>
  </si>
  <si>
    <t>Av Guaymaral Cl 234 Estacion De Servicio</t>
  </si>
  <si>
    <t>marketelmercado@gmail.com</t>
  </si>
  <si>
    <t>Juan Manuel Fortoul Hernandez (Representante Legal)</t>
  </si>
  <si>
    <t>Marjav Sas</t>
  </si>
  <si>
    <t>Bares y Otros Lugares para Beber(7224); Comerciantes de Materiales y Suministros para la Construcción(4441); Comerciantes al por Mayor de Madera y Otros Materiales de Construcción(4233)</t>
  </si>
  <si>
    <t>Comerciantes de Materiales y Suministros para la Construcción(4441)</t>
  </si>
  <si>
    <t>Comercio Al Por Mayor De Materiales De Construcción, Artículos De Ferretería, Pinturas, Productos De Vidrio, Equipo Y Materiales De Fontanería Y Calefacción (G4663); Comercio Al Por Menor De Artículos De Ferretería, Pinturas Y Productos De Vidrio En Establecimientos Especializados (G4752); Expendio De Bebidas Alcohólicas Para El Consumo Dentro Del Establecimiento (I5630)</t>
  </si>
  <si>
    <t>Comercio Al Por Menor De Artículos De Ferretería, Pinturas Y Productos De Vidrio En Establecimientos Especializados (G4752)</t>
  </si>
  <si>
    <t>Cra 104 156 - 27</t>
  </si>
  <si>
    <t>ADMO.MARJAV@GMAIL.COM</t>
  </si>
  <si>
    <t>Wilmar Andres Paredes Zapata (Representante Legal)</t>
  </si>
  <si>
    <t>Marimonda 65 Sas</t>
  </si>
  <si>
    <t>Cl 65 No. 4 76</t>
  </si>
  <si>
    <t>alvclv@gmail.com</t>
  </si>
  <si>
    <t>Victor Daniel Delgado Sabagh (Representante Legal)</t>
  </si>
  <si>
    <t>Maria Candela Cocina Rebelde Sas</t>
  </si>
  <si>
    <t>Fabricación de Todos los Demás Tipos de Alimentos Diversos(311999); Fabricación de Alimentos Preparados Perecederos(311991); Bares y Otros Lugares para Beber(7224); Servicios Especiales de Comida(7223)</t>
  </si>
  <si>
    <t>Elaboración De Comidas Y Platos Preparados (C1084); Elaboración De Otros Productos Alimenticios N.C.P. (C1089); Expendio A La Mesa De Comidas Preparadas (I5611); Expendio De Bebidas Alcohólicas Para El Consumo Dentro Del Establecimiento (I5630)</t>
  </si>
  <si>
    <t>Cr 7 No. 81 50 Ap 302</t>
  </si>
  <si>
    <t>mcocinarebelde@gmail.com</t>
  </si>
  <si>
    <t>Maria Catalina Urrea Naveros (Representante Legal)</t>
  </si>
  <si>
    <t>Margaritaville Sas En Liquidacion</t>
  </si>
  <si>
    <t>Cr 14 No. 94 44 To A Of 401</t>
  </si>
  <si>
    <t>gringocantinasmr@gmail.com</t>
  </si>
  <si>
    <t>Michael Patrick De Miguel Rassi (Representante Legal)</t>
  </si>
  <si>
    <t>Marea Investments Sas</t>
  </si>
  <si>
    <t>Cr 20 A # 74 55 Ps 1 Rooftoped Plural</t>
  </si>
  <si>
    <t>caperolsas@gmail.com</t>
  </si>
  <si>
    <t>Caperol S.A.S (Representante Legal)</t>
  </si>
  <si>
    <t>Marcato S A S</t>
  </si>
  <si>
    <t>Cafeterías y Bares para Bebidas sin Alcohol(722515); Escuelas de Bellas Artes(61161)</t>
  </si>
  <si>
    <t>Expendio De Comidas Preparadas En Cafeterías (I5613); Enseñanza Cultural (P8553)</t>
  </si>
  <si>
    <t>Dg 61 C No. 27 A 20</t>
  </si>
  <si>
    <t>direccion@marcato.com.co</t>
  </si>
  <si>
    <t>Jimena Jaime Trujillo (Representante Legal)</t>
  </si>
  <si>
    <t>Maracana Alimentos Y Restaurantes Sas</t>
  </si>
  <si>
    <t>Expendio A La Mesa De Comidas Preparadas (I5611); Expendio De Comidas Preparadas En Cafeterías (I5613); Otros Tipos De Expendio De Comidas Preparadas N.C.P. (I5619); Catering Para Eventos (I5621)</t>
  </si>
  <si>
    <t>Cr 26 No. 62 - 09 Lc 101 - 102</t>
  </si>
  <si>
    <t>RESTAURANTEMARACANA62@GMAIL.COM</t>
  </si>
  <si>
    <t>Sergio Gonzalez Laguna (Representante Legal)</t>
  </si>
  <si>
    <t>Marabando Sas</t>
  </si>
  <si>
    <t>Cafeterías y Bares para Bebidas sin Alcohol(722515); Producción Cinematográfica y de Video(51211); Impresión(32311); Cerveceras(31212)</t>
  </si>
  <si>
    <t>Producción De Malta, Elaboración De Cervezas Y Otras Bebidas Malteadas (C1103); Actividades De Impresión (C1811); Expendio De Comidas Preparadas En Cafeterías (I5613); Actividades De Posproducción De Películas Cinematográficas, Videos, Programas, Anuncios Y Comerciales De Televisión (J5912)</t>
  </si>
  <si>
    <t>Calle 44 A 20 04 Local 1</t>
  </si>
  <si>
    <t>cintiaobando@gmail.com</t>
  </si>
  <si>
    <t>Cintia Viviana Obando Chaparro (Representante Legal)</t>
  </si>
  <si>
    <t>Mar Azul A Sas</t>
  </si>
  <si>
    <t>Cl 73 No. 69 B 74</t>
  </si>
  <si>
    <t>motelmarazul73@gmail.com</t>
  </si>
  <si>
    <t>Hector Jesus Angulo Rodriguez (Representante Legal)</t>
  </si>
  <si>
    <t>Mapache Bar 85 Sas</t>
  </si>
  <si>
    <t>Cl 85 No. 11 53 In 11 Lc 104</t>
  </si>
  <si>
    <t>mapachebarbogota@gmail.com</t>
  </si>
  <si>
    <t>William Andres Dominguez Rey (Representante Legal)</t>
  </si>
  <si>
    <t>Mapache Azul Sas</t>
  </si>
  <si>
    <t>Cafeterías y Bares para Bebidas sin Alcohol(722515); Demás Tipos de Industrias de Diversión y Recreativas(71399); Fabricación de Café y Té(31192); Servicios Especiales de Comida(7223)</t>
  </si>
  <si>
    <t>Otros Derivados Del Café (C1063); Expendio A La Mesa De Comidas Preparadas (I5611); Expendio De Comidas Preparadas En Cafeterías (I5613); Otras Actividades Recreativas Y De Esparcimiento N.C.P. (R9329)</t>
  </si>
  <si>
    <t>Carrera 16 A 48 81</t>
  </si>
  <si>
    <t>comercial@mapache-azul.com</t>
  </si>
  <si>
    <t>Lina Maria Bustos Contreras (Representante Legal)</t>
  </si>
  <si>
    <t>Mapaar Sas En Liquidacion</t>
  </si>
  <si>
    <t>Cr 74 No. 163 33 To</t>
  </si>
  <si>
    <t>mapaarsas@yahoo.com</t>
  </si>
  <si>
    <t>Luisa Fernanda Ruiz Borda (Representante Legal)</t>
  </si>
  <si>
    <t>Manya Bistro Latino S.A.S</t>
  </si>
  <si>
    <t>Cr 6 No. 58 49</t>
  </si>
  <si>
    <t>chef@manyabistro.com</t>
  </si>
  <si>
    <t>Gerardo Avila Lozano (Representante Legal)</t>
  </si>
  <si>
    <t>Manrique Bonilla Inversiones Sas</t>
  </si>
  <si>
    <t>Oficinas de Administrción Corporativas, Subsidiarias y Regionales(551114); Restaurantes y Otros Lugares para Comer(72251); Diseño de Sistemas Computacionales y Servicios Relacionados(54151); Demás Servicios de Información(51919)</t>
  </si>
  <si>
    <t>Expendio Por Autoservicio De Comidas Preparadas (I5612); Actividades De Consultoría Informática Y Actividades De Administración De Instalaciones Informáticas (J6202); Otras Actividades De Tecnologías De Información Y Actividades De Servicios Informáticos (J6209); Actividades De Administración Empresarial (M7010)</t>
  </si>
  <si>
    <t>Cl128D 21 19 To 2 Apto 1201</t>
  </si>
  <si>
    <t>jbonilladussan@gmail.com</t>
  </si>
  <si>
    <t>Juan Pablo Manrique Bonilla (Representante Legal)</t>
  </si>
  <si>
    <t>Manos A La Pola S.A.S</t>
  </si>
  <si>
    <t>Oficinas de Convenciones y Visitantes(561591); Grupos Musicales y Artistas(71113); Bares y Otros Lugares para Beber(7224)</t>
  </si>
  <si>
    <t>Expendio De Bebidas Alcohólicas Para El Consumo Dentro Del Establecimiento (I5630); Organización De Convenciones Y Eventos Comerciales (N8230); Actividades De Espectáculos Musicales En Vivo (R9007)</t>
  </si>
  <si>
    <t>Carrera 12 70 29</t>
  </si>
  <si>
    <t>manosalapola@gmail.com</t>
  </si>
  <si>
    <t>Andres Leonardo Yepes Chacon (Representante Legal)</t>
  </si>
  <si>
    <t>Manjisan Gourmet Sas</t>
  </si>
  <si>
    <t>Restaurantes y Otros Lugares para Comer(72251); Bares y Otros Lugares para Beber(7224); Servicios Especiales de Comida(7223); Arrendadores de Bienes Intangibles No Financieros (excepto Obras con los Derechos Reservados)(533)</t>
  </si>
  <si>
    <t>Expendio A La Mesa De Comidas Preparadas (I5611); Expendio Por Autoservicio De Comidas Preparadas (I5612); Expendio De Bebidas Alcohólicas Para El Consumo Dentro Del Establecimiento (I5630); Arrendamiento De Propiedad Intelectual Y Productos Similares, Excepto Obras Protegidas Por Derechos De Autor (N7740)</t>
  </si>
  <si>
    <t>manjigourmet@gmail.com</t>
  </si>
  <si>
    <t>Olga Lucia Astroza Barrera (Representante Legal)</t>
  </si>
  <si>
    <t>Mamba Drink's Sas En Liquidacion</t>
  </si>
  <si>
    <t>Actividades De Otros Servicios De Comidas (I5629); Expendio De Bebidas Alcohólicas Para El Consumo Dentro Del Establecimiento (I5630); Otras Actividades Recreativas Y De Esparcimiento N.C.P. (R9329)</t>
  </si>
  <si>
    <t>Ak 9 No. 131 A 31</t>
  </si>
  <si>
    <t>mambadrinks@gmail.com</t>
  </si>
  <si>
    <t>Andres Felipe Romero Carmona (Representante Legal)</t>
  </si>
  <si>
    <t>Mama Ida S.A.S</t>
  </si>
  <si>
    <t>Cl 93 Bis No 19 - 65 Ap 203</t>
  </si>
  <si>
    <t>nchapaval@gmail.com</t>
  </si>
  <si>
    <t>Nicole Chapaval Ventura (Representante Legal)</t>
  </si>
  <si>
    <t>Malta Ventures Sas</t>
  </si>
  <si>
    <t>Demás Tipos de Alojamiento para Viajeros(721199); Bares y Otros Lugares para Beber(7224); Supermercados(4451)</t>
  </si>
  <si>
    <t>Comercio Al Por Menor En Establecimientos No Especializados Con Surtido Compuesto Principalmente Por Alimentos, Bebidas O Tabaco (G4711); Otros Tipos De Alojamientos Para Visitantes (I5519); Expendio De Bebidas Alcohólicas Para El Consumo Dentro Del Establecimiento (I5630)</t>
  </si>
  <si>
    <t>Cl 65 # 5 50</t>
  </si>
  <si>
    <t>portellialexander@gmail.com</t>
  </si>
  <si>
    <t>Alexander Matthew Portelli (Representante Legal)</t>
  </si>
  <si>
    <t>Malcriada S.A.S</t>
  </si>
  <si>
    <t>Kr 12 # 71 - 80</t>
  </si>
  <si>
    <t>gerenciamalcriadasas@gmail.com</t>
  </si>
  <si>
    <t>Jhoana Caterine Montealegre Caicedo (Representante Legal)</t>
  </si>
  <si>
    <t>Malbata Sas En Liquidacion</t>
  </si>
  <si>
    <t>Tv 64 No. 1 55 In 3 Ap 301</t>
  </si>
  <si>
    <t>malbatasas@gmail.com</t>
  </si>
  <si>
    <t>Andres Felipe Solano Rincon (Representante Legal)</t>
  </si>
  <si>
    <t>Makuira Beer Spa S A S</t>
  </si>
  <si>
    <t>Servicios de Cuidado de Uñas, Pelo y Piel(81211); Otros Servicios Personales(8129); Bares y Otros Lugares para Beber(7224); Servicios Especiales de Comida(7223)</t>
  </si>
  <si>
    <t>Otros Tipos De Expendio De Comidas Preparadas N.C.P. (I5619); Expendio De Bebidas Alcohólicas Para El Consumo Dentro Del Establecimiento (I5630); Peluquería Y Otros Tratamientos De Belleza (S9602); Otras Actividades De Servicios Personales N.C.P. (S9609)</t>
  </si>
  <si>
    <t>Cr 16 No. 140 60</t>
  </si>
  <si>
    <t>makuirabeerspa@gmail.com</t>
  </si>
  <si>
    <t>Rixi Carolina Ropero Bernal (Representante Legal)</t>
  </si>
  <si>
    <t>Makoro Sas</t>
  </si>
  <si>
    <t>Fabricación de Alimentos Preparados Perecederos(311991); Restaurantes y Otros Lugares para Comer(72251); Comerciantes al por Mayor de Tabaco y Productos de Tabaco(42494); Servicios Especiales de Comida(7223); Comerciantes al por Mayor de Cerveza, Vino y Bebidas Alcohólicas(4248)</t>
  </si>
  <si>
    <t>Elaboración De Comidas Y Platos Preparados (C1084); Comercio Al Por Mayor De Bebidas Y Tabaco (G4632); Expendio A La Mesa De Comidas Preparadas (I5611); Expendio Por Autoservicio De Comidas Preparadas (I5612)</t>
  </si>
  <si>
    <t>Calle 130 B 58 A 53</t>
  </si>
  <si>
    <t>sasmakoro@gmail.com</t>
  </si>
  <si>
    <t>Leonel Vera Ramirez (Representante Legal)</t>
  </si>
  <si>
    <t>Making Events Sas</t>
  </si>
  <si>
    <t>Oficinas de Convenciones y Visitantes(561591); Demás Tipos de Industrias de Diversión y Recreativas(71399); Grupos Musicales y Artistas(71113); Bares y Otros Lugares para Beber(7224)</t>
  </si>
  <si>
    <t>Expendio De Bebidas Alcohólicas Para El Consumo Dentro Del Establecimiento (I5630); Organización De Convenciones Y Eventos Comerciales (N8230); Actividades De Espectáculos Musicales En Vivo (R9007); Otras Actividades Recreativas Y De Esparcimiento N.C.P. (R9329)</t>
  </si>
  <si>
    <t>Cl 172 No. 22 A 20</t>
  </si>
  <si>
    <t>makingeventos21@gmail.com</t>
  </si>
  <si>
    <t>Camilo Alberto Rocha Gacharna (Representante Legal)</t>
  </si>
  <si>
    <t>Makes Me Nuts S.A.S.</t>
  </si>
  <si>
    <t>Cafeterías y Bares para Bebidas sin Alcohol(722515); Fabricación de Alimentos Preparados Perecederos(311991); Empresas de Catering(72232); Comerciantes al por Mayor de Comestibles y Productos Relacionados(4244)</t>
  </si>
  <si>
    <t>Elaboración De Comidas Y Platos Preparados (C1084); Comercio Al Por Mayor De Productos Alimenticios (G4631); Expendio De Comidas Preparadas En Cafeterías (I5613); Catering Para Eventos (I5621)</t>
  </si>
  <si>
    <t>Cl 92 No. 13 68 Ap 602</t>
  </si>
  <si>
    <t>makesmenutscol@gmail.com</t>
  </si>
  <si>
    <t>Camila Isaza Restrepo (Representante Legal)</t>
  </si>
  <si>
    <t>Majoel Sas</t>
  </si>
  <si>
    <t>Cl 31 Sur No. 70 31</t>
  </si>
  <si>
    <t>jrpico@hotmail.es</t>
  </si>
  <si>
    <t>Jorge Eliecer Rojas Florez (Representante Legal)</t>
  </si>
  <si>
    <t>Majea Sas</t>
  </si>
  <si>
    <t>Calle 150 19 B 08</t>
  </si>
  <si>
    <t>quiero@clarayemapasteleria.com</t>
  </si>
  <si>
    <t>Jean Phillipe Hauzeur Calderon (Representante Legal)</t>
  </si>
  <si>
    <t>Majar Logistica De Alimentos Sas</t>
  </si>
  <si>
    <t>Restaurantes y Otros Lugares para Comer(72251); Servicios Relacionados con la Agricultura(11511); Servicios Especiales de Comida(7223); Servicios Relacionados con la Cría y Explotación de Animales(1152)</t>
  </si>
  <si>
    <t>Actividades De Apoyo A La Agricultura (A0161); Actividades De Apoyo A La Ganadería (A0162); Expendio A La Mesa De Comidas Preparadas (I5611); Expendio Por Autoservicio De Comidas Preparadas (I5612)</t>
  </si>
  <si>
    <t>Cr 22 No. 45 A 51</t>
  </si>
  <si>
    <t>majaralimentos@gmail.com</t>
  </si>
  <si>
    <t>Janeth Muñoz Duarte (Representante Legal)</t>
  </si>
  <si>
    <t>Majaka Empanadas Sas</t>
  </si>
  <si>
    <t>Cl 131 No. 49 40</t>
  </si>
  <si>
    <t>MAJAKA2024@GMAIL.COM</t>
  </si>
  <si>
    <t>Claudia Janneth Forero Marroquin (Representante Legal)</t>
  </si>
  <si>
    <t>Maia Bar S.A.S</t>
  </si>
  <si>
    <t>Restaurantes y Otros Lugares para Comer(72251); Demás Tipos de Industrias de Diversión y Recreativas(71399); Bares y Otros Lugares para Beber(7224); Servicios Especiales de Comida(7223)</t>
  </si>
  <si>
    <t>Expendio A La Mesa De Comidas Preparadas (I5611); Expendio Por Autoservicio De Comidas Preparadas (I5612); Expendio De Bebidas Alcohólicas Para El Consumo Dentro Del Establecimiento (I5630); Otras Actividades Recreativas Y De Esparcimiento N.C.P. (R9329)</t>
  </si>
  <si>
    <t>Cr 14 No. 83 37 Brr El Retiro</t>
  </si>
  <si>
    <t>maiagastrobarbogota@gmail.com</t>
  </si>
  <si>
    <t>Meredith Vanessa Nunez Alvarez (Representante Legal)</t>
  </si>
  <si>
    <t>Maia Bar 2.0 S.A.S</t>
  </si>
  <si>
    <t>Carrera 14 83 37</t>
  </si>
  <si>
    <t>maiabar466@gmail.com</t>
  </si>
  <si>
    <t>Mahi Foods Sas</t>
  </si>
  <si>
    <t>Cl 221 52 82</t>
  </si>
  <si>
    <t>g.ssantoscamargo@gmail.com</t>
  </si>
  <si>
    <t>Gloria Yaneth Santos Camargo (Representante Legal)</t>
  </si>
  <si>
    <t>Mahi Ac Sas</t>
  </si>
  <si>
    <t>Cafeterías y Bares para Bebidas sin Alcohol(722515); Demás Diversas Escuelas y Enseñanza(611699); Otras Tiendas de Comidas Artesanales(44529); Panaderías y Producción de Tortillas(3118)</t>
  </si>
  <si>
    <t>Elaboración De Productos De Panadería (C1081); Comercio Al Por Menor De Otros Productos Alimenticios N.C.P., En Establecimientos Especializados (G4729); Expendio De Comidas Preparadas En Cafeterías (I5613); Formación Para El Trabajo (P8551)</t>
  </si>
  <si>
    <t>Cr 1 No. 93 50 Lc 2</t>
  </si>
  <si>
    <t>info.mahiblog@gmail.com</t>
  </si>
  <si>
    <t>Daniela Baena Aguirre (Representante Legal)</t>
  </si>
  <si>
    <t>Magpe S.A.S.</t>
  </si>
  <si>
    <t>Comercio Al Por Menor De Otros Productos Nuevos En Establecimientos Especializados (G4774); Alojamiento En Apartahoteles (I5512); Servicio Por Horas (I5530); Expendio De Bebidas Alcohólicas Para El Consumo Dentro Del Establecimiento (I5630)</t>
  </si>
  <si>
    <t>Dg 46 A Sur No. 52 C 21</t>
  </si>
  <si>
    <t>cpamado@yahoo.com</t>
  </si>
  <si>
    <t>Claudia Patricia Amado Garcia (Representante Legal)</t>
  </si>
  <si>
    <t>Magos Del Sabor Sas</t>
  </si>
  <si>
    <t>Expendio A La Mesa De Comidas Preparadas (I5611); Expendio Por Autoservicio De Comidas Preparadas (I5612); Otros Tipos De Expendio De Comidas Preparadas N.C.P. (I5619); Actividades De Otros Servicios De Comidas (I5629)</t>
  </si>
  <si>
    <t>Cr 62 # 162 A 13</t>
  </si>
  <si>
    <t>magosdelsabor.24@gmail.com</t>
  </si>
  <si>
    <t>Donaldo Antonio Rosario Tarras (Representante Legal)</t>
  </si>
  <si>
    <t>Magolita Las Ojonas S A S</t>
  </si>
  <si>
    <t>Cr 27 A No. 24 12 B Panamericano</t>
  </si>
  <si>
    <t>resojonas@yahoo.com</t>
  </si>
  <si>
    <t>Margoth Torres De Rubio (Representante Legal)</t>
  </si>
  <si>
    <t>Magna Dea Sas</t>
  </si>
  <si>
    <t>Cultivo Combinado de Frutas y Frutos Secos(111336); Restaurantes y Otros Lugares para Comer(72251); Tiendas de Medicamentos y Farmacias(44611); Agua, Alcantarillado y Otros Sistemas(2213)</t>
  </si>
  <si>
    <t>Tiendas de Medicamentos y Farmacias(44611)</t>
  </si>
  <si>
    <t>K (A0121); Captación, Tratamiento Y Distribución De Agua (E3600); Comercio Al Por Menor De Productos Farmacéuticos Y Medicinales, Cosméticos Y Artículos De Tocador En Establecimientos Especializados (G4773); Expendio Por Autoservicio De Comidas Preparadas (I5612)</t>
  </si>
  <si>
    <t>Comercio Al Por Menor De Productos Farmacéuticos Y Medicinales, Cosméticos Y Artículos De Tocador En Establecimientos Especializados (G4773)</t>
  </si>
  <si>
    <t>Cr 9 No. 49 02 Int 304</t>
  </si>
  <si>
    <t>abrileu@yahoo.com</t>
  </si>
  <si>
    <t>Monica Esperanza Abril Chaves (Representante Legal)</t>
  </si>
  <si>
    <t>Magic Kandy S.A.S</t>
  </si>
  <si>
    <t>Autopista Norte Kilometro 19 Costado Oc</t>
  </si>
  <si>
    <t>gerencia@magickandy.com</t>
  </si>
  <si>
    <t>German Ricardo Ramirez Peralta (Representante Legal)</t>
  </si>
  <si>
    <t>Magal Asociados Sas</t>
  </si>
  <si>
    <t>Carrera 38 8 A 60</t>
  </si>
  <si>
    <t>sebastianmargal@gmail.com</t>
  </si>
  <si>
    <t>Sebastian Marin Gallo (Representante Legal)</t>
  </si>
  <si>
    <t>Maemuki Sas</t>
  </si>
  <si>
    <t>Cl 132 No. 58 B 82</t>
  </si>
  <si>
    <t>muhaisushim@gmail.com</t>
  </si>
  <si>
    <t>Jorge Yefret Carrillo Caceres (Representante Legal)</t>
  </si>
  <si>
    <t>Madame Marie Ltda</t>
  </si>
  <si>
    <t>Calle 78 12 15</t>
  </si>
  <si>
    <t>madamemarie2005@hotmail.com</t>
  </si>
  <si>
    <t>Maria Del Transito Sipamocha Chaparro (Representante Legal)</t>
  </si>
  <si>
    <t>Mad Radio Bogota Sas</t>
  </si>
  <si>
    <t>Bares y Otros Lugares para Beber(7224); Servicios Especiales de Comida(7223); Comerciantes al por Mayor de Prendas de Vestir, Bienes que se Venden por Yarda y Accesorios(4243)</t>
  </si>
  <si>
    <t>Comercio Al Por Mayor De Prendas De Vestir (G4642); Expendio A La Mesa De Comidas Preparadas (I5611); Expendio De Bebidas Alcohólicas Para El Consumo Dentro Del Establecimiento (I5630)</t>
  </si>
  <si>
    <t>Cr 14 A No. 82 42</t>
  </si>
  <si>
    <t>legroup@hotmail.com</t>
  </si>
  <si>
    <t>Daniel Roberto Rodriguez Gelvez (Representante Legal)</t>
  </si>
  <si>
    <t>Macpaz S.A.S</t>
  </si>
  <si>
    <t>Comerciantes al por Mayor de Electrodomésticos, Artículos del Hogar Eléctricos y Electrónicos de Consumo(42362); Bares y Otros Lugares para Beber(7224); Alquiler y Arrendamiento de Maquinaría y Equipo Comercial e Industrial(5324)</t>
  </si>
  <si>
    <t>Comercio Al Por Mayor De Equipo, Partes Y Piezas Electrónicos Y De Telecomunicaciones (G4652); Expendio De Bebidas Alcohólicas Para El Consumo Dentro Del Establecimiento (I5630); Alquiler Y Arrendamiento De Otros Tipos De Maquinaria, Equipo Y Bienes Tangibles N.C.P. (N7730)</t>
  </si>
  <si>
    <t>Carrera 14 82 87</t>
  </si>
  <si>
    <t>contabilidadmacpaz@hotmail.com</t>
  </si>
  <si>
    <t>Maria Camila Zapata Arango (Representante Legal)</t>
  </si>
  <si>
    <t>Macondo Sabores Magicos Sas En Liquidacion</t>
  </si>
  <si>
    <t>Cl 4 F No. 41 B 57</t>
  </si>
  <si>
    <t>hola@macondomagico.com</t>
  </si>
  <si>
    <t>Yeimy Andrea Niampira Martinez (Representante Legal)</t>
  </si>
  <si>
    <t>Macerada Sas</t>
  </si>
  <si>
    <t>Cafeterías y Bares para Bebidas sin Alcohol(722515); Fabricación de Todos los Demás Tipos de Alimentos Diversos(311999); Bares y Otros Lugares para Beber(7224)</t>
  </si>
  <si>
    <t>Elaboración De Otros Productos Alimenticios N.C.P. (C1089); Expendio De Comidas Preparadas En Cafeterías (I5613); Expendio De Bebidas Alcohólicas Para El Consumo Dentro Del Establecimiento (I5630)</t>
  </si>
  <si>
    <t>Cr 16 No. 79 83 Lc 107</t>
  </si>
  <si>
    <t>doris.bravo@macerada.com.co</t>
  </si>
  <si>
    <t>Doris Patricia Bravo Santana (Representante Legal)</t>
  </si>
  <si>
    <t>Macarola Sas</t>
  </si>
  <si>
    <t>Cl 151 16 56 Lc 2041</t>
  </si>
  <si>
    <t>mcvpoveda@hotmail.com</t>
  </si>
  <si>
    <t>Daniel Fernando Cabrera Gonzalez (Representante Legal)</t>
  </si>
  <si>
    <t>Mac Inversiones S.A.S</t>
  </si>
  <si>
    <t>Carrera 31 C 1 D 43</t>
  </si>
  <si>
    <t>acasallasro@gmail.com</t>
  </si>
  <si>
    <t>Andrea Casallas Rodriguez (Representante Legal)</t>
  </si>
  <si>
    <t>Ma&amp; Cafe Pub S.A.S.</t>
  </si>
  <si>
    <t>Cra 14 # 9 Sur - 35 Apto 100 1 Piso</t>
  </si>
  <si>
    <t>mai.cafe.pub@gmail.com</t>
  </si>
  <si>
    <t>Luz Mireya Roncancio Rincon (Representante Legal)</t>
  </si>
  <si>
    <t>M.J.E.Food. Sas</t>
  </si>
  <si>
    <t>Fabricación de Alimentos Preparados Perecederos(311991); Bares y Otros Lugares para Beber(7224); Servicios Especiales de Comida(7223); Supermercados(4451)</t>
  </si>
  <si>
    <t>Elaboración De Comidas Y Platos Preparados (C1084); Comercio Al Por Menor En Establecimientos No Especializados Con Surtido Compuesto Principalmente Por Alimentos, Bebidas O Tabaco (G4711); Expendio A La Mesa De Comidas Preparadas (I5611); Expendio De Bebidas Alcohólicas Para El Consumo Dentro Del Establecimiento (I5630)</t>
  </si>
  <si>
    <t>Calle 53 # 27 A - 44/48</t>
  </si>
  <si>
    <t>mjefood2018@gmail.com</t>
  </si>
  <si>
    <t>Edinson Arizalas Perlaza (Representante Legal)</t>
  </si>
  <si>
    <t>M&amp;J Alimentos Gourmet S.A.S</t>
  </si>
  <si>
    <t>Elaboración De Comidas Y Platos Preparados (C1084); Expendio De Comidas Preparadas En Cafeterías (I5613); Actividades De Otros Servicios De Comidas (I5629)</t>
  </si>
  <si>
    <t>Cr 15 136 63 Ap 303</t>
  </si>
  <si>
    <t>zulmaalmandoz1208@gmail.com</t>
  </si>
  <si>
    <t>Zaida Rosa Almandoz Arias (Representante Legal)</t>
  </si>
  <si>
    <t>M Y M Soluciones Interales 360 Sas</t>
  </si>
  <si>
    <t>Otros Tipos De Expendio De Comidas Preparadas N.C.P. (I5619); Expendio De Bebidas Alcohólicas Para El Consumo Dentro Del Establecimiento (I5630); Actividades De Consultaría De Gestión (M7020)</t>
  </si>
  <si>
    <t>Cl 83 A 114 90 Et 3 Ca 2</t>
  </si>
  <si>
    <t>mymsolucionesintegrales360@gmail.com</t>
  </si>
  <si>
    <t>Moyra Yarima Guillot Osorio (Representante Legal)</t>
  </si>
  <si>
    <t>Lyra Cafe Y Bistro S.A.S</t>
  </si>
  <si>
    <t>Cl 28 No. 13 A - 24 Lc 9</t>
  </si>
  <si>
    <t>monsal1675@gmail.com</t>
  </si>
  <si>
    <t>Monica Isabel Salazar Saldarriaga (Representante Legal)</t>
  </si>
  <si>
    <t>Luxx Holdem Services &amp; Entertainment S.A.S</t>
  </si>
  <si>
    <t>Grupos Musicales y Artistas(71113); Bares y Otros Lugares para Beber(7224); Servicios Especiales de Comida(7223); Industrias de Juego(7132)</t>
  </si>
  <si>
    <t>Expendio A La Mesa De Comidas Preparadas (I5611); Expendio De Bebidas Alcohólicas Para El Consumo Dentro Del Establecimiento (I5630); Actividades De Espectáculos Musicales En Vivo (R9007); Actividades De Juegos De Azar Y Apuestas (R9200)</t>
  </si>
  <si>
    <t>Cl 125 No. 21 A 27 Of 504</t>
  </si>
  <si>
    <t>directiva@luxxholdem.com</t>
  </si>
  <si>
    <t>Barbara Daniela Marcos Santos (Representante Legal)</t>
  </si>
  <si>
    <t>Lux Tattoo Club Sas</t>
  </si>
  <si>
    <t>Servicios de Cuidado de Uñas, Pelo y Piel(81211); Grupos Musicales y Artistas(71113); Otros Servicios Personales(8129); Bares y Otros Lugares para Beber(7224)</t>
  </si>
  <si>
    <t>Expendio De Bebidas Alcohólicas Para El Consumo Dentro Del Establecimiento (I5630); Actividades De Espectáculos Musicales En Vivo (R9007); Peluquería Y Otros Tratamientos De Belleza (S9602); Otras Actividades De Servicios Personales N.C.P. (S9609)</t>
  </si>
  <si>
    <t>Cr 14 A No. 83 - 10</t>
  </si>
  <si>
    <t>pinzonortizvictor@gmail.com</t>
  </si>
  <si>
    <t>Victor Hugo Pinzon Ortiz (Representante Legal)</t>
  </si>
  <si>
    <t>Lux Group Enterprises Sas</t>
  </si>
  <si>
    <t>Cr 27 No. 53 59 Local 2 Segundo Piso</t>
  </si>
  <si>
    <t>luxgroupsas@gmail.com</t>
  </si>
  <si>
    <t>Santiago Malpica Gomez (Representante Legal)</t>
  </si>
  <si>
    <t>Luvil Soluciones Sas</t>
  </si>
  <si>
    <t>Cafeterías y Bares para Bebidas sin Alcohol(722515); Servicios de Arquitectura(54131); Comerciantes al por Mayor de Otros Productos No Duraderos Diversos(42499)</t>
  </si>
  <si>
    <t>Comercio Al Por Mayor De Otros Productos N.C.P. (G4669); Expendio De Comidas Preparadas En Cafeterías (I5613); Actividades De Arquitectura (M7111)</t>
  </si>
  <si>
    <t>Cl 14 No. 108 48 Ca</t>
  </si>
  <si>
    <t>luvilsoluciones@gmail.com</t>
  </si>
  <si>
    <t>Jorge Augusto Fernandez Villamil (Representante Legal)</t>
  </si>
  <si>
    <t>Luva Gestion De Servicios Sas</t>
  </si>
  <si>
    <t>Servicios de Lavandería y Tintorería(8123); Bares y Otros Lugares para Beber(7224); Servicios Especiales de Comida(7223)</t>
  </si>
  <si>
    <t>Expendio A La Mesa De Comidas Preparadas (I5611); Otros Tipos De Expendio De Comidas Preparadas N.C.P. (I5619); Expendio De Bebidas Alcohólicas Para El Consumo Dentro Del Establecimiento (I5630); Lavado Y Limpieza, Incluso La Limpieza En Seco, De Productos Textiles Y De Piel (S9601)</t>
  </si>
  <si>
    <t>Cra 71F N 6A 43</t>
  </si>
  <si>
    <t>luvagestionserviciosas@gmail.com</t>
  </si>
  <si>
    <t>Maria Monica Arrieta Vergara (Representante Legal)</t>
  </si>
  <si>
    <t>Luque Business S A S</t>
  </si>
  <si>
    <t>Diseño de Sistemas Computacionales y Servicios Relacionados(54151); Bares y Otros Lugares para Beber(7224)</t>
  </si>
  <si>
    <t>Expendio De Bebidas Alcohólicas Para El Consumo Dentro Del Establecimiento (I5630); Actividades De Desarrollo De Sistemas Informáticos (Planificación, Análisis, Diseño, Programación, Pruebas) (J6201)</t>
  </si>
  <si>
    <t>Cl 95 71 45 To 8 Ap 304</t>
  </si>
  <si>
    <t>javierluque001@gmail.com</t>
  </si>
  <si>
    <t>Javier Andres Luque Jimenez (Representante Legal)</t>
  </si>
  <si>
    <t>Lunchscool S A S</t>
  </si>
  <si>
    <t>Cr 1 68 50</t>
  </si>
  <si>
    <t>lunchscool@gmail.com</t>
  </si>
  <si>
    <t>Angelica Maria Rojas Rios (Representante Legal)</t>
  </si>
  <si>
    <t>Lunch 2 Go Sas</t>
  </si>
  <si>
    <t>Ak 24 No. 57 93</t>
  </si>
  <si>
    <t>jd.ramos49@gmail.com</t>
  </si>
  <si>
    <t>Juan Pablo Ramos Rodriguez (Representante Legal)</t>
  </si>
  <si>
    <t>Lulo Y Coco Sas</t>
  </si>
  <si>
    <t>Cl 70 # 8 - 25</t>
  </si>
  <si>
    <t>aabreu@grupohabla.com</t>
  </si>
  <si>
    <t>Alejandro Abreu Lachner (Representante Legal)</t>
  </si>
  <si>
    <t>Lugoeventos Sas</t>
  </si>
  <si>
    <t>Cr 8 G No. 164 A 52</t>
  </si>
  <si>
    <t>lugoeventosas@hotmail.com</t>
  </si>
  <si>
    <t>Sandra Carolina Salamanca Roa (Representante Legal)</t>
  </si>
  <si>
    <t>Lucky Sports S A S</t>
  </si>
  <si>
    <t>Cafeterías y Bares para Bebidas sin Alcohol(722515); Otros Servicios de Apoyo de Negocios(56149); Bares y Otros Lugares para Beber(7224); Industrias de Juego(7132)</t>
  </si>
  <si>
    <t>Expendio De Comidas Preparadas En Cafeterías (I5613); Expendio De Bebidas Alcohólicas Para El Consumo Dentro Del Establecimiento (I5630); Otras Actividades De Servicio De Apoyo A Las Empresas N.C.P. (N8299); Actividades De Juegos De Azar Y Apuestas (R9200)</t>
  </si>
  <si>
    <t>Carrera 12 A # 10 79 Local 119 Centro Co</t>
  </si>
  <si>
    <t>leos280@hotmail.com</t>
  </si>
  <si>
    <t>Luis Gabriel Jaimes Porras (Representante Legal)</t>
  </si>
  <si>
    <t>Lowygalvis S A S</t>
  </si>
  <si>
    <t>Cr 72 A No. 23 95</t>
  </si>
  <si>
    <t>lowygalvissas@gmail.com</t>
  </si>
  <si>
    <t>Petter David Lowy Ceron (Representante Legal)</t>
  </si>
  <si>
    <t>Love Languages Sas</t>
  </si>
  <si>
    <t>Cafeterías y Bares para Bebidas sin Alcohol(722515); Investigación y Desarrollo en Ciencias Sociales y Humanidades(54172)</t>
  </si>
  <si>
    <t>Investigación y Desarrollo en Ciencias Sociales y Humanidades(54172)</t>
  </si>
  <si>
    <t>Expendio De Comidas Preparadas En Cafeterías (I5613); Investigaciones Y Desarrollo Experimental En El Campo De Las Ciencias Sociales Y Las Humanidades (M7220)</t>
  </si>
  <si>
    <t>Investigaciones Y Desarrollo Experimental En El Campo De Las Ciencias Sociales Y Las Humanidades (M7220)</t>
  </si>
  <si>
    <t>Calle 46 No.5 - 21 Apto 501Torre 4</t>
  </si>
  <si>
    <t>tangosfan@gmail.com</t>
  </si>
  <si>
    <t>Carlos Andres Rodriguez Vargas (Representante Legal)</t>
  </si>
  <si>
    <t>Loto Disfruta La Pasion Sas</t>
  </si>
  <si>
    <t>Demás Tipos de Alojamiento para Viajeros(721199); Otros Servicios Personales(8129); Bares y Otros Lugares para Beber(7224)</t>
  </si>
  <si>
    <t>Otros Tipos De Alojamiento N.C.P. (I5590); Expendio De Bebidas Alcohólicas Para El Consumo Dentro Del Establecimiento (I5630); Otras Actividades De Servicios Personales N.C.P. (S9609)</t>
  </si>
  <si>
    <t>Cr 16 A No. 23 73</t>
  </si>
  <si>
    <t>miltoncardona91@gmail.com</t>
  </si>
  <si>
    <t>Luis Fernando Jaramillo Lopez (Representante Legal)</t>
  </si>
  <si>
    <t>Lost Sas</t>
  </si>
  <si>
    <t>Cafeterías y Bares para Bebidas sin Alcohol(722515); Operadores Turísticos(56152); Servicios Fotográficos(54192)</t>
  </si>
  <si>
    <t>Servicios Fotográficos(54192)</t>
  </si>
  <si>
    <t>Expendio De Comidas Preparadas En Cafeterías (I5613); Actividades De Fotografía (M7420); Actividades De Operadores Turísticos (N7912)</t>
  </si>
  <si>
    <t>Actividades De Fotografía (M7420)</t>
  </si>
  <si>
    <t>Ak 19 No. 145 A 49 Ap 304 Ed Nortico</t>
  </si>
  <si>
    <t>samuelstamper.lostcol@gmail.com</t>
  </si>
  <si>
    <t>Samuel Robert Stamper (Representante Legal)</t>
  </si>
  <si>
    <t>Losan Investment S.A.S</t>
  </si>
  <si>
    <t>Cerveceras(31212); Servicios de Lavandería y Tintorería(8123); Bares y Otros Lugares para Beber(7224); Servicios Especiales de Comida(7223)</t>
  </si>
  <si>
    <t>Producción De Malta, Elaboración De Cervezas Y Otras Bebidas Malteadas (C1103); Expendio A La Mesa De Comidas Preparadas (I5611); Expendio De Bebidas Alcohólicas Para El Consumo Dentro Del Establecimiento (I5630); Lavado Y Limpieza, Incluso La Limpieza En Seco, De Productos Textiles Y De Piel (S9601)</t>
  </si>
  <si>
    <t>Carrera 22A # 87 - 5</t>
  </si>
  <si>
    <t>losaninvestment@gmail.com</t>
  </si>
  <si>
    <t>Alexi Santiago (Representante Legal)</t>
  </si>
  <si>
    <t>Los Vikingos Group S.A.S</t>
  </si>
  <si>
    <t>Cl 24 A No. 81 C 19</t>
  </si>
  <si>
    <t>los.vikingos.group@gmail.com</t>
  </si>
  <si>
    <t>Leandro Isnardo Mesa Lopez (Representante Legal)</t>
  </si>
  <si>
    <t>Los Tres Cochinitos S.A.S</t>
  </si>
  <si>
    <t>Av. Kr.68 # 80 - 77</t>
  </si>
  <si>
    <t>elmarranerocolombia@gmail.com</t>
  </si>
  <si>
    <t>Carlos Manuel Edgar Perucho (Representante Legal)</t>
  </si>
  <si>
    <t>Los Querubines De Oro Rebeldes S.A.S</t>
  </si>
  <si>
    <t>Calle 22 B 75 03</t>
  </si>
  <si>
    <t>querubinesdeororebeldes@gmail.com</t>
  </si>
  <si>
    <t>Wilson David Alexander Duran Bialikamien (Representante Legal)</t>
  </si>
  <si>
    <t>Los Potrillos M.C Sas</t>
  </si>
  <si>
    <t>Demás Tipos de Industrias de Diversión y Recreativas(71399); Grupos Musicales y Artistas(71113);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</si>
  <si>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Actividades De Espectáculos Musicales En Vivo (R9007); Otras Actividades Recreativas Y De Esparcimiento N.C.P. (R9329)</t>
  </si>
  <si>
    <t>Cr 20 No 14 05</t>
  </si>
  <si>
    <t>lospotrillosm.c@gmail.com</t>
  </si>
  <si>
    <t>Luis Rolando Osorio Arevalo (Representante Legal)</t>
  </si>
  <si>
    <t>Los Postres De Mi Suegra Sas</t>
  </si>
  <si>
    <t>Cafeterías y Bares para Bebidas sin Alcohol(722515); Fabricación de Alimentos Preparados Perecederos(311991); Servicios Especiales de Comida(7223); Supermercados(4451)</t>
  </si>
  <si>
    <t>Elaboración De Comidas Y Platos Preparados (C1084); Comercio Al Por Menor En Establecimientos No Especializados Con Surtido Compuesto Principalmente Por Alimentos, Bebidas O Tabaco (G4711); Expendio A La Mesa De Comidas Preparadas (I5611); Expendio De Comidas Preparadas En Cafeterías (I5613)</t>
  </si>
  <si>
    <t>Carrera 2 # 188 - 85</t>
  </si>
  <si>
    <t>lospostresdemisuegra@gmail.com</t>
  </si>
  <si>
    <t>Rosa Helena Bautista Fernandez (Representante Legal)</t>
  </si>
  <si>
    <t>Los Hermanos Del Curry Sas</t>
  </si>
  <si>
    <t>Cr 20 B No. 74 22</t>
  </si>
  <si>
    <t>hurtadoreyescesar@gmail.com</t>
  </si>
  <si>
    <t>Cesar Giovanni Hurtado Reyes (Representante Legal)</t>
  </si>
  <si>
    <t>Los Descendientes Inversiones Sas</t>
  </si>
  <si>
    <t>Oficinas de Convenciones y Visitantes(561591); Fabricación de Alimentos Preparados Perecederos(311991); Construcción de Edificios Residenciales(23611); Bares y Otros Lugares para Beber(7224)</t>
  </si>
  <si>
    <t>Elaboración De Comidas Y Platos Preparados (C1084); Construcción De Edificios Residenciales (F4111); Expendio De Bebidas Alcohólicas Para El Consumo Dentro Del Establecimiento (I5630); Organización De Convenciones Y Eventos Comerciales (N8230)</t>
  </si>
  <si>
    <t>Cr 4 A No. 27 - 40</t>
  </si>
  <si>
    <t>PRANACONSTRUCTORA2@GMAIL.COM</t>
  </si>
  <si>
    <t>Juan Esteban Gomez Peña (Representante Legal)</t>
  </si>
  <si>
    <t>Los Cuatro Fantasticos Sas</t>
  </si>
  <si>
    <t>Cl 56 Bis # 3 D 50</t>
  </si>
  <si>
    <t>impuestos@heladosclemente.com</t>
  </si>
  <si>
    <t>Alejandro Fonseca Carrera (Representante Legal)</t>
  </si>
  <si>
    <t>Los Cuates Discoteca Y Restaurante Bar Sas</t>
  </si>
  <si>
    <t>Cr 23 No. 9 45</t>
  </si>
  <si>
    <t>lore.valero@hotmail.es</t>
  </si>
  <si>
    <t>Yosser Diaz Lemus (Representante Legal)</t>
  </si>
  <si>
    <t>Los Carnales 106 Sas</t>
  </si>
  <si>
    <t>Cl 106 No. 56 79</t>
  </si>
  <si>
    <t>anjhpe@gmail.com</t>
  </si>
  <si>
    <t>Anderson Jhoao Perez Perez (Representante Legal)</t>
  </si>
  <si>
    <t>Los Carnales 1.0 Sas</t>
  </si>
  <si>
    <t>Comercio Al Por Menor En Establecimientos No Especializados, Con Surtido Compuesto Principalmente Por Productos Diferentes De Alimentos (Víveres En General), Bebidas Y Tabaco (G4719); Otros Tipos De Expendio De Comidas Preparadas N.C.P. (I5619); Expendio De Bebidas Alcohólicas Para El Consumo Dentro Del Establecimiento (I5630)</t>
  </si>
  <si>
    <t>Ac 72 No. 102 04</t>
  </si>
  <si>
    <t>PINEROSCRISTIAN62@GMAIL.COM</t>
  </si>
  <si>
    <t>Cristian Adolfo Piñeros Cuevas (Representante Legal)</t>
  </si>
  <si>
    <t>Los Bigotes Del Gato Sas</t>
  </si>
  <si>
    <t>Demás Tipos de Industrias de Diversión y Recreativas(71399); Agencias de Publicidad(54181); Bares y Otros Lugares para Beber(7224); Servicios Especiales de Comida(7223)</t>
  </si>
  <si>
    <t>Expendio A La Mesa De Comidas Preparadas (I5611); Expendio De Bebidas Alcohólicas Para El Consumo Dentro Del Establecimiento (I5630); Publicidad (M7310); Otras Actividades Recreativas Y De Esparcimiento N.C.P. (R9329)</t>
  </si>
  <si>
    <t>Cl 53 No. 73 A 96</t>
  </si>
  <si>
    <t>info@losbigotesdelgato.com</t>
  </si>
  <si>
    <t>Alejandro Torres Peñuela (Representante Legal)</t>
  </si>
  <si>
    <t>Los Alpes A Sas</t>
  </si>
  <si>
    <t>Cl 18 Sur No. 14 44</t>
  </si>
  <si>
    <t>motelalpes@hotmail.com</t>
  </si>
  <si>
    <t>Los Almuerzos De Lusaruiz Sas</t>
  </si>
  <si>
    <t>Cl 69 F No. 6 A 48 Sur</t>
  </si>
  <si>
    <t>claudiaalarcon63@gmail.com</t>
  </si>
  <si>
    <t>Alexander Ruiz Benavides (Representante Legal)</t>
  </si>
  <si>
    <t>Lord Wallace Craft Brewery Sas</t>
  </si>
  <si>
    <t>Servicios de Empaque y Etiquetado(56191); Cerveceras(31212); Bares y Otros Lugares para Beber(7224); Servicios Especiales de Comida(7223)</t>
  </si>
  <si>
    <t>Producción De Malta, Elaboración De Cervezas Y Otras Bebidas Malteadas (C1103); Expendio A La Mesa De Comidas Preparadas (I5611); Expendio De Bebidas Alcohólicas Para El Consumo Dentro Del Establecimiento (I5630); Actividades De Envase Y Empaque (N8292)</t>
  </si>
  <si>
    <t>Cr 54 D No. 135 15 Ap 401 To 2</t>
  </si>
  <si>
    <t>daniel.caro.salinas@gmail.com</t>
  </si>
  <si>
    <t>Katerin Vanessa Gordon Garcia (Representante Legal)</t>
  </si>
  <si>
    <t>London Calling Ltda</t>
  </si>
  <si>
    <t>Cl 120 A No. 6A - 28</t>
  </si>
  <si>
    <t>alejof@msn.com</t>
  </si>
  <si>
    <t>Alejandro Fernandez Johnson (Representante Legal)</t>
  </si>
  <si>
    <t>Lola Soluciones Saludables Sas</t>
  </si>
  <si>
    <t>Cr 72 H No. 37 D Sur 75</t>
  </si>
  <si>
    <t>lolacocinaycafe@outlook.com</t>
  </si>
  <si>
    <t>David Taffur Latorre (Representante Legal)</t>
  </si>
  <si>
    <t>Logistica Integral El Gato Sas</t>
  </si>
  <si>
    <t>Bares y Otros Lugares para Beber(7224); Autotransporte de Carga General(4841); Tiendas de Piezas y Accesorios Automotrices y Neumáticos(4413); Comerciantes al por Mayor de Bienes No Duraderos Diversos(4249)</t>
  </si>
  <si>
    <t>Comercio De Partes, Piezas (Autopartes) Y Accesorios (Lujos) Para Vehículos Automotores (G4530); Comercio Al Por Mayor No Especializado (G4690); Transporte De Carga Por Carretera (H4923); Expendio De Bebidas Alcohólicas Para El Consumo Dentro Del Establecimiento (I5630)</t>
  </si>
  <si>
    <t>Tv 97 A No. 2 70 To 10 Ap 807</t>
  </si>
  <si>
    <t>logisticaintegralgato@gmail.com</t>
  </si>
  <si>
    <t>Felix Johnalbey Conde Vargas (Representante Legal)</t>
  </si>
  <si>
    <t>Locomotora De Proyectos Sas</t>
  </si>
  <si>
    <t>Unidades de Engorde de Ganado Vacuno(112112); Restaurantes y Otros Lugares para Comer(72251); Otros Alojamientos para Viajeros(72119); Arrendadores de Bienes Inmuebles(5311)</t>
  </si>
  <si>
    <t>Cría De Ganado Bovino Y Bufalino (A0141); Alojamiento Rural (I5514); Expendio Por Autoservicio De Comidas Preparadas (I5612); Actividades Inmobiliarias Realizadas Con Bienes Propios O Arrendados (L6810)</t>
  </si>
  <si>
    <t>Cr 18 A No. 135 22 Ed Verdi 135</t>
  </si>
  <si>
    <t>capacitacionesycursosvirtuales@gmail.com</t>
  </si>
  <si>
    <t>Jose Juan Otero Suarez (Representante Legal)</t>
  </si>
  <si>
    <t>Locavore S.A.S</t>
  </si>
  <si>
    <t>Cafeterías y Bares para Bebidas sin Alcohol(722515); Empresas de Catering(72232); Conservación de Frutas, Verduras y Fabricación de Alimentos Especializados(3114)</t>
  </si>
  <si>
    <t>Procesamiento Y Conservación De Frutas, Legumbres, Hortalizas Y Tubérculos (C1020); Expendio A La Mesa De Comidas Preparadas (I5611); Expendio De Comidas Preparadas En Cafeterías (I5613); Catering Para Eventos (I5621)</t>
  </si>
  <si>
    <t>Cl 36 No. 14 66</t>
  </si>
  <si>
    <t>IOM.VEGAN@GMAIL.COM</t>
  </si>
  <si>
    <t>Io Gomez Salgado (Representante Legal)</t>
  </si>
  <si>
    <t>Lo Spuntino Sas</t>
  </si>
  <si>
    <t>Cr 21 No. 127 - 23</t>
  </si>
  <si>
    <t>PIERSIORGIOMUÑOZQUAGLIA@DAVINCI.EDU.CO</t>
  </si>
  <si>
    <t>Fosco Mirto Zorio Ferraro (Representante Legal)</t>
  </si>
  <si>
    <t>Lo Nuestro Tienda Café Bar Sas</t>
  </si>
  <si>
    <t>Descafeinado, Tostión Y Molienda Del Café (C1062); Expendio De Comidas Preparadas En Cafeterías (I5613); Expendio De Bebidas Alcohólicas Para El Consumo Dentro Del Establecimiento (I5630)</t>
  </si>
  <si>
    <t>Cl 95 No 49 - 10</t>
  </si>
  <si>
    <t>julkm16@gmail.com</t>
  </si>
  <si>
    <t>Daniel Andres Torres Moreno (Representante Legal)</t>
  </si>
  <si>
    <t>Lm Gastronomia Sas</t>
  </si>
  <si>
    <t>Cr 23 No. 75 A 33</t>
  </si>
  <si>
    <t>contacto@putadelicia.com</t>
  </si>
  <si>
    <t>Hernando Latorre Cantor (Representante Legal)</t>
  </si>
  <si>
    <t>Llamarada Wok S.A.S</t>
  </si>
  <si>
    <t>Restaurantes y Otros Lugares para Comer(72251); Otras Tiendas de Comidas Artesanales(44529); Servicios Especiales de Comida(7223)</t>
  </si>
  <si>
    <t>Comercio Al Por Menor De Otros Productos Alimenticios N.C.P., En Establecimientos Especializados (G4729); Expendio A La Mesa De Comidas Preparadas (I5611); Expendio Por Autoservicio De Comidas Preparadas (I5612); Actividades De Otros Servicios De Comidas (I5629)</t>
  </si>
  <si>
    <t>Cr 53B # 131A - 85</t>
  </si>
  <si>
    <t>llamaradawok@gmail.com</t>
  </si>
  <si>
    <t>Hector David Valderrama Varela (Representante Legal)</t>
  </si>
  <si>
    <t>Liz&amp;Gil S.A.S</t>
  </si>
  <si>
    <t>Cr 3 C No. 38 45 Sur</t>
  </si>
  <si>
    <t>gilbertchirva@gmail.com</t>
  </si>
  <si>
    <t>Gilbert Andres Hurtado Chirva (Representante Legal)</t>
  </si>
  <si>
    <t>Lirium Cafe Sas</t>
  </si>
  <si>
    <t>Comercio Al Por Menor De Otros Productos Alimenticios N.C.P., En Establecimientos Especializados (G4729); Expendio A La Mesa De Comidas Preparadas (I5611); Expendio De Comidas Preparadas En Cafeterías (I5613)</t>
  </si>
  <si>
    <t>Tv 19 A No. 95 30 Ap</t>
  </si>
  <si>
    <t>gerencia@caffacolombia.com</t>
  </si>
  <si>
    <t>Juan Felipe Lozano Sanz (Representante Legal)</t>
  </si>
  <si>
    <t>Liquors And Snacks 3Dc Sas</t>
  </si>
  <si>
    <t>Expendio De Comidas Preparadas En Cafeterías (I5613); Otros Tipos De Expendio De Comidas Preparadas N.C.P. (I5619); Actividades De Otros Servicios De Comidas (I5629); Expendio De Bebidas Alcohólicas Para El Consumo Dentro Del Establecimiento (I5630)</t>
  </si>
  <si>
    <t>Cl 65 A No. 72 48 Lc 1</t>
  </si>
  <si>
    <t>elena.corredor0322@gmail.com</t>
  </si>
  <si>
    <t>Carmen Elena Corredor Vargas (Representante Legal)</t>
  </si>
  <si>
    <t>Linder's Cake &amp; Coffee S.A.S</t>
  </si>
  <si>
    <t>Diagonal 40 Sur No. 34 A 03</t>
  </si>
  <si>
    <t>linderscakes@gmail.com</t>
  </si>
  <si>
    <t>Liliana Isabel Marquez Salgado (Representante Legal)</t>
  </si>
  <si>
    <t>Lina Premium Coffee S.A.S.</t>
  </si>
  <si>
    <t>Descafeinado, Tostión Y Molienda Del Café (C1062); Expendio De Comidas Preparadas En Cafeterías (I5613)</t>
  </si>
  <si>
    <t>Cl 93 No 13 - 42 Of 407</t>
  </si>
  <si>
    <t>admin@linapremiumcoffee.com</t>
  </si>
  <si>
    <t>Robert Sergio Isolino (Representante Legal)</t>
  </si>
  <si>
    <t>Limpieza Vip Sas</t>
  </si>
  <si>
    <t>Cafeterías y Bares para Bebidas sin Alcohol(722515); Servicios de Paisajismo(56173); Servicios de Consejería(56172)</t>
  </si>
  <si>
    <t>Expendio De Comidas Preparadas En Cafeterías (I5613); Limpieza General Interior De Edificios (N8121); Otras Actividades De Limpieza De Edificios E Instalaciones Industriales (N8129); Actividades De Paisajismo Y Servicios De Mantenimiento Conexos (N8130)</t>
  </si>
  <si>
    <t>Cr 73 No. 51 08</t>
  </si>
  <si>
    <t>contactolimpiezavip@gmail.com</t>
  </si>
  <si>
    <t>Maria Camila Robles Talero (Representante Legal)</t>
  </si>
  <si>
    <t>Lima Restobar Vip Club Sas</t>
  </si>
  <si>
    <t>Av Calle 19 # 7 - 44 P 2</t>
  </si>
  <si>
    <t>LIMA-RESTOBAR@OUTLOOK.COM</t>
  </si>
  <si>
    <t>Brian Wilmer Rios Zelaes (Representante Legal)</t>
  </si>
  <si>
    <t>Lima Restobar Gourmet Sas</t>
  </si>
  <si>
    <t>Cl 18 No. 4 17</t>
  </si>
  <si>
    <t>lima-restobar@outlook.com</t>
  </si>
  <si>
    <t>Lima Canton Sociedad Por Acciones Simplificada</t>
  </si>
  <si>
    <t>Cl 30 No. 6 50 Lc 8</t>
  </si>
  <si>
    <t>restaurantelimacanton@gmail.com</t>
  </si>
  <si>
    <t>Marcela Vanegas Alonso (Representante Legal)</t>
  </si>
  <si>
    <t>Lillie Panaderia Cafe Restaurante S A S</t>
  </si>
  <si>
    <t>Cl 7 No. 14 68</t>
  </si>
  <si>
    <t>lillie.gestion@outlook.com</t>
  </si>
  <si>
    <t>Gloria Liliana Buitrago Triviño (Representante Legal)</t>
  </si>
  <si>
    <t>Lilah Cupcakes Sas</t>
  </si>
  <si>
    <t>Cl 12 No. 28 97</t>
  </si>
  <si>
    <t>ventas@lilah-cupcakes.com</t>
  </si>
  <si>
    <t>Agnieszka Anna Stefanska (Representante Legal)</t>
  </si>
  <si>
    <t>Licores Y Eventos Furatena S.A.S.</t>
  </si>
  <si>
    <t>Cafeterías y Bares para Bebidas sin Alcohol(722515); Grupos Musicales y Artistas(71113); Bares y Otros Lugares para Beber(7224); Industrias de Juego(7132)</t>
  </si>
  <si>
    <t>Expendio De Comidas Preparadas En Cafeterías (I5613); Expendio De Bebidas Alcohólicas Para El Consumo Dentro Del Establecimiento (I5630); Actividades De Espectáculos Musicales En Vivo (R9007); Actividades De Juegos De Azar Y Apuestas (R9200)</t>
  </si>
  <si>
    <t>Calle 19 # 3 A - 35</t>
  </si>
  <si>
    <t>lafuratena19@gmail.com</t>
  </si>
  <si>
    <t>Ariel Fernando Castro Castro (Representante Legal)</t>
  </si>
  <si>
    <t>Licoreria Saveria Sas</t>
  </si>
  <si>
    <t>Cl 26 A No. 13 97 Ap 405 Ed Bulevar Tequ</t>
  </si>
  <si>
    <t>saveria.licoreria@gmail.com</t>
  </si>
  <si>
    <t>Luis Orlando Gallo Cubillos (Representante Legal)</t>
  </si>
  <si>
    <t>Licoreria Koviets Sas</t>
  </si>
  <si>
    <t>Cr 87 H No 1 - 12</t>
  </si>
  <si>
    <t>licoreriakoviets@gmail.com</t>
  </si>
  <si>
    <t>Karenth Yurley Ruiz Cardenas (Representante Legal)</t>
  </si>
  <si>
    <t>Licorera La Chilanguita Sas</t>
  </si>
  <si>
    <t>Cr 73 A No. 81 - 47 Local 2</t>
  </si>
  <si>
    <t>lachilanguita@outlook.es</t>
  </si>
  <si>
    <t>Sebastian Camilo Mendez Barrera (Representante Legal)</t>
  </si>
  <si>
    <t>Licorera El Despacho S.A.S</t>
  </si>
  <si>
    <t>Carrera 7 A 4 17</t>
  </si>
  <si>
    <t>loretriana28@gmail.com</t>
  </si>
  <si>
    <t>Jinneth Lorena Ramirez Triana (Representante Legal)</t>
  </si>
  <si>
    <t>Leyuse Sas</t>
  </si>
  <si>
    <t>Cafeterías y Bares para Bebidas sin Alcohol(722515); Fabricación de Equipos Comerciales de Refrigeración, Ventilación, Calefacción y Aire Acondicionado(33341); Contratistas de Otros Equipos de Construcción(23829); Servicios Especiales de Comida(7223)</t>
  </si>
  <si>
    <t>Contratistas de Otros Equipos de Construcción(23829)</t>
  </si>
  <si>
    <t>Fabricación De Otras Bombas, Compresores, Grifos Y Válvulas (C2813); Otras Instalaciones Especializadas (F4329); Expendio A La Mesa De Comidas Preparadas (I5611); Expendio De Comidas Preparadas En Cafeterías (I5613)</t>
  </si>
  <si>
    <t>Otras Instalaciones Especializadas (F4329)</t>
  </si>
  <si>
    <t>Cr 60 No. 70 29</t>
  </si>
  <si>
    <t>leyuseamb@gmail.com</t>
  </si>
  <si>
    <t>Lennart Celis Trujillo (Representante Legal)</t>
  </si>
  <si>
    <t>Lexico S.A.S.</t>
  </si>
  <si>
    <t>Cafeterías y Bares para Bebidas sin Alcohol(722515); Empresas de Catering(72232); Servicios Educativos(611)</t>
  </si>
  <si>
    <t>Servicios Educativos(611)</t>
  </si>
  <si>
    <t>Expendio De Comidas Preparadas En Cafeterías (I5613); Catering Para Eventos (I5621); Establecimientos Que Combinan Diferentes Niveles De Educación (P8530)</t>
  </si>
  <si>
    <t>Establecimientos Que Combinan Diferentes Niveles De Educación (P8530)</t>
  </si>
  <si>
    <t>Cr 18 # 40 A 71</t>
  </si>
  <si>
    <t>lexicoglobal@gmail.com</t>
  </si>
  <si>
    <t>Thomas Hardus Lesney (Representante Legal)</t>
  </si>
  <si>
    <t>Leoncamaleon Group Sas</t>
  </si>
  <si>
    <t>Carne Procesada de Canales(311612); Empresas de Catering(72232); Bares y Otros Lugares para Beber(7224)</t>
  </si>
  <si>
    <t>Procesamiento Y Conservación De Carne Y Productos Cárnicos (C1011); Expendio A La Mesa De Comidas Preparadas (I5611); Catering Para Eventos (I5621); Expendio De Bebidas Alcohólicas Para El Consumo Dentro Del Establecimiento (I5630)</t>
  </si>
  <si>
    <t>Cl 23 No. 7 39</t>
  </si>
  <si>
    <t>andrulo_vergara@hotmail.com</t>
  </si>
  <si>
    <t>Andres Harbei Vergara Zafra (Representante Legal)</t>
  </si>
  <si>
    <t>Leisure &amp; Living Hotels S.A.S</t>
  </si>
  <si>
    <t>Hoteles (excepto Hoteles Casino) y Moteles(72111); Operadores Turísticos(56152); Bares y Otros Lugares para Beber(7224); Servicios Especiales de Comida(7223)</t>
  </si>
  <si>
    <t>Operadores Turísticos(56152)</t>
  </si>
  <si>
    <t>Alojamiento En Hoteles (I5511); Expendio A La Mesa De Comidas Preparadas (I5611); Expendio De Bebidas Alcohólicas Para El Consumo Dentro Del Establecimiento (I5630); Actividades De Operadores Turísticos (N7912)</t>
  </si>
  <si>
    <t>Actividades De Operadores Turísticos (N7912)</t>
  </si>
  <si>
    <t>Cl 24 No. 5 63</t>
  </si>
  <si>
    <t>gerencia@lylhotels.com</t>
  </si>
  <si>
    <t>Maria Catalina Segura Forero (Representante Legal)</t>
  </si>
  <si>
    <t>Legacy Enterprise Usa Sas</t>
  </si>
  <si>
    <t>Otros Servicios de Apoyo de Negocios(56149); Bares y Otros Lugares para Beber(7224)</t>
  </si>
  <si>
    <t>Expendio De Bebidas Alcohólicas Para El Consumo Dentro Del Establecimiento (I5630); Otras Actividades De Servicio De Apoyo A Las Empresas N.C.P. (N8299)</t>
  </si>
  <si>
    <t>Cl 86 No. 10 88</t>
  </si>
  <si>
    <t>jacobbush23@icloud.com</t>
  </si>
  <si>
    <t>Jacob Blake Bushman (Representante Legal)</t>
  </si>
  <si>
    <t>Lee &amp; Suarez Sas</t>
  </si>
  <si>
    <t>Cl 115 No. 22 115</t>
  </si>
  <si>
    <t>andresleehansuarez@hotmail.com</t>
  </si>
  <si>
    <t>Andres Felipe Suarez Carvajal (Representante Legal)</t>
  </si>
  <si>
    <t>Lechoneria Colombia Sas</t>
  </si>
  <si>
    <t>Cl 123 No. 53 A 26 A</t>
  </si>
  <si>
    <t>lechoneriacolombia@gmail.com</t>
  </si>
  <si>
    <t>Manuel Eduardo Gonzalez Chacon (Representante Legal)</t>
  </si>
  <si>
    <t>Le Negresco S.A.S.</t>
  </si>
  <si>
    <t>Cl 70 No. 4 - 45</t>
  </si>
  <si>
    <t>RICARDOTAPIASBENAVIDES@HOTMAIL.COM</t>
  </si>
  <si>
    <t>Ricardo Tapias Benavides (Representante Legal)</t>
  </si>
  <si>
    <t>Lcp Investments S.A.S</t>
  </si>
  <si>
    <t>Otras Industrias Cinematográficas y de Video(512199); Bares y Otros Lugares para Beber(7224); Servicios Especiales de Comida(7223)</t>
  </si>
  <si>
    <t>Otros Tipos De Expendio De Comidas Preparadas N.C.P. (I5619); Expendio De Bebidas Alcohólicas Para El Consumo Dentro Del Establecimiento (I5630); Actividades De Exhibición De Películas Cinematográficas Y Videos (J5914)</t>
  </si>
  <si>
    <t>Calle 23 C 69 B 56 T</t>
  </si>
  <si>
    <t>toburu.palomino@gmail.com</t>
  </si>
  <si>
    <t>Carlos Fabian Tamayo Trillos (Representante Legal)</t>
  </si>
  <si>
    <t>Lavadero M@M S.A.S</t>
  </si>
  <si>
    <t>Cr 35 No. 10 95</t>
  </si>
  <si>
    <t>lavaderopensilvania@gmail.com</t>
  </si>
  <si>
    <t>Jose Fernando Monsalve Meneses (Representante Legal)</t>
  </si>
  <si>
    <t>Laundry Time Sas - En Liquidacion</t>
  </si>
  <si>
    <t>Restaurantes y Otros Lugares para Comer(72251); Servicios de Lavandería y Tintorería(8123); Servicios Especiales de Comida(7223); Supermercados(4451)</t>
  </si>
  <si>
    <t>Servicios de Lavandería y Tintorería(8123)</t>
  </si>
  <si>
    <t>Comercio Al Por Menor En Establecimientos No Especializados Con Surtido Compuesto Principalmente Por Alimentos, Bebidas O Tabaco (G4711); Expendio A La Mesa De Comidas Preparadas (I5611); Expendio Por Autoservicio De Comidas Preparadas (I5612); Lavado Y Limpieza, Incluso La Limpieza En Seco, De Productos Textiles Y De Piel (S9601)</t>
  </si>
  <si>
    <t>Lavado Y Limpieza, Incluso La Limpieza En Seco, De Productos Textiles Y De Piel (S9601)</t>
  </si>
  <si>
    <t>Cr 52 No. 122 19 Ap 401</t>
  </si>
  <si>
    <t>lorena_riveros@hotmail.com</t>
  </si>
  <si>
    <t>Luz Dayana Gonzalez Vargas (Representante Legal)</t>
  </si>
  <si>
    <t>Latterra S A S</t>
  </si>
  <si>
    <t>Cafeterías y Bares para Bebidas sin Alcohol(722515); Comerciantes al por Mayor de Comestibles y Productos Relacionados(4244); Panaderías y Producción de Tortillas(3118)</t>
  </si>
  <si>
    <t>Elaboración De Productos De Panadería (C1081); Comercio Al Por Mayor De Productos Alimenticios (G4631); Expendio De Comidas Preparadas En Cafeterías (I5613)</t>
  </si>
  <si>
    <t>Cr 15 A No. 106 69 Ap 201</t>
  </si>
  <si>
    <t>diego@latterra.co</t>
  </si>
  <si>
    <t>Diego Felipe Higuera Cardenas (Representante Legal)</t>
  </si>
  <si>
    <t>Latora Sas</t>
  </si>
  <si>
    <t>Ak 14 60 45</t>
  </si>
  <si>
    <t>admi.latora@gmail.com</t>
  </si>
  <si>
    <t>Luis Gabriel Ortiz Leon (Representante Legal)</t>
  </si>
  <si>
    <t>Latin Fries S.A.S</t>
  </si>
  <si>
    <t>Diagonal 101 B Sur 6 35</t>
  </si>
  <si>
    <t>wilad0330@gmail.com</t>
  </si>
  <si>
    <t>Wilmer Antonio Diaz Jimenez (Representante Legal)</t>
  </si>
  <si>
    <t>Latin Chan Chan Sas</t>
  </si>
  <si>
    <t>Cr 14 93 14</t>
  </si>
  <si>
    <t>latinchanchansas@gmail.com</t>
  </si>
  <si>
    <t>Paula Andrea Bernal Caicedo (Representante Legal)</t>
  </si>
  <si>
    <t>Lateral Local Sas</t>
  </si>
  <si>
    <t>Cr 14 A No. 82 - 68</t>
  </si>
  <si>
    <t>rafaelmartinezcuellar@gmail.com</t>
  </si>
  <si>
    <t>Rafael Vicente Martinez Cuellar (Representante Legal)</t>
  </si>
  <si>
    <t>Lateral Cerveceria S A S</t>
  </si>
  <si>
    <t>Cra 11 # 81 - 30 Local 1</t>
  </si>
  <si>
    <t>cervecerialateral2017@gmail.com</t>
  </si>
  <si>
    <t>Rene Roberto Van Meerbeke Pradilla (Representante Legal)</t>
  </si>
  <si>
    <t>Late Choco Sas</t>
  </si>
  <si>
    <t>Cafeterías y Bares para Bebidas sin Alcohol(722515); Otras Tiendas de Comidas Artesanales(44529); Fabricación de Chocolate y Pastelería(31135); Servicios Especiales de Comida(7223)</t>
  </si>
  <si>
    <t>Elaboración De Cacao, Chocolate Y Productos De Confitería (C1082); Comercio Al Por Menor De Otros Productos Alimenticios N.C.P., En Establecimientos Especializados (G4729); Expendio De Comidas Preparadas En Cafeterías (I5613); Otros Tipos De Expendio De Comidas Preparadas N.C.P. (I5619)</t>
  </si>
  <si>
    <t>Carrera 27 C 73 67 Barrio Los Alcazares</t>
  </si>
  <si>
    <t>info@latechoco.com</t>
  </si>
  <si>
    <t>Joel Palacios Renteria (Representante Legal)</t>
  </si>
  <si>
    <t>Las Mundialistas S.A.S</t>
  </si>
  <si>
    <t>Cr 2 D # 48 R 67 Sur</t>
  </si>
  <si>
    <t>cristianshanty@hotmail.com</t>
  </si>
  <si>
    <t>Cristian Antonio Penagos Pinzon (Representante Legal)</t>
  </si>
  <si>
    <t>Las Mendocinas Sas</t>
  </si>
  <si>
    <t>Expendio A La Mesa De Comidas Preparadas (I5611); Expendio Por Autoservicio De Comidas Preparadas (I5612); Expendio De Comidas Preparadas En Cafeterías (I5613); Catering Para Eventos (I5621)</t>
  </si>
  <si>
    <t>Cl 71 No. 13 80 Lc 5</t>
  </si>
  <si>
    <t>lasmendocinas@outlook.com</t>
  </si>
  <si>
    <t>Geddiel Ross Villafañez Garcia (Representante Legal)</t>
  </si>
  <si>
    <t>Las Güipas Sas</t>
  </si>
  <si>
    <t>Cafeterías y Bares para Bebidas sin Alcohol(722515); Fabricación de Alimentos Preparados Perecederos(311991); Comerciantes al por Mayor de Comestibles y Productos Relacionados(4244); Panaderías y Producción de Tortillas(3118)</t>
  </si>
  <si>
    <t>Elaboración De Productos De Panadería (C1081); Elaboración De Comidas Y Platos Preparados (C1084); Comercio Al Por Mayor De Productos Alimenticios (G4631); Expendio De Comidas Preparadas En Cafeterías (I5613)</t>
  </si>
  <si>
    <t>Cr 52 No. 131 15</t>
  </si>
  <si>
    <t>ruben.charry@hotmail.com</t>
  </si>
  <si>
    <t>Ruben Dario Charry Reinoso (Representante Legal)</t>
  </si>
  <si>
    <t>Las Dulzuras De Angelly S.A.S</t>
  </si>
  <si>
    <t>Cr 104 No. 22 F 08</t>
  </si>
  <si>
    <t>lasdulzurasdeangellys@gmail.com</t>
  </si>
  <si>
    <t>Isaac Leon Ordoñez (Representante Legal)</t>
  </si>
  <si>
    <t>Las Delicias De Carlina S A S</t>
  </si>
  <si>
    <t>Cr 93 D No. 69 40 Sur Bloque 1 Interior</t>
  </si>
  <si>
    <t>carlinaquiroga010@gmail.com</t>
  </si>
  <si>
    <t>Carlina Quiroga (Representante Legal)</t>
  </si>
  <si>
    <t>Las Brujas De Siempre S.A.S</t>
  </si>
  <si>
    <t>Comerciantes al por Mayor de Tabaco y Productos de Tabaco(42494); Cerveceras(31212); Bares y Otros Lugares para Beber(7224); Servicios Especiales de Comida(7223); Comerciantes al por Mayor de Cerveza, Vino y Bebidas Alcohólicas(4248)</t>
  </si>
  <si>
    <t>Producción De Malta, Elaboración De Cervezas Y Otras Bebidas Malteadas (C1103); Comercio Al Por Mayor De Bebidas Y Tabaco (G4632); Expendio A La Mesa De Comidas Preparadas (I5611); Expendio De Bebidas Alcohólicas Para El Consumo Dentro Del Establecimiento (I5630)</t>
  </si>
  <si>
    <t>Cl 52 B # 72 B 58</t>
  </si>
  <si>
    <t>wiccacerveceria@gmail.com</t>
  </si>
  <si>
    <t>Yeisson Camilo Rincon Infante (Representante Legal)</t>
  </si>
  <si>
    <t>Las Brasas Del Dorado Sas</t>
  </si>
  <si>
    <t>Cl 25 G No. 99 20</t>
  </si>
  <si>
    <t>1brasasdeldorado@gmail.com</t>
  </si>
  <si>
    <t>Juan David Ramirez Cortes (Representante Legal)</t>
  </si>
  <si>
    <t>Las Antorchas Del Spring Sas</t>
  </si>
  <si>
    <t>Demás Tipos de Industrias de Diversión y Recreativas(71399); Bares y Otros Lugares para Beber(7224); Cervecerías, Vinaterías y Tiendas de Licores(4453); Supermercados(4451)</t>
  </si>
  <si>
    <t>Comercio Al Por Menor En Establecimientos No Especializados Con Surtido Compuesto Principalmente Por Alimentos, Bebidas O Tabaco (G4711); Comercio Al Por Menor De Bebidas Y Productos Del Tabaco, En Establecimientos Especializados (G4724); Expendio De Bebidas Alcohólicas Para El Consumo Dentro Del Establecimiento (I5630); Otras Actividades Recreativas Y De Esparcimiento N.C.P. (R9329)</t>
  </si>
  <si>
    <t>Kr 52 A # 134 D 45</t>
  </si>
  <si>
    <t>ariaslopezsandrapatricia@gmail.com</t>
  </si>
  <si>
    <t>Sandra Patricia Arias Lopez (Representante Legal)</t>
  </si>
  <si>
    <t>Lamar Group S.A.S.</t>
  </si>
  <si>
    <t>Cr 18 B # 116 16 Of</t>
  </si>
  <si>
    <t>niclaps@hotmail.com</t>
  </si>
  <si>
    <t>Nicolas Esteban Moreno Limas (Representante Legal)</t>
  </si>
  <si>
    <t>Lalo Camacho Sociedad Por Acciones Simplificada</t>
  </si>
  <si>
    <t>Cl 70 A No. 11 10</t>
  </si>
  <si>
    <t>jjmendozavalencia@gmail.com</t>
  </si>
  <si>
    <t>Juan Jose Mendoza Valencia (Representante Legal)</t>
  </si>
  <si>
    <t>Lalitos Burger S.A.S.</t>
  </si>
  <si>
    <t>Expendio A La Mesa De Comidas Preparadas (I5611); Expendio Por Autoservicio De Comidas Preparadas (I5612); Catering Para Eventos (I5621); Expendio De Bebidas Alcohólicas Para El Consumo Dentro Del Establecimiento (I5630)</t>
  </si>
  <si>
    <t>Cl 100 No. 67 46</t>
  </si>
  <si>
    <t>burgerlalitos@gmail.com</t>
  </si>
  <si>
    <t>Mendoza Zuluaga Juan Felipe (Representante Legal)</t>
  </si>
  <si>
    <t>Lalatina S.A.S</t>
  </si>
  <si>
    <t>Cr 6 No. 11 25</t>
  </si>
  <si>
    <t>lalatinasas@gmail.com</t>
  </si>
  <si>
    <t>Mauricio Morales Tolosa (Representante Legal)</t>
  </si>
  <si>
    <t>Lahai Roi Sas</t>
  </si>
  <si>
    <t>Cr 20 No. 168 - 32</t>
  </si>
  <si>
    <t>lahairoisas@gmail.com</t>
  </si>
  <si>
    <t>Hugo Andres Corredor Urbano (Representante Legal)</t>
  </si>
  <si>
    <t>Lacteos Caridad S.A.S</t>
  </si>
  <si>
    <t>Cafeterías y Bares para Bebidas sin Alcohol(722515); Fabricación de Alimentos Preparados Perecederos(311991); Empresas de Catering(72232)</t>
  </si>
  <si>
    <t>Elaboración De Comidas Y Platos Preparados (C1084); Expendio A La Mesa De Comidas Preparadas (I5611); Expendio De Comidas Preparadas En Cafeterías (I5613); Catering Para Eventos (I5621)</t>
  </si>
  <si>
    <t>Cl 140 No. 12 18 Lc 15</t>
  </si>
  <si>
    <t>rapidoysabroso2018@gmail.com</t>
  </si>
  <si>
    <t>David Enrique Caridad Bohorquez (Representante Legal)</t>
  </si>
  <si>
    <t>Laboratorio Cultural Ritmo Moderno S.A.S</t>
  </si>
  <si>
    <t>Carrera 4 17 39</t>
  </si>
  <si>
    <t>ritmomoderno@gmail.com</t>
  </si>
  <si>
    <t>Sergio Alferez Garzon (Representante Legal)</t>
  </si>
  <si>
    <t>Laboratorio Caribe Sabor Barranquilla Sas</t>
  </si>
  <si>
    <t>Cl 80 # 13 09</t>
  </si>
  <si>
    <t>saborbarranquilla@hotmail.com</t>
  </si>
  <si>
    <t>Johnathan De Jesus Remon De La Hoz (Representante Legal)</t>
  </si>
  <si>
    <t>Lab Cocteleria Molecular Sas</t>
  </si>
  <si>
    <t>Cr 11 No. 97 10</t>
  </si>
  <si>
    <t>labcocteles@gmail.com</t>
  </si>
  <si>
    <t>Isabella Velez Santos (Representante Legal)</t>
  </si>
  <si>
    <t>La Vie Rose Dc Co S.A.S.</t>
  </si>
  <si>
    <t>Cr 22 No. 86 A 41</t>
  </si>
  <si>
    <t>lerose.restaurantedc@gmail.com</t>
  </si>
  <si>
    <t>Anyelo Ferney Salcedo Martinez (Representante Legal)</t>
  </si>
  <si>
    <t>La Vie Rose Capital Principal Sas</t>
  </si>
  <si>
    <t>bogota.centrocultural@gmail.com</t>
  </si>
  <si>
    <t>Jorge Hernan Mejia Osorio (Representante Legal)</t>
  </si>
  <si>
    <t>La Veronica Cerveza Para La Gente S.A.S</t>
  </si>
  <si>
    <t>Cerveceras(31212); Bares y Otros Lugares para Beber(7224)</t>
  </si>
  <si>
    <t>Producción De Malta, Elaboración De Cervezas Y Otras Bebidas Malteadas (C1103); Expendio De Bebidas Alcohólicas Para El Consumo Dentro Del Establecimiento (I5630)</t>
  </si>
  <si>
    <t>Calle 71A # 50 - 42</t>
  </si>
  <si>
    <t>hola@laveronica.co</t>
  </si>
  <si>
    <t>Steven Duarte Montañez (Representante Legal)</t>
  </si>
  <si>
    <t>La Vergueria Sas</t>
  </si>
  <si>
    <t>Cl 28 No. 13 A 24</t>
  </si>
  <si>
    <t>lavergueriasas@gmail.com</t>
  </si>
  <si>
    <t>Maria Paula Castellanos Rodriguez (Representante Legal)</t>
  </si>
  <si>
    <t>La Truckeria S.A.S</t>
  </si>
  <si>
    <t>Empresas de Catering(72232); Bares y Otros Lugares para Beber(7224); Servicios Relacionados con el Transporte por Carretera(4884)</t>
  </si>
  <si>
    <t>Actividades De Estaciones, Vías Y Servicios Complementarios Para El Transporte Terrestre (H5221); Expendio A La Mesa De Comidas Preparadas (I5611); Catering Para Eventos (I5621); Expendio De Bebidas Alcohólicas Para El Consumo Dentro Del Establecimiento (I5630)</t>
  </si>
  <si>
    <t>Cl 95 No. 45 08</t>
  </si>
  <si>
    <t>vivianwilchesf@gmail.com</t>
  </si>
  <si>
    <t>Vivian Wilches Florez (Representante Legal)</t>
  </si>
  <si>
    <t>La Traviesa Ew S.A.S</t>
  </si>
  <si>
    <t>Cafeterías y Bares para Bebidas sin Alcohol(722515); Demás Tipos de Transporte Público(485999); Unidades de Engorde de Ganado Vacuno(112112); Supermercados(4451)</t>
  </si>
  <si>
    <t>Cría De Ganado Bovino Y Bufalino (A0141); Comercio Al Por Menor En Establecimientos No Especializados Con Surtido Compuesto Principalmente Por Alimentos, Bebidas O Tabaco (G4711); Transporte Mixto (H4922); Expendio De Comidas Preparadas En Cafeterías (I5613)</t>
  </si>
  <si>
    <t>Cl 52 F Sur No. 24 35 To 11 Ap 430</t>
  </si>
  <si>
    <t>29supersuper@gmail.com</t>
  </si>
  <si>
    <t>Edwin Gonzalez Jimenez (Representante Legal)</t>
  </si>
  <si>
    <t>La Torna Market Sas</t>
  </si>
  <si>
    <t>Dg 77 B No. 116 B 42</t>
  </si>
  <si>
    <t>adrianapinzon2121@gmail.com</t>
  </si>
  <si>
    <t>Pinzon Padilla Adriana Patricia (Representante Legal)</t>
  </si>
  <si>
    <t>La Tierra Solidaria Sociedad Por Acciones Simplificada Comercializadora Internacional Pero Podra Operar Bajo La Sigla La Tierra Solidaria Sas Ci</t>
  </si>
  <si>
    <t>Cafeterías y Bares para Bebidas sin Alcohol(722515); Empresas de Catering(72232); Supermercados(4451); Comerciantes al por Mayor de Comestibles y Productos Relacionados(4244)</t>
  </si>
  <si>
    <t>Comercio Al Por Mayor De Productos Alimenticios (G4631); Comercio Al Por Menor En Establecimientos No Especializados Con Surtido Compuesto Principalmente Por Alimentos, Bebidas O Tabaco (G4711); Expendio De Comidas Preparadas En Cafeterías (I5613); Catering Para Eventos (I5621)</t>
  </si>
  <si>
    <t>Cr 13 44 35</t>
  </si>
  <si>
    <t>colombiaaculco@gmail.com</t>
  </si>
  <si>
    <t>Alvaro De Jesus Zuleta Cortes (Representante Legal)</t>
  </si>
  <si>
    <t>La Tienda Del Zipa Express S A S</t>
  </si>
  <si>
    <t>Comercio Al Por Menor En Establecimientos No Especializados Con Surtido Compuesto Principalmente Por Alimentos, Bebidas O Tabaco (G4711); Comercio Al Por Menor De Otros Productos Alimenticios N.C.P., En Establecimientos Especializados (G4729); Expendio A La Mesa De Comidas Preparadas (I5611); Expendio De Comidas Preparadas En Cafeterías (I5613)</t>
  </si>
  <si>
    <t>La Tienda Burgers Sas</t>
  </si>
  <si>
    <t>Cr 7 No 155C 20</t>
  </si>
  <si>
    <t>RICARDOREINA@MULTINVERSION.COM</t>
  </si>
  <si>
    <t>Ricardo Reina Lopez (Representante Legal)</t>
  </si>
  <si>
    <t>La Terracita Del San Sas</t>
  </si>
  <si>
    <t>Cr 10 No. 9 37 P 3</t>
  </si>
  <si>
    <t>avendanodiana16@hotmail.com</t>
  </si>
  <si>
    <t>Diana Eveing Avendaño Sarmiento (Representante Legal)</t>
  </si>
  <si>
    <t>La Tarteria Sas (NIT: 901573392)</t>
  </si>
  <si>
    <t>Cr 4 No. 12 34</t>
  </si>
  <si>
    <t>latarteria@hotmail.com</t>
  </si>
  <si>
    <t>Luis Eduardo Lievano Bejarano (Representante Legal)</t>
  </si>
  <si>
    <t>La Tarteria Sas</t>
  </si>
  <si>
    <t>Elaboración De Comidas Y Platos Preparados (C1084); Expendio A La Mesa De Comidas Preparadas (I5611); Otros Tipos De Expendio De Comidas Preparadas N.C.P. (I5619); Expendio De Bebidas Alcohólicas Para El Consumo Dentro Del Establecimiento (I5630)</t>
  </si>
  <si>
    <t>La Sucursal Del Cielo Bogota Sas</t>
  </si>
  <si>
    <t>Grupos Musicales y Artistas(71113); Comerciantes al por Mayor de Tabaco y Productos de Tabaco(42494); Bares y Otros Lugares para Beber(7224); Servicios Especiales de Comida(7223); Comerciantes al por Mayor de Cerveza, Vino y Bebidas Alcohólicas(4248)</t>
  </si>
  <si>
    <t>Comercio Al Por Mayor De Bebidas Y Tabaco (G4632); Expendio A La Mesa De Comidas Preparadas (I5611); Expendio De Bebidas Alcohólicas Para El Consumo Dentro Del Establecimiento (I5630); Actividades De Espectáculos Musicales En Vivo (R9007)</t>
  </si>
  <si>
    <t>Cr 14 A No. 83 54</t>
  </si>
  <si>
    <t>ingenieriaintegral.j.e@gmail.com</t>
  </si>
  <si>
    <t>Jairo Alfonso Sarmiento Rozo (Representante Legal)</t>
  </si>
  <si>
    <t>La Sistina Heladeria-Cafe Sas</t>
  </si>
  <si>
    <t>Cr 112 A No. 77 17</t>
  </si>
  <si>
    <t>racedo47@hotmail.com</t>
  </si>
  <si>
    <t>Luis Alberto Aguilar Hernandez (Representante Legal)</t>
  </si>
  <si>
    <t>La Sensacion Club Sandwich S.A.S</t>
  </si>
  <si>
    <t>Cl 135 No. 104 12</t>
  </si>
  <si>
    <t>arturopereznavarro@hotmail.com</t>
  </si>
  <si>
    <t>Carlos Arturo Perez Navarro (Representante Legal)</t>
  </si>
  <si>
    <t>La Santisima Sas</t>
  </si>
  <si>
    <t>Cr 27 No. 51 40 P 1</t>
  </si>
  <si>
    <t>juliangamba98@gmail.com</t>
  </si>
  <si>
    <t>Yeimi Lorena Aristizabal Garcia (Representante Legal)</t>
  </si>
  <si>
    <t>La Santisima Cantina S.A.S</t>
  </si>
  <si>
    <t>Carrera 27 51 26</t>
  </si>
  <si>
    <t>La Salchiparcheria Fj Sas</t>
  </si>
  <si>
    <t>Cl 9 No. 37 A 62</t>
  </si>
  <si>
    <t>inversionesjimenezpineros@gmail.com</t>
  </si>
  <si>
    <t>John Franklin Jimenez Valenzuela (Representante Legal)</t>
  </si>
  <si>
    <t>La Raclett Sas</t>
  </si>
  <si>
    <t>Cl 98 No. 69 52</t>
  </si>
  <si>
    <t>xiomaramoralesbaquero@hotmail.com</t>
  </si>
  <si>
    <t>Morales Baquero Lizeth Xiomara (Representante Legal)</t>
  </si>
  <si>
    <t>La Puerta Cafe Colombia S.A.S</t>
  </si>
  <si>
    <t>Calle 94 A 57 42</t>
  </si>
  <si>
    <t>lapuertacafecolombia@gmail.com</t>
  </si>
  <si>
    <t>Jefersson David Sandoval Marin (Representante Legal)</t>
  </si>
  <si>
    <t>La Prosperidad Cubana Sas</t>
  </si>
  <si>
    <t>Cr 98 # 16 F - 60</t>
  </si>
  <si>
    <t>maguillon15@gmail.com</t>
  </si>
  <si>
    <t>Mariela Yanery Alvarez Henriquez (Representante Legal)</t>
  </si>
  <si>
    <t>La Posada Steak House Sas</t>
  </si>
  <si>
    <t>Cr 69 B No. 15 A 45</t>
  </si>
  <si>
    <t>laposadasteakhouse@gmail.com</t>
  </si>
  <si>
    <t>Lenis Ruth Gaviria Velasquez (Representante Legal)</t>
  </si>
  <si>
    <t>La Popular S.A.S</t>
  </si>
  <si>
    <t>Carrera 73 Sur 39 23 Barrio Camilo Torre</t>
  </si>
  <si>
    <t>lapopularbogota@gmail.com</t>
  </si>
  <si>
    <t>Carolina Ortiz Amaya (Representante Legal)</t>
  </si>
  <si>
    <t>La Piqueteria Dc Sas</t>
  </si>
  <si>
    <t>Cr 7 No. 45 10 Lc 14</t>
  </si>
  <si>
    <t>davidromero78@outlook.es</t>
  </si>
  <si>
    <t>David Felipe Romero Correal (Representante Legal)</t>
  </si>
  <si>
    <t>La Pescaderia De La 65 Municipal Sas</t>
  </si>
  <si>
    <t>Cl 65 No. 4 A 30 Lc 1</t>
  </si>
  <si>
    <t>juancarlos.garzonsilva@gmail.com</t>
  </si>
  <si>
    <t>Juan Carlos Garzon Silva (Representante Legal)</t>
  </si>
  <si>
    <t>La Pequeña Roma S.A.S</t>
  </si>
  <si>
    <t>Cr 62 No. 164 40</t>
  </si>
  <si>
    <t>cerebrojuris@hotmail.com</t>
  </si>
  <si>
    <t>Oscar Javier Padron Rosales (Representante Legal)</t>
  </si>
  <si>
    <t>La Pampara After Party Sas</t>
  </si>
  <si>
    <t>Cr 27 Sur No. 29 C 41</t>
  </si>
  <si>
    <t>LAPAMPARAAFTERPARTYOFICIAL@GMAIL.COM</t>
  </si>
  <si>
    <t>Jonathan Alexander Sotelo Mora (Representante Legal)</t>
  </si>
  <si>
    <t>La Oficina V.I.P 2024 Sas</t>
  </si>
  <si>
    <t>Cr 110 No. 71 H 30 P 2</t>
  </si>
  <si>
    <t>LAOFICINAV.I.P.2024@GMAIL.COM</t>
  </si>
  <si>
    <t>Salazar Amaya Jhon Edye (Representante Legal)</t>
  </si>
  <si>
    <t>La Nona Group Sas</t>
  </si>
  <si>
    <t>Agencias de Publicidad(54181); Supermercados y Otras Tiendas de Abarrotes(44511); Bares y Otros Lugares para Beber(7224)</t>
  </si>
  <si>
    <t>Comercio Al Por Menor En Establecimientos No Especializados Con Surtido Compuesto Principalmente Por Alimentos, Bebidas O Tabaco (G4711); Comercio Al Por Menor De Alimentos, Bebidas Y Tabaco, En Puestos De Venta Móviles (G4781); Expendio De Bebidas Alcohólicas Para El Consumo Dentro Del Establecimiento (I5630); Publicidad (M7310)</t>
  </si>
  <si>
    <t>Cl 22 A No. 47 - 20</t>
  </si>
  <si>
    <t>SASHARINCONQ@GMAIL.COM</t>
  </si>
  <si>
    <t>Sacha Jiret Rincon Quiroz (Representante Legal)</t>
  </si>
  <si>
    <t>La Niña Made Delicias Costeñas Sas</t>
  </si>
  <si>
    <t>Fabricación de Todos los Demás Tipos de Alimentos Diversos(311999); Restaurantes y Otros Lugares para Comer(72251); Comerciantes al por Mayor de Comestibles y Productos Relacionados(4244)</t>
  </si>
  <si>
    <t>Elaboración De Otros Productos Alimenticios N.C.P. (C1089); Comercio Al Por Mayor De Productos Alimenticios (G4631); Expendio Por Autoservicio De Comidas Preparadas (I5612)</t>
  </si>
  <si>
    <t>Cl 134 A No. 11 07</t>
  </si>
  <si>
    <t>made.florez@gmail.com</t>
  </si>
  <si>
    <t>Madelaine Del Socorro Florez Mogollon (Representante Legal)</t>
  </si>
  <si>
    <t>La Monareta Pizza Y Pasta S A S</t>
  </si>
  <si>
    <t>Cafeterías y Bares para Bebidas sin Alcohol(722515); Fabricación de Alimentos Preparados Perecederos(311991); Bares y Otros Lugares para Beber(7224)</t>
  </si>
  <si>
    <t>Elaboración De Comidas Y Platos Preparados (C1084); Expendio De Comidas Preparadas En Cafeterías (I5613); Expendio De Bebidas Alcohólicas Para El Consumo Dentro Del Establecimiento (I5630)</t>
  </si>
  <si>
    <t>Cr 8 No. 41 39</t>
  </si>
  <si>
    <t>solanalp@gmail.com</t>
  </si>
  <si>
    <t>Leidy Tatiana Castillo Casallas (Representante Legal)</t>
  </si>
  <si>
    <t>La Molienda Tienda De Cafe S.A.S.</t>
  </si>
  <si>
    <t>Expendio De Comidas Preparadas En Cafeterías (I5613); Catering Para Eventos (I5621); Expendio De Bebidas Alcohólicas Para El Consumo Dentro Del Establecimiento (I5630)</t>
  </si>
  <si>
    <t>Cra 68 A # 24 B 10</t>
  </si>
  <si>
    <t>lamoliendatiendadecafe@gmail.com</t>
  </si>
  <si>
    <t>Edna Yuliet Vargas (Representante Legal)</t>
  </si>
  <si>
    <t>La Milagrosa Food Sas</t>
  </si>
  <si>
    <t>Cl 196 B No. 21 36</t>
  </si>
  <si>
    <t>davidll87@hotmail.com</t>
  </si>
  <si>
    <t>David Lopez Low (Representante Legal)</t>
  </si>
  <si>
    <t>La Milagrosa Bar Centro De Negocios Sas</t>
  </si>
  <si>
    <t>Ac 8 No. 78 45 Lc 2 3</t>
  </si>
  <si>
    <t>jhmorenolopez@gmail.com</t>
  </si>
  <si>
    <t>Jose Henry Moreno Lopez (Representante Legal)</t>
  </si>
  <si>
    <t>La Mechicandela Sas</t>
  </si>
  <si>
    <t>Cr 6 No. 8 75</t>
  </si>
  <si>
    <t>paulleonca@gmail.com</t>
  </si>
  <si>
    <t>Paul Ramiro Leon Cardenas (Representante Legal)</t>
  </si>
  <si>
    <t>La Mecánica S.A.S</t>
  </si>
  <si>
    <t>Carrera 25 63 F 21</t>
  </si>
  <si>
    <t>lamecanica2563@gmail.com</t>
  </si>
  <si>
    <t>Santiago Andres Gonzalez Penagos (Representante Legal)</t>
  </si>
  <si>
    <t>La Más Picada Sas</t>
  </si>
  <si>
    <t>Ac 72 No. 27 C 19</t>
  </si>
  <si>
    <t>aljimenez66@outlook.com</t>
  </si>
  <si>
    <t>Jimenez Vanegas Jose Alfredo (Representante Legal)</t>
  </si>
  <si>
    <t>La Marserena S.A.S</t>
  </si>
  <si>
    <t>Calle 48 13 70</t>
  </si>
  <si>
    <t>lamarserenacorp@gmail.com</t>
  </si>
  <si>
    <t>Yessica Paola Noguera Becerra (Representante Legal)</t>
  </si>
  <si>
    <t>La Mama Quilla Sas</t>
  </si>
  <si>
    <t>Cr 27 No. 50 - 51 Ap 402</t>
  </si>
  <si>
    <t>affo993@gmail.com</t>
  </si>
  <si>
    <t>Diego Fernando Fajardo Olaya (Representante Legal)</t>
  </si>
  <si>
    <t>La Mafia Peruana Restaurante S.A.S. En Liquidacion</t>
  </si>
  <si>
    <t>Cl 27 # 4 A 16</t>
  </si>
  <si>
    <t>roivpala@hotamail.com</t>
  </si>
  <si>
    <t>Maria Vanessa Bonilla Alba (Representante Legal)</t>
  </si>
  <si>
    <t>La Lupita De Cletus S.A.S</t>
  </si>
  <si>
    <t>Ac 19 # 28 - 80 Piso</t>
  </si>
  <si>
    <t>lalupitadecletus@gmail.com</t>
  </si>
  <si>
    <t>Clemente Mesinas Cruz (Representante Legal)</t>
  </si>
  <si>
    <t>La Liga De Soccer Sas</t>
  </si>
  <si>
    <t>Empresas de Catering(72232); Demás Tipos de Industrias de Diversión y Recreativas(71399); Bares y Otros Lugares para Beber(7224)</t>
  </si>
  <si>
    <t>Catering Para Eventos (I5621); Expendio De Bebidas Alcohólicas Para El Consumo Dentro Del Establecimiento (I5630); Otras Actividades Deportivas (R9319); Otras Actividades Recreativas Y De Esparcimiento N.C.P. (R9329)</t>
  </si>
  <si>
    <t>Cl 13 No. 47 26</t>
  </si>
  <si>
    <t>corredorhalber41@gmail.com</t>
  </si>
  <si>
    <t>Halber Delio Corredor Cabezas (Representante Legal)</t>
  </si>
  <si>
    <t>La Licorera Bungalow S.A.S</t>
  </si>
  <si>
    <t>Demás Tipos de Industrias de Diversión y Recreativas(71399); Bares y Otros Lugares para Beber(7224); Supermercados(4451); Tiendas de Artículos Diversos(453)</t>
  </si>
  <si>
    <t>Comercio Al Por Menor En Establecimientos No Especializados Con Surtido Compuesto Principalmente Por Alimentos, Bebidas O Tabaco (G4711); Comercio Al Por Menor De Otros Productos Nuevos En Establecimientos Especializados (G4774); Expendio De Bebidas Alcohólicas Para El Consumo Dentro Del Establecimiento (I5630); Otras Actividades Recreativas Y De Esparcimiento N.C.P. (R9329)</t>
  </si>
  <si>
    <t>Cl 159 No. 55 14</t>
  </si>
  <si>
    <t>lalicorerabungalow@gmail.com</t>
  </si>
  <si>
    <t>Camero Rubiano Luis Gabriel (Representante Legal)</t>
  </si>
  <si>
    <t>La Kalle Disco Bar Sas</t>
  </si>
  <si>
    <t>Cl 17 Sur No. 16 54</t>
  </si>
  <si>
    <t>vacunacionmundosalud@gmail.com</t>
  </si>
  <si>
    <t>Helvert Andrei Pineda Aristizabal (Representante Legal)</t>
  </si>
  <si>
    <t>La Isla Cafe Bar Sas</t>
  </si>
  <si>
    <t>Cr 13 B Este 46 A 30 Sur</t>
  </si>
  <si>
    <t>CINDY.CARDOZO11@GMAIL.COM</t>
  </si>
  <si>
    <t>Cardozo Leon Cindy Maryury (Representante Legal)</t>
  </si>
  <si>
    <t>La Huerta De Panes Sas</t>
  </si>
  <si>
    <t>Grupos Musicales y Artistas(71113); Bares y Otros Lugares para Beber(7224); Servicios Especiales de Comida(7223); Panaderías y Producción de Tortillas(3118)</t>
  </si>
  <si>
    <t>Elaboración De Productos De Panadería (C1081); Expendio A La Mesa De Comidas Preparadas (I5611); Expendio De Bebidas Alcohólicas Para El Consumo Dentro Del Establecimiento (I5630); Actividades De Espectáculos Musicales En Vivo (R9007)</t>
  </si>
  <si>
    <t>Cl 36 No. 18 48</t>
  </si>
  <si>
    <t>cantoni_david@hotmail.com</t>
  </si>
  <si>
    <t>David Antonio Cantoni Gamarra (Representante Legal)</t>
  </si>
  <si>
    <t>La Hora De Despertar S.A.S</t>
  </si>
  <si>
    <t>Cafeterías y Bares para Bebidas sin Alcohol(722515); Demás Servicios Profesionales, Científicos y Técnicos(54199); Panaderías y Producción de Tortillas(3118)</t>
  </si>
  <si>
    <t>Elaboración De Productos De Panadería (C1081); Expendio De Comidas Preparadas En Cafeterías (I5613); Otras Actividades Profesionales, Científicas Y Técnicas N.C.P. (M7490)</t>
  </si>
  <si>
    <t>Tv 54 No. 103 B 50 Lc 1</t>
  </si>
  <si>
    <t>4am@4am.com.co</t>
  </si>
  <si>
    <t>Ana Carolina Almonacid Gomez (Representante Legal)</t>
  </si>
  <si>
    <t>La Hojaldreria S A S</t>
  </si>
  <si>
    <t>Cl 127B Bis No 21 - 86</t>
  </si>
  <si>
    <t>mis@genebsys.com</t>
  </si>
  <si>
    <t>Maria Isabel Sarmiento Sarmiento (Representante Legal)</t>
  </si>
  <si>
    <t>La Guachafita Libreria Sas</t>
  </si>
  <si>
    <t>Tv 54 # 103B - 51</t>
  </si>
  <si>
    <t>laguachafitalibreria@gmail.com</t>
  </si>
  <si>
    <t>Felipe Quiñones Paredes (Representante Legal)</t>
  </si>
  <si>
    <t>La Gran Carreta Gourmet Sas</t>
  </si>
  <si>
    <t>Cr 71 B No. 48 A 02 Ca P 1 Y 2</t>
  </si>
  <si>
    <t>contag2507@hotmail.com</t>
  </si>
  <si>
    <t>Gladys Bertha Mahecha Murillo (Representante Legal)</t>
  </si>
  <si>
    <t>La Gofreria Sas</t>
  </si>
  <si>
    <t>Carrera 16 88 81 Local 2</t>
  </si>
  <si>
    <t>juanmmbenitez@hotmail.com</t>
  </si>
  <si>
    <t>Juan Miguel Mateus Benitez (Representante Legal)</t>
  </si>
  <si>
    <t>La Gaucha Sas</t>
  </si>
  <si>
    <t>Carrera 18 # 85 - 10 (Garaje 3) Edifici</t>
  </si>
  <si>
    <t>catalina@rotiserialagaucha.com</t>
  </si>
  <si>
    <t>Federico Ramirez Tobar (Representante Legal)</t>
  </si>
  <si>
    <t>La Fritangueria Rojas Segura S.A.S</t>
  </si>
  <si>
    <t>Cl 102 A No. 70 G 06 Lc 1</t>
  </si>
  <si>
    <t>lafritangueria@gmail.com</t>
  </si>
  <si>
    <t>William Ricardo Rojas Segura (Representante Legal)</t>
  </si>
  <si>
    <t>La Fria Parque Cervecero Sas</t>
  </si>
  <si>
    <t>Cafeterías y Bares para Bebidas sin Alcohol(722515); Demás Tipos de Industrias de Diversión y Recreativas(71399); Bares y Otros Lugares para Beber(7224); Servicios Especiales de Comida(7223)</t>
  </si>
  <si>
    <t>Expendio A La Mesa De Comidas Preparadas (I5611); Expendio De Comidas Preparadas En Cafeterías (I5613); Expendio De Bebidas Alcohólicas Para El Consumo Dentro Del Establecimiento (I5630); Otras Actividades Recreativas Y De Esparcimiento N.C.P. (R9329)</t>
  </si>
  <si>
    <t>Cr 7 No. 17 01 Of 1047</t>
  </si>
  <si>
    <t>tenampa3@gmail.com</t>
  </si>
  <si>
    <t>Nestor Fernando Diaz Barrera (Representante Legal)</t>
  </si>
  <si>
    <t>La Fonda De Oro Cafe Y Bar S.A.S</t>
  </si>
  <si>
    <t>Diagonal 4 A 15 A 81</t>
  </si>
  <si>
    <t>lafondadeoro22@gmail.com</t>
  </si>
  <si>
    <t>Sonia Salgado Silva (Representante Legal)</t>
  </si>
  <si>
    <t>La Flor Del Trigo Panaderia Pasteleria Sas</t>
  </si>
  <si>
    <t>Dg 57 D Bis Sur No. 78 K 19</t>
  </si>
  <si>
    <t>reyjr543@gmail.com</t>
  </si>
  <si>
    <t>Jose Reinel Sanabria Leguizamon (Representante Legal)</t>
  </si>
  <si>
    <t>La Fiesta S.A.S</t>
  </si>
  <si>
    <t>Avenida Calle 85 14 5 Sotano 1</t>
  </si>
  <si>
    <t>catalina_torres@hotmail.com</t>
  </si>
  <si>
    <t>Catalina Torres Torres (Representante Legal)</t>
  </si>
  <si>
    <t>La Felicidad Gourmet S.A.S</t>
  </si>
  <si>
    <t>Cr 86 A No. 55 A 75</t>
  </si>
  <si>
    <t>felicidadgourmet@gmail.com</t>
  </si>
  <si>
    <t>Valentina Chaves Vanegas (Representante Legal)</t>
  </si>
  <si>
    <t>La Fabrica Lr Sas</t>
  </si>
  <si>
    <t>Cl 64 I No. 70 F 43</t>
  </si>
  <si>
    <t>lagoanma@gmail.com</t>
  </si>
  <si>
    <t>Andres Mauricio Lozano Gongora (Representante Legal)</t>
  </si>
  <si>
    <t>La Fábrica De Don Guillo S.A.S</t>
  </si>
  <si>
    <t>Elaboración De Otros Productos Alimenticios N.C.P. (C1089); Expendio Por Autoservicio De Comidas Preparadas (I5612); Expendio De Comidas Preparadas En Cafeterías (I5613)</t>
  </si>
  <si>
    <t>Carrera 8 127 53 Local 1</t>
  </si>
  <si>
    <t>lafabricadedonguillo@gmail.com</t>
  </si>
  <si>
    <t>Nicolas Ramirez Plata (Representante Legal)</t>
  </si>
  <si>
    <t>La Divisa Sas</t>
  </si>
  <si>
    <t>Cra 66 A 12 A 61</t>
  </si>
  <si>
    <t>universal.flowers@hotmail.com</t>
  </si>
  <si>
    <t>Fernando Gonzalez Garcia (Representante Legal)</t>
  </si>
  <si>
    <t>La Diez Disco Bar S.A.S</t>
  </si>
  <si>
    <t>Carrera 90 71 A 81 Torre 2 Apartamento 3</t>
  </si>
  <si>
    <t>licorescasamezall@gmail.com</t>
  </si>
  <si>
    <t>Diego Fernando Gonzalez Bermudez (Representante Legal)</t>
  </si>
  <si>
    <t>La Dicha Verdadera S.A.S</t>
  </si>
  <si>
    <t>Otros Tipos De Alojamiento N.C.P. (I5590); Expendio De Bebidas Alcohólicas Para El Consumo Dentro Del Establecimiento (I5630)</t>
  </si>
  <si>
    <t>Carrera 10 A # 69 - 41</t>
  </si>
  <si>
    <t>ladichaverdadera@gmail.com</t>
  </si>
  <si>
    <t>Diego Fernando Florez Hernandez (Representante Legal)</t>
  </si>
  <si>
    <t>La Dibenta Sas</t>
  </si>
  <si>
    <t>Cl 64 G No. 76 A 03 Lc 3</t>
  </si>
  <si>
    <t>jefepaolar@gmail.com</t>
  </si>
  <si>
    <t>Izlena Paola Reyes Vargas (Representante Legal)</t>
  </si>
  <si>
    <t>La Culebrera S.A.S.</t>
  </si>
  <si>
    <t>Expendio A La Mesa De Comidas Preparadas (I5611); Actividades De Otros Servicios De Comidas (I5629); Expendio De Bebidas Alcohólicas Para El Consumo Dentro Del Establecimiento (I5630); Organización De Convenciones Y Eventos Comerciales (N8230)</t>
  </si>
  <si>
    <t>Cl 63 A No. 35 48</t>
  </si>
  <si>
    <t>laculebreragastrobar@gmail.com</t>
  </si>
  <si>
    <t>Luis Javier Pulido Contreras (Representante Legal)</t>
  </si>
  <si>
    <t>La Corona Club Sas</t>
  </si>
  <si>
    <t>Demás Tipos de Industrias de Diversión y Recreativas(71399); Tiendas de Mercancía General, incluyendo Grandes Almacenes(45231); Bares y Otros Lugares para Beber(7224); Servicios Especiales de Comida(7223)</t>
  </si>
  <si>
    <t>Comercio Al Por Menor En Establecimientos No Especializados, Con Surtido Compuesto Principalmente Por Productos Diferentes De Alimentos (Víveres En General), Bebidas Y Tabaco (G4719); Expendio A La Mesa De Comidas Preparadas (I5611); Expendio De Bebidas Alcohólicas Para El Consumo Dentro Del Establecimiento (I5630); Otras Actividades Recreativas Y De Esparcimiento N.C.P. (R9329)</t>
  </si>
  <si>
    <t>Av 1 De Mayo 68 F - 64</t>
  </si>
  <si>
    <t>lacoronaclub@gmail.com</t>
  </si>
  <si>
    <t>Niño Tapias John Anderson (Representante Legal)</t>
  </si>
  <si>
    <t>La Colonia S.J.T S.A.S</t>
  </si>
  <si>
    <t>Cr 82 No. 22 F 45</t>
  </si>
  <si>
    <t>la.colonia.sjt@gmail.com</t>
  </si>
  <si>
    <t>La Cocina De Amorocho Sas</t>
  </si>
  <si>
    <t>Cl 107 N 8 B 30</t>
  </si>
  <si>
    <t>jpamorocho@gmail.com</t>
  </si>
  <si>
    <t>Juan Pablo Amorocho Gutierrez (Representante Legal)</t>
  </si>
  <si>
    <t>La Chopperia Sas En Liquidacion</t>
  </si>
  <si>
    <t>Bares y Otros Lugares para Beber(7224); Servicios Especiales de Comida(7223); Arrendadores de Bienes Intangibles No Financieros (excepto Obras con los Derechos Reservados)(533)</t>
  </si>
  <si>
    <t>Expendio A La Mesa De Comidas Preparadas (I5611); Expendio De Bebidas Alcohólicas Para El Consumo Dentro Del Establecimiento (I5630); Arrendamiento De Propiedad Intelectual Y Productos Similares, Excepto Obras Protegidas Por Derechos De Autor (N7740)</t>
  </si>
  <si>
    <t>Calle 11 # 3 - 11 Lc 1</t>
  </si>
  <si>
    <t>direccion.celad@yahoo.com</t>
  </si>
  <si>
    <t>Sonia Patricia Delgado Zapata (Representante Legal)</t>
  </si>
  <si>
    <t>La Chismosa Urban Sas</t>
  </si>
  <si>
    <t>Oficinas de Convenciones y Visitantes(561591); Bares y Otros Lugares para Beber(7224); Servicios Especiales de Comida(7223); Cervecerías, Vinaterías y Tiendas de Licores(4453)</t>
  </si>
  <si>
    <t>Comercio Al Por Menor De Bebidas Y Productos Del Tabaco, En Establecimientos Especializados (G4724); Expendio A La Mesa De Comidas Preparadas (I5611); Expendio De Bebidas Alcohólicas Para El Consumo Dentro Del Establecimiento (I5630); Organización De Convenciones Y Eventos Comerciales (N8230)</t>
  </si>
  <si>
    <t>Cl 85 No. 14 55</t>
  </si>
  <si>
    <t>juanchocarriel85@gmail.com</t>
  </si>
  <si>
    <t>Rodriguez Rodriguez Logan Adrian (Representante Legal)</t>
  </si>
  <si>
    <t>La Cava Futbolera S.A.S</t>
  </si>
  <si>
    <t>Comercio Al Por Menor En Establecimientos No Especializados Con Surtido Compuesto Principalmente Por Alimentos, Bebidas O Tabaco (G4711); Otros Tipos De Expendio De Comidas Preparadas N.C.P. (I5619); Expendio De Bebidas Alcohólicas Para El Consumo Dentro Del Establecimiento (I5630); Otras Actividades Recreativas Y De Esparcimiento N.C.P. (R9329)</t>
  </si>
  <si>
    <t>Calle 8 Sur # 38A - 08 Primero Y Segundo</t>
  </si>
  <si>
    <t>info@lacavafutbolera.com</t>
  </si>
  <si>
    <t>Edgar Fabian Martinez Castro (Representante Legal)</t>
  </si>
  <si>
    <t>La Catalana Gourmet Sas</t>
  </si>
  <si>
    <t>Cr 111 No. 214 49 Ca 11 Mz 10</t>
  </si>
  <si>
    <t>dialexpacar2@hotmail.com</t>
  </si>
  <si>
    <t>Diego Alexander Pardo Cardenas (Representante Legal)</t>
  </si>
  <si>
    <t>La Casa Del Kumis Casero Sas</t>
  </si>
  <si>
    <t>Cl 23 No. 22 93</t>
  </si>
  <si>
    <t>jorgelenincabanzo@gmail.com</t>
  </si>
  <si>
    <t>Yamile Andrea Cabanzo Benjumea (Representante Legal)</t>
  </si>
  <si>
    <t>La Casa De Yagua Sas</t>
  </si>
  <si>
    <t>Cr 11A No. 95 - 45</t>
  </si>
  <si>
    <t>infocasadeyagua@gmail.com</t>
  </si>
  <si>
    <t>Vargas Motta Johanna Andrea (Representante Legal)</t>
  </si>
  <si>
    <t>La Capuchineria S.A.S</t>
  </si>
  <si>
    <t>Cafeterías y Bares para Bebidas sin Alcohol(722515); Reparación y Mantenimiento de Equipos Domésticos, de Jardinería y de Electrodomésticos(81141); Comercio de Artículos Electrónicos y Electrodomésticos(44314)</t>
  </si>
  <si>
    <t>Comercio Al Por Menor De Electrodomésticos Y Gasodomésticos De Uso Doméstico, Muebles Y Equipos De Iluminación (G4754); Expendio De Comidas Preparadas En Cafeterías (I5613); Mantenimiento Y Reparación De Aparatos Y Equipos Domésticos Y De Jardinería (S9522)</t>
  </si>
  <si>
    <t>Comercio Al Por Menor De Electrodomésticos Y Gasodomésticos De Uso Doméstico, Muebles Y Equipos De Iluminación (G4754)</t>
  </si>
  <si>
    <t>Av Boyaca # 68 B 38</t>
  </si>
  <si>
    <t>asiscontable2@lasangiorgioexpresso.com</t>
  </si>
  <si>
    <t>Guillermo Arturo Rodriguez Cabra (Representante Legal)</t>
  </si>
  <si>
    <t>La Capitalina S A S</t>
  </si>
  <si>
    <t>Calle 86A No 13A - 09 Ofi 702</t>
  </si>
  <si>
    <t>lacapitalina2016@gmail.com</t>
  </si>
  <si>
    <t>Jaime Ricardo Mendoza Saenz (Representante Legal)</t>
  </si>
  <si>
    <t>La Cantina. A. Sas</t>
  </si>
  <si>
    <t>Oficinas de Convenciones y Visitantes(561591); Demás Tipos de Industrias de Diversión y Recreativas(71399); Bares y Otros Lugares para Beber(7224)</t>
  </si>
  <si>
    <t>Expendio De Bebidas Alcohólicas Para El Consumo Dentro Del Establecimiento (I5630); Organización De Convenciones Y Eventos Comerciales (N8230); Otras Actividades Recreativas Y De Esparcimiento N.C.P. (R9329)</t>
  </si>
  <si>
    <t>Cr 42 A Bis No. 13 43 Segundo P</t>
  </si>
  <si>
    <t>LACANTINA.SAS2024@GMAIL.COM</t>
  </si>
  <si>
    <t>Piñeros Piñeros William (Representante Legal)</t>
  </si>
  <si>
    <t>La Cantina De Vicente Fernandez Jr. S.A.S</t>
  </si>
  <si>
    <t>Cr 7 No. 56 A 51</t>
  </si>
  <si>
    <t>administracion@lacantinadechente.com</t>
  </si>
  <si>
    <t>Franklin Yovanny Moya Cala (Representante Legal)</t>
  </si>
  <si>
    <t>La Calesa S.A.S</t>
  </si>
  <si>
    <t>Cl 49 No. 6 20</t>
  </si>
  <si>
    <t>lacalesabogota@gmail.com</t>
  </si>
  <si>
    <t>Naraza Chavez De Correa Cinthya Nelly (Representante Legal)</t>
  </si>
  <si>
    <t>La Cala. Tapas Y Cañas Sas</t>
  </si>
  <si>
    <t>Cafeterías y Bares para Bebidas sin Alcohol(722515); Otras Tiendas de Comidas Artesanales(44529); Bares y Otros Lugares para Beber(7224); Cervecerías, Vinaterías y Tiendas de Licores(4453)</t>
  </si>
  <si>
    <t>Comercio Al Por Menor De Bebidas Y Productos Del Tabaco, En Establecimientos Especializados (G4724); Comercio Al Por Menor De Otros Productos Alimenticios N.C.P., En Establecimientos Especializados (G4729); Expendio De Comidas Preparadas En Cafeterías (I5613); Expendio De Bebidas Alcohólicas Para El Consumo Dentro Del Establecimiento (I5630)</t>
  </si>
  <si>
    <t>Cr 5 # 18 32</t>
  </si>
  <si>
    <t>lacaladetapas@gmail.com</t>
  </si>
  <si>
    <t>Carlos Andres Forero Hernandez (Representante Legal)</t>
  </si>
  <si>
    <t>La Cajita Gastro Pub Sas</t>
  </si>
  <si>
    <t>Cl 8 Sur No. 38 B 58</t>
  </si>
  <si>
    <t>dussalo233@gmail.com</t>
  </si>
  <si>
    <t>Juan Pablo Cabrera Alba (Representante Legal)</t>
  </si>
  <si>
    <t>La Buñueleria Co Sas</t>
  </si>
  <si>
    <t>Ac 24 75 04</t>
  </si>
  <si>
    <t>labunueleria.co@gmail.com</t>
  </si>
  <si>
    <t>Ingrid Caterine Carmona Suarez (Representante Legal)</t>
  </si>
  <si>
    <t>La Bufeteria S A S</t>
  </si>
  <si>
    <t>Elaboración De Comidas Y Platos Preparados (C1084); Expendio Por Autoservicio De Comidas Preparadas (I5612); Actividades De Otros Servicios De Comidas (I5629); Expendio De Bebidas Alcohólicas Para El Consumo Dentro Del Establecimiento (I5630)</t>
  </si>
  <si>
    <t>Cl 71 No. 10 74 P 2</t>
  </si>
  <si>
    <t>garciaangelicam@hotmail.com</t>
  </si>
  <si>
    <t>Angelica Maria Garcia Niño (Representante Legal)</t>
  </si>
  <si>
    <t>La Briocherie Sas</t>
  </si>
  <si>
    <t>Cafeterías y Bares para Bebidas sin Alcohol(722515); Servicios Especiales de Comida(7223); Supermercados(4451); Comerciantes al por Mayor de Comestibles y Productos Relacionados(4244)</t>
  </si>
  <si>
    <t>Comercio Al Por Mayor De Productos Alimenticios (G4631); Comercio Al Por Menor En Establecimientos No Especializados Con Surtido Compuesto Principalmente Por Alimentos, Bebidas O Tabaco (G4711); Expendio A La Mesa De Comidas Preparadas (I5611); Expendio De Comidas Preparadas En Cafeterías (I5613)</t>
  </si>
  <si>
    <t>Cl 106 18A 81</t>
  </si>
  <si>
    <t>contabilidad@grifox.net</t>
  </si>
  <si>
    <t>Andres Felipe Camacho Carrascal (Representante Legal)</t>
  </si>
  <si>
    <t>La Boqueria Delicatessen Sas</t>
  </si>
  <si>
    <t>Otros Servicios de Apoyo de Negocios(56149); Otras Tiendas de Comidas Artesanales(44529); Bares y Otros Lugares para Beber(7224)</t>
  </si>
  <si>
    <t>Comercio Al Por Menor De Otros Productos Alimenticios N.C.P., En Establecimientos Especializados (G4729); Expendio De Bebidas Alcohólicas Para El Consumo Dentro Del Establecimiento (I5630); Otras Actividades De Servicio De Apoyo A Las Empresas N.C.P. (N8299)</t>
  </si>
  <si>
    <t>Calle 94A 13 - 34 Of 302</t>
  </si>
  <si>
    <t>laboqueriadelicatessen@gmail.com</t>
  </si>
  <si>
    <t>Cepeda Gordillo Julie Andrea (Representante Legal)</t>
  </si>
  <si>
    <t>La Beerberia S.A.S</t>
  </si>
  <si>
    <t>Servicios de Cuidado de Uñas, Pelo y Piel(81211); Tiendas de Medicamentos y Farmacias(44611); Bares y Otros Lugares para Beber(7224); Cervecerías, Vinaterías y Tiendas de Licores(4453)</t>
  </si>
  <si>
    <t>Comercio Al Por Menor De Bebidas Y Productos Del Tabaco, En Establecimientos Especializados (G4724); Comercio Al Por Menor De Productos Farmacéuticos Y Medicinales, Cosméticos Y Artículos De Tocador En Establecimientos Especializados (G4773); Expendio De Bebidas Alcohólicas Para El Consumo Dentro Del Establecimiento (I5630); Peluquería Y Otros Tratamientos De Belleza (S9602)</t>
  </si>
  <si>
    <t>Ak 19 No. 103 75</t>
  </si>
  <si>
    <t>labeerberiabb@gmail.com</t>
  </si>
  <si>
    <t>Luis Carlos Sarmiento Triana (Representante Legal)</t>
  </si>
  <si>
    <t>La Amiga Verdadera Sas</t>
  </si>
  <si>
    <t>Contratistas de Otros Equipos de Construcción(23829); Bares y Otros Lugares para Beber(7224); Servicios Especiales de Comida(7223)</t>
  </si>
  <si>
    <t>Otras Instalaciones Especializadas (F4329); Expendio A La Mesa De Comidas Preparadas (I5611); Expendio De Bebidas Alcohólicas Para El Consumo Dentro Del Establecimiento (I5630)</t>
  </si>
  <si>
    <t>Cr 58 No. 127 59 Lc 314</t>
  </si>
  <si>
    <t>amigaverdadera22@gmail.com</t>
  </si>
  <si>
    <t>Wendy Jiseth Mosquera Rodriguez (Representante Legal)</t>
  </si>
  <si>
    <t>L3C Sas</t>
  </si>
  <si>
    <t>Cl 57 D Sur No. 78 H 14</t>
  </si>
  <si>
    <t>cafelostrescompadres@gmail.com</t>
  </si>
  <si>
    <t>Camilo Andres Parra Gutierrez (Representante Legal)</t>
  </si>
  <si>
    <t>L.M.S Inversiones Comerciales Sas</t>
  </si>
  <si>
    <t>Cl 75 A Sur No. 14 8</t>
  </si>
  <si>
    <t>sotosebastian287@gmail.com</t>
  </si>
  <si>
    <t>Jadir Sebastian Soto Sanchez (Representante Legal)</t>
  </si>
  <si>
    <t>L&amp;M Café - Bar S.A.S</t>
  </si>
  <si>
    <t>Cr 15 No. 119 51 Lc 107</t>
  </si>
  <si>
    <t>cafebarsas.2023@gmail.com</t>
  </si>
  <si>
    <t>Laura Camila Lancheros Forero (Representante Legal)</t>
  </si>
  <si>
    <t>L&amp;G Servicios S.A.S</t>
  </si>
  <si>
    <t>Expendio Por Autoservicio De Comidas Preparadas (I5612); Otros Tipos De Expendio De Comidas Preparadas N.C.P. (I5619); Catering Para Eventos (I5621)</t>
  </si>
  <si>
    <t>Cl 172 No. 55 55</t>
  </si>
  <si>
    <t>luiscorrean@hotmail.com</t>
  </si>
  <si>
    <t>Luis Eduardo Correa Niño (Representante Legal)</t>
  </si>
  <si>
    <t>Kyoto Food Sas</t>
  </si>
  <si>
    <t>Tv 3 No. 55 - 07 Ap 904</t>
  </si>
  <si>
    <t>cjso27@hotmail.com</t>
  </si>
  <si>
    <t>Carlo Jaime Santander Ospina (Representante Legal)</t>
  </si>
  <si>
    <t>Kuzco Sas</t>
  </si>
  <si>
    <t>Cr 25 No. 40 97 Lc 2</t>
  </si>
  <si>
    <t>kuzcosas@hotmail.com</t>
  </si>
  <si>
    <t>Jenny Milena Castro Blanco (Representante Legal)</t>
  </si>
  <si>
    <t>Kubaru Sas</t>
  </si>
  <si>
    <t>Restaurantes y Otros Lugares para Comer(72251); Diseño de Sistemas Computacionales y Servicios Relacionados(54151); Supermercados(4451); Comerciantes al por Mayor de Bienes No Duraderos Diversos(4249)</t>
  </si>
  <si>
    <t>Comercio Al Por Mayor No Especializado (G4690); Comercio Al Por Menor En Establecimientos No Especializados Con Surtido Compuesto Principalmente Por Alimentos, Bebidas O Tabaco (G4711); Expendio Por Autoservicio De Comidas Preparadas (I5612); Actividades De Consultoría Informática Y Actividades De Administración De Instalaciones Informáticas (J6202)</t>
  </si>
  <si>
    <t>Cl 97 71 97</t>
  </si>
  <si>
    <t>kubaru@kubaru.com.co</t>
  </si>
  <si>
    <t>Fabian Mauricio Hoyos Trujillo (Representante Legal)</t>
  </si>
  <si>
    <t>Kraksgol Club S.A.S.</t>
  </si>
  <si>
    <t>Otros Tipos De Expendio De Comidas Preparadas N.C.P. (I5619); Catering Para Eventos (I5621); Expendio De Bebidas Alcohólicas Para El Consumo Dentro Del Establecimiento (I5630); Gestión De Instalaciones Deportivas (R9311)</t>
  </si>
  <si>
    <t>Cl 12 B No 71B 61 P 3 Lc 1 301</t>
  </si>
  <si>
    <t>kraksgolclub@gmail.com</t>
  </si>
  <si>
    <t>Ruben Dario Restrepo Castellanos (Representante Legal)</t>
  </si>
  <si>
    <t>Koring Sas</t>
  </si>
  <si>
    <t>Cr 13 A No. 29 - 26</t>
  </si>
  <si>
    <t>koringsas2023@gmail.com</t>
  </si>
  <si>
    <t>Pedraza Peña Juan Pablo (Representante Legal)</t>
  </si>
  <si>
    <t>Korean Gourmet Sas</t>
  </si>
  <si>
    <t>Cra 52 B # 118 - 56</t>
  </si>
  <si>
    <t>thomas@andesmed.com</t>
  </si>
  <si>
    <t>Sang Hun Kim (Representante Legal)</t>
  </si>
  <si>
    <t>Korata Cafeteria Sas</t>
  </si>
  <si>
    <t>Cl 44 B No. 59 31 Ap</t>
  </si>
  <si>
    <t>cotrino18@gmail.com</t>
  </si>
  <si>
    <t>Nicolas Ardila Sanchez (Representante Legal)</t>
  </si>
  <si>
    <t>Kontainer S.A.S</t>
  </si>
  <si>
    <t>Calle 57 N 9 27</t>
  </si>
  <si>
    <t>gomelodj14@gmail.com</t>
  </si>
  <si>
    <t>Jose Agustin Muñoz Ramirez (Representante Legal)</t>
  </si>
  <si>
    <t>Komercie S.A.S</t>
  </si>
  <si>
    <t>Construcción de Edificios Residenciales(23611); Bares y Otros Lugares para Beber(7224); Cervecerías, Vinaterías y Tiendas de Licores(4453); Otras Construcciones Pesadas y de Ingeniería Civil(2379)</t>
  </si>
  <si>
    <t>Otras Construcciones Pesadas y de Ingeniería Civil(2379)</t>
  </si>
  <si>
    <t>Construcción De Edificios Residenciales (F4111); Construcción De Otras Obras De Ingeniería Civil (F4290); Comercio Al Por Menor De Bebidas Y Productos Del Tabaco, En Establecimientos Especializados (G4724); Expendio De Bebidas Alcohólicas Para El Consumo Dentro Del Establecimiento (I5630)</t>
  </si>
  <si>
    <t>Construcción De Otras Obras De Ingeniería Civil (F4290)</t>
  </si>
  <si>
    <t>Cr 18 D No. 91 A 18 Sur</t>
  </si>
  <si>
    <t>esneidergiovany@gmail.com</t>
  </si>
  <si>
    <t>Jeisson Elias Ramirez Preciado (Representante Legal)</t>
  </si>
  <si>
    <t>Kofi Solutions Inc. S.A.S.</t>
  </si>
  <si>
    <t>Plantaciones de Café(1113392); Cafeterías y Bares para Bebidas sin Alcohol(722515); Fabricación de Café y Té(31192); Tiendas de Comidas Artesanales(4452)</t>
  </si>
  <si>
    <t>Plantaciones de Café(1113392)</t>
  </si>
  <si>
    <t>Cultivo De Café (A0123); Otros Derivados Del Café (C1063); Comercio Al Por Menor De Productos Agrícolas Para El Consumo En Establecimientos Especializados (G4721); Expendio De Comidas Preparadas En Cafeterías (I5613)</t>
  </si>
  <si>
    <t>Cultivo De Café (A0123)</t>
  </si>
  <si>
    <t>Cr 23 No. 150 70</t>
  </si>
  <si>
    <t>kofisolutionsinc@gmail.com</t>
  </si>
  <si>
    <t>Javier Augusto Baron (Representante Legal)</t>
  </si>
  <si>
    <t>Klean Colombia S.A.S</t>
  </si>
  <si>
    <t>Calle 82 # 12 A - 35</t>
  </si>
  <si>
    <t>diegoperezcely@gmail.com</t>
  </si>
  <si>
    <t>Diego Andres Perez Cely (Representante Legal)</t>
  </si>
  <si>
    <t>Kitchen Consulting S.A.S</t>
  </si>
  <si>
    <t>Cr 14 A No. 82 63 Of 202</t>
  </si>
  <si>
    <t>foodcapitalcol@gmail.com</t>
  </si>
  <si>
    <t>Daniel Esteban Rocha Duran (Representante Legal)</t>
  </si>
  <si>
    <t>Kitchen Colombia Sas</t>
  </si>
  <si>
    <t>Otras Compañías de Artes Escénicas(71119); Grupos Musicales y Artistas(71113); Agencias de Publicidad(54181); Bares y Otros Lugares para Beber(7224)</t>
  </si>
  <si>
    <t>Expendio De Bebidas Alcohólicas Para El Consumo Dentro Del Establecimiento (I5630); Publicidad (M7310); Creación Audiovisual (R9004); Actividades De Espectáculos Musicales En Vivo (R9007)</t>
  </si>
  <si>
    <t>Cr 7 No. 73 55 Of 1202</t>
  </si>
  <si>
    <t>maria.armenta@advocat.com</t>
  </si>
  <si>
    <t>Gerardo Medina Uribe (Representante Legal)</t>
  </si>
  <si>
    <t>Kitchen Bta S.A.S</t>
  </si>
  <si>
    <t>Cr 13 No. 83 47</t>
  </si>
  <si>
    <t>contado@evedesa.com</t>
  </si>
  <si>
    <t>Carlos Fernando Oñate Diaz (Representante Legal)</t>
  </si>
  <si>
    <t>Kino's Hamburguesas S.A.S.</t>
  </si>
  <si>
    <t>Cl 57 B Sur No. 62 - 96</t>
  </si>
  <si>
    <t>castiblancoangi@gmail.com</t>
  </si>
  <si>
    <t>Pizza Castiblanco Luz Angela (Representante Legal)</t>
  </si>
  <si>
    <t>Kimiko Group Sas</t>
  </si>
  <si>
    <t>Av Cr 86 No. 55 A 75 Cc Nuestro Bogota N</t>
  </si>
  <si>
    <t>kimikogroup7@gmail.com</t>
  </si>
  <si>
    <t>Zheng Dong Shi (Representante Legal)</t>
  </si>
  <si>
    <t>Kemp S.A.S</t>
  </si>
  <si>
    <t>Restaurantes y Otros Lugares para Comer(72251); Servicios de Arquitectura(54131); Comerciantes al por Mayor de Comestibles y Productos Relacionados(4244); Contratistas de Trabajos de Acabado de Edificios(2383)</t>
  </si>
  <si>
    <t>Terminación Y Acabado De Edificios Y Obras De Ingeniería Civil (F4330); Comercio Al Por Mayor De Productos Alimenticios (G4631); Expendio Por Autoservicio De Comidas Preparadas (I5612); Actividades De Arquitectura (M7111)</t>
  </si>
  <si>
    <t>Cl 70 A # 11 43</t>
  </si>
  <si>
    <t>mmartin@empanaditasyco.com</t>
  </si>
  <si>
    <t>Maria Milena Martin Peña (Representante Legal)</t>
  </si>
  <si>
    <t>Kbron Sas</t>
  </si>
  <si>
    <t>Cl 84 A No. 12 A 35</t>
  </si>
  <si>
    <t>camilo.forerocts@gmail.com</t>
  </si>
  <si>
    <t>Camilo Eduardo Forero Cortes (Representante Legal)</t>
  </si>
  <si>
    <t>Kaumasa Sas En Liquidacion</t>
  </si>
  <si>
    <t>Calle 41 # 8 - 65</t>
  </si>
  <si>
    <t>kaumasasas@hotmail.com</t>
  </si>
  <si>
    <t>Carlos Mario Sarmiento Naranjo (Representante Legal)</t>
  </si>
  <si>
    <t>Katu Food Sas</t>
  </si>
  <si>
    <t>Cafeterías y Bares para Bebidas sin Alcohol(722515); Fabricación de Alimentos Preparados Perecederos(311991); Conservación de Frutas, Verduras y Fabricación de Alimentos Especializados(3114)</t>
  </si>
  <si>
    <t>Procesamiento Y Conservación De Frutas, Legumbres, Hortalizas Y Tubérculos (C1020); Elaboración De Comidas Y Platos Preparados (C1084); Expendio De Comidas Preparadas En Cafeterías (I5613); Actividades De Otros Servicios De Comidas (I5629)</t>
  </si>
  <si>
    <t>Cl 135 No. 17 55 Ap</t>
  </si>
  <si>
    <t>jose.rodriguez@katufood.com</t>
  </si>
  <si>
    <t>Jose Luis Rodriguez Claro (Representante Legal)</t>
  </si>
  <si>
    <t>Katangie S.A.S.</t>
  </si>
  <si>
    <t>Calle 115 No 53 34</t>
  </si>
  <si>
    <t>wingyardcol@outlook.com</t>
  </si>
  <si>
    <t>Sergio Suarez Gutierrez (Representante Legal)</t>
  </si>
  <si>
    <t>Kármico Sas</t>
  </si>
  <si>
    <t>Comerciantes al por Mayor de Tabaco y Productos de Tabaco(42494); Cerveceras(31212); Bares y Otros Lugares para Beber(7224); Cervecerías, Vinaterías y Tiendas de Licores(4453); Comerciantes al por Mayor de Cerveza, Vino y Bebidas Alcohólicas(4248)</t>
  </si>
  <si>
    <t>Producción De Malta, Elaboración De Cervezas Y Otras Bebidas Malteadas (C1103); Comercio Al Por Mayor De Bebidas Y Tabaco (G4632); Comercio Al Por Menor De Bebidas Y Productos Del Tabaco, En Establecimientos Especializados (G4724); Expendio De Bebidas Alcohólicas Para El Consumo Dentro Del Establecimiento (I5630)</t>
  </si>
  <si>
    <t>Cl 91 No. 19 C 62 Of 605</t>
  </si>
  <si>
    <t>KARMICOSAS@GMAIL.COM</t>
  </si>
  <si>
    <t>Gabriel Andres Barbosa Ramirez (Representante Legal)</t>
  </si>
  <si>
    <t>Karaoke Bar Chorro Y Son Sas</t>
  </si>
  <si>
    <t>Cl 53 # 27 A 43 P 2</t>
  </si>
  <si>
    <t>karaokebarchorroyson@gmail.com</t>
  </si>
  <si>
    <t>Oscar Giovany Cifuentes Muñoz (Representante Legal)</t>
  </si>
  <si>
    <t>Kaos Investment Group S.A.S.</t>
  </si>
  <si>
    <t>Calle 67 # 5 - 20</t>
  </si>
  <si>
    <t>administracion@metronomobar.com</t>
  </si>
  <si>
    <t>Daniela Hernandez Torres (Representante Legal)</t>
  </si>
  <si>
    <t>Kalkol Food Sas</t>
  </si>
  <si>
    <t>Calle 17 A 68 D 61</t>
  </si>
  <si>
    <t>nanci.calderon@kalkolfood.com</t>
  </si>
  <si>
    <t>Nanci Calderon (Representante Legal)</t>
  </si>
  <si>
    <t>Kale Group Colombia Sas En Liquidacion</t>
  </si>
  <si>
    <t>Avenida Calle 80 # 1</t>
  </si>
  <si>
    <t>kalegroupco@gmail.com</t>
  </si>
  <si>
    <t>Karina Del Pilar Parra Naffah (Representante Legal)</t>
  </si>
  <si>
    <t>Kadmiel International Sas</t>
  </si>
  <si>
    <t>Oficinas de Convenciones y Visitantes(561591); Fabricación de Alimentos Preparados Perecederos(311991); Bares y Otros Lugares para Beber(7224); Tiendas de Artículos Deportivos, Hobbies e Instrumentos Musicales(4511)</t>
  </si>
  <si>
    <t>Tiendas de Artículos Deportivos, Hobbies e Instrumentos Musicales(4511)</t>
  </si>
  <si>
    <t>Elaboración De Comidas Y Platos Preparados (C1084); Comercio Al Por Menor De Otros Artículos Culturales Y De Entretenimiento N.C.P. En Establecimientos Especializados (G4769); Expendio De Bebidas Alcohólicas Para El Consumo Dentro Del Establecimiento (I5630); Organización De Convenciones Y Eventos Comerciales (N8230)</t>
  </si>
  <si>
    <t>Comercio Al Por Menor De Otros Artículos Culturales Y De Entretenimiento N.C.P. En Establecimientos Especializados (G4769)</t>
  </si>
  <si>
    <t>Comercio al por mayor no especializado</t>
  </si>
  <si>
    <t>Carrera 86A # 13 - 42 M</t>
  </si>
  <si>
    <t>servicio@kadmielint.com.co</t>
  </si>
  <si>
    <t>Juanita Cortes Chipatecua (Representante Legal)</t>
  </si>
  <si>
    <t>Kaci Sas</t>
  </si>
  <si>
    <t>Cl 67 No. 9 A 31</t>
  </si>
  <si>
    <t>launicaarepacuadrada@gmail.com</t>
  </si>
  <si>
    <t>Andres Eduardo Medina Herrera (Representante Legal)</t>
  </si>
  <si>
    <t>Kabod Parrilla Cafe S.A.S.</t>
  </si>
  <si>
    <t>Cra 8 # 37 10 Local 2</t>
  </si>
  <si>
    <t>kabodparrilla@gmail.com</t>
  </si>
  <si>
    <t>Charol Arlet Vargas Plata (Representante Legal)</t>
  </si>
  <si>
    <t>K&amp;L Gamarra Sas</t>
  </si>
  <si>
    <t>Servicios de Cuidado de Uñas, Pelo y Piel(81211); Bares y Otros Lugares para Beber(7224); Servicios Especiales de Comida(7223)</t>
  </si>
  <si>
    <t>Expendio A La Mesa De Comidas Preparadas (I5611); Expendio De Bebidas Alcohólicas Para El Consumo Dentro Del Establecimiento (I5630); Peluquería Y Otros Tratamientos De Belleza (S9602)</t>
  </si>
  <si>
    <t>Cr 71 C 5 B 04</t>
  </si>
  <si>
    <t>gamarradg@gmail.com</t>
  </si>
  <si>
    <t>William Hurtado Palomino (Representante Legal)</t>
  </si>
  <si>
    <t>Jym Elige Tu Felicidad Sas</t>
  </si>
  <si>
    <t>Cafeterías y Bares para Bebidas sin Alcohol(722515); Dirección de Empresas(55111); Servicios de Apoyo Educativo(6117); Arrendadores de Bienes Inmuebles(5311)</t>
  </si>
  <si>
    <t>Expendio De Comidas Preparadas En Cafeterías (I5613); Actividades Inmobiliarias Realizadas Con Bienes Propios O Arrendados (L6810); Actividades De Consultaría De Gestión (M7020); Actividades De Apoyo A La Educación (P8560)</t>
  </si>
  <si>
    <t>Cr 20 No. 137 72 Ap 202</t>
  </si>
  <si>
    <t>CAFEELIGETUFELICIDAD@GMAIL.COM</t>
  </si>
  <si>
    <t>Rodriguez Rincon Myrian Marithza (Representante Legal)</t>
  </si>
  <si>
    <t>Jugototes Compañia De Alimentos Saludables S A S</t>
  </si>
  <si>
    <t>Cl 7 A Bis No. 79 B 81 Ap 202 1</t>
  </si>
  <si>
    <t>jugototes@gmail.com</t>
  </si>
  <si>
    <t>Javier Garcia Toloza (Representante Legal)</t>
  </si>
  <si>
    <t>Juan Iii Entretenimiento Sas</t>
  </si>
  <si>
    <t>Expendio A La Mesa De Comidas Preparadas (I5611); Otros Tipos De Expendio De Comidas Preparadas N.C.P. (I5619); Expendio De Bebidas Alcohólicas Para El Consumo Dentro Del Establecimiento (I5630); Actividades De Espectáculos Musicales En Vivo (R9007)</t>
  </si>
  <si>
    <t>Cr 21 No. 127 10</t>
  </si>
  <si>
    <t>infojuan111@gmail.com</t>
  </si>
  <si>
    <t>Juan Pablo Garcia Vargas (Representante Legal)</t>
  </si>
  <si>
    <t>Jr Casino De Alimentos S.A.S.</t>
  </si>
  <si>
    <t>Cl 152 A # 46 60 In 1 Ap 302</t>
  </si>
  <si>
    <t>rogeramadojimenez@hotmail.com</t>
  </si>
  <si>
    <t>Roger Amado Jimenez Figueroa (Representante Legal)</t>
  </si>
  <si>
    <t>Jppb Sas</t>
  </si>
  <si>
    <t>Carrera 122 D 129 B 89 Local 43</t>
  </si>
  <si>
    <t>jonathan.perezpardo@gmail.com</t>
  </si>
  <si>
    <t>Jonathan Andres Perez Pardo (Representante Legal)</t>
  </si>
  <si>
    <t>Jpc Group Sas En Liquidacion</t>
  </si>
  <si>
    <t>Cl 62 No. 4 37 Of 10</t>
  </si>
  <si>
    <t>jpcgroupsas@gmail.com</t>
  </si>
  <si>
    <t>Camilo Jefferson Pabon Ramirez (Representante Legal)</t>
  </si>
  <si>
    <t>Jpb Sas</t>
  </si>
  <si>
    <t>Restaurantes y Otros Lugares para Comer(72251); Conservación de Frutas, Verduras y Fabricación de Alimentos Especializados(3114)</t>
  </si>
  <si>
    <t>Procesamiento Y Conservación De Frutas, Legumbres, Hortalizas Y Tubérculos (C1020); Expendio Por Autoservicio De Comidas Preparadas (I5612)</t>
  </si>
  <si>
    <t>Calle 65 Sur # 78 H - 51 Centro Comercia</t>
  </si>
  <si>
    <t>jpb.2020.sas@gmail.com</t>
  </si>
  <si>
    <t>Pastor Braulio Páez Cuesta (Representante Legal)</t>
  </si>
  <si>
    <t>Josman J3 Sas</t>
  </si>
  <si>
    <t>Jose Martinez Gastronomy Sas</t>
  </si>
  <si>
    <t>Cl 135 C # 12 B 25 Nuevo Country</t>
  </si>
  <si>
    <t>joseluispatin@gmail.com</t>
  </si>
  <si>
    <t>Jose Luis Martinez Martin (Representante Legal)</t>
  </si>
  <si>
    <t>Josaps S.A.S.</t>
  </si>
  <si>
    <t>Oficinas de Administrción Corporativas, Subsidiarias y Regionales(551114); Demás Tipos de Industrias de Diversión y Recreativas(71399); Bares y Otros Lugares para Beber(7224); Servicios Relacionados con el Transporte por Carretera(4884)</t>
  </si>
  <si>
    <t>Actividades De Estaciones, Vías Y Servicios Complementarios Para El Transporte Terrestre (H5221); Expendio De Bebidas Alcohólicas Para El Consumo Dentro Del Establecimiento (I5630); Actividades De Administración Empresarial (M7010); Otras Actividades Recreativas Y De Esparcimiento N.C.P. (R9329)</t>
  </si>
  <si>
    <t>Cl 45 13 40 P 2</t>
  </si>
  <si>
    <t>jpulido61@hotmail.com</t>
  </si>
  <si>
    <t>Jairo Enrique Pulido Salcedo (Representante Legal)</t>
  </si>
  <si>
    <t>Jorge's Cheff Ltda</t>
  </si>
  <si>
    <t>La empresa Jorge'S Cheff Ltda se dedica a otros tipos de expendio de comidas preparadas. Opera en el mercado colombiano desde el año 1994.</t>
  </si>
  <si>
    <t>Cra 10 No 19-65 Ofc 803 Int 1</t>
  </si>
  <si>
    <t>jorgescheff@hotmail.com</t>
  </si>
  <si>
    <t>Navas Jorge Enrique (Representante Legal), Acosta Jorge (Miembro de la Junta Directiva), Mary Nelcy Jimenez Rojas (Contador)</t>
  </si>
  <si>
    <t>33 (2013)</t>
  </si>
  <si>
    <t>Jn Colombian Seafood Restaurant Sas</t>
  </si>
  <si>
    <t>Cra 14 # 95 - 22</t>
  </si>
  <si>
    <t>rfiscal.natalicastiblanco@gmail.com</t>
  </si>
  <si>
    <t>Natali Castiblanco Murcia (Representante Legal)</t>
  </si>
  <si>
    <t>Jm Global Inversiones S.A.S.</t>
  </si>
  <si>
    <t>Comercio Al Por Menor En Establecimientos No Especializados Con Surtido Compuesto Principalmente Por Alimentos, Bebidas O Tabaco (G4711); Expendio A La Mesa De Comidas Preparadas (I5611); Expendio Por Autoservicio De Comidas Preparadas (I5612); Expendio De Comidas Preparadas En Cafeterías (I5613)</t>
  </si>
  <si>
    <t>Calle 66A Sur No. 71G - 50</t>
  </si>
  <si>
    <t>jmgloinver.comercial@gmail.com</t>
  </si>
  <si>
    <t>Jose Mauricio Pacheco Diaz (Representante Legal)</t>
  </si>
  <si>
    <t>Jl Inversiones &amp; Estrategias S.A.S</t>
  </si>
  <si>
    <t>Restaurantes y Otros Lugares para Comer(72251); Concesionarios de Coches de Segunda Mano(44112); Tiendas de Piezas y Accesorios Automotrices y Neumáticos(4413); Comerciantes al por Mayor de Vehículos Motorizados y Partes y Suministros de Vehículos Motorizados(4231)</t>
  </si>
  <si>
    <t>Comercio De Vehículos Automotores Usados (G4512); Comercio De Partes, Piezas (Autopartes) Y Accesorios (Lujos) Para Vehículos Automotores (G4530); Expendio Por Autoservicio De Comidas Preparadas (I5612)</t>
  </si>
  <si>
    <t>Cl 98 No. 21 50 Of 404</t>
  </si>
  <si>
    <t>jlinversionesyestrategias@gmail.com</t>
  </si>
  <si>
    <t>Cortes Cortes John Lincoln (Representante Legal)</t>
  </si>
  <si>
    <t>Jjcn Burgers S.A.S</t>
  </si>
  <si>
    <t>Carrera 107 # 143 - 59</t>
  </si>
  <si>
    <t>JJCNBURGERS@GMAIL.COM</t>
  </si>
  <si>
    <t>Miguel Abadia Garcia Garcia (Representante Legal)</t>
  </si>
  <si>
    <t>Jinga Dance E U</t>
  </si>
  <si>
    <t>Carrera 8 C No. 167 D - 05 Apt 1203 T 02</t>
  </si>
  <si>
    <t>jingadance@gmail.com</t>
  </si>
  <si>
    <t>Jesus Maria Arrieta De La Rosa (Representante Legal)</t>
  </si>
  <si>
    <t>Jimmy's S.A.S</t>
  </si>
  <si>
    <t>Kr 75 No. 24 C 27</t>
  </si>
  <si>
    <t>jimmysoficialbogota@gmail.com</t>
  </si>
  <si>
    <t>Adriana Marcela Duarte Peñalosa (Representante Legal)</t>
  </si>
  <si>
    <t>Jimluzeh Sas</t>
  </si>
  <si>
    <t>Cafeterías y Bares para Bebidas sin Alcohol(722515); Arrendadores de Bienes Inmuebles(5311); Tiendas de Comidas Artesanales(4452)</t>
  </si>
  <si>
    <t>Comercio Al Por Menor De Leche, Productos Lácteos Y Huevos, En Establecimientos Especializados (G4722); Expendio De Comidas Preparadas En Cafeterías (I5613); Actividades Inmobiliarias Realizadas Con Bienes Propios O Arrendados (L6810)</t>
  </si>
  <si>
    <t>Cl 22 A No. 24 34</t>
  </si>
  <si>
    <t>jimorales111@gmail.com</t>
  </si>
  <si>
    <t>Jose Ignacio Morales (Representante Legal)</t>
  </si>
  <si>
    <t>Jimenez Gastro Bar S.A.S</t>
  </si>
  <si>
    <t>Cr 6 No. 182 45</t>
  </si>
  <si>
    <t>alejojimenez1618e@gmail.com</t>
  </si>
  <si>
    <t>Jhoan Alesandro Jimenez Tangarife (Representante Legal)</t>
  </si>
  <si>
    <t>Jibmar Foods S.A.S.</t>
  </si>
  <si>
    <t>Restaurantes y Otros Lugares para Comer(72251); Demás Servicios Profesionales, Científicos y Técnicos(54199); Servicios Especiales de Comida(7223)</t>
  </si>
  <si>
    <t>Expendio A La Mesa De Comidas Preparadas (I5611); Expendio Por Autoservicio De Comidas Preparadas (I5612); Otras Actividades Profesionales, Científicas Y Técnicas N.C.P. (M7490)</t>
  </si>
  <si>
    <t>Cl 12 C No. 71 C 30 In 2 Ap 704</t>
  </si>
  <si>
    <t>jibmarsas@gmail.com</t>
  </si>
  <si>
    <t>Jota Jaime Infante Figueroa (Representante Legal)</t>
  </si>
  <si>
    <t>Jhg Comercializadora Sas</t>
  </si>
  <si>
    <t>Bares y Otros Lugares para Beber(7224); Comerciantes al por Mayor de Electrodomésticos y Aparatos Eléctricos y Electrónicos(4236); Fabricación de Calzado(3162)</t>
  </si>
  <si>
    <t>Fabricación de Calzado(3162)</t>
  </si>
  <si>
    <t>Fabricación De Calzado De Cuero Y Piel, Con Cualquier Tipo De Suela (C1521); Comercio Al Por Mayor De Aparatos Y Equipo De Uso Doméstico (G4644); Expendio De Bebidas Alcohólicas Para El Consumo Dentro Del Establecimiento (I5630)</t>
  </si>
  <si>
    <t>Fabricación De Calzado De Cuero Y Piel, Con Cualquier Tipo De Suela (C1521)</t>
  </si>
  <si>
    <t>Dg 5 C # 71 41</t>
  </si>
  <si>
    <t>josehernanchoo@gmail.com</t>
  </si>
  <si>
    <t>Jose Hernan Gonzalez Monroy (Representante Legal)</t>
  </si>
  <si>
    <t>Jh Steve Business Group Sas</t>
  </si>
  <si>
    <t>Cafeterías y Bares para Bebidas sin Alcohol(722515); Servicios de Cuidado de Uñas, Pelo y Piel(81211); Tiendas de Medicamentos y Farmacias(44611)</t>
  </si>
  <si>
    <t>Comercio Al Por Menor De Productos Farmacéuticos Y Medicinales, Cosméticos Y Artículos De Tocador En Establecimientos Especializados (G4773); Expendio De Comidas Preparadas En Cafeterías (I5613); Peluquería Y Otros Tratamientos De Belleza (S9602)</t>
  </si>
  <si>
    <t>Cr 65 A No. 96 85</t>
  </si>
  <si>
    <t>loboartstudios@gmail.com</t>
  </si>
  <si>
    <t>Jose Bernardo Herrera Alzate (Representante Legal)</t>
  </si>
  <si>
    <t>Jf Heavy Engines S.A.S</t>
  </si>
  <si>
    <t>Reparación y Mantenimiento de Equipos Electrónicos y de Precisión(81121); Reparación y Mantenimiento de Vehículos(8111); Bares y Otros Lugares para Beber(7224); Tiendas de Piezas y Accesorios Automotrices y Neumáticos(4413)</t>
  </si>
  <si>
    <t>Mantenimiento Y Reparación Especializado De Maquinaria Y Equipo (C3312); Mantenimiento Y Reparación De Vehículos Automotores (G4520); Comercio De Partes, Piezas (Autopartes) Y Accesorios (Lujos) Para Vehículos Automotores (G4530); Expendio De Bebidas Alcohólicas Para El Consumo Dentro Del Establecimiento (I5630)</t>
  </si>
  <si>
    <t>Cr 102 A No. 159 70</t>
  </si>
  <si>
    <t>jfheavyengines06@gmail.com</t>
  </si>
  <si>
    <t>Jairo Fonseca Sandoval (Representante Legal)</t>
  </si>
  <si>
    <t>Jemetsu S.A.S</t>
  </si>
  <si>
    <t>Calle 12 B 9 40 Local 715</t>
  </si>
  <si>
    <t>jemetsurestaurante@gmail.com</t>
  </si>
  <si>
    <t>Yimy Leiter Aguilar Mosquera (Representante Legal)</t>
  </si>
  <si>
    <t>Jeka. Sas</t>
  </si>
  <si>
    <t>Carrera 15 Sur 10 A 05 Apartamento 401</t>
  </si>
  <si>
    <t>jekasas.0913@gmail.com</t>
  </si>
  <si>
    <t>Karen Lorena Pineda Vela (Representante Legal)</t>
  </si>
  <si>
    <t>Jct S A S</t>
  </si>
  <si>
    <t>Cl 159 No. 16 B 23</t>
  </si>
  <si>
    <t>jorgesegura141234@yahoo.com</t>
  </si>
  <si>
    <t>Jorge Enrique Segura Pachon (Representante Legal)</t>
  </si>
  <si>
    <t>Jangueo S.A.S.</t>
  </si>
  <si>
    <t>Empresas de Catering(72232); Otras Compañías de Artes Escénicas(71119); Grupos Musicales y Artistas(71113); Bares y Otros Lugares para Beber(7224)</t>
  </si>
  <si>
    <t>Catering Para Eventos (I5621); Expendio De Bebidas Alcohólicas Para El Consumo Dentro Del Establecimiento (I5630); Actividades De Espectáculos Musicales En Vivo (R9007); Otras Actividades De Espectáculos En Vivo N.C.P. (R9008)</t>
  </si>
  <si>
    <t>Cr 20 # 137 48 Ap 53</t>
  </si>
  <si>
    <t>jangueogroupsas@gmail.com</t>
  </si>
  <si>
    <t>Sebastian Garcia Lobo (Representante Legal)</t>
  </si>
  <si>
    <t>Janavasova Sas</t>
  </si>
  <si>
    <t>Cafeterías y Bares para Bebidas sin Alcohol(722515); Fabricación de Alimentos Preparados Perecederos(311991); Empresas de Catering(72232); Bares y Otros Lugares para Beber(7224)</t>
  </si>
  <si>
    <t>Elaboración De Comidas Y Platos Preparados (C1084); Expendio De Comidas Preparadas En Cafeterías (I5613); Catering Para Eventos (I5621); Expendio De Bebidas Alcohólicas Para El Consumo Dentro Del Establecimiento (I5630)</t>
  </si>
  <si>
    <t>Cr 13 No. 54 55</t>
  </si>
  <si>
    <t>vava.cocina@gmail.com</t>
  </si>
  <si>
    <t>Vanessa Diaz Muñoz (Representante Legal)</t>
  </si>
  <si>
    <t>Jalisco Grill Bar Sas</t>
  </si>
  <si>
    <t>Grupos Musicales y Artistas(71113); Bares y Otros Lugares para Beber(7224); Servicios Especiales de Comida(7223); Supermercados(4451)</t>
  </si>
  <si>
    <t>Comercio Al Por Menor En Establecimientos No Especializados Con Surtido Compuesto Principalmente Por Alimentos, Bebidas O Tabaco (G4711); Expendio A La Mesa De Comidas Preparadas (I5611); Expendio De Bebidas Alcohólicas Para El Consumo Dentro Del Establecimiento (I5630); Actividades De Espectáculos Musicales En Vivo (R9007)</t>
  </si>
  <si>
    <t>Cl 151 No. 103 F 36</t>
  </si>
  <si>
    <t>Jalisco Cantina Bar Sas</t>
  </si>
  <si>
    <t>Cl 49 No. 8 13</t>
  </si>
  <si>
    <t>jesusrivera06@hotmail.com</t>
  </si>
  <si>
    <t>Jesus Camilo Rivera Orduz (Representante Legal)</t>
  </si>
  <si>
    <t>Jala Gourmet S A S</t>
  </si>
  <si>
    <t>Carrera 40 # 01 - 28</t>
  </si>
  <si>
    <t>contabilidad.jala@gmail.com</t>
  </si>
  <si>
    <t>Jose Armando Lizarazo Almonacid (Representante Legal)</t>
  </si>
  <si>
    <t>Jaime Catering Service Sas</t>
  </si>
  <si>
    <t>Cl 67 B No. 60 88 P 1</t>
  </si>
  <si>
    <t>jaimecateringservice@gmail.com</t>
  </si>
  <si>
    <t>Jaime Sanchez Rodriguez (Representante Legal)</t>
  </si>
  <si>
    <t>Jada E-Commerce S.A.S.</t>
  </si>
  <si>
    <t>Tiendas de Electrodomésticos(443141); Servicios de Cuidado de Uñas, Pelo y Piel(81211); Restaurantes y Otros Lugares para Comer(72251); Supermercados(4451)</t>
  </si>
  <si>
    <t>Comercio Al Por Menor En Establecimientos No Especializados Con Surtido Compuesto Principalmente Por Alimentos, Bebidas O Tabaco (G4711); Comercio Al Por Menor De Otros Artículos Domésticos En Establecimientos Especializados (G4759); Expendio Por Autoservicio De Comidas Preparadas (I5612); Peluquería Y Otros Tratamientos De Belleza (S9602)</t>
  </si>
  <si>
    <t>Avenida Calle 6 62 84 Local 257 Centro C</t>
  </si>
  <si>
    <t>jada.ecommerce@gmail.com</t>
  </si>
  <si>
    <t>Juan Manuel Melo Vanegas (Representante Legal)</t>
  </si>
  <si>
    <t>Jacs Bussines Group Sas</t>
  </si>
  <si>
    <t>Restaurantes y Otros Lugares para Comer(72251); Alquiler y Arrendamiento de Maquinaría y Equipo Comercial e Industrial(5324); Oficinas de Agentes Inmobiliarios y Corredores(5312); Autotransporte de Carga General(4841)</t>
  </si>
  <si>
    <t>Transporte De Carga Por Carretera (H4923); Expendio Por Autoservicio De Comidas Preparadas (I5612); Actividades Inmobiliarias Realizadas A Cambio De Una Retribución O Por Contrata (L6820); Alquiler Y Arrendamiento De Otros Tipos De Maquinaria, Equipo Y Bienes Tangibles N.C.P. (N7730)</t>
  </si>
  <si>
    <t>Av 15 No 124 - 29 Oficina 408</t>
  </si>
  <si>
    <t>jacsbusinessgroup@gmail.com</t>
  </si>
  <si>
    <t>Lady Milena Santiago Moreno (Representante Legal)</t>
  </si>
  <si>
    <t>Jacome Food Services Sas</t>
  </si>
  <si>
    <t>Cafeterías y Bares para Bebidas sin Alcohol(722515); Oficinas de Administrción Corporativas, Subsidiarias y Regionales(551114); Empresas de Catering(72232); Supermercados(4451)</t>
  </si>
  <si>
    <t>Comercio Al Por Menor En Establecimientos No Especializados Con Surtido Compuesto Principalmente Por Alimentos, Bebidas O Tabaco (G4711); Expendio De Comidas Preparadas En Cafeterías (I5613); Catering Para Eventos (I5621); Actividades De Administración Empresarial (M7010)</t>
  </si>
  <si>
    <t>Cr 48 No. 147 A 24 In 3 Ap 102</t>
  </si>
  <si>
    <t>albertojacome0712@gmail.com</t>
  </si>
  <si>
    <t>Alberto Jose Jacome Duarte (Representante Legal)</t>
  </si>
  <si>
    <t>Jacma Sas</t>
  </si>
  <si>
    <t>Dg 5 D 4444</t>
  </si>
  <si>
    <t>jhonatan20.ariza@gmail.com</t>
  </si>
  <si>
    <t>Jhonatan Alexis Ariza Ortiz (Representante Legal)</t>
  </si>
  <si>
    <t>Jac's Burger Sas</t>
  </si>
  <si>
    <t>Fabricación de Alimentos Preparados Perecederos(311991); Restaurantes y Otros Lugares para Comer(72251); Servicios Especiales de Comida(7223); Comerciantes al por Mayor de Comestibles y Productos Relacionados(4244)</t>
  </si>
  <si>
    <t>Elaboración De Comidas Y Platos Preparados (C1084); Comercio Al Por Mayor De Productos Alimenticios (G4631); Expendio A La Mesa De Comidas Preparadas (I5611); Expendio Por Autoservicio De Comidas Preparadas (I5612)</t>
  </si>
  <si>
    <t>Cr 10 No. 148 36</t>
  </si>
  <si>
    <t>jacsburger.gerencia@gmail.com</t>
  </si>
  <si>
    <t>Cesar Andres Ceballos Diaz (Representante Legal)</t>
  </si>
  <si>
    <t>J.V.M. Holding Sas</t>
  </si>
  <si>
    <t>Cr 27 No. 51 A 17 Lc</t>
  </si>
  <si>
    <t>davidvega55@gmail.com</t>
  </si>
  <si>
    <t>Ingrid Vanessa Mendez Hoyos (Representante Legal)</t>
  </si>
  <si>
    <t>J&amp;V Business Sas</t>
  </si>
  <si>
    <t>Cl 80 No. 19 A 10</t>
  </si>
  <si>
    <t>buisnessjv@hotmail.com</t>
  </si>
  <si>
    <t>Restrepo Rubio Juana Valentina (Representante Legal)</t>
  </si>
  <si>
    <t>Ivy S.A.S.</t>
  </si>
  <si>
    <t>Cl 95 No. 71 75 To 1 Ap 1904</t>
  </si>
  <si>
    <t>laurisia1515@gmail.com</t>
  </si>
  <si>
    <t>Kevin Slater Rivas Torres (Representante Legal)</t>
  </si>
  <si>
    <t>Ivadencar Inversiones S.A.S</t>
  </si>
  <si>
    <t>Calle 12 B 6 74</t>
  </si>
  <si>
    <t>ivadencarinversiones@gmail.com</t>
  </si>
  <si>
    <t>Iban Pardo (Representante Legal)</t>
  </si>
  <si>
    <t>Iuris Inversiones Sas</t>
  </si>
  <si>
    <t>Cafeterías y Bares para Bebidas sin Alcohol(722515); Demás Tipos de Alojamiento para Viajeros(721199); Oficinas de Abogados(54111); Arrendadores de Bienes Inmuebles(5311)</t>
  </si>
  <si>
    <t>Otros Tipos De Alojamientos Para Visitantes (I5519); Expendio De Comidas Preparadas En Cafeterías (I5613); Actividades Inmobiliarias Realizadas Con Bienes Propios O Arrendados (L6810); Actividades Jurídicas (M6910)</t>
  </si>
  <si>
    <t>Calle 65 # 7 - 25</t>
  </si>
  <si>
    <t>iuris.consultinginvestment@gmail.com</t>
  </si>
  <si>
    <t>Cristian Andres Acosta Morales (Representante Legal)</t>
  </si>
  <si>
    <t>Italia Gastronomica Sas</t>
  </si>
  <si>
    <t>Restaurantes y Otros Lugares para Comer(72251); Tiendas de Mercancía General, incluyendo Grandes Almacenes(45231); Servicios Especiales de Comida(7223)</t>
  </si>
  <si>
    <t>Comercio Al Por Menor En Establecimientos No Especializados, Con Surtido Compuesto Principalmente Por Productos Diferentes De Alimentos (Víveres En General), Bebidas Y Tabaco (G4719); Expendio A La Mesa De Comidas Preparadas (I5611); Expendio Por Autoservicio De Comidas Preparadas (I5612)</t>
  </si>
  <si>
    <t>Cr 27 A No. 68 91</t>
  </si>
  <si>
    <t>italiagastronomicasas@gmail.com</t>
  </si>
  <si>
    <t>Tancredi Antonio Barbuto (Representante Legal)</t>
  </si>
  <si>
    <t>Italia Artesana S.A.S.</t>
  </si>
  <si>
    <t>Cr 8 A No. 98 38</t>
  </si>
  <si>
    <t>direccion@kayzen.com.co</t>
  </si>
  <si>
    <t>Isla Verde Cartagena Sas</t>
  </si>
  <si>
    <t>Demás Tipos de Alojamiento para Viajeros(721199); Bares y Otros Lugares para Beber(7224); Servicios Especiales de Comida(7223)</t>
  </si>
  <si>
    <t>Otros Tipos De Alojamientos Para Visitantes (I5519); Expendio A La Mesa De Comidas Preparadas (I5611); Expendio De Bebidas Alcohólicas Para El Consumo Dentro Del Establecimiento (I5630)</t>
  </si>
  <si>
    <t>Cr 19 B No. 84 17 Of 803</t>
  </si>
  <si>
    <t>wgarzon@oxohotel.com</t>
  </si>
  <si>
    <t>Diana Judith Roa Buitrago (Representante Legal)</t>
  </si>
  <si>
    <t>Isi Cream Sas</t>
  </si>
  <si>
    <t>Cr 17 No. 32 - 18</t>
  </si>
  <si>
    <t>heladeriaisicream@gmail.com</t>
  </si>
  <si>
    <t>Elizabel Moreno Tovar (Representante Legal)</t>
  </si>
  <si>
    <t>Isaias 1 - 39 55 - 66 Sas</t>
  </si>
  <si>
    <t>Cl 57 A Sur No. 96 A - 15</t>
  </si>
  <si>
    <t>ojedagenesis31@gmail.com</t>
  </si>
  <si>
    <t>Genesis Betania Ojeda Blanco (Representante Legal)</t>
  </si>
  <si>
    <t>Isabella &amp; Majo S A S</t>
  </si>
  <si>
    <t>Cl 34 No. 15 - 03 Lc 03</t>
  </si>
  <si>
    <t>subjjeq@gmail.com</t>
  </si>
  <si>
    <t>Jose Javier Espitia Quintero (Representante Legal)</t>
  </si>
  <si>
    <t>Isabel Colombia Food Sas En Liquidacion</t>
  </si>
  <si>
    <t>isabelcolombiafood@gmail.com</t>
  </si>
  <si>
    <t>Is Coffee Time Sas</t>
  </si>
  <si>
    <t>Cra 21 # 7 - 59</t>
  </si>
  <si>
    <t>iscoffeetimecolombia@gmail.com</t>
  </si>
  <si>
    <t>Carlos Andres Saenz Cortes (Representante Legal)</t>
  </si>
  <si>
    <t>Irmans Colombia S.A.S</t>
  </si>
  <si>
    <t>Cr 28 No. 53 - 09</t>
  </si>
  <si>
    <t>hansel.grosso@gmail.com</t>
  </si>
  <si>
    <t>Hansel Raul Grosso Galindo (Representante Legal)</t>
  </si>
  <si>
    <t>Ipizza Gourmet Sas</t>
  </si>
  <si>
    <t>Fabricación de Todos los Demás Tipos de Alimentos Diversos(311999); Restaurantes y Otros Lugares para Comer(72251); Cerveceras(31212)</t>
  </si>
  <si>
    <t>Elaboración De Otros Productos Alimenticios N.C.P. (C1089); Producción De Malta, Elaboración De Cervezas Y Otras Bebidas Malteadas (C1103); Expendio Por Autoservicio De Comidas Preparadas (I5612)</t>
  </si>
  <si>
    <t>Cl 80 No 74 B 11 Lc</t>
  </si>
  <si>
    <t>ipizzagourmetsas@gmail.com</t>
  </si>
  <si>
    <t>Jaime Alfonso Rojas Cardenas (Representante Legal)</t>
  </si>
  <si>
    <t>Ipghc Sas</t>
  </si>
  <si>
    <t>Ac 100 No. 60 04 Of 521</t>
  </si>
  <si>
    <t>info@ilpalato.com.co</t>
  </si>
  <si>
    <t>Ramon Horacio Cornejo Solorzano (Representante Legal)</t>
  </si>
  <si>
    <t>Investments Penta Sas</t>
  </si>
  <si>
    <t>Cl 93 B No. 16 - 66</t>
  </si>
  <si>
    <t>pentabog@gmail.com</t>
  </si>
  <si>
    <t>Pedro Nel Mendieta (Representante Legal)</t>
  </si>
  <si>
    <t>Investments Mesa &amp; Murillo Sas</t>
  </si>
  <si>
    <t>Empresas de Catering(72232); Bares y Otros Lugares para Beber(7224); Cervecerías, Vinaterías y Tiendas de Licores(4453)</t>
  </si>
  <si>
    <t>Comercio Al Por Menor De Bebidas Y Productos Del Tabaco, En Establecimientos Especializados (G4724); Catering Para Eventos (I5621); Expendio De Bebidas Alcohólicas Para El Consumo Dentro Del Establecimiento (I5630)</t>
  </si>
  <si>
    <t>Cl 172 No. 46 18</t>
  </si>
  <si>
    <t>oscarmesat@gmail.com</t>
  </si>
  <si>
    <t>Oscar Edilberto Mesa Trujillo (Representante Legal)</t>
  </si>
  <si>
    <t>Investment Group Eleven Sas</t>
  </si>
  <si>
    <t>Cr 13 No. 64 - 7</t>
  </si>
  <si>
    <t>elevenclubonce@gmail.com</t>
  </si>
  <si>
    <t>Juan David Guevara Contreras (Representante Legal)</t>
  </si>
  <si>
    <t>Inversuan Sas</t>
  </si>
  <si>
    <t>Cr 18 B No. 106 A 69 Ofc 402</t>
  </si>
  <si>
    <t>suanpaez@gmail.com</t>
  </si>
  <si>
    <t>Oskar Andres Suan Paez (Representante Legal)</t>
  </si>
  <si>
    <t>Inversof Colombia Sas</t>
  </si>
  <si>
    <t>Cr 8 N 41 - 11</t>
  </si>
  <si>
    <t>inversofcolombia@gmail.com</t>
  </si>
  <si>
    <t>Wilman Wilfredo Bohorquez Garcia (Representante Legal)</t>
  </si>
  <si>
    <t>Inversiones Zamudio S.A.S</t>
  </si>
  <si>
    <t>Cl 122 # 21 56</t>
  </si>
  <si>
    <t>invzamudiosas@gmail.com</t>
  </si>
  <si>
    <t>Jose Enrique Zamudio Molina (Representante Legal)</t>
  </si>
  <si>
    <t>Inversiones Yrf Sas</t>
  </si>
  <si>
    <t>Cl 20 No. 82 52 Isla 142</t>
  </si>
  <si>
    <t>inversionesyrfsas@gmail.com</t>
  </si>
  <si>
    <t>Adriana Katherine Farfan Romero (Representante Legal)</t>
  </si>
  <si>
    <t>Inversiones Yeshu'A Sas</t>
  </si>
  <si>
    <t>Cr 32 A No. 05 01</t>
  </si>
  <si>
    <t>inversionesyeshua24@gmail.com</t>
  </si>
  <si>
    <t>Segundo Adan Figueroa Contreras (Representante Legal)</t>
  </si>
  <si>
    <t>Inversiones y Representaciones Ir Ltda</t>
  </si>
  <si>
    <t>Venta de alimentos en restaurante</t>
  </si>
  <si>
    <t>Cr 13 No 81 - 37</t>
  </si>
  <si>
    <t>laura.devia@rockgardenpub.com</t>
  </si>
  <si>
    <t>Luis Humberto Contreras Rincon (Representante Legal), Andres Mauricio Jimenez Torrado (Miembro de la Junta Directiva), Torrado Garcia Edgar Alfonso (Miembro de la Junta Directiva), Torrado Garcia Efrain (Miembro de la Junta Directiva), Ibague Mora Hector Hernan (Revisor Fiscal), Lizcano Montanez Ignacio Anceno (Revisor Fiscal Suplente), Hector Albeiro Gonzalez Caranza (Contador)</t>
  </si>
  <si>
    <t>20 (2012)</t>
  </si>
  <si>
    <t>Inversiones Y Recreaciones Alianza Sas</t>
  </si>
  <si>
    <t>Cr 24 No. 74 56</t>
  </si>
  <si>
    <t>inverecreacionesalianzasas@gmail.com</t>
  </si>
  <si>
    <t>Inversiones Y Negocios Gema Sas</t>
  </si>
  <si>
    <t>Cl 6 D No. 88 D 59 In 19 Ap 202</t>
  </si>
  <si>
    <t>FER1963COR@YAHOO.ES</t>
  </si>
  <si>
    <t>Alix Amanda Buitrago Peña (Representante Legal)</t>
  </si>
  <si>
    <t>Inversiones Y Microcerveceria Alce S.A.S</t>
  </si>
  <si>
    <t>Fabricación de Refrescos(312111); Cerveceras(31212); Bares y Otros Lugares para Beber(7224)</t>
  </si>
  <si>
    <t>Producción De Malta, Elaboración De Cervezas Y Otras Bebidas Malteadas (C1103); Elaboración De Bebidas No Alcohólicas, Producción De Aguas Minerales Y De Otras Aguas Embotelladas (C1104); Expendio De Bebidas Alcohólicas Para El Consumo Dentro Del Establecimiento (I5630)</t>
  </si>
  <si>
    <t>Cr 27 B 76 39</t>
  </si>
  <si>
    <t>microcerveceria.alce@gmail.com</t>
  </si>
  <si>
    <t>Dora Cecilia Cely Gomez (Representante Legal)</t>
  </si>
  <si>
    <t>Inversiones Y Logistica 65 S.A.S.</t>
  </si>
  <si>
    <t>Cr 13 No. 64 16 Of 3</t>
  </si>
  <si>
    <t>cristian262005@hotmail.com</t>
  </si>
  <si>
    <t>Christian Alberto Zambrano Barreto (Representante Legal)</t>
  </si>
  <si>
    <t>Inversiones Y Comercio De Colombia Sas</t>
  </si>
  <si>
    <t>Cra 79 No 19 20 Local 3</t>
  </si>
  <si>
    <t>invercom-lyv@hotmail.com</t>
  </si>
  <si>
    <t>Inversiones Y Comercializadora San Isidro S.A.S</t>
  </si>
  <si>
    <t>Concesionarios de Motocicletas, Cuatriciclos y Otros Vehículos Motorizados(441228); Fabricación de Alimentos Preparados Perecederos(311991); Bares y Otros Lugares para Beber(7224); Servicios Especiales de Comida(7223); Comerciantes al por Mayor de Vehículos Motorizados y Partes y Suministros de Vehículos Motorizados(4231)</t>
  </si>
  <si>
    <t>Elaboración De Comidas Y Platos Preparados (C1084); Comercio De Motocicletas Y De Sus Partes, Piezas Y Accesorios (G4541); Expendio A La Mesa De Comidas Preparadas (I5611); Expendio De Bebidas Alcohólicas Para El Consumo Dentro Del Establecimiento (I5630)</t>
  </si>
  <si>
    <t>Dg 23 No. 69 11 Md 2 Lc 106</t>
  </si>
  <si>
    <t>zatola@gmail.com</t>
  </si>
  <si>
    <t>Pacho Elias Toloza Hernandez (Representante Legal)</t>
  </si>
  <si>
    <t>Inversiones Y Comercializadora A4 Sas</t>
  </si>
  <si>
    <t>Cr 91 A No. 73 A 80</t>
  </si>
  <si>
    <t>estip9@hotmail.com</t>
  </si>
  <si>
    <t>Sierra Leon Andersson Estip (Representante Legal)</t>
  </si>
  <si>
    <t>Inversiones William Gamboa Sas</t>
  </si>
  <si>
    <t>Empresas de Catering(72232); Grupos Musicales y Artistas(71113); Bares y Otros Lugares para Beber(7224)</t>
  </si>
  <si>
    <t>Expendio A La Mesa De Comidas Preparadas (I5611); Catering Para Eventos (I5621); Expendio De Bebidas Alcohólicas Para El Consumo Dentro Del Establecimiento (I5630); Actividades De Espectáculos Musicales En Vivo (R9007)</t>
  </si>
  <si>
    <t>Av Rojas No 63 - 71</t>
  </si>
  <si>
    <t>eltoritoparrilla@gmail.com</t>
  </si>
  <si>
    <t>Willam Ferney Gamboa Rivera (Representante Legal)</t>
  </si>
  <si>
    <t>Inversiones Wayra S.A.S</t>
  </si>
  <si>
    <t>Calle 150 No 13A 44</t>
  </si>
  <si>
    <t>info.inverwayra@gmail.com</t>
  </si>
  <si>
    <t>July Andrea Rodriguez Arevalo (Representante Legal)</t>
  </si>
  <si>
    <t>Inversiones Vs Sas En Liquidacion</t>
  </si>
  <si>
    <t>Ak 40 No. 22 B 17 Local 2</t>
  </si>
  <si>
    <t>inversionesvssas@gmail.com</t>
  </si>
  <si>
    <t>Hector Alberto Vanegas Gomez (Representante Legal)</t>
  </si>
  <si>
    <t>Inversiones Volandera S.A.S</t>
  </si>
  <si>
    <t>Carrera 3 # 22 - 01 Torre 6 Apto 206</t>
  </si>
  <si>
    <t>gerencianmp@gmail.com</t>
  </si>
  <si>
    <t>Hector Luis Naranjo Cardenas (Representante Legal)</t>
  </si>
  <si>
    <t>Inversiones Villamizar Peña S.A.S.</t>
  </si>
  <si>
    <t>Dg 57 C Sur # 62 60</t>
  </si>
  <si>
    <t>inversionesvyp01@gmail.com</t>
  </si>
  <si>
    <t>Edith Cristina Peña Leiva (Representante Legal)</t>
  </si>
  <si>
    <t>Inversiones Villa Zuluaga S.A.S</t>
  </si>
  <si>
    <t>Calle 54 10 66</t>
  </si>
  <si>
    <t>lezezulu@hotmail.com</t>
  </si>
  <si>
    <t>Luz Estella Zuluaga Escobar (Representante Legal)</t>
  </si>
  <si>
    <t>Inversiones Vertigo Wings Pub S.A.S</t>
  </si>
  <si>
    <t>Cl 147 No. 7 A 57 Lc</t>
  </si>
  <si>
    <t>vertigowingspub@gmail.com</t>
  </si>
  <si>
    <t>Vasquez Villada Julian Andres (Representante Legal)</t>
  </si>
  <si>
    <t>Inversiones Vecino Express S.A.S</t>
  </si>
  <si>
    <t>Cafeterías y Bares para Bebidas sin Alcohol(722515); Bares y Otros Lugares para Beber(7224); Supermercados(4451); Comerciantes de Materiales y Suministros para la Construcción(4441)</t>
  </si>
  <si>
    <t>Comercio Al Por Menor En Establecimientos No Especializados Con Surtido Compuesto Principalmente Por Alimentos, Bebidas O Tabaco (G4711); Comercio Al Por Menor De Artículos De Ferretería, Pinturas Y Productos De Vidrio En Establecimientos Especializados (G4752); Expendio De Comidas Preparadas En Cafeterías (I5613); Expendio De Bebidas Alcohólicas Para El Consumo Dentro Del Establecimiento (I5630)</t>
  </si>
  <si>
    <t>Cl 116 No. 9 49 Lc 1</t>
  </si>
  <si>
    <t>ap.ortega2@gmail.com</t>
  </si>
  <si>
    <t>Rafael Leonardo Mora Mendivelso (Representante Legal)</t>
  </si>
  <si>
    <t>Inversiones Vargas Y Martinez Sas</t>
  </si>
  <si>
    <t>Cl 21 No. 3 25 Este</t>
  </si>
  <si>
    <t>INVERSIONESVARGASYMARTINEZ@GMAIL.COM</t>
  </si>
  <si>
    <t>Edilson Vargas Angulo (Representante Legal)</t>
  </si>
  <si>
    <t>Inversiones Vargas Marin S.A.S</t>
  </si>
  <si>
    <t>Avenida Carrera 69 47 50</t>
  </si>
  <si>
    <t>inversiones.vargas.marin@gmail.com</t>
  </si>
  <si>
    <t>Ofrey Marin Saenz (Representante Legal)</t>
  </si>
  <si>
    <t>Inversiones Vargas Charry Sas</t>
  </si>
  <si>
    <t>Cr 98 A # 75 42</t>
  </si>
  <si>
    <t>inversionesvargascharry@gmail.com</t>
  </si>
  <si>
    <t>Gustavo Adolfo Vargas Martinez (Representante Legal)</t>
  </si>
  <si>
    <t>Inversiones Valora Sas</t>
  </si>
  <si>
    <t>Cl 65 4 A 54</t>
  </si>
  <si>
    <t>admthefalcon@gmail.com</t>
  </si>
  <si>
    <t>Samuel David Osma Rincon (Representante Legal)</t>
  </si>
  <si>
    <t>Inversiones Urrea Zuluaga Sas</t>
  </si>
  <si>
    <t>Cr 92 # 64 G 09</t>
  </si>
  <si>
    <t>urreasas@gmail.com</t>
  </si>
  <si>
    <t>Juan David Urrea Zuluaga (Representante Legal)</t>
  </si>
  <si>
    <t>Inversiones Turisticas Andinas Sas</t>
  </si>
  <si>
    <t>Cafeterías y Bares para Bebidas sin Alcohol(722515); Demás Tipos de Alojamiento para Viajeros(721199); Hoteles (excepto Hoteles Casino) y Moteles(72111); Servicios Especiales de Comida(7223)</t>
  </si>
  <si>
    <t>Alojamiento En Hoteles (I5511); Otros Tipos De Alojamientos Para Visitantes (I5519); Expendio De Comidas Preparadas En Cafeterías (I5613); Otros Tipos De Expendio De Comidas Preparadas N.C.P. (I5619)</t>
  </si>
  <si>
    <t>Av.Cra.40 # 24C - 11</t>
  </si>
  <si>
    <t>reservas@hotelcasamahanaim.com</t>
  </si>
  <si>
    <t>Maria Consuelo Barrantes Balcazar (Representante Legal)</t>
  </si>
  <si>
    <t>Inversiones Turcas Y Caicos S.A.S</t>
  </si>
  <si>
    <t>Tv 6 # 27 57</t>
  </si>
  <si>
    <t>info@cuervo.co</t>
  </si>
  <si>
    <t>Alvaro Andres Cuervo Forero (Representante Legal)</t>
  </si>
  <si>
    <t>Inversiones Togui Sas</t>
  </si>
  <si>
    <t>inversionestoguisas@gmail.com</t>
  </si>
  <si>
    <t>Isauro Porras Tellez (Representante Legal)</t>
  </si>
  <si>
    <t>Inversiones Tmb Sas</t>
  </si>
  <si>
    <t>Cl 100 No. 11 41</t>
  </si>
  <si>
    <t>inversionestmbsas@gmail.com</t>
  </si>
  <si>
    <t>Angela Maria Bravo Montilla (Representante Legal)</t>
  </si>
  <si>
    <t>Inversiones Teraya Sas</t>
  </si>
  <si>
    <t>Bares y Otros Lugares para Beber(7224); Supermercados(4451); Otros Contratistas Especializados(2389)</t>
  </si>
  <si>
    <t>Otras Actividades Especializadas Para La Construcción De Edificios Y Obras De Ingeniería Civil (F4390); Comercio Al Por Menor En Establecimientos No Especializados Con Surtido Compuesto Principalmente Por Alimentos, Bebidas O Tabaco (G4711); Expendio De Bebidas Alcohólicas Para El Consumo Dentro Del Establecimiento (I5630)</t>
  </si>
  <si>
    <t>Fermin Arcangel Terreros Castillo (Representante Legal)</t>
  </si>
  <si>
    <t>Inversiones Tbc S A S</t>
  </si>
  <si>
    <t>Cr 56B 68 16 Piso 1</t>
  </si>
  <si>
    <t>invertbc@gmail.com</t>
  </si>
  <si>
    <t>Jose Elberto Cortes Garcia (Representante Legal)</t>
  </si>
  <si>
    <t>Inversiones Spa Martinez Sas</t>
  </si>
  <si>
    <t>Cr 27 No. 61 C - 41</t>
  </si>
  <si>
    <t>invermartinez23@gmail.com</t>
  </si>
  <si>
    <t>John Alexander Alvarado Martinez (Representante Legal)</t>
  </si>
  <si>
    <t>Inversiones Soler Leon Sas</t>
  </si>
  <si>
    <t>Comercio Al Por Menor En Establecimientos No Especializados Con Surtido Compuesto Principalmente Por Alimentos, Bebidas O Tabaco (G4711); Otros Tipos De Expendio De Comidas Preparadas N.C.P. (I5619); Expendio De Bebidas Alcohólicas Para El Consumo Dentro Del Establecimiento (I5630); Actividades De Espectáculos Musicales En Vivo (R9007)</t>
  </si>
  <si>
    <t>Calle 83 # 14 - 17</t>
  </si>
  <si>
    <t>capitaldrinkskaraoke@gmail.com</t>
  </si>
  <si>
    <t>Juan De Jesus Soler Saavedra (Representante Legal)</t>
  </si>
  <si>
    <t>Inversiones Sogein S.A.S</t>
  </si>
  <si>
    <t>Cafeterías y Bares para Bebidas sin Alcohol(722515); Fabricación de Alimentos Preparados Perecederos(311991); Demás Servicios de Información(51919); Tiendas de Electrónica y de Venta por Correo(4541)</t>
  </si>
  <si>
    <t>Elaboración De Comidas Y Platos Preparados (C1084); Comercio Al Por Menor Realizado A Través De Internet (G4791); Expendio De Comidas Preparadas En Cafeterías (I5613); Otras Actividades De Tecnologías De Información Y Actividades De Servicios Informáticos (J6209)</t>
  </si>
  <si>
    <t>Calle 68 C Sur 80 F 35</t>
  </si>
  <si>
    <t>guiselleacunaabril@gmail.com</t>
  </si>
  <si>
    <t>Acuña Abril Guiselle (Representante Legal)</t>
  </si>
  <si>
    <t>Inversiones Sirvalo Pues Sas</t>
  </si>
  <si>
    <t>Calle 39 Sur No. 53 - 46</t>
  </si>
  <si>
    <t>liquidadorafp@gmail.com</t>
  </si>
  <si>
    <t>Alirio Figueroa Panqueba (Representante Legal)</t>
  </si>
  <si>
    <t>Inversiones Sierra &amp; Mar S.A.S</t>
  </si>
  <si>
    <t>Calle 52 25 34</t>
  </si>
  <si>
    <t>prendefogon.rest@gmail.com</t>
  </si>
  <si>
    <t>Wendy Yurani Carrion Pineda (Representante Legal)</t>
  </si>
  <si>
    <t>Inversiones Seven Gold Sas</t>
  </si>
  <si>
    <t>Concesionarios de Coches de Segunda Mano(44112); Comerciantes al por Mayor de Electrodomésticos, Artículos del Hogar Eléctricos y Electrónicos de Consumo(42362); Bares y Otros Lugares para Beber(7224); Servicios Especiales de Comida(7223); Comerciantes al por Mayor de Vehículos Motorizados y Partes y Suministros de Vehículos Motorizados(4231)</t>
  </si>
  <si>
    <t>Comercio De Vehículos Automotores Usados (G4512); Comercio Al Por Mayor De Equipo, Partes Y Piezas Electrónicos Y De Telecomunicaciones (G4652); Expendio A La Mesa De Comidas Preparadas (I5611); Expendio De Bebidas Alcohólicas Para El Consumo Dentro Del Establecimiento (I5630)</t>
  </si>
  <si>
    <t>Cr 69 B Bis No. 1 11</t>
  </si>
  <si>
    <t>fabiorlandoc@hotmail.com</t>
  </si>
  <si>
    <t>Fabio Orlando Caicedo Perilla (Representante Legal)</t>
  </si>
  <si>
    <t>Inversiones Secam S.A.S.</t>
  </si>
  <si>
    <t>Cl 63 No 36 - 21</t>
  </si>
  <si>
    <t>inversionessecamsas@gmail.com</t>
  </si>
  <si>
    <t>Sergio Hernan Gonzalez Arellano (Representante Legal)</t>
  </si>
  <si>
    <t>Inversiones Sdi Sas</t>
  </si>
  <si>
    <t>Otras Tiendas de Comidas Artesanales(44529); Bares y Otros Lugares para Beber(7224)</t>
  </si>
  <si>
    <t>Comercio Al Por Menor De Otros Productos Alimenticios N.C.P., En Establecimientos Especializados (G4729); Expendio De Bebidas Alcohólicas Para El Consumo Dentro Del Establecimiento (I5630)</t>
  </si>
  <si>
    <t>Avda 15 N.104 30 Of</t>
  </si>
  <si>
    <t>pisis26@hotmail.com</t>
  </si>
  <si>
    <t>Alexander Soto Pacheco (Representante Legal)</t>
  </si>
  <si>
    <t>Inversiones Saudade S.A.S.</t>
  </si>
  <si>
    <t>Cl 20 No. 3 29 Este Lc 1</t>
  </si>
  <si>
    <t>restaurante@saudade.com.co</t>
  </si>
  <si>
    <t>Inversiones Sanchez Ramos Ltda</t>
  </si>
  <si>
    <t>Cl 140 No. 13 32 Lc 14</t>
  </si>
  <si>
    <t>camilo8008@hotmail.es</t>
  </si>
  <si>
    <t>Julian Camilo Ramos Lopez (Representante Legal)</t>
  </si>
  <si>
    <t>Inversiones San Diego Pizza S.A.S</t>
  </si>
  <si>
    <t>Cl 83 No 103 C - 55 Lc 102</t>
  </si>
  <si>
    <t>romeromery.502@gmail.com</t>
  </si>
  <si>
    <t>Romero Romero Maria Dolores (Representante Legal)</t>
  </si>
  <si>
    <t>Inversiones Samar S.A.S</t>
  </si>
  <si>
    <t>Comercio Al Por Menor En Establecimientos No Especializados Con Surtido Compuesto Principalmente Por Alimentos, Bebidas O Tabaco (G4711); Actividades De Otros Servicios De Comidas (I5629); Expendio De Bebidas Alcohólicas Para El Consumo Dentro Del Establecimiento (I5630)</t>
  </si>
  <si>
    <t>Carrera 3 Este 20 A 56 S</t>
  </si>
  <si>
    <t>inversiones.samar.sas@gmail.com</t>
  </si>
  <si>
    <t>Jonathan Steven Castillo Herrera (Representante Legal)</t>
  </si>
  <si>
    <t>Inversiones Salac Sas</t>
  </si>
  <si>
    <t>Comercio Al Por Menor De Otros Productos En Puestos De Venta Móviles (G4789); Expendio Por Autoservicio De Comidas Preparadas (I5612)</t>
  </si>
  <si>
    <t>Comercio Al Por Menor De Otros Productos En Puestos De Venta Móviles (G4789)</t>
  </si>
  <si>
    <t>Calle 7 # 94 - 78 Tintal</t>
  </si>
  <si>
    <t>inversionessalac@gmail.com</t>
  </si>
  <si>
    <t>Leidy Andrea Alvis Higuera (Representante Legal)</t>
  </si>
  <si>
    <t>Inversiones Sagal S A S</t>
  </si>
  <si>
    <t>Demás Tipos de Alojamiento para Viajeros(721199); Comerciantes al por Mayor de Otros Productos No Duraderos Diversos(42499); Bares y Otros Lugares para Beber(7224); Servicios Especiales de Comida(7223)</t>
  </si>
  <si>
    <t>Comercio Al Por Mayor De Otros Productos N.C.P. (G4669); Servicio Por Horas (I5530); Expendio A La Mesa De Comidas Preparadas (I5611); Expendio De Bebidas Alcohólicas Para El Consumo Dentro Del Establecimiento (I5630)</t>
  </si>
  <si>
    <t>Cl 64 No. 14 46</t>
  </si>
  <si>
    <t>sagal1431@hotmail.com</t>
  </si>
  <si>
    <t>Sandra Marleny Galvis Sandoval (Representante Legal)</t>
  </si>
  <si>
    <t>Inversiones S. Velasquez Y Cia Sas</t>
  </si>
  <si>
    <t>Cr 21 No. 8 53</t>
  </si>
  <si>
    <t>sorayakc@hotmail.com</t>
  </si>
  <si>
    <t>Soraya Velasquez Novoa (Representante Legal)</t>
  </si>
  <si>
    <t>Inversiones Rva S A S</t>
  </si>
  <si>
    <t>Carrera 68 B # 24</t>
  </si>
  <si>
    <t>danieldazarivera@gmail.com</t>
  </si>
  <si>
    <t>Daniel Alexander Daza Rivera (Representante Legal)</t>
  </si>
  <si>
    <t>Inversiones Ruymo S.A.S</t>
  </si>
  <si>
    <t>Cl 119 No. 11 48</t>
  </si>
  <si>
    <t>Jose Rafael Mora Rodriguez (Representante Legal)</t>
  </si>
  <si>
    <t>Inversiones Rubio Prada Sas</t>
  </si>
  <si>
    <t>Cr 73 B No. 26 - 47 Sur</t>
  </si>
  <si>
    <t>dicapra@hotmail.com</t>
  </si>
  <si>
    <t>Diana Carolina Prada Diaz (Representante Legal)</t>
  </si>
  <si>
    <t>Inversiones Romero Vela &amp; Asociados Sas</t>
  </si>
  <si>
    <t>Cafeterías y Bares para Bebidas sin Alcohol(722515); Servicios de Lavandería y Tintorería(8123); Bares y Otros Lugares para Beber(7224)</t>
  </si>
  <si>
    <t>Expendio De Comidas Preparadas En Cafeterías (I5613); Expendio De Bebidas Alcohólicas Para El Consumo Dentro Del Establecimiento (I5630); Lavado Y Limpieza, Incluso La Limpieza En Seco, De Productos Textiles Y De Piel (S9601)</t>
  </si>
  <si>
    <t>Cra 53A 127 - 30 Ap318</t>
  </si>
  <si>
    <t>gerencia@inrovel.com</t>
  </si>
  <si>
    <t>Robinson Romero Carrascal (Representante Legal)</t>
  </si>
  <si>
    <t>Inversiones Roman Y Aroma Sas</t>
  </si>
  <si>
    <t>Cl 4 A Sur No. 78 62</t>
  </si>
  <si>
    <t>restaurante.roman.aroma@gmail.com</t>
  </si>
  <si>
    <t>Wendy Yolima Rueda Rojas (Representante Legal)</t>
  </si>
  <si>
    <t>Inversiones Rojas Y Serrano S.A.S</t>
  </si>
  <si>
    <t>Carrera 86 55 A 75 Local 3 - 10</t>
  </si>
  <si>
    <t>wetsundaybog@gmail.com</t>
  </si>
  <si>
    <t>Nicolas Rojas Vanegas (Representante Legal)</t>
  </si>
  <si>
    <t>Inversiones Rodukoy S.A.S</t>
  </si>
  <si>
    <t>Comercio Al Por Menor De Bebidas Y Productos Del Tabaco, En Establecimientos Especializados (G4724); Expendio A La Mesa De Comidas Preparadas (I5611); Otros Tipos De Expendio De Comidas Preparadas N.C.P. (I5619); Expendio De Bebidas Alcohólicas Para El Consumo Dentro Del Establecimiento (I5630)</t>
  </si>
  <si>
    <t>Cr 71 D No. 4 15 Sur</t>
  </si>
  <si>
    <t>dj-mckoy@hotmail.com</t>
  </si>
  <si>
    <t>Edgar Enrique Rojas Rodriguez (Representante Legal)</t>
  </si>
  <si>
    <t>Inversiones Rodriguez Esquivel Sas</t>
  </si>
  <si>
    <t>Cr 51 No 103B - 23 Apt 403</t>
  </si>
  <si>
    <t>alejaskivel@gmail.com</t>
  </si>
  <si>
    <t>Dayanna Alejandra Esquivel Contreras (Representante Legal)</t>
  </si>
  <si>
    <t>Inversiones Rodin Bogota S.A.S</t>
  </si>
  <si>
    <t>Av Calle 19A No. 72</t>
  </si>
  <si>
    <t>administracionbgt@granikcolombia.com</t>
  </si>
  <si>
    <t>Rodly Paredes Reymer (Representante Legal)</t>
  </si>
  <si>
    <t>Inversiones Rod Castell Sas</t>
  </si>
  <si>
    <t>Cafeterías y Bares para Bebidas sin Alcohol(722515); Oficinas de Agentes Inmobiliarios y Corredores(5312); Arrendadores de Bienes Inmuebles(5311)</t>
  </si>
  <si>
    <t>Expendio De Comidas Preparadas En Cafeterías (I5613); Actividades De Otros Servicios De Comidas (I5629); Actividades Inmobiliarias Realizadas Con Bienes Propios O Arrendados (L6810); Actividades Inmobiliarias Realizadas A Cambio De Una Retribución O Por Contrata (L6820)</t>
  </si>
  <si>
    <t>Ak 28 No. 34 35</t>
  </si>
  <si>
    <t>flormilan777@hotmail.com</t>
  </si>
  <si>
    <t>Flor Mery Rodriguez De Ortiz (Representante Legal)</t>
  </si>
  <si>
    <t>Inversiones Rivemon Sas</t>
  </si>
  <si>
    <t>Cra 6 A # 119 B - 41</t>
  </si>
  <si>
    <t>lalolarola.gastrobar@outlook.com</t>
  </si>
  <si>
    <t>Jaime Andres Rivera Moncaleano (Representante Legal)</t>
  </si>
  <si>
    <t>Inversiones Riojas S.As</t>
  </si>
  <si>
    <t>Restaurantes y Otros Lugares para Comer(72251); Autotransporte de Carga General(4841)</t>
  </si>
  <si>
    <t>Transporte De Carga Por Carretera (H4923); Expendio Por Autoservicio De Comidas Preparadas (I5612)</t>
  </si>
  <si>
    <t>Carrera 78 B N. 38 B Sur 81</t>
  </si>
  <si>
    <t>javier.penaranda@eyeingenieria.com.co</t>
  </si>
  <si>
    <t>Javier Oswaldo Peñaranda Melo (Representante Legal)</t>
  </si>
  <si>
    <t>Inversiones Rhas Sas</t>
  </si>
  <si>
    <t>Expendio Por Autoservicio De Comidas Preparadas (I5612); Otros Tipos De Expendio De Comidas Preparadas N.C.P. (I5619); Catering Para Eventos (I5621); Expendio De Bebidas Alcohólicas Para El Consumo Dentro Del Establecimiento (I5630)</t>
  </si>
  <si>
    <t>Cl 12 No. 0 - 63</t>
  </si>
  <si>
    <t>HAS.SAS.COLOMBIA@GMAIL.COM</t>
  </si>
  <si>
    <t>Hector Varela Riascos (Representante Legal)</t>
  </si>
  <si>
    <t>Inversiones Reyatos Sas</t>
  </si>
  <si>
    <t>Empresas de Catering(72232); Bares y Otros Lugares para Beber(7224); Servicios de Almacenamiento(4931)</t>
  </si>
  <si>
    <t>Almacenamiento Y Depósito (H5210); Expendio A La Mesa De Comidas Preparadas (I5611); Catering Para Eventos (I5621); Expendio De Bebidas Alcohólicas Para El Consumo Dentro Del Establecimiento (I5630)</t>
  </si>
  <si>
    <t>Av Cr 72 180 85 Ca 3</t>
  </si>
  <si>
    <t>reyatos@yahoo.com</t>
  </si>
  <si>
    <t>Jose De Los Reyes Ahumedo Bello (Representante Legal)</t>
  </si>
  <si>
    <t>Inversiones Revcal S.A.S</t>
  </si>
  <si>
    <t>Calle 57 # 9 - 33 Loc</t>
  </si>
  <si>
    <t>humbertorev@gmail.com</t>
  </si>
  <si>
    <t>Tony Daniel Reverol Calabria (Representante Legal)</t>
  </si>
  <si>
    <t>Inversiones Reno Sas</t>
  </si>
  <si>
    <t>Restaurantes y Otros Lugares para Comer(72251); Bolsas de Valores y Productos Básicos(5232); Comerciantes al por Mayor de Bienes No Duraderos Diversos(4249); Procesamiento de Datos, Proveedores de Internet y Servicios Relacionados(518)</t>
  </si>
  <si>
    <t>Procesamiento de Datos, Proveedores de Internet y Servicios Relacionados(518)</t>
  </si>
  <si>
    <t>Comercio Al Por Mayor No Especializado (G4690); Expendio Por Autoservicio De Comidas Preparadas (I5612); Procesamiento De Datos, Alojamiento (Hosting) Y Actividades Relacionadas (J6311); Administración De Mercados Financieros (K6611)</t>
  </si>
  <si>
    <t>Procesamiento De Datos, Alojamiento (Hosting) Y Actividades Relacionadas (J6311)</t>
  </si>
  <si>
    <t>Calle 126 7 64 Apart</t>
  </si>
  <si>
    <t>rengifo.camilo@gmail.com</t>
  </si>
  <si>
    <t>Camilo Andres Rengifo Otero (Representante Legal)</t>
  </si>
  <si>
    <t>Inversiones Ramirez Y Ramirez S.A.S</t>
  </si>
  <si>
    <t>Ac 26 No. 62 47 Lc 1 59</t>
  </si>
  <si>
    <t>juankarlosramirezramirez@yahoo.com</t>
  </si>
  <si>
    <t>Inversiones R.C.J S.A.S.</t>
  </si>
  <si>
    <t>Comercio Al Por Menor En Establecimientos No Especializados Con Surtido Compuesto Principalmente Por Alimentos, Bebidas O Tabaco (G4711); Servicio Por Horas (I5530); Expendio De Bebidas Alcohólicas Para El Consumo Dentro Del Establecimiento (I5630)</t>
  </si>
  <si>
    <t>Calle 22 Sur # 29 C - 80 Piso 1 Y 2</t>
  </si>
  <si>
    <t>invjr@hotmail.com</t>
  </si>
  <si>
    <t>Jenny Rubiela Rodriguez Albarracin (Representante Legal)</t>
  </si>
  <si>
    <t>Inversiones Punto Frio Sas</t>
  </si>
  <si>
    <t>Bares y Otros Lugares para Beber(7224); Servicios Especiales de Comida(7223); Servicios de Mensajería y Envío Rápido(4921); Supermercados(4451)</t>
  </si>
  <si>
    <t>Comercio Al Por Menor En Establecimientos No Especializados Con Surtido Compuesto Principalmente Por Alimentos, Bebidas O Tabaco (G4711); Actividades De Mensajería (H5320); Expendio A La Mesa De Comidas Preparadas (I5611); Expendio De Bebidas Alcohólicas Para El Consumo Dentro Del Establecimiento (I5630)</t>
  </si>
  <si>
    <t>Cl 147 No. 14 90 Lc</t>
  </si>
  <si>
    <t>jamoca99@hotmail.com</t>
  </si>
  <si>
    <t>Jaime Alejandro Moreno Castillo (Representante Legal)</t>
  </si>
  <si>
    <t>Inversiones Puertocolombia Ltda En Liquidacion</t>
  </si>
  <si>
    <t>Cr 9 No. 73 09</t>
  </si>
  <si>
    <t>nabdalat@yahoo.com</t>
  </si>
  <si>
    <t>Nancy Esther Abdala Tarud (Representante Legal)</t>
  </si>
  <si>
    <t>Inversiones Portobelo 2022 S.A.S</t>
  </si>
  <si>
    <t>Calle 31 Sur 69 B 28</t>
  </si>
  <si>
    <t>kcontable@outlook.com</t>
  </si>
  <si>
    <t>Juan David Rodriguez Mesa (Representante Legal)</t>
  </si>
  <si>
    <t>Inversiones Portal 2013 Sas</t>
  </si>
  <si>
    <t>Cl 31 Sur No. 69 B 2</t>
  </si>
  <si>
    <t>claramarcelro@hotmail.com</t>
  </si>
  <si>
    <t>Clara Marcela Rodriguez Mesa (Representante Legal)</t>
  </si>
  <si>
    <t>Inversiones Plain &amp; Roasted Sas</t>
  </si>
  <si>
    <t>Cl 167 # 58B - 20 Int 10</t>
  </si>
  <si>
    <t>juanjmojica@hotmail.com</t>
  </si>
  <si>
    <t>Robinson Damian Cano Molina (Representante Legal)</t>
  </si>
  <si>
    <t>Inversiones Pizzas Ya S.A.S</t>
  </si>
  <si>
    <t>Calle 43 67 A 98</t>
  </si>
  <si>
    <t>inversionespizzasya@gmail.com</t>
  </si>
  <si>
    <t>Nelsy Carolina Gonzalez Bocarejo (Representante Legal)</t>
  </si>
  <si>
    <t>Inversiones Perlop Sas</t>
  </si>
  <si>
    <t>Cr 75 No. 71 A 07</t>
  </si>
  <si>
    <t>distrimapel@hotmail.com</t>
  </si>
  <si>
    <t>Gonzalo Perez Avila (Representante Legal)</t>
  </si>
  <si>
    <t>Inversiones Pe&amp;Ye Sas</t>
  </si>
  <si>
    <t>Cl 53 No. 4 A 93 Ap 503</t>
  </si>
  <si>
    <t>cheneso2018@gmail.com</t>
  </si>
  <si>
    <t>Yesid Hernando Triana Muñoz (Representante Legal)</t>
  </si>
  <si>
    <t>Inversiones Parrilla La Vega Del Norte Sas</t>
  </si>
  <si>
    <t>Cl 161 No. 21 52</t>
  </si>
  <si>
    <t>rubendariotf@hotmail.com</t>
  </si>
  <si>
    <t>Elva Florez De Tavera (Representante Legal)</t>
  </si>
  <si>
    <t>Inversiones Parra Gomez Sas</t>
  </si>
  <si>
    <t>Cr 6 No. 58 16</t>
  </si>
  <si>
    <t>inversionesparragomez@gmail.com</t>
  </si>
  <si>
    <t>Daniela Gomez Martinez (Representante Legal)</t>
  </si>
  <si>
    <t>Inversiones Paris With Love Sas</t>
  </si>
  <si>
    <t>Av Cr 45 # 97 - 50</t>
  </si>
  <si>
    <t>romaingutierrez598@gmail.com</t>
  </si>
  <si>
    <t>Romain Antoine Gutierrez Alburquerque (Representante Legal)</t>
  </si>
  <si>
    <t>Inversiones Panchos Foods Sas</t>
  </si>
  <si>
    <t>Procesamiento Y Conservación De Carne Y Productos Cárnicos (C1011); Elaboración De Comidas Y Platos Preparados (C1084); Expendio Por Autoservicio De Comidas Preparadas (I5612); Otros Tipos De Expendio De Comidas Preparadas N.C.P. (I5619)</t>
  </si>
  <si>
    <t>Cr 59 # 129B - 51</t>
  </si>
  <si>
    <t>compugalery@gmail.com</t>
  </si>
  <si>
    <t>Guillermo Fuentes Carvajal (Representante Legal)</t>
  </si>
  <si>
    <t>Inversiones P Y Z Sas</t>
  </si>
  <si>
    <t>Cl 26 No. 69 D 91 Lc 207 G</t>
  </si>
  <si>
    <t>inversionespyz37@gmail.com</t>
  </si>
  <si>
    <t>Olga Cecilia Zambrano Cortes (Representante Legal)</t>
  </si>
  <si>
    <t>Inversiones Otalora Ramirez S.A.S</t>
  </si>
  <si>
    <t>Cra 88 # 18 - 60 Int 16</t>
  </si>
  <si>
    <t>oscarlom@gmail.com</t>
  </si>
  <si>
    <t>Oscar Alfonso Lombana Gonzalez (Representante Legal)</t>
  </si>
  <si>
    <t>Inversiones Oriundo Sas</t>
  </si>
  <si>
    <t>Cl 12 No. 0 30</t>
  </si>
  <si>
    <t>oriundo.cocina@gmail.com</t>
  </si>
  <si>
    <t>Angela Patricia Zuluaga Giraldo (Representante Legal)</t>
  </si>
  <si>
    <t>Inversiones Olano Y Cia Sas</t>
  </si>
  <si>
    <t>Cl 72 No. 3 - 51</t>
  </si>
  <si>
    <t>loretococinaitaliana@gmail.com</t>
  </si>
  <si>
    <t>Maria Alejandra Olano Carrillo (Representante Legal)</t>
  </si>
  <si>
    <t>Inversiones Ojara S A S</t>
  </si>
  <si>
    <t>Calle 25 D 85 B 14</t>
  </si>
  <si>
    <t>danxsalas26@gmail.com</t>
  </si>
  <si>
    <t>Dans Sebastian Salas Mahecha (Representante Legal)</t>
  </si>
  <si>
    <t>Inversiones Off Ground Sas</t>
  </si>
  <si>
    <t>Cl 97 No. 23 - 60</t>
  </si>
  <si>
    <t>INFO@GH-AC.COM</t>
  </si>
  <si>
    <t>Sebastian Ortiz Casallas (Representante Legal)</t>
  </si>
  <si>
    <t>Inversiones Octavio S A S</t>
  </si>
  <si>
    <t>Cr 27 No. 52 - 49</t>
  </si>
  <si>
    <t>william_a_rod@yahoo.com</t>
  </si>
  <si>
    <t>William Alberto Rodriguez Rojas (Representante Legal)</t>
  </si>
  <si>
    <t>Inversiones Ocholate S.A.S</t>
  </si>
  <si>
    <t>Fabricación de Alimentos Preparados Perecederos(311991); Restaurantes y Otros Lugares para Comer(72251); Fabricación de Chocolate y Pastelería(31135)</t>
  </si>
  <si>
    <t>Elaboración De Cacao, Chocolate Y Productos De Confitería (C1082); Elaboración De Comidas Y Platos Preparados (C1084); Expendio Por Autoservicio De Comidas Preparadas (I5612)</t>
  </si>
  <si>
    <t>Cl 121 No. 7 A 39</t>
  </si>
  <si>
    <t>ocholate121@gmail.com</t>
  </si>
  <si>
    <t>Luis Fernando Muñoz Caviedes (Representante Legal)</t>
  </si>
  <si>
    <t>Inversiones Nueva Atenas Sas</t>
  </si>
  <si>
    <t>Fabricación de Alimentos Preparados Perecederos(311991); Bares y Otros Lugares para Beber(7224)</t>
  </si>
  <si>
    <t>Elaboración De Comidas Y Platos Preparados (C1084); Expendio De Bebidas Alcohólicas Para El Consumo Dentro Del Establecimiento (I5630)</t>
  </si>
  <si>
    <t>Cr 9 No. 115 06 Of 1602</t>
  </si>
  <si>
    <t>gerencia@caronte.bar</t>
  </si>
  <si>
    <t>German Alberto Rodriguez Rodriguez (Representante Legal)</t>
  </si>
  <si>
    <t>Inversiones Norcar S A S</t>
  </si>
  <si>
    <t>Cr 69 H No. 73 - 64</t>
  </si>
  <si>
    <t>inv.manhattan@hotmail.com</t>
  </si>
  <si>
    <t>Norberto Amado Chacon (Representante Legal)</t>
  </si>
  <si>
    <t>Inversiones Njf Sas</t>
  </si>
  <si>
    <t>Unidades de Engorde de Ganado Vacuno(112112); Bares y Otros Lugares para Beber(7224); Servicios Especiales de Comida(7223); Granjas Avícolas y Producción de Huevos(1123)</t>
  </si>
  <si>
    <t>Cría De Ganado Bovino Y Bufalino (A0141); Cría De Aves De Corral (A0145); Expendio A La Mesa De Comidas Preparadas (I5611); Expendio De Bebidas Alcohólicas Para El Consumo Dentro Del Establecimiento (I5630)</t>
  </si>
  <si>
    <t>Cra 52 C # 39 A - 35 Sur</t>
  </si>
  <si>
    <t>kronchuribe8014@gmail.com</t>
  </si>
  <si>
    <t>Juan David Uribe Olivo (Representante Legal)</t>
  </si>
  <si>
    <t>Inversiones Nicomar Im S.A.S</t>
  </si>
  <si>
    <t>Restaurantes y Otros Lugares para Comer(72251); Bares y Otros Lugares para Beber(7224); Servicios Especiales de Comida(7223); Agua, Alcantarillado y Otros Sistemas(2213)</t>
  </si>
  <si>
    <t>Captación, Tratamiento Y Distribución De Agua (E3600); Expendio A La Mesa De Comidas Preparadas (I5611); Expendio Por Autoservicio De Comidas Preparadas (I5612); Expendio De Bebidas Alcohólicas Para El Consumo Dentro Del Establecimiento (I5630)</t>
  </si>
  <si>
    <t>Cl 122 No. 17 93 P 2</t>
  </si>
  <si>
    <t>comercial1@qsushi.co</t>
  </si>
  <si>
    <t>Marcela Angarita Mutis (Representante Legal)</t>
  </si>
  <si>
    <t>Inversiones Naguara S A S</t>
  </si>
  <si>
    <t>Calle 147 # 7 - 70 C.C. Show Place Local</t>
  </si>
  <si>
    <t>joseatovara@hotmail.com</t>
  </si>
  <si>
    <t>Jose Antonio Tovar Aguero (Representante Legal)</t>
  </si>
  <si>
    <t>Inversiones Murcia Martinez S.A.S.</t>
  </si>
  <si>
    <t>Cr 50 No. 130 35</t>
  </si>
  <si>
    <t>luismartin2100@gmail.com</t>
  </si>
  <si>
    <t>Luis Alberto Martinez Cuellar (Representante Legal)</t>
  </si>
  <si>
    <t>Inversiones Mtz Sas</t>
  </si>
  <si>
    <t>Cafeterías y Bares para Bebidas sin Alcohol(722515); Bares y Otros Lugares para Beber(7224); Cervecerías, Vinaterías y Tiendas de Licores(4453)</t>
  </si>
  <si>
    <t>Comercio Al Por Menor De Bebidas Y Productos Del Tabaco, En Establecimientos Especializados (G4724); Expendio De Comidas Preparadas En Cafeterías (I5613); Expendio De Bebidas Alcohólicas Para El Consumo Dentro Del Establecimiento (I5630)</t>
  </si>
  <si>
    <t>Cr 54 No. 105 20 Ap</t>
  </si>
  <si>
    <t>lobby9612@gmail.com</t>
  </si>
  <si>
    <t>Julian Fernando Tobon Cajas (Representante Legal)</t>
  </si>
  <si>
    <t>Inversiones Mr Drinks S.A.S.</t>
  </si>
  <si>
    <t>Calle 66 N. 25 20</t>
  </si>
  <si>
    <t>atalero@rmcinternacional.co</t>
  </si>
  <si>
    <t>Alejandro Talero Tovar (Representante Legal)</t>
  </si>
  <si>
    <t>Inversiones Momjai Sas</t>
  </si>
  <si>
    <t>Cafeterías y Bares para Bebidas sin Alcohol(722515); Demás Servicios Profesionales, Científicos y Técnicos(54199); Carnicerías(44521); Comercio al por Mayor(42)</t>
  </si>
  <si>
    <t>Comercio Al Por Mayor A Cambio De Una Retribución O Por Contrata (G4610); Comercio Al Por Menor De Carnes (Incluye Aves De Corral), Productos Cárnicos, Pescados Y Productos De Mar, En Establecimientos Especializados (G4723); Expendio De Comidas Preparadas En Cafeterías (I5613); Otras Actividades Profesionales, Científicas Y Técnicas N.C.P. (M7490)</t>
  </si>
  <si>
    <t>Calle 185 16 08</t>
  </si>
  <si>
    <t>momjaiexpress@gmail.com</t>
  </si>
  <si>
    <t>Jairo Humberto Mora Mejia (Representante Legal)</t>
  </si>
  <si>
    <t>Inversiones Molinete S A S</t>
  </si>
  <si>
    <t>Calle 76A 112 - 15</t>
  </si>
  <si>
    <t>willympca@gmail.com</t>
  </si>
  <si>
    <t>William Shesman Molina Fuentes (Representante Legal)</t>
  </si>
  <si>
    <t>Inversiones Mjpc Sas</t>
  </si>
  <si>
    <t>Calle 131 # 49 - 40</t>
  </si>
  <si>
    <t>cayifor@gmail.com</t>
  </si>
  <si>
    <t>Inversiones Milenium M&amp;M Sas</t>
  </si>
  <si>
    <t>Oficinas de Abogados(54111); Bares y Otros Lugares para Beber(7224); Tiendas de Piezas y Accesorios Automotrices y Neumáticos(4413); Comerciantes al por Mayor de Bienes No Duraderos Diversos(4249)</t>
  </si>
  <si>
    <t>Comercio De Partes, Piezas (Autopartes) Y Accesorios (Lujos) Para Vehículos Automotores (G4530); Comercio Al Por Mayor No Especializado (G4690); Expendio De Bebidas Alcohólicas Para El Consumo Dentro Del Establecimiento (I5630); Actividades Jurídicas (M6910)</t>
  </si>
  <si>
    <t>Carrera 29 C No 71 A 07</t>
  </si>
  <si>
    <t>inversionesmileniumsas@gmail.com</t>
  </si>
  <si>
    <t>Yisela Maritza Cardenas Castro (Representante Legal)</t>
  </si>
  <si>
    <t>Inversiones Mg Corp Sas</t>
  </si>
  <si>
    <t>Av El Dorado # 69 C 03 To C Of 808</t>
  </si>
  <si>
    <t>inversionesmagnusas@gmail.com</t>
  </si>
  <si>
    <t>Michael Hernan Cortes Trujillo (Representante Legal)</t>
  </si>
  <si>
    <t>Inversiones Méndez Fonseca S.A.S</t>
  </si>
  <si>
    <t>Cl 22 K # 96 F 23 Ca 12</t>
  </si>
  <si>
    <t>emendezheredia59@gmail.com</t>
  </si>
  <si>
    <t>Edgar Mauricio Mendez Heredia (Representante Legal)</t>
  </si>
  <si>
    <t>Inversiones Mencanta S A S</t>
  </si>
  <si>
    <t>Cra 51A # 129 - 65 Bodega</t>
  </si>
  <si>
    <t>administracion@alamesa.co</t>
  </si>
  <si>
    <t>Alvaro Quiñones Jaramillo (Representante Legal)</t>
  </si>
  <si>
    <t>Inversiones Mdes S.A.S</t>
  </si>
  <si>
    <t>Cl 73 No. 69 B 22</t>
  </si>
  <si>
    <t>facturacionmdes@gmail.com</t>
  </si>
  <si>
    <t>Mariela De San Francisco Martinez Perez (Representante Legal)</t>
  </si>
  <si>
    <t>Inversiones Mdc3 Sas</t>
  </si>
  <si>
    <t>Cafeterías y Bares para Bebidas sin Alcohol(722515); Servicios de Preparación de Documentos(56141); Otras Telecomunicaciones(51791); Bares y Otros Lugares para Beber(7224)</t>
  </si>
  <si>
    <t>Expendio De Comidas Preparadas En Cafeterías (I5613); Expendio De Bebidas Alcohólicas Para El Consumo Dentro Del Establecimiento (I5630); Otras Actividades De Telecomunicaciones (J6190); Fotocopiado, Preparación De Documentos Y Otras Actividades Especializadas De Apoyo A Oficina (N8219)</t>
  </si>
  <si>
    <t>Cr 20 No. 32 A 17</t>
  </si>
  <si>
    <t>manu.jime3@gmail.com</t>
  </si>
  <si>
    <t>David Alejandro Escobar Marmol (Representante Legal)</t>
  </si>
  <si>
    <t>Inversiones Masean S.A.S</t>
  </si>
  <si>
    <t>Hoteles (excepto Hoteles Casino) y Moteles(72111); Bares y Otros Lugares para Beber(7224)</t>
  </si>
  <si>
    <t>Alojamiento En Hoteles (I5511); Expendio De Bebidas Alcohólicas Para El Consumo Dentro Del Establecimiento (I5630)</t>
  </si>
  <si>
    <t>Cl 48 No. 13 22</t>
  </si>
  <si>
    <t>inversionesmasean@hotmail.com</t>
  </si>
  <si>
    <t>Maria Miladis Angulo Angulo (Representante Legal)</t>
  </si>
  <si>
    <t>Inversiones Marioni Sas</t>
  </si>
  <si>
    <t>Cafeterías y Bares para Bebidas sin Alcohol(722515); Fabricación de Alimentos Preparados Perecederos(311991); Servicios Especiales de Comida(7223); Panaderías y Producción de Tortillas(3118)</t>
  </si>
  <si>
    <t>Elaboración De Productos De Panadería (C1081); Elaboración De Comidas Y Platos Preparados (C1084); Expendio A La Mesa De Comidas Preparadas (I5611); Expendio De Comidas Preparadas En Cafeterías (I5613)</t>
  </si>
  <si>
    <t>Cr 55 No. 171 A 04</t>
  </si>
  <si>
    <t>marionipanaderia@gmail.com</t>
  </si>
  <si>
    <t>Julio German Rincon Rodriguez (Representante Legal)</t>
  </si>
  <si>
    <t>Inversiones Marantina Sas</t>
  </si>
  <si>
    <t>Calle 5 A No 57 - 10</t>
  </si>
  <si>
    <t>audoriagrupopinilla@gmail.com</t>
  </si>
  <si>
    <t>Alejandro Pinilla Rodriguez (Representante Legal)</t>
  </si>
  <si>
    <t>Inversiones Maramaos S A S</t>
  </si>
  <si>
    <t>Inversiones Madeza S.A.S</t>
  </si>
  <si>
    <t>Carrera 9 70 29</t>
  </si>
  <si>
    <t>madeza2023@hotmail.com</t>
  </si>
  <si>
    <t>Diana Zuly Zamora Rincon (Representante Legal)</t>
  </si>
  <si>
    <t>Inversiones Maceo Sas</t>
  </si>
  <si>
    <t>Cl 20 No. 2 A 26</t>
  </si>
  <si>
    <t>contabilidad.klbienesraices@gmail.com</t>
  </si>
  <si>
    <t>Kely Johana Noreña Traslaviña (Representante Legal)</t>
  </si>
  <si>
    <t>Inversiones Mac House Sas</t>
  </si>
  <si>
    <t>Calle 85 # 14 - 05</t>
  </si>
  <si>
    <t>menos1microclub@gmail.com</t>
  </si>
  <si>
    <t>William Mauricio Calderon Gomez (Representante Legal)</t>
  </si>
  <si>
    <t>Inversiones M &amp; L S.A.S</t>
  </si>
  <si>
    <t>Tiendas de Mercancía General, incluyendo Grandes Almacenes(45231); Bares y Otros Lugares para Beber(7224)</t>
  </si>
  <si>
    <t>Comercio Al Por Menor En Establecimientos No Especializados, Con Surtido Compuesto Principalmente Por Productos Diferentes De Alimentos (Víveres En General), Bebidas Y Tabaco (G4719); Expendio De Bebidas Alcohólicas Para El Consumo Dentro Del Establecimiento (I5630)</t>
  </si>
  <si>
    <t>Transversal 33 49 B 09 Sur Local 2</t>
  </si>
  <si>
    <t>faclicoreralabendicion@gmail.com</t>
  </si>
  <si>
    <t>Carlos Alberto Moreno Mayorga (Representante Legal)</t>
  </si>
  <si>
    <t>Inversiones Lvr S.A.S</t>
  </si>
  <si>
    <t>Cl 119 A No. 7 36</t>
  </si>
  <si>
    <t>linavelezmoda@gmail.com</t>
  </si>
  <si>
    <t>Lina Maria Velez Reyes (Representante Legal)</t>
  </si>
  <si>
    <t>Inversiones Lv Y Ag Sas</t>
  </si>
  <si>
    <t>Calle 80 No. 19 - 30 Piso 2</t>
  </si>
  <si>
    <t>srbunueloexito@gmail.com</t>
  </si>
  <si>
    <t>Nestor Andres Gomez Aristizabal (Representante Legal)</t>
  </si>
  <si>
    <t>Inversiones Los 3 Cuates Sas</t>
  </si>
  <si>
    <t>Cl 118 No. 6 A 62</t>
  </si>
  <si>
    <t>Inversiones Lora S.A.S.</t>
  </si>
  <si>
    <t>Cl 57 B Sur No. 69 A 25</t>
  </si>
  <si>
    <t>LORA.SAS24@GMAIL.COM</t>
  </si>
  <si>
    <t>Yudy Liliana Gomez Moreno (Representante Legal)</t>
  </si>
  <si>
    <t>Inversiones Lopez Guevara S.A.S</t>
  </si>
  <si>
    <t>Otras Compañías de Artes Escénicas(71119); Grupos Musicales y Artistas(71113);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</si>
  <si>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Actividades De Espectáculos Musicales En Vivo (R9007); Otras Actividades De Espectáculos En Vivo N.C.P. (R9008)</t>
  </si>
  <si>
    <t>Cr 91 No. 145 A 36 Ap 300</t>
  </si>
  <si>
    <t>inversioneslopezguevarasas@gmail.com</t>
  </si>
  <si>
    <t>Jorge Andres Lopez Guerrero (Representante Legal)</t>
  </si>
  <si>
    <t>Inversiones Lomed S.A.S.</t>
  </si>
  <si>
    <t>Cr 7 A No. 140 38 Lc 105</t>
  </si>
  <si>
    <t>evelynpintor149@hotmail.com</t>
  </si>
  <si>
    <t>Evelyn Pintor Beltran (Representante Legal)</t>
  </si>
  <si>
    <t>Inversiones Lombana Rodriguez S.A.S</t>
  </si>
  <si>
    <t>Carrera 88 18 60</t>
  </si>
  <si>
    <t>Inversiones Lizarazo Gomez S.A.S.</t>
  </si>
  <si>
    <t>Carrera 53 C # 131A</t>
  </si>
  <si>
    <t>inversioneslizarazogomez@gmail.com</t>
  </si>
  <si>
    <t>Edgar Eduardo Lizarazo Hoyos (Representante Legal)</t>
  </si>
  <si>
    <t>Inversiones Les Champs S.A.S</t>
  </si>
  <si>
    <t>Carrera 18 C 109 35</t>
  </si>
  <si>
    <t>direccion@inversionesleschamps.com</t>
  </si>
  <si>
    <t>William Andres Bernal Sanchez (Representante Legal)</t>
  </si>
  <si>
    <t>Inversiones Leña Verde Yv S.A.S</t>
  </si>
  <si>
    <t>Cl 46 A # 85 A 51 Lc</t>
  </si>
  <si>
    <t>yolita531@gmail.com</t>
  </si>
  <si>
    <t>Yolanda Vasquez Rodriguez (Representante Legal)</t>
  </si>
  <si>
    <t>Inversiones Las Vegas Nevada Sas</t>
  </si>
  <si>
    <t>Cr 16 No. 16 29 Sur</t>
  </si>
  <si>
    <t>Rodrigo Tavera (Representante Legal)</t>
  </si>
  <si>
    <t>Inversiones Lalate Sas</t>
  </si>
  <si>
    <t>Cl 164 No. 19 A 21</t>
  </si>
  <si>
    <t>lalatebogota@gmail.com</t>
  </si>
  <si>
    <t>Paola Andrea Martinez Orjuela (Representante Legal)</t>
  </si>
  <si>
    <t>Inversiones La Totuma Corrida Sas</t>
  </si>
  <si>
    <t>Otros Alojamientos para Viajeros(72119); Bares y Otros Lugares para Beber(7224); Servicios Especiales de Comida(7223); Tiendas de Comidas Artesanales(4452)</t>
  </si>
  <si>
    <t>Comercio Al Por Menor De Productos Agrícolas Para El Consumo En Establecimientos Especializados (G4721); Alojamiento En Centros Vacacionales (I5513); Expendio A La Mesa De Comidas Preparadas (I5611); Expendio De Bebidas Alcohólicas Para El Consumo Dentro Del Establecimiento (I5630)</t>
  </si>
  <si>
    <t>Cra 2 # 12 B 90</t>
  </si>
  <si>
    <t>wilmargarcia_m@hotmail.com</t>
  </si>
  <si>
    <t>Wilmar Garcia Marmolejo (Representante Legal)</t>
  </si>
  <si>
    <t>Inversiones La Tierrita Sas</t>
  </si>
  <si>
    <t>Calle 63 F 24 35</t>
  </si>
  <si>
    <t>jofernandom@gmail.com</t>
  </si>
  <si>
    <t>Jose Fernando Mejia Acosta (Representante Legal)</t>
  </si>
  <si>
    <t>Inversiones La Tabla Sas</t>
  </si>
  <si>
    <t>Cl 1 Sur 6 40</t>
  </si>
  <si>
    <t>sergio930225@gmail.com</t>
  </si>
  <si>
    <t>Juan Manuel Linero Palacio (Representante Legal)</t>
  </si>
  <si>
    <t>Inversiones La Santa Guadalupe S A S</t>
  </si>
  <si>
    <t>Cl 109 No. 15 44</t>
  </si>
  <si>
    <t>lasantaguadalupe@gmail.com</t>
  </si>
  <si>
    <t>Jaime Eduardo Alzate Galvez (Representante Legal)</t>
  </si>
  <si>
    <t>Inversiones La Santa Guadalupe Calle 93 Sas</t>
  </si>
  <si>
    <t>Cr 13 A No. 93 91 3 P</t>
  </si>
  <si>
    <t>Amanda Agudelo Hernandez (Representante Legal)</t>
  </si>
  <si>
    <t>Inversiones La Mexicana S.A.S</t>
  </si>
  <si>
    <t>Comercio Al Por Mayor De Bebidas Y Tabaco (G4632); Expendio A La Mesa De Comidas Preparadas (I5611); Expendio De Bebidas Alcohólicas Para El Consumo Dentro Del Establecimiento (I5630)</t>
  </si>
  <si>
    <t>Avenida Carrera 15 124 67 Oficina 617</t>
  </si>
  <si>
    <t>ninacg@galviscg.co</t>
  </si>
  <si>
    <t>Nina Yamile Castiblanco Galvis (Representante Legal)</t>
  </si>
  <si>
    <t>Inversiones La Iberica Sas</t>
  </si>
  <si>
    <t>Cl 83 No. 14 A 07 Lc</t>
  </si>
  <si>
    <t>friquelme@europagastronomie.com</t>
  </si>
  <si>
    <t>Andres Mauricio Calvache Gil (Representante Legal)</t>
  </si>
  <si>
    <t>Inversiones La Grilla Eu En Liquidacion</t>
  </si>
  <si>
    <t>Av Cll 80 100 - 52 Loc 3 11 Ccportal 80</t>
  </si>
  <si>
    <t>carlos_manuel_delgado@hotmail.com</t>
  </si>
  <si>
    <t>Carlos Manuel Delgado Melo (Representante Legal)</t>
  </si>
  <si>
    <t>Inversiones La Estación Oah Sas</t>
  </si>
  <si>
    <t>Cafeterías y Bares para Bebidas sin Alcohol(722515); Otras Tiendas de Comidas Artesanales(44529); Servicios Especiales de Comida(7223); Panaderías y Producción de Tortillas(3118)</t>
  </si>
  <si>
    <t>Elaboración De Productos De Panadería (C1081); Comercio Al Por Menor De Otros Productos Alimenticios N.C.P., En Establecimientos Especializados (G4729); Expendio A La Mesa De Comidas Preparadas (I5611); Expendio De Comidas Preparadas En Cafeterías (I5613)</t>
  </si>
  <si>
    <t>Av Caracas No. 21 27 Sur</t>
  </si>
  <si>
    <t>henaoadrian2012@gmail.com</t>
  </si>
  <si>
    <t>Marby Anyeli Hincapie Ramirez (Representante Legal)</t>
  </si>
  <si>
    <t>Inversiones La Abundancia Y La Prosperidad S91 Sas En Liquidacion</t>
  </si>
  <si>
    <t>Av Boyaca No. 80 94</t>
  </si>
  <si>
    <t>maze961101@hotmail.com</t>
  </si>
  <si>
    <t>Mauricio Andres Zorrilla Espinel (Representante Legal)</t>
  </si>
  <si>
    <t>Inversiones Kokku Sas</t>
  </si>
  <si>
    <t>Cl 24 C No. 80 B 40</t>
  </si>
  <si>
    <t>miltonpc@gmail.com</t>
  </si>
  <si>
    <t>Alvaro Ceballos Mogollon (Representante Legal)</t>
  </si>
  <si>
    <t>Inversiones Kitchen Lab Sas</t>
  </si>
  <si>
    <t>Cr 7 C 123 24</t>
  </si>
  <si>
    <t>suarezg.felipe@gmail.com</t>
  </si>
  <si>
    <t>Valentina Maria Roman De La Espriella (Representante Legal)</t>
  </si>
  <si>
    <t>Inversiones Kilómetro Seis Sas</t>
  </si>
  <si>
    <t>Cr 56 No. 147 58 Ca</t>
  </si>
  <si>
    <t>g.e.alonso.v@gmail.com</t>
  </si>
  <si>
    <t>Gabriel Eduardo Alonso Vengoechea (Representante Legal)</t>
  </si>
  <si>
    <t>Inversiones Keops Sas</t>
  </si>
  <si>
    <t>Cra 60 # 12 - 76</t>
  </si>
  <si>
    <t>contactokeopsbar@gmail.com</t>
  </si>
  <si>
    <t>Jorge Eliecer Chaparro Remolina (Representante Legal)</t>
  </si>
  <si>
    <t>Inversiones Karamell Sas</t>
  </si>
  <si>
    <t>Cl 23 F No. 81 22</t>
  </si>
  <si>
    <t>inversiones.karamellsas@gmail.com</t>
  </si>
  <si>
    <t>Yalila Elizabeth Letrado Bernal (Representante Legal)</t>
  </si>
  <si>
    <t>Inversiones Jyps Sas</t>
  </si>
  <si>
    <t>Cr 13 No. 42 22</t>
  </si>
  <si>
    <t>julpit24@gmail.com</t>
  </si>
  <si>
    <t>Julian David Pinto Tovar (Representante Legal)</t>
  </si>
  <si>
    <t>Inversiones Jurin &amp; Rivera Sas</t>
  </si>
  <si>
    <t>Calle 159 17 15</t>
  </si>
  <si>
    <t>alejandrojurin@yahoo.com</t>
  </si>
  <si>
    <t>Alejandro Cacabelos Jurin (Representante Legal)</t>
  </si>
  <si>
    <t>Inversiones Jpso Sas</t>
  </si>
  <si>
    <t>Cr 50 B No. 64 43 In 1 Ap 1105</t>
  </si>
  <si>
    <t>sheanpi@gmail.com</t>
  </si>
  <si>
    <t>Jean Pierre Alexandre Stauffer (Representante Legal)</t>
  </si>
  <si>
    <t>Inversiones Jopafa Sas</t>
  </si>
  <si>
    <t>Cl 80 No. 8 65</t>
  </si>
  <si>
    <t>inversionesjopafa@gmail.com</t>
  </si>
  <si>
    <t>Alfredo Pachon Carvajalino (Representante Legal)</t>
  </si>
  <si>
    <t>Inversiones Jimenez Rodriguez S.A.S.</t>
  </si>
  <si>
    <t>Plantaciones de Café(1113392); Cafeterías y Bares para Bebidas sin Alcohol(722515); Actividades de Poscosecha (excepto Desmotado de Algodón)(115114); Fabricación de Café y Té(31192)</t>
  </si>
  <si>
    <t>Cultivo De Café (A0123); Actividades Posteriores A La Cosecha (A0163); Otros Derivados Del Café (C1063); Expendio De Comidas Preparadas En Cafeterías (I5613)</t>
  </si>
  <si>
    <t>Cra 13 Bis N 108 - 21</t>
  </si>
  <si>
    <t>jimenezrodriguezlevel@gmail.com</t>
  </si>
  <si>
    <t>Yecid Rodriguez Perez (Representante Legal)</t>
  </si>
  <si>
    <t>Inversiones Jimenez &amp; Valenzuela Sas</t>
  </si>
  <si>
    <t>Cl 9 No. 37 A - 62 Of 3012</t>
  </si>
  <si>
    <t>inversionesjimenezypineros@gmail.com</t>
  </si>
  <si>
    <t>Inversiones Jefe S.A.S</t>
  </si>
  <si>
    <t>Cl 65 F # 79 B 80 Sur</t>
  </si>
  <si>
    <t>alaskagranizados@gmail.com</t>
  </si>
  <si>
    <t>Duan Felipe Rodriguez Tamayo (Representante Legal)</t>
  </si>
  <si>
    <t>Inversiones Jci S.A.S</t>
  </si>
  <si>
    <t>Cl 31 Sur No. 69 B 25</t>
  </si>
  <si>
    <t>Inversiones Jamr S.A.S</t>
  </si>
  <si>
    <t>Calle 63 78 90</t>
  </si>
  <si>
    <t>inversionesjamrsas@gmail.com</t>
  </si>
  <si>
    <t>Jhon Andres Martin Rodriguez (Representante Legal)</t>
  </si>
  <si>
    <t>Inversiones Jamo Sas</t>
  </si>
  <si>
    <t>Cr 15 No. 112 09</t>
  </si>
  <si>
    <t>op75892@gmail.com</t>
  </si>
  <si>
    <t>Juan Manuel Marquez Aponte (Representante Legal)</t>
  </si>
  <si>
    <t>Inversiones Jaba Ltda</t>
  </si>
  <si>
    <t>Cafeterías y Bares para Bebidas sin Alcohol(722515); Demás Tipos de Alojamiento para Viajeros(721199); Bares y Otros Lugares para Beber(7224)</t>
  </si>
  <si>
    <t>Servicio Por Horas (I5530); Expendio De Comidas Preparadas En Cafeterías (I5613); Expendio De Bebidas Alcohólicas Para El Consumo Dentro Del Establecimiento (I5630)</t>
  </si>
  <si>
    <t>Ac 26 Sur 69 79</t>
  </si>
  <si>
    <t>contajosera@hotmail.com</t>
  </si>
  <si>
    <t>Blanca Cecilia Cubides De Amortegui (Representante Legal)</t>
  </si>
  <si>
    <t>Inversiones J.C.M.M. Sas</t>
  </si>
  <si>
    <t>Expendio A La Mesa De Comidas Preparadas (I5611); Expendio De Comidas Preparadas En Cafeterías (I5613); Otros Tipos De Expendio De Comidas Preparadas N.C.P. (I5619); Expendio De Bebidas Alcohólicas Para El Consumo Dentro Del Establecimiento (I5630)</t>
  </si>
  <si>
    <t>Cra 18 # 93 - 46</t>
  </si>
  <si>
    <t>marthalbc621@gmail.com</t>
  </si>
  <si>
    <t>Martha Lucia Barragan Cupaban (Representante Legal)</t>
  </si>
  <si>
    <t>Inversiones J.A.J. Sas</t>
  </si>
  <si>
    <t>Cafeterías y Bares para Bebidas sin Alcohol(722515); Fabricación de Café y Té(31192); Bares y Otros Lugares para Beber(7224); Supermercados(4451)</t>
  </si>
  <si>
    <t>Otros Derivados Del Café (C1063); Comercio Al Por Menor En Establecimientos No Especializados Con Surtido Compuesto Principalmente Por Alimentos, Bebidas O Tabaco (G4711); Expendio De Comidas Preparadas En Cafeterías (I5613); Expendio De Bebidas Alcohólicas Para El Consumo Dentro Del Establecimiento (I5630)</t>
  </si>
  <si>
    <t>Cl 16 No. 12 49</t>
  </si>
  <si>
    <t>inversionesjajsas@gmail.com</t>
  </si>
  <si>
    <t>Jhonny Alberto Carrillo Pinto (Representante Legal)</t>
  </si>
  <si>
    <t>Inversiones J&amp;A Sas</t>
  </si>
  <si>
    <t>Cl 13 No. 58 87</t>
  </si>
  <si>
    <t>veinte20club@gmail.com</t>
  </si>
  <si>
    <t>Andres Felipe Santos Ardila (Representante Legal)</t>
  </si>
  <si>
    <t>Inversiones J Díaz Sas</t>
  </si>
  <si>
    <t>Demás Tipos de Industrias de Diversión y Recreativas(71399); Bares y Otros Lugares para Beber(7224); Servicios Especiales de Comida(7223); Industrias de Juego(7132)</t>
  </si>
  <si>
    <t>Expendio A La Mesa De Comidas Preparadas (I5611); Expendio De Bebidas Alcohólicas Para El Consumo Dentro Del Establecimiento (I5630); Actividades De Juegos De Azar Y Apuestas (R9200); Otras Actividades Recreativas Y De Esparcimiento N.C.P. (R9329)</t>
  </si>
  <si>
    <t>Cl 3 No. 71 30</t>
  </si>
  <si>
    <t>armandodago@hotmail.com</t>
  </si>
  <si>
    <t>Jorge Armando Diaz Gonzalez (Representante Legal)</t>
  </si>
  <si>
    <t>Inversiones J &amp; K Colombia Sas</t>
  </si>
  <si>
    <t>Cr 69 C No. 25 Sur 0</t>
  </si>
  <si>
    <t>hcaicedo6@yahoo.com</t>
  </si>
  <si>
    <t>Maria Jose Camargo Garces (Representante Legal)</t>
  </si>
  <si>
    <t>Inversiones Ivnova Sas</t>
  </si>
  <si>
    <t>Cl 151 C No 133 - 02 Ap 202</t>
  </si>
  <si>
    <t>ivnovasas@gmail.com</t>
  </si>
  <si>
    <t>Doris Angelica Perez Roa (Representante Legal)</t>
  </si>
  <si>
    <t>Inversiones Isacor Sas</t>
  </si>
  <si>
    <t>Cafeterías y Bares para Bebidas sin Alcohol(722515); Oficinas de Convenciones y Visitantes(561591); Empresas de Catering(72232); Bares y Otros Lugares para Beber(7224)</t>
  </si>
  <si>
    <t>Expendio De Comidas Preparadas En Cafeterías (I5613); Catering Para Eventos (I5621); Expendio De Bebidas Alcohólicas Para El Consumo Dentro Del Establecimiento (I5630); Organización De Convenciones Y Eventos Comerciales (N8230)</t>
  </si>
  <si>
    <t>Cr 96 B No 17 B - 35 Ap 503</t>
  </si>
  <si>
    <t>johanacor9401@gmail.com</t>
  </si>
  <si>
    <t>Suarez Zambrano Fernando Andres (Representante Legal)</t>
  </si>
  <si>
    <t>Inversiones Indigo 51 S A S</t>
  </si>
  <si>
    <t>Demás Servicios de Información(51919); Bares y Otros Lugares para Beber(7224); Servicios Especiales de Comida(7223); Descontaminación y Otros Servicios de Gestión de Residuos(5629)</t>
  </si>
  <si>
    <t>Actividades De Saneamiento Ambiental Y Otros Servicios De Gestión De Desechos (E3900); Expendio A La Mesa De Comidas Preparadas (I5611); Expendio De Bebidas Alcohólicas Para El Consumo Dentro Del Establecimiento (I5630); Otras Actividades De Tecnologías De Información Y Actividades De Servicios Informáticos (J6209)</t>
  </si>
  <si>
    <t>Cr 9 No. 51 22/24</t>
  </si>
  <si>
    <t>indigoclub5123@gmail.com</t>
  </si>
  <si>
    <t>William Alfredo Mesa Leon (Representante Legal)</t>
  </si>
  <si>
    <t>Inversiones I Love Sas</t>
  </si>
  <si>
    <t>Cl 6 No. 68 45 To 1 Ap 1701</t>
  </si>
  <si>
    <t>inversionesilove@gmail.com</t>
  </si>
  <si>
    <t>Victor David Morales Rojas (Representante Legal)</t>
  </si>
  <si>
    <t>Inversiones Hurtado Martinez Sas</t>
  </si>
  <si>
    <t>Cr 11 No. 69 76</t>
  </si>
  <si>
    <t>takuma.admo@gmail.com</t>
  </si>
  <si>
    <t>Jhon Alexander Hurtado Martinez (Representante Legal)</t>
  </si>
  <si>
    <t>Inversiones Hnos E W S.A.S.</t>
  </si>
  <si>
    <t>Cr 75 No. 24 C 12 Lo 1 1</t>
  </si>
  <si>
    <t>widivar@hotmail.com</t>
  </si>
  <si>
    <t>William Diaz Vargas (Representante Legal)</t>
  </si>
  <si>
    <t>Inversiones Guga Y Cia Ltda - En Liquidacion</t>
  </si>
  <si>
    <t>Cl 31 Sur No. 70 - 28</t>
  </si>
  <si>
    <t>mitrufal@hotmail.com</t>
  </si>
  <si>
    <t>Juan Carlos Guarnizo Gaitan (Representante Legal)</t>
  </si>
  <si>
    <t>Inversiones Guerra &amp; Echeverri Sas</t>
  </si>
  <si>
    <t>Restaurantes y Otros Lugares para Comer(72251); Otros Alojamientos para Viajeros(72119); Transporte Interurbano y Rural(4852)</t>
  </si>
  <si>
    <t>Transporte De Pasajeros (H4921); Alojamiento En Apartahoteles (I5512); Expendio Por Autoservicio De Comidas Preparadas (I5612)</t>
  </si>
  <si>
    <t>Alojamiento En Apartahoteles (I5512)</t>
  </si>
  <si>
    <t>Calle 148 # 7 A 25</t>
  </si>
  <si>
    <t>gacarsecom@yahoo.es</t>
  </si>
  <si>
    <t>Jaime Alonso Guerra Rodriguez (Representante Legal)</t>
  </si>
  <si>
    <t>Inversiones Gran Portal 2013 Sas</t>
  </si>
  <si>
    <t>Ivan Dario Rodriguez Mesa (Representante Legal)</t>
  </si>
  <si>
    <t>Inversiones Global 485 Sas</t>
  </si>
  <si>
    <t>Cr 53 No. 104 B - 35 Of 405</t>
  </si>
  <si>
    <t>pizza485grados@gmail.com</t>
  </si>
  <si>
    <t>Gonzalo Angel Aristizabal Cadavid (Representante Legal)</t>
  </si>
  <si>
    <t>Inversiones Giandile Sas En Liquidacion</t>
  </si>
  <si>
    <t>Av 19 114 52 Lc 01</t>
  </si>
  <si>
    <t>giandile@gmail.com</t>
  </si>
  <si>
    <t>Gianluca Di Leo (Representante Legal)</t>
  </si>
  <si>
    <t>Inversiones Ggiveca Sas</t>
  </si>
  <si>
    <t>Tiendas de Mercancía General, incluyendo Grandes Almacenes(45231); Bares y Otros Lugares para Beber(7224); Cervecerías, Vinaterías y Tiendas de Licores(4453)</t>
  </si>
  <si>
    <t>Comercio Al Por Menor En Establecimientos No Especializados, Con Surtido Compuesto Principalmente Por Productos Diferentes De Alimentos (Víveres En General), Bebidas Y Tabaco (G4719); Comercio Al Por Menor De Bebidas Y Productos Del Tabaco, En Establecimientos Especializados (G4724); Expendio De Bebidas Alcohólicas Para El Consumo Dentro Del Establecimiento (I5630)</t>
  </si>
  <si>
    <t>Cl 5 No. 71 A 32</t>
  </si>
  <si>
    <t>carliabaptista@gmail.com</t>
  </si>
  <si>
    <t>Gildardo Javier Falla Urdaneta (Representante Legal)</t>
  </si>
  <si>
    <t>Inversiones Geneana Sas</t>
  </si>
  <si>
    <t>Kra 58B # 131 - 06</t>
  </si>
  <si>
    <t>anachacon3005@gmail.com</t>
  </si>
  <si>
    <t>Genesis Rossana Granados Bustamante (Representante Legal)</t>
  </si>
  <si>
    <t>Inversiones Gc4 Sas</t>
  </si>
  <si>
    <t>Oficinas de Administrción Corporativas, Subsidiarias y Regionales(551114); Fabricación de Alimentos Preparados Perecederos(311991); Cerveceras(31212); Bares y Otros Lugares para Beber(7224)</t>
  </si>
  <si>
    <t>Elaboración De Comidas Y Platos Preparados (C1084); Producción De Malta, Elaboración De Cervezas Y Otras Bebidas Malteadas (C1103); Expendio De Bebidas Alcohólicas Para El Consumo Dentro Del Establecimiento (I5630); Actividades De Administración Empresarial (M7010)</t>
  </si>
  <si>
    <t>Cl 45 No. 6 58 Lc 11</t>
  </si>
  <si>
    <t>jggonzalez-c@hotmailc.om</t>
  </si>
  <si>
    <t>Martin Gonzalez Cardona (Representante Legal)</t>
  </si>
  <si>
    <t>Inversiones Gavossan Sas</t>
  </si>
  <si>
    <t>Calle 131 # 47 - 58</t>
  </si>
  <si>
    <t>joseluis.sanchezinfante@gmail.com</t>
  </si>
  <si>
    <t>Jose Luis Sanchez Infante (Representante Legal)</t>
  </si>
  <si>
    <t>Inversiones Garesc S A S</t>
  </si>
  <si>
    <t>Dg 61 D Bis No. 26 - 45</t>
  </si>
  <si>
    <t>clauesc@yahoo.com</t>
  </si>
  <si>
    <t>Claudia Escobar Gomez (Representante Legal)</t>
  </si>
  <si>
    <t>Inversiones Garay Merchan Sas</t>
  </si>
  <si>
    <t>Cl 33 Sur # 39 - 20</t>
  </si>
  <si>
    <t>zantorestaurante@gmail.com</t>
  </si>
  <si>
    <t>Gabriel Antonio Merchan Bojaca (Representante Legal)</t>
  </si>
  <si>
    <t>Inversiones Ganador Sas En Liquidacion</t>
  </si>
  <si>
    <t>Cl 67 No. 7 67</t>
  </si>
  <si>
    <t>Inversiones Gabp Sas</t>
  </si>
  <si>
    <t>Cr 65 No. 11 50 Lc 3 - 78</t>
  </si>
  <si>
    <t>germancho18_8@hotmail.com</t>
  </si>
  <si>
    <t>German Andres Barreto Parra (Representante Legal)</t>
  </si>
  <si>
    <t>Inversiones Gabes S.A.S</t>
  </si>
  <si>
    <t>Cr 8 No. 66 14</t>
  </si>
  <si>
    <t>lacaleta.colombia@gmail.com</t>
  </si>
  <si>
    <t>Amaya Arguello Gabriela Alejandra (Representante Legal)</t>
  </si>
  <si>
    <t>Inversiones Fuem Sas</t>
  </si>
  <si>
    <t>Restaurantes y Otros Lugares para Comer(72251); Diseño de Sistemas Computacionales y Servicios Relacionados(54151); Bares y Otros Lugares para Beber(7224); Comercio al por Mayor(42)</t>
  </si>
  <si>
    <t>Comercio Al Por Mayor A Cambio De Una Retribución O Por Contrata (G4610); Expendio Por Autoservicio De Comidas Preparadas (I5612); Expendio De Bebidas Alcohólicas Para El Consumo Dentro Del Establecimiento (I5630); Actividades De Desarrollo De Sistemas Informáticos (Planificación, Análisis, Diseño, Programación, Pruebas) (J6201)</t>
  </si>
  <si>
    <t>Cl 69 A No. 69 I 30</t>
  </si>
  <si>
    <t>fabio.net.co@gmail.com</t>
  </si>
  <si>
    <t>Fabio Humberto Hernandez Martinez (Representante Legal)</t>
  </si>
  <si>
    <t>Inversiones Franquicias Cj Sas</t>
  </si>
  <si>
    <t>Carrera 10 72 33 Centro Comercial Avenid</t>
  </si>
  <si>
    <t>jimenezhenao@gmail.com</t>
  </si>
  <si>
    <t>Camilo Andres Jimenez Henao (Representante Legal)</t>
  </si>
  <si>
    <t>Inversiones Fpp Sas</t>
  </si>
  <si>
    <t>Aut Norte No. 114 44 Ap 804</t>
  </si>
  <si>
    <t>luzangela.palacios@gmail.com</t>
  </si>
  <si>
    <t>Luz Angela Palacios Campuzano (Representante Legal)</t>
  </si>
  <si>
    <t>Inversiones Foodtech S.A.S.</t>
  </si>
  <si>
    <t>Cl 61 # 2 31</t>
  </si>
  <si>
    <t>mayam32@hotmail.com</t>
  </si>
  <si>
    <t>Mayra Alejandra Alcendra Moscote (Representante Legal)</t>
  </si>
  <si>
    <t>Inversiones Food Sr S.A.S</t>
  </si>
  <si>
    <t>Calle 65 78 D 28 Sur</t>
  </si>
  <si>
    <t>inversionesfoodsr@gmail.com</t>
  </si>
  <si>
    <t>Jorge Alexander Saavedra Cardozo (Representante Legal)</t>
  </si>
  <si>
    <t>Inversiones Filadelfia S.A.S</t>
  </si>
  <si>
    <t>Calle 93 15 49</t>
  </si>
  <si>
    <t>juanpatalagua_07@hotmai.com</t>
  </si>
  <si>
    <t>Juan Oliverio Patalagua Gomez (Representante Legal)</t>
  </si>
  <si>
    <t>Inversiones Femetricar Sas</t>
  </si>
  <si>
    <t>Cl 163 72 61 Ca 18</t>
  </si>
  <si>
    <t>angie71triana@hotmail.com</t>
  </si>
  <si>
    <t>Angela Maria Triana Castro (Representante Legal)</t>
  </si>
  <si>
    <t>Inversiones Fast Casual S.A.S</t>
  </si>
  <si>
    <t>Cl 140 No. 13 62</t>
  </si>
  <si>
    <t>inmobiliaria@sagrial.com</t>
  </si>
  <si>
    <t>Luis Fernando Arango Giraldo (Representante Legal)</t>
  </si>
  <si>
    <t>Inversiones Familia Rojas E Hijos S.A.S</t>
  </si>
  <si>
    <t>Calle 147 A 54 66</t>
  </si>
  <si>
    <t>jennyrojas054@gmail.com</t>
  </si>
  <si>
    <t>Jenny Esmeralda Rojas Burgos (Representante Legal)</t>
  </si>
  <si>
    <t>Inversiones Fal Sas.</t>
  </si>
  <si>
    <t>Cr 48 C No. 68 A 21 Sur</t>
  </si>
  <si>
    <t>inversionesfal@gmail.com</t>
  </si>
  <si>
    <t>Diego Andres Lopez Parra (Representante Legal)</t>
  </si>
  <si>
    <t>Inversiones Estiranguizu Sociedad Por Acciones Simplificada</t>
  </si>
  <si>
    <t>Elaboración De Comidas Y Platos Preparados (C1084); Expendio Por Autoservicio De Comidas Preparadas (I5612); Otros Tipos De Expendio De Comidas Preparadas N.C.P. (I5619); Actividades De Otros Servicios De Comidas (I5629)</t>
  </si>
  <si>
    <t>Cl 159 No. 54 70 To 3 Ap 902</t>
  </si>
  <si>
    <t>desarrollosurbandecolombia@gmail.com</t>
  </si>
  <si>
    <t>Favian Rodrigo Castañeda Guarin (Representante Legal)</t>
  </si>
  <si>
    <t>Inversiones Esplendido Sas</t>
  </si>
  <si>
    <t>Cr 8 No. 15 82 Lc 2</t>
  </si>
  <si>
    <t>richard.carrero@hotmail.com</t>
  </si>
  <si>
    <t>Carlos Ricardo Carrero Gonzalez (Representante Legal)</t>
  </si>
  <si>
    <t>Inversiones Espitia Betancourt S.A.S</t>
  </si>
  <si>
    <t>Ak 70 No. 64 D 80 P 2</t>
  </si>
  <si>
    <t>INVERSIONESESPITIABETANCOURT@GMAIL.COM</t>
  </si>
  <si>
    <t>Maria Nohemy Puin Peña (Representante Legal)</t>
  </si>
  <si>
    <t>Inversiones Enzo S.A.S</t>
  </si>
  <si>
    <t>Calle 52 24 31 Local 2</t>
  </si>
  <si>
    <t>admon.inversenzo@gmail.com</t>
  </si>
  <si>
    <t>Santiago Zuluaga Garcia (Representante Legal)</t>
  </si>
  <si>
    <t>Inversiones El Socio Sas</t>
  </si>
  <si>
    <t>Calle 42 F Sur No 89 C 28</t>
  </si>
  <si>
    <t>cristianm1212@hotmail.com</t>
  </si>
  <si>
    <t>Cristian Miranda De Leon (Representante Legal)</t>
  </si>
  <si>
    <t>Inversiones El Remo S A S</t>
  </si>
  <si>
    <t>Cra 18 # 86A - 47 Apto 504</t>
  </si>
  <si>
    <t>inverremo@gmail.com</t>
  </si>
  <si>
    <t>Diego Peraza Eraso (Representante Legal)</t>
  </si>
  <si>
    <t>Inversiones El Popular Sas</t>
  </si>
  <si>
    <t>Cr 4 A 57 02</t>
  </si>
  <si>
    <t>INVER.ELPOPULAR@GMAIL.COM</t>
  </si>
  <si>
    <t>Gerardo Calderon Arias (Representante Legal)</t>
  </si>
  <si>
    <t>Inversiones El Campincito Sas En Liquidacion</t>
  </si>
  <si>
    <t>Expendio A La Mesa De Comidas Preparadas (I5611); Expendio De Bebidas Alcohólicas Para El Consumo Dentro Del Establecimiento (I5630); Peluquería Y Otros Tratamientos De Belleza (S9602); Otras Actividades De Servicios Personales N.C.P. (S9609)</t>
  </si>
  <si>
    <t>Cr 27 No. 61 C 41</t>
  </si>
  <si>
    <t>marmartinez0502@gmail.com</t>
  </si>
  <si>
    <t>Martha Yaneth Martinez (Representante Legal)</t>
  </si>
  <si>
    <t>Inversiones Edalfy Sas</t>
  </si>
  <si>
    <t>Supermercados y Otras Tiendas de Abarrotes(44511); Bares y Otros Lugares para Beber(7224); Arrendadores de Bienes Inmuebles(5311); Tiendas de Ropa(4481)</t>
  </si>
  <si>
    <t>Tiendas de Ropa(4481)</t>
  </si>
  <si>
    <t>Comercio Al Por Menor De Prendas De Vestir Y Sus Accesorios (Incluye Artículos De Piel) En Establecimientos Especializados (G4771); Comercio Al Por Menor De Alimentos, Bebidas Y Tabaco, En Puestos De Venta Móviles (G4781); Expendio De Bebidas Alcohólicas Para El Consumo Dentro Del Establecimiento (I5630); Actividades Inmobiliarias Realizadas Con Bienes Propios O Arrendados (L6810)</t>
  </si>
  <si>
    <t>Comercio Al Por Menor De Prendas De Vestir Y Sus Accesorios (Incluye Artículos De Piel) En Establecimientos Especializados (G4771)</t>
  </si>
  <si>
    <t>Cr 22 No. 82 A 28</t>
  </si>
  <si>
    <t>inversionesedalfy@gmail.com</t>
  </si>
  <si>
    <t>Jairo Ivan Ortiz Alban (Representante Legal)</t>
  </si>
  <si>
    <t>Inversiones Easy Way Sas</t>
  </si>
  <si>
    <t>Bares y Otros Lugares para Beber(7224); Arrendadores de Bienes Inmuebles(5311); Autotransporte de Carga General(4841)</t>
  </si>
  <si>
    <t>Transporte De Carga Por Carretera (H4923); Expendio De Bebidas Alcohólicas Para El Consumo Dentro Del Establecimiento (I5630); Actividades Inmobiliarias Realizadas Con Bienes Propios O Arrendados (L6810)</t>
  </si>
  <si>
    <t>Cr 119 No. 77 21 To 2 Ap 104</t>
  </si>
  <si>
    <t>easyway.informacion@gmail.com</t>
  </si>
  <si>
    <t>Christian Camilo Sanabria Peña (Representante Legal)</t>
  </si>
  <si>
    <t>Inversiones E Industrias Hermar S.A.S</t>
  </si>
  <si>
    <t>feheher@gmail.com</t>
  </si>
  <si>
    <t>Felipe Hernando Herrera Diaz (Representante Legal)</t>
  </si>
  <si>
    <t>Inversiones Discomex Sas</t>
  </si>
  <si>
    <t>Carrera 16 # 76 - 42 Of 301</t>
  </si>
  <si>
    <t>inverdiscomex@gmail.com</t>
  </si>
  <si>
    <t>Carlos Andres Ibague Barragan (Representante Legal)</t>
  </si>
  <si>
    <t>Inversiones Disaka Sas</t>
  </si>
  <si>
    <t>Bares y Otros Lugares para Beber(7224); Servicios Especiales de Comida(7223); Cervecerías, Vinaterías y Tiendas de Licores(4453); Conservación de Frutas, Verduras y Fabricación de Alimentos Especializados(3114)</t>
  </si>
  <si>
    <t>Procesamiento Y Conservación De Frutas, Legumbres, Hortalizas Y Tubérculos (C1020); Comercio Al Por Menor De Bebidas Y Productos Del Tabaco, En Establecimientos Especializados (G4724); Expendio A La Mesa De Comidas Preparadas (I5611); Expendio De Bebidas Alcohólicas Para El Consumo Dentro Del Establecimiento (I5630)</t>
  </si>
  <si>
    <t>Calle 98 # 68 - 65 Torre 4 Apto 405</t>
  </si>
  <si>
    <t>inversionesdisakasas@gmail.com</t>
  </si>
  <si>
    <t>Katerin Camacho Giraldo (Representante Legal)</t>
  </si>
  <si>
    <t>Inversiones Dijhumer Sas</t>
  </si>
  <si>
    <t>Cl 24C 80B 14 Lc 202</t>
  </si>
  <si>
    <t>juligrid0411@hotmail.com</t>
  </si>
  <si>
    <t>Wilmer Andres Sanchez Suarez (Representante Legal)</t>
  </si>
  <si>
    <t>Inversiones Dicnav Sas</t>
  </si>
  <si>
    <t>Cr 102 No. 83 - 96</t>
  </si>
  <si>
    <t>inversionesdicnavsas@gmail.com</t>
  </si>
  <si>
    <t>Nathaly Vivian Gomez Alvarez (Representante Legal)</t>
  </si>
  <si>
    <t>Inversiones Diberlo Sas</t>
  </si>
  <si>
    <t>Fabricación de Todos los Demás Tipos de Alimentos Diversos(311999); Restaurantes y Otros Lugares para Comer(72251); Servicios Especiales de Comida(7223); Panaderías y Producción de Tortillas(3118)</t>
  </si>
  <si>
    <t>Elaboración De Productos De Panadería (C1081); Elaboración De Otros Productos Alimenticios N.C.P. (C1089); Expendio Por Autoservicio De Comidas Preparadas (I5612); Otros Tipos De Expendio De Comidas Preparadas N.C.P. (I5619)</t>
  </si>
  <si>
    <t>Cl 75 # 99 - 09</t>
  </si>
  <si>
    <t>alvarobern@hotmail.es</t>
  </si>
  <si>
    <t>Alvaro Anubis Bernal Mendez (Representante Legal)</t>
  </si>
  <si>
    <t>Inversiones Dhj Sas</t>
  </si>
  <si>
    <t>Cra 14 # 80 - 67 Piso 1</t>
  </si>
  <si>
    <t>giraldobassil08@gmail.com</t>
  </si>
  <si>
    <t>Giraldo Sabala Santiago (Representante Legal)</t>
  </si>
  <si>
    <t>Inversiones Dgu Sas</t>
  </si>
  <si>
    <t>Tiendas de Mercancía General, incluyendo Grandes Almacenes(45231); Comerciantes al por Mayor de Tabaco y Productos de Tabaco(42494); Bares y Otros Lugares para Beber(7224); Servicios Especiales de Comida(7223); Comerciantes al por Mayor de Cerveza, Vino y Bebidas Alcohólicas(4248)</t>
  </si>
  <si>
    <t>Comercio Al Por Mayor De Bebidas Y Tabaco (G4632); Comercio Al Por Menor En Establecimientos No Especializados, Con Surtido Compuesto Principalmente Por Productos Diferentes De Alimentos (Víveres En General), Bebidas Y Tabaco (G4719); Expendio A La Mesa De Comidas Preparadas (I5611); Expendio De Bebidas Alcohólicas Para El Consumo Dentro Del Establecimiento (I5630)</t>
  </si>
  <si>
    <t>Calle 57 B Sur # 66</t>
  </si>
  <si>
    <t>jordadiaz06@hotmail.com</t>
  </si>
  <si>
    <t>Jordan Andres Diaz Sanchez (Representante Legal)</t>
  </si>
  <si>
    <t>Inversiones Deportivas Hc Sas</t>
  </si>
  <si>
    <t>Alquiler de Bienes Recreativos(532284); Bares y Otros Lugares para Beber(7224); Servicios Especiales de Comida(7223); Otro Tipo de Industrias de Diversión y Recreación(7139)</t>
  </si>
  <si>
    <t>Otros Tipos De Expendio De Comidas Preparadas N.C.P. (I5619); Expendio De Bebidas Alcohólicas Para El Consumo Dentro Del Establecimiento (I5630); Alquiler Y Arrendamiento De Equipo Recreativo Y Deportivo (N7721); Actividades De Clubes Deportivos (R9312)</t>
  </si>
  <si>
    <t>Cl 69 B Sur No. 77 J 25</t>
  </si>
  <si>
    <t>inversionesdeportivashc@gmail.com</t>
  </si>
  <si>
    <t>Cesar Augusto Galvis Colmenares (Representante Legal)</t>
  </si>
  <si>
    <t>Inversiones Del Blas Sas</t>
  </si>
  <si>
    <t>Cafeterías y Bares para Bebidas sin Alcohol(722515); Construcción de Edificios Residenciales(23611); Reparación y Mantenimiento de Vehículos(8111); Estaciones de Gasolina(4471)</t>
  </si>
  <si>
    <t>Construcción De Edificios Residenciales (F4111); Mantenimiento Y Reparación De Vehículos Automotores (G4520); Comercio Al Por Menor De Lubricantes (Aceites, Grasas), Aditivos Y Productos De Limpieza Para Vehículos Automotores (G4732); Expendio De Comidas Preparadas En Cafeterías (I5613)</t>
  </si>
  <si>
    <t>Cl 16 J No. 96 81</t>
  </si>
  <si>
    <t>inversionesdelblas@gmail.com</t>
  </si>
  <si>
    <t>Blas Alejandro Briceño Peñaranda (Representante Legal)</t>
  </si>
  <si>
    <t>Inversiones Deccs S.A.S</t>
  </si>
  <si>
    <t>inversionesdeccssas@hotmail.com</t>
  </si>
  <si>
    <t>Carlos Arturo Plaza Sierra (Representante Legal)</t>
  </si>
  <si>
    <t>Inversiones Danubio Azul Sas</t>
  </si>
  <si>
    <t>Bares y Otros Lugares para Beber(7224); Supermercados(4451); Panaderías y Producción de Tortillas(3118)</t>
  </si>
  <si>
    <t>Elaboración De Productos De Panadería (C1081); Comercio Al Por Menor En Establecimientos No Especializados Con Surtido Compuesto Principalmente Por Alimentos, Bebidas O Tabaco (G4711); Expendio De Bebidas Alcohólicas Para El Consumo Dentro Del Establecimiento (I5630)</t>
  </si>
  <si>
    <t>Kr 13 116 04</t>
  </si>
  <si>
    <t>danubioazul04@gmail.com</t>
  </si>
  <si>
    <t>Myriam Stella Cruz Rodriguez (Representante Legal)</t>
  </si>
  <si>
    <t>Inversiones Damugo Sas</t>
  </si>
  <si>
    <t>Cafeterías y Bares para Bebidas sin Alcohol(722515); Otras Actividades Relacionadas con la Intermediación de Crédito(52239); Construcción de Edificios Residenciales(23611); Arrendadores de Bienes Inmuebles(5311)</t>
  </si>
  <si>
    <t>Construcción De Edificios Residenciales (F4111); Expendio De Comidas Preparadas En Cafeterías (I5613); Otras Actividades De Servicio Financiero, Excepto Las De Seguros Y Pensiones N.C.P. (K6499); Actividades Inmobiliarias Realizadas Con Bienes Propios O Arrendados (L6810)</t>
  </si>
  <si>
    <t>Cr 19 No. 8 36</t>
  </si>
  <si>
    <t>david-mu-ozz41@hotmail.com</t>
  </si>
  <si>
    <t>Oscar David Muñoz Gomez (Representante Legal)</t>
  </si>
  <si>
    <t>Inversiones Dagui Sas</t>
  </si>
  <si>
    <t>Restaurantes y Otros Lugares para Comer(72251); Tiendas de Electrónica y de Venta por Correo(4541); Fabricación de Prendas de Vestir(3151); Comercio al por Mayor(42)</t>
  </si>
  <si>
    <t>Confección De Prendas De Vestir, Excepto Prendas De Piel (C1410); Comercio Al Por Mayor A Cambio De Una Retribución O Por Contrata (G4610); Comercio Al Por Menor Realizado A Través De Internet (G4791); Expendio Por Autoservicio De Comidas Preparadas (I5612)</t>
  </si>
  <si>
    <t>Cl 72 # 1 58 / 62 Ap</t>
  </si>
  <si>
    <t>dagui.inv@icloud.com</t>
  </si>
  <si>
    <t>Guillermo Gonzalez Rodriguez (Representante Legal)</t>
  </si>
  <si>
    <t>Inversiones D&amp;D E.M.J Sas</t>
  </si>
  <si>
    <t>Hoteles (excepto Hoteles Casino) y Moteles(72111); Bares y Otros Lugares para Beber(7224); Supermercados(4451)</t>
  </si>
  <si>
    <t>Comercio Al Por Menor En Establecimientos No Especializados Con Surtido Compuesto Principalmente Por Alimentos, Bebidas O Tabaco (G4711); Alojamiento En Hoteles (I5511); Expendio De Bebidas Alcohólicas Para El Consumo Dentro Del Establecimiento (I5630)</t>
  </si>
  <si>
    <t>Cr 103 A No. 17 A 69</t>
  </si>
  <si>
    <t>nuevohorizontehotel2023@gmail.com</t>
  </si>
  <si>
    <t>Mileidy Velasquez Morales (Representante Legal)</t>
  </si>
  <si>
    <t>Inversiones Cubillos Rivera &amp; Cia Sas</t>
  </si>
  <si>
    <t>Cr 68 D No. 25 B 86 Lc 110</t>
  </si>
  <si>
    <t>lorerivera_5889@hotmail.com</t>
  </si>
  <si>
    <t>Cindy Lorena Rivera Zuñiga (Representante Legal)</t>
  </si>
  <si>
    <t>Inversiones Ct S.A.S</t>
  </si>
  <si>
    <t>Cl 71 No. 9 - 21/39 Lc 5</t>
  </si>
  <si>
    <t>saras_sabormexicano@hotmail.com</t>
  </si>
  <si>
    <t>Dario Cuellar Torres (Representante Legal)</t>
  </si>
  <si>
    <t>Inversiones Comerciales Murcia S.A.S</t>
  </si>
  <si>
    <t>Carrera 72 C 7 C 67</t>
  </si>
  <si>
    <t>inversionesmurciasas.24@gmail.com</t>
  </si>
  <si>
    <t>Diego Fernando Murcia Acosta (Representante Legal)</t>
  </si>
  <si>
    <t>Inversiones Colorado Molina S A S</t>
  </si>
  <si>
    <t>Otros Servicios Personales(8129); Bares y Otros Lugares para Beber(7224); Oficinas de Agentes Inmobiliarios y Corredores(5312); Arrendadores de Bienes Inmuebles(5311)</t>
  </si>
  <si>
    <t>Expendio De Bebidas Alcohólicas Para El Consumo Dentro Del Establecimiento (I5630); Actividades Inmobiliarias Realizadas Con Bienes Propios O Arrendados (L6810); Actividades Inmobiliarias Realizadas A Cambio De Una Retribución O Por Contrata (L6820); Otras Actividades De Servicios Personales N.C.P. (S9609)</t>
  </si>
  <si>
    <t>Cll 129 C # 57 A 40</t>
  </si>
  <si>
    <t>joserodrigocoloradotoro@gmail.com</t>
  </si>
  <si>
    <t>Jose Rodrigo Colorado Toro (Representante Legal)</t>
  </si>
  <si>
    <t>Inversiones Colombia J.W. S.A.S</t>
  </si>
  <si>
    <t>Otras Organizaciones Similares (excepto Organizaciones de Negocios, Profesionales, de Trabajadores y Políticas)(81399); Bares y Otros Lugares para Beber(7224)</t>
  </si>
  <si>
    <t>Actividades De Otros Servicios De Comidas (I5629); Expendio De Bebidas Alcohólicas Para El Consumo Dentro Del Establecimiento (I5630); Actividades De Otras Asociaciones N.C.P. (S9499)</t>
  </si>
  <si>
    <t>Cr 14 No. 82 49</t>
  </si>
  <si>
    <t>wilflo918@hotmail.es</t>
  </si>
  <si>
    <t>Juan Pablo Diaz Garcia (Representante Legal)</t>
  </si>
  <si>
    <t>Inversiones Coinsu Sas</t>
  </si>
  <si>
    <t>Cafeterías y Bares para Bebidas sin Alcohol(722515); Tiendas de Artículos Diversos(453)</t>
  </si>
  <si>
    <t>Comercio Al Por Menor De Otros Productos Nuevos En Establecimientos Especializados (G4774); Expendio De Comidas Preparadas En Cafeterías (I5613)</t>
  </si>
  <si>
    <t>Cl 19 Sur No. 24 F 59</t>
  </si>
  <si>
    <t>josegst55@outlook.com</t>
  </si>
  <si>
    <t>Jose Guillermo Sanchez Torres (Representante Legal)</t>
  </si>
  <si>
    <t>Inversiones Coffe Express S.A.S</t>
  </si>
  <si>
    <t>Cafeterías y Bares para Bebidas sin Alcohol(722515); Fabricación de Alimentos Preparados Perecederos(311991); Supermercados(4451)</t>
  </si>
  <si>
    <t>Elaboración De Comidas Y Platos Preparados (C1084); Comercio Al Por Menor En Establecimientos No Especializados Con Surtido Compuesto Principalmente Por Alimentos, Bebidas O Tabaco (G4711); Expendio De Comidas Preparadas En Cafeterías (I5613)</t>
  </si>
  <si>
    <t>Cr 50 No. 18 06</t>
  </si>
  <si>
    <t>incoexpressas@gmail.com</t>
  </si>
  <si>
    <t>Claudia Lorena Clavijo Echeverry (Representante Legal)</t>
  </si>
  <si>
    <t>Inversiones Ciudad Capital S.A.S</t>
  </si>
  <si>
    <t>Cl 45 No. 15 18</t>
  </si>
  <si>
    <t>mig_ariasm@hotmail.com</t>
  </si>
  <si>
    <t>Miguel Angel Arias Martinez (Representante Legal)</t>
  </si>
  <si>
    <t>Inversiones Cinco Sentidos Sas</t>
  </si>
  <si>
    <t>Cr 14 No. 127 46 Ap 202</t>
  </si>
  <si>
    <t>juanjosecanon8@gmail.com</t>
  </si>
  <si>
    <t>Cristian Julian Rojas Acero (Representante Legal)</t>
  </si>
  <si>
    <t>Inversiones Ciao Caffe Sas En Liquidacion</t>
  </si>
  <si>
    <t>Cr 71 D 3 00</t>
  </si>
  <si>
    <t>ciaocaffebogota@gmail.com</t>
  </si>
  <si>
    <t>Carlos Alberto Gonzalez Maya (Representante Legal)</t>
  </si>
  <si>
    <t>Inversiones Chico 93 Sas</t>
  </si>
  <si>
    <t>Cr 13 No. 93 68 Lc 7</t>
  </si>
  <si>
    <t>williamtekila@yahoo.es</t>
  </si>
  <si>
    <t>William Alonso Ramirez Olarte (Representante Legal)</t>
  </si>
  <si>
    <t>Inversiones Chgr S.A.S</t>
  </si>
  <si>
    <t>Cr 17 A # 113 43 Ap 404</t>
  </si>
  <si>
    <t>bcpinversionesc@gmail.com</t>
  </si>
  <si>
    <t>Pedro Luis Camacho Mendoza (Representante Legal)</t>
  </si>
  <si>
    <t>Inversiones Cervus Sas</t>
  </si>
  <si>
    <t>Cl 19 No. 138 44 Lc 201</t>
  </si>
  <si>
    <t>inversionesceruus@gmail.com</t>
  </si>
  <si>
    <t>Victor Hugo Peña Garcia (Representante Legal)</t>
  </si>
  <si>
    <t>Inversiones Cediel Gomez S.A.S</t>
  </si>
  <si>
    <t>Fabricación de Alimentos Preparados Perecederos(311991); Demás Tipos de Industrias de Diversión y Recreativas(71399); Bares y Otros Lugares para Beber(7224); Supermercados(4451)</t>
  </si>
  <si>
    <t>Elaboración De Comidas Y Platos Preparados (C1084); Comercio Al Por Menor En Establecimientos No Especializados Con Surtido Compuesto Principalmente Por Alimentos, Bebidas O Tabaco (G4711); Expendio De Bebidas Alcohólicas Para El Consumo Dentro Del Establecimiento (I5630); Otras Actividades Recreativas Y De Esparcimiento N.C.P. (R9329)</t>
  </si>
  <si>
    <t>Carrera 11 # 2 - 80</t>
  </si>
  <si>
    <t>invercediel2021@gmail.com</t>
  </si>
  <si>
    <t>Amparo Cediel Gomez (Representante Legal)</t>
  </si>
  <si>
    <t>Inversiones Catering Verde Sas</t>
  </si>
  <si>
    <t>Cl 35 No. 15 14</t>
  </si>
  <si>
    <t>edwinbmtt@gmail.com</t>
  </si>
  <si>
    <t>Edwin Bautista Martinez (Representante Legal)</t>
  </si>
  <si>
    <t>Inversiones Castillo Torres E Hijos S. En C.</t>
  </si>
  <si>
    <t>Restaurantes y Otros Lugares para Comer(72251); Otros Servicios de Apoyo de Negocios(56149); Arrendadores de Bienes Inmuebles(5311)</t>
  </si>
  <si>
    <t>Expendio Por Autoservicio De Comidas Preparadas (I5612); Actividades Inmobiliarias Realizadas Con Bienes Propios O Arrendados (L6810); Otras Actividades De Servicio De Apoyo A Las Empresas N.C.P. (N8299)</t>
  </si>
  <si>
    <t>Cr 63 No. 98 65</t>
  </si>
  <si>
    <t>Inversiones Castillo Gerena Sas</t>
  </si>
  <si>
    <t>Oficinas de Administrción Corporativas, Subsidiarias y Regionales(551114); Servicios de Cuidado de Uñas, Pelo y Piel(81211); Tiendas de Medicamentos y Farmacias(44611); Bares y Otros Lugares para Beber(7224)</t>
  </si>
  <si>
    <t>Comercio Al Por Menor De Productos Farmacéuticos Y Medicinales, Cosméticos Y Artículos De Tocador En Establecimientos Especializados (G4773); Expendio De Bebidas Alcohólicas Para El Consumo Dentro Del Establecimiento (I5630); Actividades De Administración Empresarial (M7010); Peluquería Y Otros Tratamientos De Belleza (S9602)</t>
  </si>
  <si>
    <t>Cr 13 No. 86 A 51</t>
  </si>
  <si>
    <t>bourbonbarbershopcol@gmail.com</t>
  </si>
  <si>
    <t>Monica Andrea Gerena Ardila (Representante Legal)</t>
  </si>
  <si>
    <t>Inversiones Castiblanco C S.A.S.</t>
  </si>
  <si>
    <t>Cl 46 Sur No 24 B - 30</t>
  </si>
  <si>
    <t>comercialhjacs@gmail.com</t>
  </si>
  <si>
    <t>Jorge Alexander Castiblanco Camacho (Representante Legal)</t>
  </si>
  <si>
    <t>Inversiones Casa San Miguel S.A.S</t>
  </si>
  <si>
    <t>Fabricación de Alimentos Preparados Perecederos(311991); Tiendas de Libros y Periódicos(45121); Bares y Otros Lugares para Beber(7224); Servicios Especiales de Comida(7223)</t>
  </si>
  <si>
    <t>Elaboración De Comidas Y Platos Preparados (C1084); Comercio Al Por Menor De Libros, Periódicos, Materiales Y Artículos De Papelería Y Escritorio, En Establecimientos Especializados (G4761); Expendio A La Mesa De Comidas Preparadas (I5611); Expendio De Bebidas Alcohólicas Para El Consumo Dentro Del Establecimiento (I5630)</t>
  </si>
  <si>
    <t>Cl 11 No. 8 68</t>
  </si>
  <si>
    <t>martinezcanonsas@gmail.com</t>
  </si>
  <si>
    <t>John Jader Cañon Melo (Representante Legal)</t>
  </si>
  <si>
    <t>Inversiones Cartagena Del Mar S.A.S En Liquidacion</t>
  </si>
  <si>
    <t>Carrera 90 No. 151 - 15</t>
  </si>
  <si>
    <t>tangoferozcartagena@yahoo.com</t>
  </si>
  <si>
    <t>Manuel Leonardo Uribe Garcia (Representante Legal)</t>
  </si>
  <si>
    <t>Inversiones Caro Caro Sas</t>
  </si>
  <si>
    <t>Cl 80 No. 14 - 11</t>
  </si>
  <si>
    <t>yaircaro222@gmail.com</t>
  </si>
  <si>
    <t>Yeris Yair Caro Caro (Representante Legal)</t>
  </si>
  <si>
    <t>Inversiones Carlos Gabriel Holguin Ordoñez Sas</t>
  </si>
  <si>
    <t>Telecomunicaciones Inalámbricas (excepto Satelital)(517312); Otras Telecomunicaciones(51791); Bares y Otros Lugares para Beber(7224); Servicios Especiales de Comida(7223)</t>
  </si>
  <si>
    <t>Expendio A La Mesa De Comidas Preparadas (I5611); Expendio De Bebidas Alcohólicas Para El Consumo Dentro Del Establecimiento (I5630); Actividades De Telecomunicaciones Inalámbricas (J6120); Otras Actividades De Telecomunicaciones (J6190)</t>
  </si>
  <si>
    <t>Cra 13 # 64 55</t>
  </si>
  <si>
    <t>carlozholguin@hotmail.com</t>
  </si>
  <si>
    <t>Carlos Gabriel Del Sagrado Corazon Holguin Ordoñez (Representante Legal)</t>
  </si>
  <si>
    <t>Inversiones Carema Sas</t>
  </si>
  <si>
    <t>Cafeterías y Bares para Bebidas sin Alcohol(722515); Cultivo de Hortalizas(11121); Panaderías y Producción de Tortillas(3118); Explotación de Porcinos(1122)</t>
  </si>
  <si>
    <t>Cultivo De Hortalizas, Raíces Y Tubérculos (A0113); Cría De Ganado Porcino (A0144); Elaboración De Productos De Panadería (C1081); Expendio De Comidas Preparadas En Cafeterías (I5613)</t>
  </si>
  <si>
    <t>Ac 80 No. 62 54 Un 5 Ap 203</t>
  </si>
  <si>
    <t>inversionescarema@maizyachiras.com</t>
  </si>
  <si>
    <t>Claudia Teresa Guayacan Ortiz (Representante Legal)</t>
  </si>
  <si>
    <t>Inversiones Cantor S.A.S</t>
  </si>
  <si>
    <t>Carrera 92 # 157 - 21</t>
  </si>
  <si>
    <t>lunavale92@hotmail.com</t>
  </si>
  <si>
    <t>Luna Valentina Cantor Fonseca (Representante Legal)</t>
  </si>
  <si>
    <t>Inversiones Calipso Dorado 2015 Sas</t>
  </si>
  <si>
    <t>Cl 73 No. 69 B 77</t>
  </si>
  <si>
    <t>chacharo8@hotmail.com</t>
  </si>
  <si>
    <t>Luis Ernesto Chavez Ariza (Representante Legal)</t>
  </si>
  <si>
    <t>Inversiones Cal Gourmet Sas</t>
  </si>
  <si>
    <t>Cl 147 No. 7 70 Cc Show Place L 12</t>
  </si>
  <si>
    <t>calgourmet24@gmail.com</t>
  </si>
  <si>
    <t>Johanna Claritza Arias Grisales (Representante Legal)</t>
  </si>
  <si>
    <t>Inversiones Cafe Amelie S.A.S</t>
  </si>
  <si>
    <t>Calle 134 5 A 26 Apartamento 302</t>
  </si>
  <si>
    <t>carolina@cafeameliebogota.com</t>
  </si>
  <si>
    <t>Melba Judith Vanegas De Osorio (Representante Legal)</t>
  </si>
  <si>
    <t>Inversiones C Y Z Sas</t>
  </si>
  <si>
    <t>Cl 19 No. 2 A 10 Lc 110</t>
  </si>
  <si>
    <t>tuchurrisimocityu@gmail.com</t>
  </si>
  <si>
    <t>Carlos Andres Zamora Ramirez (Representante Legal)</t>
  </si>
  <si>
    <t>Inversiones Buritaca Qc Sas</t>
  </si>
  <si>
    <t>Cr 16 A 76 - 31</t>
  </si>
  <si>
    <t>inversionesburitaca@gmail.com</t>
  </si>
  <si>
    <t>Mario Alberto Quiroz Ochoa (Representante Legal)</t>
  </si>
  <si>
    <t>Inversiones Buon Gusto Sas</t>
  </si>
  <si>
    <t>Cafeterías y Bares para Bebidas sin Alcohol(722515); Servicios de Cuidado de Uñas, Pelo y Piel(81211); Bares y Otros Lugares para Beber(7224); Servicios Especiales de Comida(7223)</t>
  </si>
  <si>
    <t>Expendio A La Mesa De Comidas Preparadas (I5611); Expendio De Comidas Preparadas En Cafeterías (I5613); Expendio De Bebidas Alcohólicas Para El Consumo Dentro Del Establecimiento (I5630); Peluquería Y Otros Tratamientos De Belleza (S9602)</t>
  </si>
  <si>
    <t>Cl 94 A No. 13 84</t>
  </si>
  <si>
    <t>inversionesbuongusto@gmail.com</t>
  </si>
  <si>
    <t>Nasser Ghorchian (Representante Legal)</t>
  </si>
  <si>
    <t>Inversiones Bucket S.A.S</t>
  </si>
  <si>
    <t>Cl 63 No. 27 20</t>
  </si>
  <si>
    <t>leocleon@yahoo.com</t>
  </si>
  <si>
    <t>Leonardo Cely Leon (Representante Legal)</t>
  </si>
  <si>
    <t>Inversiones Btm &amp; Co Sas</t>
  </si>
  <si>
    <t>Cl 89 No. 95 F 78</t>
  </si>
  <si>
    <t>barbacoatm@gmail.com</t>
  </si>
  <si>
    <t>Rosemberg Peña Arias (Representante Legal)</t>
  </si>
  <si>
    <t>Inversiones Bosquealegre Sas</t>
  </si>
  <si>
    <t>Cl136 No. 17 A 53</t>
  </si>
  <si>
    <t>contabilidad@eval.com.co</t>
  </si>
  <si>
    <t>Hilario Fausto Deluchi (Representante Legal)</t>
  </si>
  <si>
    <t>Inversiones Bonilla Hurtado Sas</t>
  </si>
  <si>
    <t>Elaboración De Comidas Y Platos Preparados (C1084); Expendio A La Mesa De Comidas Preparadas (I5611); Expendio Por Autoservicio De Comidas Preparadas (I5612); Otros Tipos De Expendio De Comidas Preparadas N.C.P. (I5619)</t>
  </si>
  <si>
    <t>Tv 55 # 98 A 66 Loca</t>
  </si>
  <si>
    <t>fredbon03@yahoo.com</t>
  </si>
  <si>
    <t>Ruby Hurtado (Representante Legal)</t>
  </si>
  <si>
    <t>Inversiones Bolaños Buitrago S.A.S</t>
  </si>
  <si>
    <t>Calle 6 A 89 47</t>
  </si>
  <si>
    <t>inversionesbolanosbuitragosas@gmail.com</t>
  </si>
  <si>
    <t>Rutilio Enrique Buitrago Martinez (Representante Legal)</t>
  </si>
  <si>
    <t>Inversiones Bogota Servicios Sas</t>
  </si>
  <si>
    <t>Cl 57 B No. 47 09</t>
  </si>
  <si>
    <t>servicioscontablesmcp@gmail.com</t>
  </si>
  <si>
    <t>Miller Carlos Pinto Palma (Representante Legal)</t>
  </si>
  <si>
    <t>Inversiones Billymar S.A.S.</t>
  </si>
  <si>
    <t>Fabricación de Alimentos Preparados Perecederos(311991); Bares y Otros Lugares para Beber(7224); Servicios Especiales de Comida(7223); Arrendadores de Bienes Inmuebles(5311)</t>
  </si>
  <si>
    <t>Elaboración De Comidas Y Platos Preparados (C1084); Expendio A La Mesa De Comidas Preparadas (I5611); Expendio De Bebidas Alcohólicas Para El Consumo Dentro Del Establecimiento (I5630); Actividades Inmobiliarias Realizadas Con Bienes Propios O Arrendados (L6810)</t>
  </si>
  <si>
    <t>Cr 6A Este Torre 8 Apt 402</t>
  </si>
  <si>
    <t>miagretta1@gmail.com</t>
  </si>
  <si>
    <t>Luis Fernando Aguirre Franky (Representante Legal)</t>
  </si>
  <si>
    <t>Inversiones Betan E U - En Liquidacion</t>
  </si>
  <si>
    <t>Cl 5 No. 71 D 21 Sur</t>
  </si>
  <si>
    <t>blancalilia.1@gmail.com</t>
  </si>
  <si>
    <t>Blanca Lilia Betancourt Hernandez (Representante Legal)</t>
  </si>
  <si>
    <t>Inversiones Belensate S.A.S.</t>
  </si>
  <si>
    <t>Alojamiento en hoteles, hostales y apatahoteles</t>
  </si>
  <si>
    <t>Calle 77 13 47 Oficina 510</t>
  </si>
  <si>
    <t>inversionesbelensate@hotmail.com</t>
  </si>
  <si>
    <t>Alejandro Alberto Vezzani Rodriguez (Representante Legal), Richard Odoardo Vezzani Rodriguez (Representante Legal Suplente), Luis Enrique Castro Rosas (Contador)</t>
  </si>
  <si>
    <t>3 (2012)</t>
  </si>
  <si>
    <t>Inversiones B.A.R. S.A.S</t>
  </si>
  <si>
    <t>Cl 31 Sur No. 71 17</t>
  </si>
  <si>
    <t>Inversiones Avanzar M S.A.S</t>
  </si>
  <si>
    <t>Cl 93 B No. 18 45</t>
  </si>
  <si>
    <t>Inversiones Aval Mg Sas</t>
  </si>
  <si>
    <t>Restaurantes y Otros Lugares para Comer(72251); Arrendadores de Bienes Inmuebles(5311)</t>
  </si>
  <si>
    <t>Expendio Por Autoservicio De Comidas Preparadas (I5612); Actividades Inmobiliarias Realizadas Con Bienes Propios O Arrendados (L6810)</t>
  </si>
  <si>
    <t>Cl 52 A No. 70 D 32</t>
  </si>
  <si>
    <t>direccionparcol@gmail.com</t>
  </si>
  <si>
    <t>Luis Emilio Medina Delgado (Representante Legal)</t>
  </si>
  <si>
    <t>Inversiones Aryo Sas</t>
  </si>
  <si>
    <t>Fabricación de Todos los Demás Tipos de Alimentos Diversos(311999); Bares y Otros Lugares para Beber(7224); Industrias de Juego(7132)</t>
  </si>
  <si>
    <t>Elaboración De Otros Productos Alimenticios N.C.P. (C1089); Expendio De Bebidas Alcohólicas Para El Consumo Dentro Del Establecimiento (I5630); Actividades De Juegos De Azar Y Apuestas (R9200)</t>
  </si>
  <si>
    <t>Ak 118 No. 132 B 31</t>
  </si>
  <si>
    <t>inversionesaryo@hotmail.com</t>
  </si>
  <si>
    <t>Diana Marcela Ballesteros Quiñones (Representante Legal)</t>
  </si>
  <si>
    <t>Inversiones Ariza Sierra S A S</t>
  </si>
  <si>
    <t>Servicio Por Horas (I5530); Otros Tipos De Expendio De Comidas Preparadas N.C.P. (I5619); Expendio De Bebidas Alcohólicas Para El Consumo Dentro Del Establecimiento (I5630)</t>
  </si>
  <si>
    <t>Cl 31 Sur No. 69 C 37</t>
  </si>
  <si>
    <t>foas_75@hotmail.com</t>
  </si>
  <si>
    <t>Fredy Omar Ariza Sierra (Representante Legal)</t>
  </si>
  <si>
    <t>Inversiones Arias Diaz Sas</t>
  </si>
  <si>
    <t>Cl 116 No. 70 F 34</t>
  </si>
  <si>
    <t>inversionesariasdiaz@gmail.com</t>
  </si>
  <si>
    <t>Javier Alejandro Arias Diaz (Representante Legal)</t>
  </si>
  <si>
    <t>Inversiones Ardato S.A.S</t>
  </si>
  <si>
    <t>Dg 53 C No. 23 34</t>
  </si>
  <si>
    <t>restaurantecarnicolas@gmail.com</t>
  </si>
  <si>
    <t>Arlis Felipe Sanchez Diaz (Representante Legal)</t>
  </si>
  <si>
    <t>Inversiones Arcoc Sas</t>
  </si>
  <si>
    <t>Cr 71 A No. 53 41</t>
  </si>
  <si>
    <t>barbaritacafe@gmail.com</t>
  </si>
  <si>
    <t>Luis David Corredor Rico (Representante Legal)</t>
  </si>
  <si>
    <t>Inversiones Ar2F S.A.S</t>
  </si>
  <si>
    <t>Ak 86 # 55 A - 75</t>
  </si>
  <si>
    <t>fjpa18@gmail.com</t>
  </si>
  <si>
    <t>Freddy Jose Patiño Arroyo (Representante Legal)</t>
  </si>
  <si>
    <t>Inversiones Annys Cake S.A.S</t>
  </si>
  <si>
    <t>Cl 12 A No 71 B 61 To 16 Ap 103</t>
  </si>
  <si>
    <t>annyscake@gmail.com</t>
  </si>
  <si>
    <t>Annybert Maryfeth Mendez (Representante Legal)</t>
  </si>
  <si>
    <t>Inversiones Añez &amp; Gomez Sas</t>
  </si>
  <si>
    <t>Cr 46 No. 94 85</t>
  </si>
  <si>
    <t>saraydee20@gmail.com</t>
  </si>
  <si>
    <t>Ludys Maria Villalba Tarazona (Representante Legal)</t>
  </si>
  <si>
    <t>Inversiones Andaju Sas</t>
  </si>
  <si>
    <t>Cr 97 No. 24 B 86 Ca 95</t>
  </si>
  <si>
    <t>sandiego.bar.andaju@gmail.com</t>
  </si>
  <si>
    <t>Daniel Eduardo Acero Vargas (Representante Legal)</t>
  </si>
  <si>
    <t>Inversiones Anatoles S.A.S</t>
  </si>
  <si>
    <t>Cr 12 A No. 78 - 58</t>
  </si>
  <si>
    <t>ELCDELAVE@GMAIL.COM</t>
  </si>
  <si>
    <t>Camilo Humberto Villegas Londoño (Representante Legal)</t>
  </si>
  <si>
    <t>Inversiones Analey S.A.S</t>
  </si>
  <si>
    <t>Cafeterías y Bares para Bebidas sin Alcohol(722515); Bares y Otros Lugares para Beber(7224); Tiendas de Artículos Diversos(453)</t>
  </si>
  <si>
    <t>Comercio Al Por Menor De Otros Productos Nuevos En Establecimientos Especializados (G4774); Expendio De Comidas Preparadas En Cafeterías (I5613); Expendio De Bebidas Alcohólicas Para El Consumo Dentro Del Establecimiento (I5630)</t>
  </si>
  <si>
    <t>Cl 93 B No. 16 08 Of 215</t>
  </si>
  <si>
    <t>mjaramillo@lfcglobal.com</t>
  </si>
  <si>
    <t>Maria Alejandra Llinas Velasquez (Representante Legal)</t>
  </si>
  <si>
    <t>Inversiones Amortegui Agudelo Cubides Limitada Amacu Ltda</t>
  </si>
  <si>
    <t>Cafeterías y Bares para Bebidas sin Alcohol(722515); Hoteles (excepto Hoteles Casino) y Moteles(72111); Bares y Otros Lugares para Beber(7224); Servicios Relacionados con el Transporte por Carretera(4884)</t>
  </si>
  <si>
    <t>Actividades De Estaciones, Vías Y Servicios Complementarios Para El Transporte Terrestre (H5221); Alojamiento En Hoteles (I5511); Expendio De Comidas Preparadas En Cafeterías (I5613); Expendio De Bebidas Alcohólicas Para El Consumo Dentro Del Establecimiento (I5630)</t>
  </si>
  <si>
    <t>Cl 68 A Sur No. 78H - 70</t>
  </si>
  <si>
    <t>hostaleclipse@hotmail.com</t>
  </si>
  <si>
    <t>John William Amortegui Cubides (Representante Legal)</t>
  </si>
  <si>
    <t>Inversiones Amore Mio Suites Sas</t>
  </si>
  <si>
    <t>Cr 13 A No. 59 A 15</t>
  </si>
  <si>
    <t>amoremiosuites@gmail.com</t>
  </si>
  <si>
    <t>Edwin Fernando Alvarado Martinez (Representante Legal)</t>
  </si>
  <si>
    <t>Inversiones Amezquita Castro Sas</t>
  </si>
  <si>
    <t>Bares y Otros Lugares para Beber(7224); Servicios Especiales de Comida(7223); Autotransporte de Carga General(4841); Servicios de Salud Móviles(621)</t>
  </si>
  <si>
    <t>Transporte De Carga Por Carretera (H4923); Expendio A La Mesa De Comidas Preparadas (I5611); Expendio De Bebidas Alcohólicas Para El Consumo Dentro Del Establecimiento (I5630); Actividades De La Práctica Médica, Sin Internación (Q8621)</t>
  </si>
  <si>
    <t>Cl 13 Sur No. 24 D 86 To 1 Ap 201</t>
  </si>
  <si>
    <t>castrocarolina0202@gmail.com</t>
  </si>
  <si>
    <t>Luis Fernando Amezquita Ladino (Representante Legal)</t>
  </si>
  <si>
    <t>Inversiones Amati Sas</t>
  </si>
  <si>
    <t>Alojamiento En Hoteles (I5511); Servicio Por Horas (I5530); Expendio De Bebidas Alcohólicas Para El Consumo Dentro Del Establecimiento (I5630)</t>
  </si>
  <si>
    <t>Cr 44 No. 22 A - 69</t>
  </si>
  <si>
    <t>hotelgaleriareal@gmail.com</t>
  </si>
  <si>
    <t>Marleny Amaya Lopez (Representante Legal)</t>
  </si>
  <si>
    <t>Inversiones Amado Tolosa Sas</t>
  </si>
  <si>
    <t>Cra 18 C # 27 19 Sur</t>
  </si>
  <si>
    <t>amadotolosa1827@gmail.com</t>
  </si>
  <si>
    <t>Esvelso Amado Rodriguez (Representante Legal)</t>
  </si>
  <si>
    <t>Inversiones Altagracia De La Sierra S.A.S En Liquidacion</t>
  </si>
  <si>
    <t>Cr 19 A No. 82 85</t>
  </si>
  <si>
    <t>aivanmejia@hotmail.com</t>
  </si>
  <si>
    <t>Diana Carolina Beltran Castillo (Representante Legal)</t>
  </si>
  <si>
    <t>Inversiones Almarti Sas</t>
  </si>
  <si>
    <t>Cafeterías y Bares para Bebidas sin Alcohol(722515); Otros Servicios Relacionados con el Transporte(48899); Industrias de Juego(7132); Otros Servicios Médicos Ambulatorios(6219)</t>
  </si>
  <si>
    <t>Otras Actividades Complementarias Al Transporte (H5229); Expendio De Comidas Preparadas En Cafeterías (I5613); Actividades De Apoyo Terapéutico (Q8692); Actividades De Juegos De Azar Y Apuestas (R9200)</t>
  </si>
  <si>
    <t>Cl 86 D No. 49 A 54</t>
  </si>
  <si>
    <t>inversionesalmarti@gmail.com</t>
  </si>
  <si>
    <t>Maria Alejandra Perez Jimenez (Representante Legal)</t>
  </si>
  <si>
    <t>Inversiones Alimentarias Sas</t>
  </si>
  <si>
    <t>Cafeterías y Bares para Bebidas sin Alcohol(722515); Empresas de Catering(72232); Tiendas de Venta Directa(4543); Supermercados(4451)</t>
  </si>
  <si>
    <t>Comercio Al Por Menor En Establecimientos No Especializados Con Surtido Compuesto Principalmente Por Alimentos, Bebidas O Tabaco (G4711); Otros Tipos De Comercio Al Por Menor No Realizado En Establecimientos, Puestos De Venta O Mercados. (G4799); Expendio De Comidas Preparadas En Cafeterías (I5613); Catering Para Eventos (I5621)</t>
  </si>
  <si>
    <t>Cl 137 No. 85 76 Ap 221</t>
  </si>
  <si>
    <t>inversionesalimentariasas@gmail.com</t>
  </si>
  <si>
    <t>Heidi Mariette Pinzon Ospina (Representante Legal)</t>
  </si>
  <si>
    <t>Inversiones Alfonzo &amp; Gomez Sas</t>
  </si>
  <si>
    <t>Otro Tipo de Servicios de Preparación de Viajes y Reservaciones(56159); Otros Servicios Personales(8129); Bares y Otros Lugares para Beber(7224)</t>
  </si>
  <si>
    <t>Actividades De Otros Servicios De Comidas (I5629); Expendio De Bebidas Alcohólicas Para El Consumo Dentro Del Establecimiento (I5630); Otros Servicios De Reserva Y Actividades Relacionadas (N7990); Otras Actividades De Servicios Personales N.C.P. (S9609)</t>
  </si>
  <si>
    <t>Cr 7 B No. 127 33 Ap 501</t>
  </si>
  <si>
    <t>heparada@gmail.com</t>
  </si>
  <si>
    <t>Daniela Constanza Gomez Parada (Representante Legal)</t>
  </si>
  <si>
    <t>Inversiones Alfaro Pinzon Sas</t>
  </si>
  <si>
    <t>Empresas de Catering(72232); Bares y Otros Lugares para Beber(7224); Servicios Educativos(611)</t>
  </si>
  <si>
    <t>Expendio A La Mesa De Comidas Preparadas (I5611); Catering Para Eventos (I5621); Expendio De Bebidas Alcohólicas Para El Consumo Dentro Del Establecimiento (I5630); Establecimientos Que Combinan Diferentes Niveles De Educación (P8530)</t>
  </si>
  <si>
    <t>Cr 14 No. 83 21</t>
  </si>
  <si>
    <t>ricardoalfaro1@icloud.com</t>
  </si>
  <si>
    <t>Rafael Ricardo Alfaro Romero (Representante Legal)</t>
  </si>
  <si>
    <t>Inversiones Agaporni S.A.S.</t>
  </si>
  <si>
    <t>Cl 125 No. 17 03 Ap 605</t>
  </si>
  <si>
    <t>kelinda.am@gmail.com</t>
  </si>
  <si>
    <t>Edelmira Alvarez Rengifo (Representante Legal)</t>
  </si>
  <si>
    <t>Inversiones Acosta Betancur Sas</t>
  </si>
  <si>
    <t>Demás Tipos de Industrias de Diversión y Recreativas(71399); Otras Tiendas de Comidas Artesanales(44529); Otros Servicios Personales(8129); Bares y Otros Lugares para Beber(7224)</t>
  </si>
  <si>
    <t>Comercio Al Por Menor De Otros Productos Alimenticios N.C.P., En Establecimientos Especializados (G4729); Expendio De Bebidas Alcohólicas Para El Consumo Dentro Del Establecimiento (I5630); Otras Actividades Recreativas Y De Esparcimiento N.C.P. (R9329); Otras Actividades De Servicios Personales N.C.P. (S9609)</t>
  </si>
  <si>
    <t>Av Calle 72 # 83 - 51 Piso Dos</t>
  </si>
  <si>
    <t>perseusclub@gmail.com</t>
  </si>
  <si>
    <t>Javier Hernan Acosta Rodriguez (Representante Legal)</t>
  </si>
  <si>
    <t>Inversiones Acn Sas</t>
  </si>
  <si>
    <t>Cafeterías y Bares para Bebidas sin Alcohol(722515); Fabricación de Todos los Demás Tipos de Alimentos Diversos(311999); Panaderías y Producción de Tortillas(3118); Conservación de Frutas, Verduras y Fabricación de Alimentos Especializados(3114)</t>
  </si>
  <si>
    <t>Procesamiento Y Conservación De Frutas, Legumbres, Hortalizas Y Tubérculos (C1020); Elaboración De Productos De Panadería (C1081); Elaboración De Otros Productos Alimenticios N.C.P. (C1089); Expendio De Comidas Preparadas En Cafeterías (I5613)</t>
  </si>
  <si>
    <t>Cr 96 B No. 19 60 Ap 704 A</t>
  </si>
  <si>
    <t>alejandra_cardona@hotmail.com</t>
  </si>
  <si>
    <t>Maria Alejandra Cardona Nuñez (Representante Legal)</t>
  </si>
  <si>
    <t>Inversiones Acertijo Sas</t>
  </si>
  <si>
    <t>Cl 57 No. 4 29</t>
  </si>
  <si>
    <t>grupoincognitosas2022@gmail.com</t>
  </si>
  <si>
    <t>Helberth Andres Camacho Gomez (Representante Legal)</t>
  </si>
  <si>
    <t>Inversiones Abondance Sas</t>
  </si>
  <si>
    <t>Fabricación de Alimentos Preparados Perecederos(311991); Supermercados y Otras Tiendas de Abarrotes(44511); Bares y Otros Lugares para Beber(7224); Cervecerías, Vinaterías y Tiendas de Licores(4453)</t>
  </si>
  <si>
    <t>Elaboración De Comidas Y Platos Preparados (C1084); Comercio Al Por Menor De Bebidas Y Productos Del Tabaco, En Establecimientos Especializados (G4724); Comercio Al Por Menor De Alimentos, Bebidas Y Tabaco, En Puestos De Venta Móviles (G4781); Expendio De Bebidas Alcohólicas Para El Consumo Dentro Del Establecimiento (I5630)</t>
  </si>
  <si>
    <t>Cr 17 # 32 40 Lc 103</t>
  </si>
  <si>
    <t>girodriguezcaldas@hotmail.com</t>
  </si>
  <si>
    <t>Giselle Alejandra Rodriguez Caldas (Representante Legal)</t>
  </si>
  <si>
    <t>Inversiones A&amp;S S A S</t>
  </si>
  <si>
    <t>Cr 69 P No. 72A 02</t>
  </si>
  <si>
    <t>inversionesalvaradosanta@gmail.com</t>
  </si>
  <si>
    <t>Pablo Santamaria Cruz (Representante Legal)</t>
  </si>
  <si>
    <t>Inversiones 4C Sas</t>
  </si>
  <si>
    <t>Cr 19 A No. 102 70 Ap 204</t>
  </si>
  <si>
    <t>inver4c@gmail.com</t>
  </si>
  <si>
    <t>Javier Mauricio Calderon Parra (Representante Legal)</t>
  </si>
  <si>
    <t>Inversiones 4 Fieras Sas</t>
  </si>
  <si>
    <t>sebastian@ybmp.com.co</t>
  </si>
  <si>
    <t>Sebastian Millan Toro (Representante Legal)</t>
  </si>
  <si>
    <t>Inversiones 3Spitia S.A.S</t>
  </si>
  <si>
    <t>Cafeterías y Bares para Bebidas sin Alcohol(722515); Fabricación de Muebles y Productos Relacionados(337); Comercio al por Mayor(42)</t>
  </si>
  <si>
    <t>Fabricación de Muebles y Productos Relacionados(337)</t>
  </si>
  <si>
    <t>Fabricación De Muebles (C3110); Comercio Al Por Mayor A Cambio De Una Retribución O Por Contrata (G4610); Expendio De Comidas Preparadas En Cafeterías (I5613)</t>
  </si>
  <si>
    <t>Fabricación De Muebles (C3110)</t>
  </si>
  <si>
    <t>Transversal 56 A 73 28</t>
  </si>
  <si>
    <t>3spitiasoluciones@gmail.com</t>
  </si>
  <si>
    <t>Adiodato Espitia Ochoa (Representante Legal)</t>
  </si>
  <si>
    <t>Inversiones 2Hr S.A.S.</t>
  </si>
  <si>
    <t>Restaurantes y Otros Lugares para Comer(72251); Comerciantes al por Mayor de Bienes No Duraderos Diversos(4249)</t>
  </si>
  <si>
    <t>Comercio Al Por Mayor No Especializado (G4690); Expendio Por Autoservicio De Comidas Preparadas (I5612)</t>
  </si>
  <si>
    <t>Cr 13 No. 27 98 Lc 23</t>
  </si>
  <si>
    <t>nicolasramirez20@gmail.com</t>
  </si>
  <si>
    <t>Nicolas Felipe Ramirez Ardila (Representante Legal)</t>
  </si>
  <si>
    <t>Inversiones 270 S.A.S</t>
  </si>
  <si>
    <t>Carnicerías(44521); Bares y Otros Lugares para Beber(7224); Cervecerías, Vinaterías y Tiendas de Licores(4453); Preparación y Empaquetamiento de Productos Alimenticios del Mar(3117)</t>
  </si>
  <si>
    <t>Preparación y Empaquetamiento de Productos Alimenticios del Mar(3117)</t>
  </si>
  <si>
    <t>Procesamiento Y Conservación De Pescados, Crustáceos Y Moluscos (C1012); Comercio Al Por Menor De Carnes (Incluye Aves De Corral), Productos Cárnicos, Pescados Y Productos De Mar, En Establecimientos Especializados (G4723); Comercio Al Por Menor De Bebidas Y Productos Del Tabaco, En Establecimientos Especializados (G4724); Expendio De Bebidas Alcohólicas Para El Consumo Dentro Del Establecimiento (I5630)</t>
  </si>
  <si>
    <t>Procesamiento Y Conservación De Pescados, Crustáceos Y Moluscos (C1012)</t>
  </si>
  <si>
    <t>Cll 22 A # 22 - 47</t>
  </si>
  <si>
    <t>elarea2021@gmail.com</t>
  </si>
  <si>
    <t>Andres Felipe Arcos Gomez (Representante Legal)</t>
  </si>
  <si>
    <t>Inversiones 2614 S.A.S</t>
  </si>
  <si>
    <t>Calle 51 76 B 28</t>
  </si>
  <si>
    <t>capitalcocinadiversa@gmai.com</t>
  </si>
  <si>
    <t>Lopez Montañez David Oswaldo (Representante Legal)</t>
  </si>
  <si>
    <t>Inversión Punto Qp Sas</t>
  </si>
  <si>
    <t>Tiendas de Mercancía General, incluyendo Grandes Almacenes(45231); Bares y Otros Lugares para Beber(7224); Supermercados(4451)</t>
  </si>
  <si>
    <t>Comercio Al Por Menor En Establecimientos No Especializados Con Surtido Compuesto Principalmente Por Alimentos, Bebidas O Tabaco (G4711); Comercio Al Por Menor En Establecimientos No Especializados, Con Surtido Compuesto Principalmente Por Productos Diferentes De Alimentos (Víveres En General), Bebidas Y Tabaco (G4719); Expendio De Bebidas Alcohólicas Para El Consumo Dentro Del Establecimiento (I5630)</t>
  </si>
  <si>
    <t>Carrera 42 22 A 40</t>
  </si>
  <si>
    <t>puntoqp18@gmail.com</t>
  </si>
  <si>
    <t>Juan Pablo Guzman Villegas (Representante Legal)</t>
  </si>
  <si>
    <t>Inversion Gitano Bodega De Barrio Sas</t>
  </si>
  <si>
    <t>Cl 37 No. 24 11</t>
  </si>
  <si>
    <t>gitano.bodega@gmail.com</t>
  </si>
  <si>
    <t>Oscar Daniel Burgos Acevedo (Representante Legal)</t>
  </si>
  <si>
    <t>Inveera Sas</t>
  </si>
  <si>
    <t>Cafeterías y Bares para Bebidas sin Alcohol(722515); Bares y Otros Lugares para Beber(7224); Servicios Especiales de Comida(7223); Fabricación de Maquinaría de Otros Usos Generales(3339)</t>
  </si>
  <si>
    <t>Fabricación De Otros Tipos De Maquinaria Y Equipo De Uso General N.C.P. (C2819); Expendio De Comidas Preparadas En Cafeterías (I5613); Otros Tipos De Expendio De Comidas Preparadas N.C.P. (I5619); Expendio De Bebidas Alcohólicas Para El Consumo Dentro Del Establecimiento (I5630)</t>
  </si>
  <si>
    <t>Cl 166 No. 8 H 56</t>
  </si>
  <si>
    <t>yovanoty31@hotmail.com</t>
  </si>
  <si>
    <t>Yovani Andres Eraso Silva (Representante Legal)</t>
  </si>
  <si>
    <t>Intelligent Bussines Tecnology S.A.S</t>
  </si>
  <si>
    <t>Cr 68 B No. 96 70</t>
  </si>
  <si>
    <t>contabilidadibtsassas@gmail.com</t>
  </si>
  <si>
    <t>Alejandra Hernandez Benavides (Representante Legal)</t>
  </si>
  <si>
    <t>Integral De Inversiones Sirvalo Pues S.A.S</t>
  </si>
  <si>
    <t>Cl 1 G # 26 A 17</t>
  </si>
  <si>
    <t>sirvalopueseventos@gmail.com</t>
  </si>
  <si>
    <t>Brayan Virgilio Quiceno Sierra (Representante Legal)</t>
  </si>
  <si>
    <t>Insumos Alimenticios Harinapan Sas</t>
  </si>
  <si>
    <t>Calle 37 B Sur # 68 A 42</t>
  </si>
  <si>
    <t>ialimenticiosharinapan@gmail.com</t>
  </si>
  <si>
    <t>Giovanny Orlando Roncancio Villamil (Representante Legal)</t>
  </si>
  <si>
    <t>Instaburger Sas</t>
  </si>
  <si>
    <t>Cafeterías y Bares para Bebidas sin Alcohol(722515); Carnicerías(44521); Servicios Especiales de Comida(7223)</t>
  </si>
  <si>
    <t>Comercio Al Por Menor De Carnes (Incluye Aves De Corral), Productos Cárnicos, Pescados Y Productos De Mar, En Establecimientos Especializados (G4723); Expendio De Comidas Preparadas En Cafeterías (I5613); Otros Tipos De Expendio De Comidas Preparadas N.C.P. (I5619)</t>
  </si>
  <si>
    <t>Cr 19 183 51 To 2 Ap 303</t>
  </si>
  <si>
    <t>instaburgersas@gmail.com</t>
  </si>
  <si>
    <t>Luz Stella Ortiz Morales (Representante Legal)</t>
  </si>
  <si>
    <t>Inside Studio Fitness Sas</t>
  </si>
  <si>
    <t>Cafeterías y Bares para Bebidas sin Alcohol(722515); Enseñanza de Deporte y Recreación(61162); Tiendas de Ropa(4481)</t>
  </si>
  <si>
    <t>Enseñanza de Deporte y Recreación(61162)</t>
  </si>
  <si>
    <t>Comercio Al Por Menor De Prendas De Vestir Y Sus Accesorios (Incluye Artículos De Piel) En Establecimientos Especializados (G4771); Expendio De Comidas Preparadas En Cafeterías (I5613); Enseñanza Deportiva Y Recreativa (P8552)</t>
  </si>
  <si>
    <t>Enseñanza Deportiva Y Recreativa (P8552)</t>
  </si>
  <si>
    <t>Cr 50 No. 16 46 Lc 101</t>
  </si>
  <si>
    <t>insidestudiofitness@gmail.com</t>
  </si>
  <si>
    <t>Ana María Gonzalez Urrego (Representante Legal)</t>
  </si>
  <si>
    <t>Inside Fork S.A.S</t>
  </si>
  <si>
    <t>Cr 8 A No 97 - 67 In 202</t>
  </si>
  <si>
    <t>Inquebrantable Colombia S.A.S</t>
  </si>
  <si>
    <t>Tv 5 No. 87 25 Ap 301</t>
  </si>
  <si>
    <t>inquebrantablecolombiasas@gmail.com</t>
  </si>
  <si>
    <t>Juan Alejandro Noguera Mogollon (Representante Legal)</t>
  </si>
  <si>
    <t>Innovation Bakana S.A.S</t>
  </si>
  <si>
    <t>Restaurantes y Otros Lugares para Comer(72251); Agencias de Publicidad(54181); Fabricación de Maquinaría Industrial(33324); Comerciantes al por Mayor de Maquinaría, Equipos y Suministros(4238)</t>
  </si>
  <si>
    <t>Fabricación De Otros Tipos De Maquinaria Y Equipo De Uso Especial N.C.P. (C2829); Comercio Al Por Mayor De Otros Tipos De Maquinaria Y Equipo N.C.P. (G4659); Expendio Por Autoservicio De Comidas Preparadas (I5612); Publicidad (M7310)</t>
  </si>
  <si>
    <t>Cr 71B # 54 - 38</t>
  </si>
  <si>
    <t>contactenos@labakana.co</t>
  </si>
  <si>
    <t>Jorge Leonardo Buitrago Pinto (Representante Legal)</t>
  </si>
  <si>
    <t>Innatto Sas</t>
  </si>
  <si>
    <t>Cl 56 A No. 04 06</t>
  </si>
  <si>
    <t>innatto527@gmail.com</t>
  </si>
  <si>
    <t>Montero Camacho Pedro Jose (Representante Legal)</t>
  </si>
  <si>
    <t>Innato Cocina Sas</t>
  </si>
  <si>
    <t>Cl 146 No. 12 A 27 A</t>
  </si>
  <si>
    <t>nativagastro_sas@yahoo.com</t>
  </si>
  <si>
    <t>Oscar Rene Gonzalez Buitrago (Representante Legal)</t>
  </si>
  <si>
    <t>Inmortal Tattoo Studio Sas</t>
  </si>
  <si>
    <t>Cafeterías y Bares para Bebidas sin Alcohol(722515); Otros Servicios Personales(8129); Tiendas de Ropa(4481); Tiendas de Artículos Diversos(453)</t>
  </si>
  <si>
    <t>Comercio Al Por Menor De Prendas De Vestir Y Sus Accesorios (Incluye Artículos De Piel) En Establecimientos Especializados (G4771); Comercio Al Por Menor De Otros Productos Nuevos En Establecimientos Especializados (G4774); Expendio De Comidas Preparadas En Cafeterías (I5613); Otras Actividades De Servicios Personales N.C.P. (S9609)</t>
  </si>
  <si>
    <t>Calle 37 # 20 - 24</t>
  </si>
  <si>
    <t>tattoocitasinmortal@gmail.com</t>
  </si>
  <si>
    <t>David Mauricio Sanchez Carrere (Representante Legal)</t>
  </si>
  <si>
    <t>Inmobiliaria Pegasus Sas</t>
  </si>
  <si>
    <t>Cafeterías y Bares para Bebidas sin Alcohol(722515); Fabricación de Todos los Demás Tipos de Alimentos Diversos(311999); Servicios Especiales de Comida(7223); Arrendadores de Bienes Intangibles No Financieros (excepto Obras con los Derechos Reservados)(533)</t>
  </si>
  <si>
    <t>Elaboración De Otros Productos Alimenticios N.C.P. (C1089); Expendio A La Mesa De Comidas Preparadas (I5611); Expendio De Comidas Preparadas En Cafeterías (I5613); Arrendamiento De Propiedad Intelectual Y Productos Similares, Excepto Obras Protegidas Por Derechos De Autor (N7740)</t>
  </si>
  <si>
    <t>Cl 117 No. 6 A 59</t>
  </si>
  <si>
    <t>bubbleicecreamstore@gmail.com</t>
  </si>
  <si>
    <t>Ana Patricia Carvajal Naranjo (Representante Legal)</t>
  </si>
  <si>
    <t>Inmenba S.A.S</t>
  </si>
  <si>
    <t>Cafeterías y Bares para Bebidas sin Alcohol(722515); Otras Compañías de Artes Escénicas(71119); Grupos Musicales y Artistas(71113); Librerías y Archivos(51912)</t>
  </si>
  <si>
    <t>Expendio De Comidas Preparadas En Cafeterías (I5613); Artes Plásticas Y Visuales (R9005); Actividades De Espectáculos Musicales En Vivo (R9007); Actividades De Bibliotecas Y Archivos (R9101)</t>
  </si>
  <si>
    <t>Cl 59 No. 6 02</t>
  </si>
  <si>
    <t>inmenba59@hotmail.com</t>
  </si>
  <si>
    <t>Katyayani Aminta Gisela Violeta Martinez Mendoza (Representante Legal)</t>
  </si>
  <si>
    <t>Inmaculada Guadalupe S.A.S</t>
  </si>
  <si>
    <t>Av Crr 15 # 124 - 67 Oficina 601 Edif Of</t>
  </si>
  <si>
    <t>contabilidadmodelia@plazamexico.com.co</t>
  </si>
  <si>
    <t>Luz Myriam Caicedo Rico (Representante Legal)</t>
  </si>
  <si>
    <t>Inmaculada Gastrobar Sas</t>
  </si>
  <si>
    <t>Cr 15 No. 67 50</t>
  </si>
  <si>
    <t>inmaculadabogota@gmail.com</t>
  </si>
  <si>
    <t>Laura Daniela Herrera Ruiz (Representante Legal)</t>
  </si>
  <si>
    <t>Inka Restaurant Colombo Peruano Sas</t>
  </si>
  <si>
    <t>Cr 20 No. 37 - 80</t>
  </si>
  <si>
    <t>inka.restaurant24@gmail.com</t>
  </si>
  <si>
    <t>Rosa Edit Ortiz Garcia (Representante Legal)</t>
  </si>
  <si>
    <t>Ingenio Gastronomico S A S</t>
  </si>
  <si>
    <t>Cr 2 A No. 16 A 12</t>
  </si>
  <si>
    <t>restaurantedosgatosysimone@yahoo.com</t>
  </si>
  <si>
    <t>Diana Carolina Rico Galeano (Representante Legal)</t>
  </si>
  <si>
    <t>Ingenieros Consultores Alypro Sas</t>
  </si>
  <si>
    <t>Cafeterías y Bares para Bebidas sin Alcohol(722515); Demás Servicios Profesionales, Científicos y Técnicos(54199); Demás Servicios de Información(51919); Investigación Científica y Servicios de Desarrollo(5417)</t>
  </si>
  <si>
    <t>Expendio De Comidas Preparadas En Cafeterías (I5613); Otras Actividades De Tecnologías De Información Y Actividades De Servicios Informáticos (J6209); Ensayos Y Análisis Técnicos (M7120); Otras Actividades Profesionales, Científicas Y Técnicas N.C.P. (M7490)</t>
  </si>
  <si>
    <t>Cl 152 C Bis No. 111 03</t>
  </si>
  <si>
    <t>asesoriasalimentosanos2010@gmail.com</t>
  </si>
  <si>
    <t>Luz Amparo Tellez Guevara (Representante Legal)</t>
  </si>
  <si>
    <t>Infinity Partners S.A.S</t>
  </si>
  <si>
    <t>Restaurantes y Otros Lugares para Comer(72251); Bares y Otros Lugares para Beber(7224); Servicios Especiales de Comida(7223); Supermercados(4451)</t>
  </si>
  <si>
    <t>Comercio Al Por Menor En Establecimientos No Especializados Con Surtido Compuesto Principalmente Por Alimentos, Bebidas O Tabaco (G4711); Expendio A La Mesa De Comidas Preparadas (I5611); Expendio Por Autoservicio De Comidas Preparadas (I5612); Expendio De Bebidas Alcohólicas Para El Consumo Dentro Del Establecimiento (I5630)</t>
  </si>
  <si>
    <t>Calle 181 # 16 - 97</t>
  </si>
  <si>
    <t>legal@infiniti.bar</t>
  </si>
  <si>
    <t>Shain Robert Sylvan Lafazan (Representante Legal)</t>
  </si>
  <si>
    <t>Infinito Lambda S A S</t>
  </si>
  <si>
    <t>Calle 79 No. 10 - 11</t>
  </si>
  <si>
    <t>albana_lopez@hotmail.com</t>
  </si>
  <si>
    <t>Albana Lopez Velasquez (Representante Legal)</t>
  </si>
  <si>
    <t>Inegocios S.A.S</t>
  </si>
  <si>
    <t>Restaurantes y Otros Lugares para Comer(72251); Servicios Especiales de Comida(7223); Procesamiento de Datos, Proveedores de Internet y Servicios Relacionados(518)</t>
  </si>
  <si>
    <t>Expendio A La Mesa De Comidas Preparadas (I5611); Expendio Por Autoservicio De Comidas Preparadas (I5612); Procesamiento De Datos, Alojamiento (Hosting) Y Actividades Relacionadas (J6311)</t>
  </si>
  <si>
    <t>Cl 10 B No. 86 50 Lc 6</t>
  </si>
  <si>
    <t>inegociossas@gmail.com</t>
  </si>
  <si>
    <t>Parmenio Cruz Garcia (Representante Legal)</t>
  </si>
  <si>
    <t>Industrias Pronoia S.A.S</t>
  </si>
  <si>
    <t>Calle 140 12 09 Piso 4</t>
  </si>
  <si>
    <t>industriaspronoia@gmail.com</t>
  </si>
  <si>
    <t>Andres Mauricio Noy Ortiz (Representante Legal)</t>
  </si>
  <si>
    <t>Industrias Pecato S.A.S.</t>
  </si>
  <si>
    <t>Cl 60 A No. 74 H 21 Sur</t>
  </si>
  <si>
    <t>pecatoparillasas@gmail.com</t>
  </si>
  <si>
    <t>Jenny Viviana Hernandez Rojas (Representante Legal)</t>
  </si>
  <si>
    <t>Industrias El Mana De Remat S A S - Bic</t>
  </si>
  <si>
    <t>Cafeterías y Bares para Bebidas sin Alcohol(722515); Carnicerías(44521); Comerciantes al por Mayor de Comestibles y Productos Relacionados(4244)</t>
  </si>
  <si>
    <t>Comercio Al Por Mayor De Productos Alimenticios (G4631); Comercio Al Por Menor De Carnes (Incluye Aves De Corral), Productos Cárnicos, Pescados Y Productos De Mar, En Establecimientos Especializados (G4723); Expendio De Comidas Preparadas En Cafeterías (I5613)</t>
  </si>
  <si>
    <t>Calle 11 16 78</t>
  </si>
  <si>
    <t>LICITACIONESELMANA@GMAIL.COM</t>
  </si>
  <si>
    <t>Jorge Humberto Sanchez Beltran (Representante Legal)</t>
  </si>
  <si>
    <t>Industrias Alimenticias M&amp;B Sas</t>
  </si>
  <si>
    <t>Elaboración De Comidas Y Platos Preparados (C1084); Elaboración De Otros Productos Alimenticios N.C.P. (C1089); Expendio De Comidas Preparadas En Cafeterías (I5613); Actividades De Otros Servicios De Comidas (I5629)</t>
  </si>
  <si>
    <t>Cra 70 C # 99 A 55</t>
  </si>
  <si>
    <t>vbessolo@gmail.com</t>
  </si>
  <si>
    <t>Victoria Elena Bessolo Pacheco (Representante Legal)</t>
  </si>
  <si>
    <t>Industrias Alimenticias L&amp;R Sas</t>
  </si>
  <si>
    <t>Cr 79 A No. 26 04 Su</t>
  </si>
  <si>
    <t>indualimenticiaslr@gmail.com</t>
  </si>
  <si>
    <t>Paula Susana Rozo Parra (Representante Legal)</t>
  </si>
  <si>
    <t>Industria La Madrina Sas</t>
  </si>
  <si>
    <t>Cl 10 No. 82 A 35 Ca 202</t>
  </si>
  <si>
    <t>mariluzgogo2023@gmail.com</t>
  </si>
  <si>
    <t>Mariluz Gonzalez Gomez (Representante Legal)</t>
  </si>
  <si>
    <t>Industria De Restaurantes Hr Sas</t>
  </si>
  <si>
    <t>Fabricación de Materiales Plásticos y Resinas(325211); Bares y Otros Lugares para Beber(7224); Servicios Especiales de Comida(7223)</t>
  </si>
  <si>
    <t>Fabricación De Formas Básicas De Plástico (C2221); Expendio A La Mesa De Comidas Preparadas (I5611); Expendio De Bebidas Alcohólicas Para El Consumo Dentro Del Establecimiento (I5630)</t>
  </si>
  <si>
    <t>Cr 86 No. 55 A 75 Lc L 3 271 / 269</t>
  </si>
  <si>
    <t>costilladeadan79@gmail.com</t>
  </si>
  <si>
    <t>Hector Alonso Rincon Mora (Representante Legal)</t>
  </si>
  <si>
    <t>Industria Colombiana De Alimentos Del Campo S.A.S</t>
  </si>
  <si>
    <t>Cr 113 83 A 61 Bl 10 Ap 102</t>
  </si>
  <si>
    <t>lisferu10@hotmail.com</t>
  </si>
  <si>
    <t>Aurora Mendez Bocanegra (Representante Legal)</t>
  </si>
  <si>
    <t>Indomac Sas</t>
  </si>
  <si>
    <t>Cafeterías y Bares para Bebidas sin Alcohol(722515); Autotransporte de Carga General(4841); Tiendas de Venta Directa(4543); Comerciantes al por Mayor de Comestibles y Productos Relacionados(4244)</t>
  </si>
  <si>
    <t>Comercio Al Por Mayor De Productos Alimenticios (G4631); Otros Tipos De Comercio Al Por Menor No Realizado En Establecimientos, Puestos De Venta O Mercados. (G4799); Transporte De Carga Por Carretera (H4923); Expendio De Comidas Preparadas En Cafeterías (I5613)</t>
  </si>
  <si>
    <t>Calle 124 No 10 - 29 Apto 401</t>
  </si>
  <si>
    <t>lf.pineda@hotmail.com</t>
  </si>
  <si>
    <t>Luis Fernando Pineda Dominguez (Representante Legal)</t>
  </si>
  <si>
    <t>Incognito Club S.A.S</t>
  </si>
  <si>
    <t>Cr 14 No. 85 37</t>
  </si>
  <si>
    <t>correo-incognitoclub@outlook.com</t>
  </si>
  <si>
    <t>Importadora Distribuidora E Inversiones Hernandez Torres S.A.S</t>
  </si>
  <si>
    <t>Servicio y Mantenimiento de Ordenadores y Equipos de Oficina(811212); Instalaciones para Recuperación de Materiales(56292); Bares y Otros Lugares para Beber(7224); Servicios Especiales de Comida(7223)</t>
  </si>
  <si>
    <t>Recuperación De Materiales (E3830); Expendio A La Mesa De Comidas Preparadas (I5611); Expendio De Bebidas Alcohólicas Para El Consumo Dentro Del Establecimiento (I5630); Mantenimiento Y Reparación De Computadores Y De Equipo Periférico (S9511)</t>
  </si>
  <si>
    <t>Calle 10 B Sur 18 11</t>
  </si>
  <si>
    <t>jorge14012008@hotmail.com</t>
  </si>
  <si>
    <t>Jorge Luis Hernandez Torres (Representante Legal)</t>
  </si>
  <si>
    <t>Importadora De Licores Del Pueblo S.A.S.</t>
  </si>
  <si>
    <t>Bares y Otros Lugares para Beber(7224); Servicios Especiales de Comida(7223); Tiendas de Venta Directa(4543); Supermercados(4451)</t>
  </si>
  <si>
    <t>Comercio Al Por Menor En Establecimientos No Especializados Con Surtido Compuesto Principalmente Por Alimentos, Bebidas O Tabaco (G4711); Otros Tipos De Comercio Al Por Menor No Realizado En Establecimientos, Puestos De Venta O Mercados. (G4799); Expendio A La Mesa De Comidas Preparadas (I5611); Expendio De Bebidas Alcohólicas Para El Consumo Dentro Del Establecimiento (I5630)</t>
  </si>
  <si>
    <t>Cr 121 No 66 B - 16</t>
  </si>
  <si>
    <t>brian9562@hotmail.com</t>
  </si>
  <si>
    <t>Brayan Alejandro Vargas Rivera (Representante Legal)</t>
  </si>
  <si>
    <t>Impoli S.A.S</t>
  </si>
  <si>
    <t>Carrera 14 83 18</t>
  </si>
  <si>
    <t>fergova@hotmail.com</t>
  </si>
  <si>
    <t>Fernando Gomez Vargas (Representante Legal)</t>
  </si>
  <si>
    <t>Imperio's S.A.S</t>
  </si>
  <si>
    <t>Demás Tipos de Industrias de Diversión y Recreativas(71399); Otros Servicios Personales(8129);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</si>
  <si>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Otras Actividades Recreativas Y De Esparcimiento N.C.P. (R9329); Otras Actividades De Servicios Personales N.C.P. (S9609)</t>
  </si>
  <si>
    <t>Cr 91 No. 145 A - 12 P2</t>
  </si>
  <si>
    <t>kathym3401@hotmail.com</t>
  </si>
  <si>
    <t>Aura Katherine Paredes Machado (Representante Legal)</t>
  </si>
  <si>
    <t>Imperio Del Pacifico S A S</t>
  </si>
  <si>
    <t>Oficinas de Convenciones y Visitantes(561591); Carnicerías(44521); Bares y Otros Lugares para Beber(7224); Servicios Especiales de Comida(7223)</t>
  </si>
  <si>
    <t>Comercio Al Por Menor De Carnes (Incluye Aves De Corral), Productos Cárnicos, Pescados Y Productos De Mar, En Establecimientos Especializados (G4723); Expendio A La Mesa De Comidas Preparadas (I5611); Expendio De Bebidas Alcohólicas Para El Consumo Dentro Del Establecimiento (I5630); Organización De Convenciones Y Eventos Comerciales (N8230)</t>
  </si>
  <si>
    <t>Cl 21 Sur No. 18 - 28</t>
  </si>
  <si>
    <t>IMPERIOPACIFICO@HOTMAIL.COM</t>
  </si>
  <si>
    <t>Yilber Amilkor Mosquera Sanchez (Representante Legal)</t>
  </si>
  <si>
    <t>Impecable Autolavado S.A.S</t>
  </si>
  <si>
    <t>Cafeterías y Bares para Bebidas sin Alcohol(722515); Otros Servicios Personales(8129); Reparación y Mantenimiento de Vehículos(8111)</t>
  </si>
  <si>
    <t>Mantenimiento Y Reparación De Vehículos Automotores (G4520); Expendio De Comidas Preparadas En Cafeterías (I5613); Otras Actividades De Servicios Personales N.C.P. (S9609)</t>
  </si>
  <si>
    <t>Av Cra 19 # 109 50</t>
  </si>
  <si>
    <t>asistente.cf@gmail.com</t>
  </si>
  <si>
    <t>Claudia Lucia Fierro Marroquin (Representante Legal)</t>
  </si>
  <si>
    <t>Impasto Sas</t>
  </si>
  <si>
    <t>Cl 72 No. 03 07 Ap 404</t>
  </si>
  <si>
    <t>eduardomanobre@gmail.com</t>
  </si>
  <si>
    <t>Eduardo Manzanera Obregon (Representante Legal)</t>
  </si>
  <si>
    <t>Imbatibles S.A.S</t>
  </si>
  <si>
    <t>Servicios de Arquitectura(54131); Bares y Otros Lugares para Beber(7224); Servicios Especiales de Comida(7223)</t>
  </si>
  <si>
    <t>Expendio A La Mesa De Comidas Preparadas (I5611); Expendio De Bebidas Alcohólicas Para El Consumo Dentro Del Establecimiento (I5630); Actividades De Arquitectura (M7111)</t>
  </si>
  <si>
    <t>Cr 10 No. 124 10 Ap 502</t>
  </si>
  <si>
    <t>serimbatibles@gmail.com</t>
  </si>
  <si>
    <t>Im Compas S A S</t>
  </si>
  <si>
    <t>Operadores Turísticos(56152); Tiendas de Mercancía General, incluyendo Grandes Almacenes(45231); Bares y Otros Lugares para Beber(7224); Servicios Especiales de Comida(7223)</t>
  </si>
  <si>
    <t>Comercio Al Por Menor En Establecimientos No Especializados, Con Surtido Compuesto Principalmente Por Productos Diferentes De Alimentos (Víveres En General), Bebidas Y Tabaco (G4719); Otros Tipos De Expendio De Comidas Preparadas N.C.P. (I5619); Expendio De Bebidas Alcohólicas Para El Consumo Dentro Del Establecimiento (I5630); Actividades De Operadores Turísticos (N7912)</t>
  </si>
  <si>
    <t>Calle 37 No. 13 A 40</t>
  </si>
  <si>
    <t>info@cuatrovientos.co</t>
  </si>
  <si>
    <t>Juan Manuel Oviedo Meza (Representante Legal)</t>
  </si>
  <si>
    <t>Ikono Pizza S A S</t>
  </si>
  <si>
    <t>Elaboración De Comidas Y Platos Preparados (C1084); Expendio Por Autoservicio De Comidas Preparadas (I5612); Catering Para Eventos (I5621)</t>
  </si>
  <si>
    <t>Cr 58 No. 119 A 98 Ap 1110 To 4</t>
  </si>
  <si>
    <t>carlosaduarte@hotmail.com</t>
  </si>
  <si>
    <t>Carlos Alfredo Duarte Mahecha (Representante Legal)</t>
  </si>
  <si>
    <t>Ikigai Dc Sas</t>
  </si>
  <si>
    <t>Cr 2 A 16 A 04</t>
  </si>
  <si>
    <t>ikigaidcsas@gmail.com</t>
  </si>
  <si>
    <t>Ie Group Sas</t>
  </si>
  <si>
    <t>Cr 67 No. 94 A 78</t>
  </si>
  <si>
    <t>ie.group.sas@gmail.com</t>
  </si>
  <si>
    <t>Angela Maria Perez Agudelo (Representante Legal)</t>
  </si>
  <si>
    <t>Ideas Gastronomicas Bariloche Sas</t>
  </si>
  <si>
    <t>Expendio A La Mesa De Comidas Preparadas (I5611); Otros Tipos De Expendio De Comidas Preparadas N.C.P. (I5619); Expendio De Bebidas Alcohólicas Para El Consumo Dentro Del Establecimiento (I5630); Otras Actividades De Servicio De Apoyo A Las Empresas N.C.P. (N8299)</t>
  </si>
  <si>
    <t>Cl 8 Sur No. 40 B 18</t>
  </si>
  <si>
    <t>valhallaexperiencias@gmail.com</t>
  </si>
  <si>
    <t>Diego Andres Borda Martinez (Representante Legal)</t>
  </si>
  <si>
    <t>Ideas Comerciales O&amp;M Sas</t>
  </si>
  <si>
    <t>Cafeterías y Bares para Bebidas sin Alcohol(722515); Fabricación de Alimentos Preparados Perecederos(311991); Empresas de Catering(72232); Fabricación de Productos Lácteos(3115)</t>
  </si>
  <si>
    <t>Elaboración De Productos Lácteos (C1040); Elaboración De Comidas Y Platos Preparados (C1084); Expendio De Comidas Preparadas En Cafeterías (I5613); Catering Para Eventos (I5621)</t>
  </si>
  <si>
    <t>Cr 74 No. 58 A 10 Su</t>
  </si>
  <si>
    <t>dianamarcelahoyos2009@hotmail.com</t>
  </si>
  <si>
    <t>Diana Marcela Hoyos Suarez (Representante Legal)</t>
  </si>
  <si>
    <t>Iconico Café Sas</t>
  </si>
  <si>
    <t>Cr 72 No. Bis 38 - 08 Sur Apto 302</t>
  </si>
  <si>
    <t>TALEB.M@ICLOUD.COM</t>
  </si>
  <si>
    <t>Isabel Hernandez Hernandez (Representante Legal)</t>
  </si>
  <si>
    <t>I Latina Colombia Sas</t>
  </si>
  <si>
    <t>Cl 20 No. 82 52</t>
  </si>
  <si>
    <t>CONTABILIDAD@TAI.COM.CO</t>
  </si>
  <si>
    <t>Monica Suarez Pabon (Representante Legal)</t>
  </si>
  <si>
    <t>I Am Sci Bogotá Sas</t>
  </si>
  <si>
    <t>Ac 85 No. 12 25</t>
  </si>
  <si>
    <t>AUX.CONTABLE1@SINMENTE.CO</t>
  </si>
  <si>
    <t>Javier Gutierrez Betancur (Representante Legal)</t>
  </si>
  <si>
    <t>Huo Food Services S.A.S</t>
  </si>
  <si>
    <t>Calle 196 B # 21 - 36</t>
  </si>
  <si>
    <t>huofood@gmail.com</t>
  </si>
  <si>
    <t>Humo Cafe &amp; Bistro Sas</t>
  </si>
  <si>
    <t>Cr 11 # 93 - 40</t>
  </si>
  <si>
    <t>contacto@flambee.com.co</t>
  </si>
  <si>
    <t>Denis Alfred Raymond Jean Marie Schwebel (Representante Legal)</t>
  </si>
  <si>
    <t>Human &amp; Cyber Security Colombia S.A.S</t>
  </si>
  <si>
    <t>Cafeterías y Bares para Bebidas sin Alcohol(722515); Demás Servicios Profesionales, Científicos y Técnicos(54199); Arrendadores de Bienes Inmuebles(5311); Fabricación de Prendas de Vestir(3151)</t>
  </si>
  <si>
    <t>Confección De Prendas De Vestir, Excepto Prendas De Piel (C1410); Expendio De Comidas Preparadas En Cafeterías (I5613); Actividades Inmobiliarias Realizadas Con Bienes Propios O Arrendados (L6810); Otras Actividades Profesionales, Científicas Y Técnicas N.C.P. (M7490)</t>
  </si>
  <si>
    <t>Cl 91 A No. 19 55 Ap 201</t>
  </si>
  <si>
    <t>atlas3017@gmail.com</t>
  </si>
  <si>
    <t>Alberto Mera Leyva (Representante Legal)</t>
  </si>
  <si>
    <t>Hulong Holding Sas</t>
  </si>
  <si>
    <t>Cr 14 83 53</t>
  </si>
  <si>
    <t>hulongholding@gmail.com</t>
  </si>
  <si>
    <t>Edgar Alejandro Mahecha Rojas (Representante Legal)</t>
  </si>
  <si>
    <t>Huarique Gastro Bar S.A.S</t>
  </si>
  <si>
    <t>Calle 150 C 103 F 12</t>
  </si>
  <si>
    <t>huariquegastrobar2023@gmail.com</t>
  </si>
  <si>
    <t>Rafael Enrique Perez Sanso (Representante Legal)</t>
  </si>
  <si>
    <t>Hpc Group Sas</t>
  </si>
  <si>
    <t>Cr 17 No. 88 23 Of 103</t>
  </si>
  <si>
    <t>COMERCIAL.HPCGROUP@GMAIL.COM</t>
  </si>
  <si>
    <t>Hoyos Gomez Leon Dario</t>
  </si>
  <si>
    <t>Cr 50 52 16</t>
  </si>
  <si>
    <t>leondariohoyosgomez@gmail.com</t>
  </si>
  <si>
    <t>Housing Rym Sas</t>
  </si>
  <si>
    <t>Demás Tipos de Alojamiento para Viajeros(721199); Bares y Otros Lugares para Beber(7224); Arrendadores de Bienes Inmuebles(5311)</t>
  </si>
  <si>
    <t>Alojamiento En Apartahoteles (I5512); Otros Tipos De Alojamientos Para Visitantes (I5519); Expendio De Bebidas Alcohólicas Para El Consumo Dentro Del Establecimiento (I5630); Actividades Inmobiliarias Realizadas Con Bienes Propios O Arrendados (L6810)</t>
  </si>
  <si>
    <t>Ac 80 # 20 C 49</t>
  </si>
  <si>
    <t>housingrym@gmail.com</t>
  </si>
  <si>
    <t>Diana Marcela Rodriguez Falla (Representante Legal)</t>
  </si>
  <si>
    <t>House206 Sas</t>
  </si>
  <si>
    <t>Otras Compañías de Artes Escénicas(71119); Agencias de Publicidad(54181); Bares y Otros Lugares para Beber(7224); Arrendadores de Bienes Intangibles No Financieros (excepto Obras con los Derechos Reservados)(533)</t>
  </si>
  <si>
    <t>Expendio De Bebidas Alcohólicas Para El Consumo Dentro Del Establecimiento (I5630); Publicidad (M7310); Arrendamiento De Propiedad Intelectual Y Productos Similares, Excepto Obras Protegidas Por Derechos De Autor (N7740); Otras Actividades De Espectáculos En Vivo N.C.P. (R9008)</t>
  </si>
  <si>
    <t>Cl 147 No. 7 B 55</t>
  </si>
  <si>
    <t>sunsetpartyevent@gmail.com</t>
  </si>
  <si>
    <t>Eduardo Jose Gonzalez Herrera (Representante Legal)</t>
  </si>
  <si>
    <t>Hotel Villa Real J.V.M Sas En Liquidacion</t>
  </si>
  <si>
    <t>Demás Tipos de Alojamiento para Viajeros(721199); Hoteles (excepto Hoteles Casino) y Moteles(72111); Bares y Otros Lugares para Beber(7224); Supermercados(4451)</t>
  </si>
  <si>
    <t>Comercio Al Por Menor En Establecimientos No Especializados Con Surtido Compuesto Principalmente Por Alimentos, Bebidas O Tabaco (G4711); Alojamiento En Hoteles (I5511); Otros Tipos De Alojamientos Para Visitantes (I5519); Expendio De Bebidas Alcohólicas Para El Consumo Dentro Del Establecimiento (I5630)</t>
  </si>
  <si>
    <t>Calle 25F # 84B - 62</t>
  </si>
  <si>
    <t>mahegu_8211@hotmail.com</t>
  </si>
  <si>
    <t>Harold Alberto Triviño Rodriguez (Representante Legal)</t>
  </si>
  <si>
    <t>Hotel Montañas De Luz Sas</t>
  </si>
  <si>
    <t>Empresas de Catering(72232); Hoteles (excepto Hoteles Casino) y Moteles(72111); Bares y Otros Lugares para Beber(7224)</t>
  </si>
  <si>
    <t>Alojamiento En Hoteles (I5511); Expendio A La Mesa De Comidas Preparadas (I5611); Catering Para Eventos (I5621); Expendio De Bebidas Alcohólicas Para El Consumo Dentro Del Establecimiento (I5630)</t>
  </si>
  <si>
    <t>Dg 60 A No. 22 A 45 Ap 304 San Luis</t>
  </si>
  <si>
    <t>hotelmontabasdeluzsas@gmail.com</t>
  </si>
  <si>
    <t>Henry Humberto Rojas Guzman (Representante Legal)</t>
  </si>
  <si>
    <t>Hotel Mgr Sas</t>
  </si>
  <si>
    <t>Otros Alojamientos para Viajeros(72119); Hoteles (excepto Hoteles Casino) y Moteles(72111); Bares y Otros Lugares para Beber(7224); Supermercados(4451)</t>
  </si>
  <si>
    <t>Comercio Al Por Menor En Establecimientos No Especializados Con Surtido Compuesto Principalmente Por Alimentos, Bebidas O Tabaco (G4711); Alojamiento En Hoteles (I5511); Alojamiento En Apartahoteles (I5512); Expendio De Bebidas Alcohólicas Para El Consumo Dentro Del Establecimiento (I5630)</t>
  </si>
  <si>
    <t>Cl 163 A No. 7 H 50</t>
  </si>
  <si>
    <t>hotelmgrst@gmail.com</t>
  </si>
  <si>
    <t>Andrea Ramirez Molina (Representante Legal)</t>
  </si>
  <si>
    <t>Hotel Embajada Bogotá D.C S.A.S</t>
  </si>
  <si>
    <t>Hoteles (excepto Hoteles Casino) y Moteles(72111); Bares y Otros Lugares para Beber(7224); Servicios Especiales de Comida(7223); Transporte Interurbano y Rural(4852)</t>
  </si>
  <si>
    <t>Transporte De Pasajeros (H4921); Alojamiento En Hoteles (I5511); Expendio A La Mesa De Comidas Preparadas (I5611); Expendio De Bebidas Alcohólicas Para El Consumo Dentro Del Establecimiento (I5630)</t>
  </si>
  <si>
    <t>Cl 24 D No. 43 A - 05</t>
  </si>
  <si>
    <t>hotelembajadabogotadc@gmail.com</t>
  </si>
  <si>
    <t>Elkin Rojas Reyes (Representante Legal)</t>
  </si>
  <si>
    <t>Hotel Campestre Acuarela Sas</t>
  </si>
  <si>
    <t>Cr 14 G # 76 - 82 Sur Int 2</t>
  </si>
  <si>
    <t>hotelcampestreacuarela@gmail.com</t>
  </si>
  <si>
    <t>Victor Leonardo Babativa Garzon (Representante Legal)</t>
  </si>
  <si>
    <t>Hotel Brisas Real Sas</t>
  </si>
  <si>
    <t>Cr 22 No. 66 A - 29</t>
  </si>
  <si>
    <t>edw1102@hotmail.com</t>
  </si>
  <si>
    <t>Gladys Angulo Tirado (Representante Legal)</t>
  </si>
  <si>
    <t>Hotel Brisas Real Ltda</t>
  </si>
  <si>
    <t>Cr 22 No. 66 A 29</t>
  </si>
  <si>
    <t>Hotel Boutique Palacete Sas</t>
  </si>
  <si>
    <t>Cr 40 No. 24 A 49</t>
  </si>
  <si>
    <t>operaciones@hotelboutiquepalacete.com</t>
  </si>
  <si>
    <t>Myriam Janneth Rodriguez Roa (Representante Legal)</t>
  </si>
  <si>
    <t>Hotel Boutique Monteluna Sas</t>
  </si>
  <si>
    <t>Cl 127 C # 1 40 In 8</t>
  </si>
  <si>
    <t>moka-61@hotmail.com</t>
  </si>
  <si>
    <t>Monica Hernandez Galvez (Representante Legal)</t>
  </si>
  <si>
    <t>Hotel Atabal Huila Sas</t>
  </si>
  <si>
    <t>Cafeterías y Bares para Bebidas sin Alcohol(722515); Hoteles (excepto Hoteles Casino) y Moteles(72111); Servicios Especiales de Comida(7223)</t>
  </si>
  <si>
    <t>Alojamiento En Hoteles (I5511); Expendio A La Mesa De Comidas Preparadas (I5611); Expendio De Comidas Preparadas En Cafeterías (I5613)</t>
  </si>
  <si>
    <t>Cr 68 A No. 23 B 53</t>
  </si>
  <si>
    <t>contabilidad@hotelatabal.com</t>
  </si>
  <si>
    <t>Carolina Vargas Guzman (Representante Legal)</t>
  </si>
  <si>
    <t>Hot Spot S.A.S</t>
  </si>
  <si>
    <t>Calle 71 No. 5 65 / Nn Food Hall</t>
  </si>
  <si>
    <t>losadal225@gmail.com</t>
  </si>
  <si>
    <t>Luis Manuel Losada Muñoz (Representante Legal)</t>
  </si>
  <si>
    <t>Hosteles Lap S.A.S.</t>
  </si>
  <si>
    <t>Demás Tipos de Alojamiento para Viajeros(721199); Otros Servicios Personales(8129); Bares y Otros Lugares para Beber(7224); Supermercados(4451)</t>
  </si>
  <si>
    <t>Comercio Al Por Menor En Establecimientos No Especializados Con Surtido Compuesto Principalmente Por Alimentos, Bebidas O Tabaco (G4711); Otros Tipos De Alojamientos Para Visitantes (I5519); Expendio De Bebidas Alcohólicas Para El Consumo Dentro Del Establecimiento (I5630); Otras Actividades De Servicios Personales N.C.P. (S9609)</t>
  </si>
  <si>
    <t>Cl 59 No. 9 34</t>
  </si>
  <si>
    <t>Luis Alfredo Palacio Quintero (Representante Legal)</t>
  </si>
  <si>
    <t>Hostales Cq Sas</t>
  </si>
  <si>
    <t>Demás Tipos de Alojamiento para Viajeros(721199); Operadores Turísticos(56152); Bares y Otros Lugares para Beber(7224); Servicios Especiales de Comida(7223)</t>
  </si>
  <si>
    <t>Otros Tipos De Alojamientos Para Visitantes (I5519); Expendio A La Mesa De Comidas Preparadas (I5611); Expendio De Bebidas Alcohólicas Para El Consumo Dentro Del Establecimiento (I5630); Actividades De Operadores Turísticos (N7912)</t>
  </si>
  <si>
    <t>Cl 66 A No. 15 76</t>
  </si>
  <si>
    <t>hostalchorrodquevedo@gmail.com</t>
  </si>
  <si>
    <t>Andres Felipe Torres Guerra (Representante Legal)</t>
  </si>
  <si>
    <t>Hostal Macondo Bogotá S.A.S</t>
  </si>
  <si>
    <t>Cafeterías y Bares para Bebidas sin Alcohol(722515); Demás Tipos de Alojamiento para Viajeros(721199); Bares y Otros Lugares para Beber(7224); Servicios Especiales de Comida(7223)</t>
  </si>
  <si>
    <t>Otros Tipos De Alojamientos Para Visitantes (I5519); Expendio De Comidas Preparadas En Cafeterías (I5613); Otros Tipos De Expendio De Comidas Preparadas N.C.P. (I5619); Expendio De Bebidas Alcohólicas Para El Consumo Dentro Del Establecimiento (I5630)</t>
  </si>
  <si>
    <t>Cl 70 No. 11 A 18</t>
  </si>
  <si>
    <t>mariaf.carrasco@gmail.com</t>
  </si>
  <si>
    <t>Maria Fernanda Carrasco Villarreal (Representante Legal)</t>
  </si>
  <si>
    <t>Hospedaje Casa Rojas Sas</t>
  </si>
  <si>
    <t>Demás Tipos de Alojamiento para Viajeros(721199); Restaurantes y Otros Lugares para Comer(72251)</t>
  </si>
  <si>
    <t>Alojamiento En Apartahoteles (I5512); Otros Tipos De Alojamientos Para Visitantes (I5519); Expendio Por Autoservicio De Comidas Preparadas (I5612)</t>
  </si>
  <si>
    <t>Cr 18 B No. 22 D 28</t>
  </si>
  <si>
    <t>hospedajecasarojas@gmail.com</t>
  </si>
  <si>
    <t>Franci Helena Correa Rojas (Representante Legal)</t>
  </si>
  <si>
    <t>Horneando Antojitos S.A.S.</t>
  </si>
  <si>
    <t>Cl 131 Bis # 59 C 38</t>
  </si>
  <si>
    <t>genesis.sanabriag@gmail.com</t>
  </si>
  <si>
    <t>Sanabria Gonzalez Genesis Stephanie (Representante Legal)</t>
  </si>
  <si>
    <t>Hoplak S A</t>
  </si>
  <si>
    <t>Tv 25 No. 53C - 50</t>
  </si>
  <si>
    <t>contabilidad@blaskov.com</t>
  </si>
  <si>
    <t>Jorge Escovar Cardona (Representante Legal)</t>
  </si>
  <si>
    <t>Holding J &amp; C Sas</t>
  </si>
  <si>
    <t>Cr 7 61 38</t>
  </si>
  <si>
    <t>holdingjycsas@gmail.com</t>
  </si>
  <si>
    <t>Luis Jorge Hernandez Fajardo (Representante Legal)</t>
  </si>
  <si>
    <t>Hitter Sas</t>
  </si>
  <si>
    <t>Fabricación de Alimentos Preparados Perecederos(311991); Restaurantes y Otros Lugares para Comer(72251); Tiendas de Venta Directa(4543)</t>
  </si>
  <si>
    <t>Elaboración De Comidas Y Platos Preparados (C1084); Otros Tipos De Comercio Al Por Menor No Realizado En Establecimientos, Puestos De Venta O Mercados. (G4799); Expendio Por Autoservicio De Comidas Preparadas (I5612)</t>
  </si>
  <si>
    <t>Cr 4 No. 66 66 Ap 20</t>
  </si>
  <si>
    <t>administracion@hitterbrands.com</t>
  </si>
  <si>
    <t>Felipe Alberto Rojas Castillo (Representante Legal)</t>
  </si>
  <si>
    <t>Hipo Campo Vip S.A.S.</t>
  </si>
  <si>
    <t>Carrera 88 I 79 S 38</t>
  </si>
  <si>
    <t>eveggarcia96@gmail.com</t>
  </si>
  <si>
    <t>Evelyn Gabriela Garcia Perez (Representante Legal)</t>
  </si>
  <si>
    <t>Hes Ltda En Liquidacion</t>
  </si>
  <si>
    <t>Cl 110 9 - 25 Ofc 1710</t>
  </si>
  <si>
    <t>enrique.turk@gmail.com</t>
  </si>
  <si>
    <t>Hernando Cardozo Luna (Representante Legal)</t>
  </si>
  <si>
    <t>Hervale Sas</t>
  </si>
  <si>
    <t>Cr 67 No 180 96</t>
  </si>
  <si>
    <t>facturacion.centro.internacional@gmail.com</t>
  </si>
  <si>
    <t>Claudia Maritza Valencia Serrato (Representante Legal)</t>
  </si>
  <si>
    <t>Herper Inversiones Sas</t>
  </si>
  <si>
    <t>Servicio Por Horas (I5530); Expendio A La Mesa De Comidas Preparadas (I5611); Expendio De Bebidas Alcohólicas Para El Consumo Dentro Del Establecimiento (I5630); Actividades Inmobiliarias Realizadas Con Bienes Propios O Arrendados (L6810)</t>
  </si>
  <si>
    <t>Cr 129 17 F 21</t>
  </si>
  <si>
    <t>yanrabe@hotmail.com</t>
  </si>
  <si>
    <t>Oscar Orlando Roa Martinez (Representante Legal)</t>
  </si>
  <si>
    <t>Hermosillo S.A.S.</t>
  </si>
  <si>
    <t>Calle 116 No. 19 - 66</t>
  </si>
  <si>
    <t>hermosillosas@hotmail.com</t>
  </si>
  <si>
    <t>Rafael Humberto Pedraza Benitez (Representante Legal)</t>
  </si>
  <si>
    <t>Hercules Beer Sas</t>
  </si>
  <si>
    <t>Cr 13 No. 90 17</t>
  </si>
  <si>
    <t>juanpabloazcarate@hotmail.com</t>
  </si>
  <si>
    <t>Juan Pablo Cuellar Schroeder (Representante Legal)</t>
  </si>
  <si>
    <t>Henao Chefs-Jd Sas</t>
  </si>
  <si>
    <t>98 - 57 Carrera 69</t>
  </si>
  <si>
    <t>juanphenaor@gmail.com</t>
  </si>
  <si>
    <t>Juan Pablo Henao Rodriguez (Representante Legal)</t>
  </si>
  <si>
    <t>Hell Boy Food Company Sas</t>
  </si>
  <si>
    <t>Cl 12 No. 07 32 Banco Comercial Antioque</t>
  </si>
  <si>
    <t>william.romero@balagueraabogados.co</t>
  </si>
  <si>
    <t>Fabio Alfonso Baron Leal (Representante Legal)</t>
  </si>
  <si>
    <t>Hearts Colombian Coffe Sas</t>
  </si>
  <si>
    <t>Cl 127 A No. 18 B 37</t>
  </si>
  <si>
    <t>heartcolombiacoffe@gmail.com</t>
  </si>
  <si>
    <t>Javier Alfonso Martin Baca (Representante Legal)</t>
  </si>
  <si>
    <t>Hawai Bar Sas</t>
  </si>
  <si>
    <t>Cr 13 No. 61 75 Lc 1</t>
  </si>
  <si>
    <t>vmalee70@gmail.com</t>
  </si>
  <si>
    <t>Mayra Alejandra Vargas Paso (Representante Legal)</t>
  </si>
  <si>
    <t>Hauoli Sas</t>
  </si>
  <si>
    <t>Carrera 68 No. 90 - 88 Centro Comercial</t>
  </si>
  <si>
    <t>pokehauoli@gmail.com</t>
  </si>
  <si>
    <t>Yazmin Alezandra Barrera Sogamoso (Representante Legal)</t>
  </si>
  <si>
    <t>Hatsune Sushi Sas</t>
  </si>
  <si>
    <t>Cr 24 No. 36 37</t>
  </si>
  <si>
    <t>cgiraldoeche@gmail.com</t>
  </si>
  <si>
    <t>Geraldine Paola Ramos Fonseca (Representante Legal)</t>
  </si>
  <si>
    <t>Hato Llano Frio Carnes Y Embutidos Sas</t>
  </si>
  <si>
    <t>Cafeterías y Bares para Bebidas sin Alcohol(722515); Carne Procesada de Canales(311612); Producción de Alimentos para Animales(31111)</t>
  </si>
  <si>
    <t>Carne Procesada de Canales(311612)</t>
  </si>
  <si>
    <t>Procesamiento Y Conservación De Carne Y Productos Cárnicos (C1011); Elaboración De Alimentos Preparados Para Animales (C1090); Expendio De Comidas Preparadas En Cafeterías (I5613)</t>
  </si>
  <si>
    <t>Procesamiento Y Conservación De Carne Y Productos Cárnicos (C1011)</t>
  </si>
  <si>
    <t>Cl 24 A Sur No. 68 - 66</t>
  </si>
  <si>
    <t>hatollanofrio@gmail.com</t>
  </si>
  <si>
    <t>Jose Antonio Gutierrez Perdomo (Representante Legal)</t>
  </si>
  <si>
    <t>Hasta La Madre Mexico House Sas</t>
  </si>
  <si>
    <t>Cl 118 No. 5 23</t>
  </si>
  <si>
    <t>brothersgroupsas@gmail.com</t>
  </si>
  <si>
    <t>Harry Beer Company S.A.S</t>
  </si>
  <si>
    <t>Fabricación de Alimentos Preparados Perecederos(311991); Tiendas de Mercancía General, incluyendo Grandes Almacenes(45231); Bares y Otros Lugares para Beber(7224); Servicios Especiales de Comida(7223)</t>
  </si>
  <si>
    <t>Elaboración De Comidas Y Platos Preparados (C1084); Comercio Al Por Menor En Establecimientos No Especializados, Con Surtido Compuesto Principalmente Por Productos Diferentes De Alimentos (Víveres En General), Bebidas Y Tabaco (G4719); Expendio A La Mesa De Comidas Preparadas (I5611); Expendio De Bebidas Alcohólicas Para El Consumo Dentro Del Establecimiento (I5630)</t>
  </si>
  <si>
    <t>Calle 20 # 82 - 52 Piso 1 Centro Comerci</t>
  </si>
  <si>
    <t>harrybeerstation@gmail.com</t>
  </si>
  <si>
    <t>Andres Leonardo Arevalo Parra (Representante Legal)</t>
  </si>
  <si>
    <t>Happy Donut's Exquisitas S A S</t>
  </si>
  <si>
    <t>Cl 11 C 80 B 86</t>
  </si>
  <si>
    <t>contabilidadhappyd@gmail.com</t>
  </si>
  <si>
    <t>Miguel Angel Ramos (Representante Legal)</t>
  </si>
  <si>
    <t>Hanbaga S.A.S.</t>
  </si>
  <si>
    <t>Cl 98 A No. 60 53</t>
  </si>
  <si>
    <t>Nicolas Vasquez Duque (Representante Legal)</t>
  </si>
  <si>
    <t>Hamburger Visaje Sas</t>
  </si>
  <si>
    <t>Cl 167 D # 08 58 To</t>
  </si>
  <si>
    <t>rdvp514@gmail.com</t>
  </si>
  <si>
    <t>Ricardo David Valbuena Petit (Representante Legal)</t>
  </si>
  <si>
    <t>Hamburger S.A.S</t>
  </si>
  <si>
    <t>Cr 13 No. 93 67</t>
  </si>
  <si>
    <t>hamburger.sas@outlook.com</t>
  </si>
  <si>
    <t>Mariano Ospina Fadul (Representante Legal)</t>
  </si>
  <si>
    <t>Hako Vmd Inversiones Sas</t>
  </si>
  <si>
    <t>Comerciantes al por Mayor de Tabaco y Productos de Tabaco(42494); Bares y Otros Lugares para Beber(7224); Industrias Cinematográficas y de Vídeo(5121); Supermercados(4451); Comerciantes al por Mayor de Cerveza, Vino y Bebidas Alcohólicas(4248)</t>
  </si>
  <si>
    <t>Comercio Al Por Mayor De Bebidas Y Tabaco (G4632); Comercio Al Por Menor En Establecimientos No Especializados Con Surtido Compuesto Principalmente Por Alimentos, Bebidas O Tabaco (G4711); Expendio De Bebidas Alcohólicas Para El Consumo Dentro Del Establecimiento (I5630); Actividades De Producción De Películas Cinematográficas, Videos, Programas, Anuncios Y Comerciales De Televisión (J5911)</t>
  </si>
  <si>
    <t>Carrera 15 # 28 A 52 Apt 201</t>
  </si>
  <si>
    <t>hakovmd3@gmail.com</t>
  </si>
  <si>
    <t>Miguel Angel Mira Gonzalez (Representante Legal)</t>
  </si>
  <si>
    <t>Gym Y Spa H &amp; M S A S</t>
  </si>
  <si>
    <t>Cafeterías y Bares para Bebidas sin Alcohol(722515); Otros Servicios Personales(8129)</t>
  </si>
  <si>
    <t>Expendio De Comidas Preparadas En Cafeterías (I5613); Otras Actividades De Servicios Personales N.C.P. (S9609)</t>
  </si>
  <si>
    <t>Dg 47 Sur No. 52 C 62</t>
  </si>
  <si>
    <t>huhepa40@hotmail.com</t>
  </si>
  <si>
    <t>Hugo Hernan Palacios Moreno (Representante Legal)</t>
  </si>
  <si>
    <t>Gygagroup S A S</t>
  </si>
  <si>
    <t>Cr 7 45 10 Lc 107</t>
  </si>
  <si>
    <t>carritosbogota@gmail.com</t>
  </si>
  <si>
    <t>Gabriel Francisco Garcia Acevedo (Representante Legal)</t>
  </si>
  <si>
    <t>Gutierrez Y Prieto Sas</t>
  </si>
  <si>
    <t>Cr 107 No. 140 A 24</t>
  </si>
  <si>
    <t>orichybgt@gmail.com</t>
  </si>
  <si>
    <t>Fabio Ricardo Gutierrez Barrios (Representante Legal)</t>
  </si>
  <si>
    <t>Gunners Sas En Liquidacion</t>
  </si>
  <si>
    <t>Carrera 20 168 32</t>
  </si>
  <si>
    <t>gunners.sas@gmail.com</t>
  </si>
  <si>
    <t>Oscar Yesid Gutierrez Bermudez (Representante Legal)</t>
  </si>
  <si>
    <t>Guia S.A.S</t>
  </si>
  <si>
    <t>Otros Alojamientos para Viajeros(72119); Bares y Otros Lugares para Beber(7224); Servicios Especiales de Comida(7223)</t>
  </si>
  <si>
    <t>Alojamiento Rural (I5514); Expendio A La Mesa De Comidas Preparadas (I5611); Expendio De Bebidas Alcohólicas Para El Consumo Dentro Del Establecimiento (I5630)</t>
  </si>
  <si>
    <t>Calle 129 59 C 30</t>
  </si>
  <si>
    <t>facturacionguiasas@gmail.com</t>
  </si>
  <si>
    <t>Andres Felipe Uribe Hennessey (Representante Legal)</t>
  </si>
  <si>
    <t>Güey Xican Sas</t>
  </si>
  <si>
    <t>Calle 58 Q Sur # 78 - 29</t>
  </si>
  <si>
    <t>guey.xican@gmail.com</t>
  </si>
  <si>
    <t>Oscar Andres Buitrago Cristancho (Representante Legal)</t>
  </si>
  <si>
    <t>Guau Y Miau Pet Shop Cafe Sas - En Liquidacion</t>
  </si>
  <si>
    <t>Cafeterías y Bares para Bebidas sin Alcohol(722515); Tiendas de Electrodomésticos(443141); Demás Tipos de Industrias de Diversión y Recreativas(71399)</t>
  </si>
  <si>
    <t>Comercio Al Por Menor De Otros Artículos Domésticos En Establecimientos Especializados (G4759); Expendio De Comidas Preparadas En Cafeterías (I5613); Otras Actividades Recreativas Y De Esparcimiento N.C.P. (R9329)</t>
  </si>
  <si>
    <t>Comercio Al Por Menor De Otros Artículos Domésticos En Establecimientos Especializados (G4759)</t>
  </si>
  <si>
    <t>Cr 70 D No. 48 62</t>
  </si>
  <si>
    <t>anloe17@hotmail.com</t>
  </si>
  <si>
    <t>Gts Cafes Sas</t>
  </si>
  <si>
    <t>Cl 119 B No 5 48</t>
  </si>
  <si>
    <t>Grupo Yori Sas</t>
  </si>
  <si>
    <t>Bares y Otros Lugares para Beber(7224); Servicios Especiales de Comida(7223); Conservación de Frutas, Verduras y Fabricación de Alimentos Especializados(3114)</t>
  </si>
  <si>
    <t>Procesamiento Y Conservación De Frutas, Legumbres, Hortalizas Y Tubérculos (C1020); Expendio A La Mesa De Comidas Preparadas (I5611); Expendio De Bebidas Alcohólicas Para El Consumo Dentro Del Establecimiento (I5630)</t>
  </si>
  <si>
    <t>Cr 56 No 152 B - 71 To 5 Ap 203</t>
  </si>
  <si>
    <t>yori.colombia@gmail.com</t>
  </si>
  <si>
    <t>Young Min Lee (Representante Legal)</t>
  </si>
  <si>
    <t>Grupo Vk S.A.S</t>
  </si>
  <si>
    <t>Carrera 7 # 115 - 60 Local A - 111</t>
  </si>
  <si>
    <t>contabilidad@vaporkingdom.co</t>
  </si>
  <si>
    <t>David Arturo Lozano Garzon (Representante Legal)</t>
  </si>
  <si>
    <t>Grupo Vindemia S.A.S</t>
  </si>
  <si>
    <t>Cl 95 No. 15 47 Of 301 Ed Rubens</t>
  </si>
  <si>
    <t>beto6210@gmail.com</t>
  </si>
  <si>
    <t>Grupo Vargo S.A.S</t>
  </si>
  <si>
    <t>Expendio A La Mesa De Comidas Preparadas (I5611); Expendio Por Autoservicio De Comidas Preparadas (I5612); Otros Tipos De Expendio De Comidas Preparadas N.C.P. (I5619); Actividades Inmobiliarias Realizadas Con Bienes Propios O Arrendados (L6810)</t>
  </si>
  <si>
    <t>Cl 182 No. 45 11 Ap 401</t>
  </si>
  <si>
    <t>judagoca@gmail.com</t>
  </si>
  <si>
    <t>Juan David Gomez Castaño (Representante Legal)</t>
  </si>
  <si>
    <t>Grupo Valendi S.A.S.</t>
  </si>
  <si>
    <t>Restaurantes y Otros Lugares para Comer(72251); Tiendas de Electrónica y de Venta por Correo(4541)</t>
  </si>
  <si>
    <t>Comercio Al Por Menor Realizado A Través De Internet (G4791); Expendio Por Autoservicio De Comidas Preparadas (I5612)</t>
  </si>
  <si>
    <t>Carrera 3 # 59 - 65 Ed. Santa Mónica Apt</t>
  </si>
  <si>
    <t>valdgrupo@gmail.com</t>
  </si>
  <si>
    <t>Oscar Alberto Valencia Diaz (Representante Legal)</t>
  </si>
  <si>
    <t>Grupo Valencia Amado S A S</t>
  </si>
  <si>
    <t>Demás Tipos de Alojamiento para Viajeros(721199); Bares y Otros Lugares para Beber(7224); Supermercados(4451); Tiendas de Artículos Diversos(453)</t>
  </si>
  <si>
    <t>Comercio Al Por Menor En Establecimientos No Especializados Con Surtido Compuesto Principalmente Por Alimentos, Bebidas O Tabaco (G4711); Comercio Al Por Menor De Otros Productos Nuevos En Establecimientos Especializados (G4774); Servicio Por Horas (I5530); Expendio De Bebidas Alcohólicas Para El Consumo Dentro Del Establecimiento (I5630)</t>
  </si>
  <si>
    <t>Cl 31 Sur No. 69 C 23</t>
  </si>
  <si>
    <t>lafogatamotel@gmail.com</t>
  </si>
  <si>
    <t>Grupo Tres Jotas S.A.S.</t>
  </si>
  <si>
    <t>Cr 13 No. 79 10</t>
  </si>
  <si>
    <t>rutaqueria1@gmail.com</t>
  </si>
  <si>
    <t>Juan Sebastian Trujillo Lopez (Representante Legal)</t>
  </si>
  <si>
    <t>Grupo Tradición Sas</t>
  </si>
  <si>
    <t>Cl 163 B No. 50 80 Ap 107 To 2</t>
  </si>
  <si>
    <t>RICARDOFREYI@GMAIL.COM</t>
  </si>
  <si>
    <t>Juan Pablo Garcia Freyi (Representante Legal)</t>
  </si>
  <si>
    <t>Grupo Topcol Sas.</t>
  </si>
  <si>
    <t>Calle 80 A 116 B 82 Bloque 7 Apartamento</t>
  </si>
  <si>
    <t>latomulato.co@gmail.com</t>
  </si>
  <si>
    <t>Santiago Gonzalez Amaya (Representante Legal)</t>
  </si>
  <si>
    <t>Grupo Tácaloa Maíz S.A.S.</t>
  </si>
  <si>
    <t>Cr 27 No. 70 83</t>
  </si>
  <si>
    <t>CARRENOPOMBON@GMAIL.COM</t>
  </si>
  <si>
    <t>Natalia Carreño Pombo (Representante Legal)</t>
  </si>
  <si>
    <t>Grupo Station S.A.S</t>
  </si>
  <si>
    <t>Cl 74 20 B 44</t>
  </si>
  <si>
    <t>grupostation@gmail.com</t>
  </si>
  <si>
    <t>Carlos Alberto Bogota Castellanos (Representante Legal)</t>
  </si>
  <si>
    <t>Grupo Sociali Sas</t>
  </si>
  <si>
    <t>Otros Tipos De Expendio De Comidas Preparadas N.C.P. (I5619); Catering Para Eventos (I5621); Actividades De Otros Servicios De Comidas (I5629); Expendio De Bebidas Alcohólicas Para El Consumo Dentro Del Establecimiento (I5630)</t>
  </si>
  <si>
    <t>Cr 4 A No. 66 33 Lc 301 P 3</t>
  </si>
  <si>
    <t>diegohorta123456@gmail.com</t>
  </si>
  <si>
    <t>Diego Fernando Horta Valencia (Representante Legal)</t>
  </si>
  <si>
    <t>Grupo Sinnachic Sas</t>
  </si>
  <si>
    <t>Cr 3 No. 12 58</t>
  </si>
  <si>
    <t>CESARSINCHE3@GMAIL.COM</t>
  </si>
  <si>
    <t>Cesar Augusto Sinche Pablo (Representante Legal)</t>
  </si>
  <si>
    <t>Grupo Sekainsa S.A.S</t>
  </si>
  <si>
    <t>Calle 167 48 44</t>
  </si>
  <si>
    <t>sedav5896@gmail.com</t>
  </si>
  <si>
    <t>Sebastian Camilo Davila Cortes (Representante Legal)</t>
  </si>
  <si>
    <t>Grupo Sarval Sas</t>
  </si>
  <si>
    <t>Restaurantes y Otros Lugares para Comer(72251); Servicios de Diseño Especializado(5414); Tiendas de Ropa(4481); Fabricación de Prendas de Vestir(3151)</t>
  </si>
  <si>
    <t>Confección De Prendas De Vestir, Excepto Prendas De Piel (C1410); Comercio Al Por Menor De Prendas De Vestir Y Sus Accesorios (Incluye Artículos De Piel) En Establecimientos Especializados (G4771); Expendio Por Autoservicio De Comidas Preparadas (I5612); Actividades Especializadas De Diseño (M7410)</t>
  </si>
  <si>
    <t>Cl 104 No. 21 45</t>
  </si>
  <si>
    <t>petitecreperie@hotmail.com</t>
  </si>
  <si>
    <t>Concepcion Casas De Castro (Representante Legal)</t>
  </si>
  <si>
    <t>Grupo Santori Sas</t>
  </si>
  <si>
    <t>Cl 24 D No. 80 B - 23</t>
  </si>
  <si>
    <t>biscotticafeygelato@gmail.com</t>
  </si>
  <si>
    <t>Marlon David Garzon Perez (Representante Legal)</t>
  </si>
  <si>
    <t>Grupo Sancov Sas</t>
  </si>
  <si>
    <t>Fabricación de Todos los Demás Tipos de Alimentos Diversos(311999); Restaurantes y Otros Lugares para Comer(72251); Servicios Especiales de Comida(7223)</t>
  </si>
  <si>
    <t>Elaboración De Otros Productos Alimenticios N.C.P. (C1089); Expendio A La Mesa De Comidas Preparadas (I5611); Expendio Por Autoservicio De Comidas Preparadas (I5612)</t>
  </si>
  <si>
    <t>Cr 14 C 150 32</t>
  </si>
  <si>
    <t>crocantinosancov@gmail.com</t>
  </si>
  <si>
    <t>Sandra Milena Sanguino Covelli (Representante Legal)</t>
  </si>
  <si>
    <t>Grupo Romanos Sas</t>
  </si>
  <si>
    <t>Cl 19 No. 4 56</t>
  </si>
  <si>
    <t>gruporoma723@gmail.com</t>
  </si>
  <si>
    <t>Carlos Alberto Martinez Quiroga (Representante Legal)</t>
  </si>
  <si>
    <t>Grupo Rockefeler Colombia Sas</t>
  </si>
  <si>
    <t>Avenida Calle 60 9 7</t>
  </si>
  <si>
    <t>inversionesrockefeler@gmail.com</t>
  </si>
  <si>
    <t>Octavio Gonzalez Robayo (Representante Legal)</t>
  </si>
  <si>
    <t>Grupo Remavilla Sas</t>
  </si>
  <si>
    <t>Otros Alojamientos para Viajeros(72119); Hoteles (excepto Hoteles Casino) y Moteles(72111); Bares y Otros Lugares para Beber(7224); Servicios Especiales de Comida(7223)</t>
  </si>
  <si>
    <t>Alojamiento En Hoteles (I5511); Alojamiento En Apartahoteles (I5512); Expendio A La Mesa De Comidas Preparadas (I5611); Expendio De Bebidas Alcohólicas Para El Consumo Dentro Del Establecimiento (I5630)</t>
  </si>
  <si>
    <t>Cl 22 H No. 96 G 53</t>
  </si>
  <si>
    <t>cesar.remarchuk@gmail.com</t>
  </si>
  <si>
    <t>Cesar David Remarchuk Serrano (Representante Legal)</t>
  </si>
  <si>
    <t>Grupo Rdv Sas</t>
  </si>
  <si>
    <t>Elaboración De Comidas Y Platos Preparados (C1084); Expendio A La Mesa De Comidas Preparadas (I5611); Expendio Por Autoservicio De Comidas Preparadas (I5612); Actividades De Otros Servicios De Comidas (I5629)</t>
  </si>
  <si>
    <t>Cl 27 No. 23 49</t>
  </si>
  <si>
    <t>grupo.rdv@protonmail.com</t>
  </si>
  <si>
    <t>Reto Daniel Bütler (Representante Legal)</t>
  </si>
  <si>
    <t>Grupo Rb Capital Sas</t>
  </si>
  <si>
    <t>Bares y Otros Lugares para Beber(7224); Tiendas de Venta Directa(4543); Tiendas de Electrónica y de Venta por Correo(4541); Cervecerías, Vinaterías y Tiendas de Licores(4453)</t>
  </si>
  <si>
    <t>Comercio Al Por Menor De Bebidas Y Productos Del Tabaco, En Establecimientos Especializados (G4724); Comercio Al Por Menor De Otros Productos En Puestos De Venta Móviles (G4789); Comercio Al Por Menor Realizado A Través De Internet (G4791); Expendio De Bebidas Alcohólicas Para El Consumo Dentro Del Establecimiento (I5630)</t>
  </si>
  <si>
    <t>Tv 17 A No. 98 20 Of 901</t>
  </si>
  <si>
    <t>comercial@gruporbcapital.com</t>
  </si>
  <si>
    <t>Edwin Ricardo Roncancio Beltran (Representante Legal)</t>
  </si>
  <si>
    <t>Grupo Radar Sas</t>
  </si>
  <si>
    <t>Cr 29 No. 68 46</t>
  </si>
  <si>
    <t>lamacheleriash@gmail.com</t>
  </si>
  <si>
    <t>Raul Enrique Lopez Galiano (Representante Legal)</t>
  </si>
  <si>
    <t>Grupo Presente S.A.S</t>
  </si>
  <si>
    <t>Cra. 26 # 52A - 03</t>
  </si>
  <si>
    <t>presentebogota2021@gmail.com</t>
  </si>
  <si>
    <t>Natalia Andrea Nieto Albarracin (Representante Legal)</t>
  </si>
  <si>
    <t>Grupo Ponja Sas</t>
  </si>
  <si>
    <t>Cr 111 A No. 148 75</t>
  </si>
  <si>
    <t>grupoponja@gmail.com</t>
  </si>
  <si>
    <t>Diana Marcela Medina Giraldo (Representante Legal)</t>
  </si>
  <si>
    <t>Grupo Polka Sas</t>
  </si>
  <si>
    <t>Cl 96 No. 10 03</t>
  </si>
  <si>
    <t>pedidos@polkadotpasteleria.com</t>
  </si>
  <si>
    <t>Natalia Bohorquez Perry (Representante Legal)</t>
  </si>
  <si>
    <t>Grupo Parce Sas</t>
  </si>
  <si>
    <t>Cra 47 A # 98 - 29</t>
  </si>
  <si>
    <t>fabianboteroredes@gmail.com</t>
  </si>
  <si>
    <t>Grupo Pabe Sas</t>
  </si>
  <si>
    <t>Restaurantes y Otros Lugares para Comer(72251); Tiendas de Artículos Deportivos(45111); Tiendas de Electrónica y de Venta por Correo(4541)</t>
  </si>
  <si>
    <t>Comercio Al Por Menor De Artículos Deportivos, En Establecimientos Especializados (G4762); Comercio Al Por Menor Realizado A Través De Internet (G4791); Expendio Por Autoservicio De Comidas Preparadas (I5612)</t>
  </si>
  <si>
    <t>Cr 58 D No. 146 51</t>
  </si>
  <si>
    <t>pabe.alimentos@gmail.com</t>
  </si>
  <si>
    <t>Juan Diego Palacio Casas (Representante Legal)</t>
  </si>
  <si>
    <t>Grupo P3 S.A.S.</t>
  </si>
  <si>
    <t>Carrera 75 # 24D - 27 Oficina 201</t>
  </si>
  <si>
    <t>grupo.p3.sas@hotmail.com</t>
  </si>
  <si>
    <t>Leidy Tatiana Ramirez Rojas (Representante Legal)</t>
  </si>
  <si>
    <t>Grupo Otium Sas</t>
  </si>
  <si>
    <t>Empresas de Catering(72232); Dirección de Empresas(55111); Bares y Otros Lugares para Beber(7224)</t>
  </si>
  <si>
    <t>Expendio A La Mesa De Comidas Preparadas (I5611); Catering Para Eventos (I5621); Expendio De Bebidas Alcohólicas Para El Consumo Dentro Del Establecimiento (I5630); Actividades De Consultaría De Gestión (M7020)</t>
  </si>
  <si>
    <t>Cr 14 No. 83 53</t>
  </si>
  <si>
    <t>otiumgrupo@gmail.com</t>
  </si>
  <si>
    <t>Juan Camilo Lopez Piarpussan (Representante Legal)</t>
  </si>
  <si>
    <t>Grupo Nagomi Sas</t>
  </si>
  <si>
    <t>Cl 52 B Sur No. 24 45</t>
  </si>
  <si>
    <t>GRUPONAGOMISAS@GMAIL.COM</t>
  </si>
  <si>
    <t>Michael Brayan Pinilla Coy (Representante Legal)</t>
  </si>
  <si>
    <t>Grupo Nacional De Negocios S A S</t>
  </si>
  <si>
    <t>Cra 15 No. 22 - 69</t>
  </si>
  <si>
    <t>grunane@hotmail.com</t>
  </si>
  <si>
    <t>Gerardo Alberto Solanilla Gonzalez (Representante Legal)</t>
  </si>
  <si>
    <t>Grupo Mr Grill Mg Sas</t>
  </si>
  <si>
    <t>Cr 38 C No. 9 05 Sur</t>
  </si>
  <si>
    <t>mrgrill.villacountry@gmail.com</t>
  </si>
  <si>
    <t>Adriana Camila Mora Garcia (Representante Legal)</t>
  </si>
  <si>
    <t>Grupo Megamini Sas</t>
  </si>
  <si>
    <t>Bares y Otros Lugares para Beber(7224); Servicios Especiales de Comida(7223); Supermercados(4451); Arrendadores de Bienes Intangibles No Financieros (excepto Obras con los Derechos Reservados)(533)</t>
  </si>
  <si>
    <t>Comercio Al Por Menor En Establecimientos No Especializados Con Surtido Compuesto Principalmente Por Alimentos, Bebidas O Tabaco (G4711); Expendio A La Mesa De Comidas Preparadas (I5611); Expendio De Bebidas Alcohólicas Para El Consumo Dentro Del Establecimiento (I5630); Arrendamiento De Propiedad Intelectual Y Productos Similares, Excepto Obras Protegidas Por Derechos De Autor (N7740)</t>
  </si>
  <si>
    <t>Cl 127 A No. 51 A 90 Ap 312</t>
  </si>
  <si>
    <t>caro.caceres.salazar@gmail.com</t>
  </si>
  <si>
    <t>Carolina Caceres Salazar (Representante Legal)</t>
  </si>
  <si>
    <t>Grupo Mas S.A.S</t>
  </si>
  <si>
    <t>Empresas de Catering(72232); Bares y Otros Lugares para Beber(7224); Servicios de Diseño Especializado(5414)</t>
  </si>
  <si>
    <t>Expendio A La Mesa De Comidas Preparadas (I5611); Catering Para Eventos (I5621); Expendio De Bebidas Alcohólicas Para El Consumo Dentro Del Establecimiento (I5630); Actividades Especializadas De Diseño (M7410)</t>
  </si>
  <si>
    <t>Calle 150 16 56 Local 2068</t>
  </si>
  <si>
    <t>laburguecia@gmail.com</t>
  </si>
  <si>
    <t>Alvaro Andres Leiva Campuzano (Representante Legal)</t>
  </si>
  <si>
    <t>Grupo Mas Forza Cascajal Sas</t>
  </si>
  <si>
    <t>Cr 4 No. 64 A 14</t>
  </si>
  <si>
    <t>GRUPOMASFORZACASCAJALSAS@GMAIL.COM</t>
  </si>
  <si>
    <t>Jennifer Andrea Nuñez Leal (Representante Legal)</t>
  </si>
  <si>
    <t>Grupo Mas Col S.A.S.</t>
  </si>
  <si>
    <t>Demás Tipos de Industrias de Diversión y Recreativas(71399); Agencias de Publicidad(54181); Bares y Otros Lugares para Beber(7224); Cervecerías, Vinaterías y Tiendas de Licores(4453)</t>
  </si>
  <si>
    <t>Comercio Al Por Menor De Bebidas Y Productos Del Tabaco, En Establecimientos Especializados (G4724); Expendio De Bebidas Alcohólicas Para El Consumo Dentro Del Establecimiento (I5630); Publicidad (M7310); Otras Actividades Recreativas Y De Esparcimiento N.C.P. (R9329)</t>
  </si>
  <si>
    <t>Carrera 45 108 27 Torre 2 Ofc 501</t>
  </si>
  <si>
    <t>contabilidad@globalexpressrecruiting.com</t>
  </si>
  <si>
    <t>Fernando Augusto Valenzuela Posada (Representante Legal)</t>
  </si>
  <si>
    <t>Grupo Maravillas Sas</t>
  </si>
  <si>
    <t>Calle 66 Bis # 4 - 55</t>
  </si>
  <si>
    <t>grupomaravillassas@gmail.com</t>
  </si>
  <si>
    <t>Esteban Ordoñez Simmonds (Representante Legal)</t>
  </si>
  <si>
    <t>Grupo Mala Copa Sas</t>
  </si>
  <si>
    <t>Cr 89 No. 139 43</t>
  </si>
  <si>
    <t>mala.copa.contacto@gmail.com</t>
  </si>
  <si>
    <t>Johan Duvan Patiño Camargo (Representante Legal)</t>
  </si>
  <si>
    <t>Grupo Luda Sas</t>
  </si>
  <si>
    <t>Cl 5 Sur No. 11 B 12</t>
  </si>
  <si>
    <t>grupoluda4@gmail.com</t>
  </si>
  <si>
    <t>Luis Fernando Tovar Pardo (Representante Legal)</t>
  </si>
  <si>
    <t>Grupo Lucha Picante S.A.S</t>
  </si>
  <si>
    <t>Carrera 2 12 C 37</t>
  </si>
  <si>
    <t>luchapicante@hotmail.com</t>
  </si>
  <si>
    <t>Jose Julian Gomez Caballero (Representante Legal)</t>
  </si>
  <si>
    <t>Grupo Lookal Sas</t>
  </si>
  <si>
    <t>Otros Tipos De Expendio De Comidas Preparadas N.C.P. (I5619); Actividades De Otros Servicios De Comidas (I5629); Expendio De Bebidas Alcohólicas Para El Consumo Dentro Del Establecimiento (I5630)</t>
  </si>
  <si>
    <t>Calle 97 # 21 - 22</t>
  </si>
  <si>
    <t>luisalfonsozambrano@gmail.com</t>
  </si>
  <si>
    <t>Luis Alfonso Zambrano Cote (Representante Legal)</t>
  </si>
  <si>
    <t>Grupo Legalizar Sas</t>
  </si>
  <si>
    <t>Cafeterías y Bares para Bebidas sin Alcohol(722515); Oficinas de Abogados(54111); Oficinas de Agentes Inmobiliarios y Corredores(5312); Arrendadores de Bienes Inmuebles(5311)</t>
  </si>
  <si>
    <t>Oficinas de Abogados(54111)</t>
  </si>
  <si>
    <t>Expendio De Comidas Preparadas En Cafeterías (I5613); Actividades Inmobiliarias Realizadas Con Bienes Propios O Arrendados (L6810); Actividades Inmobiliarias Realizadas A Cambio De Una Retribución O Por Contrata (L6820); Actividades Jurídicas (M6910)</t>
  </si>
  <si>
    <t>Actividades Jurídicas (M6910)</t>
  </si>
  <si>
    <t>Cc Puerta Grande San Jose Cl 10 No. 22</t>
  </si>
  <si>
    <t>glegalizar@gmail.com</t>
  </si>
  <si>
    <t>Hector Ivan Osorio Carvajal (Representante Legal)</t>
  </si>
  <si>
    <t>Grupo Latin Bistro S.A.S</t>
  </si>
  <si>
    <t>Elaboración De Productos De Panadería (C1081); Expendio A La Mesa De Comidas Preparadas (I5611); Expendio De Comidas Preparadas En Cafeterías (I5613); Catering Para Eventos (I5621)</t>
  </si>
  <si>
    <t>Carrera 53 # 103B - 63</t>
  </si>
  <si>
    <t>administrativo@panelahaus.com</t>
  </si>
  <si>
    <t>Gonzalez Castaño Edwin Rafael (Representante Legal)</t>
  </si>
  <si>
    <t>Grupo Laf S.A.S</t>
  </si>
  <si>
    <t>Calle 116 17 32</t>
  </si>
  <si>
    <t>cuatro4cuervos@gmail.com</t>
  </si>
  <si>
    <t>Pedro Ferney Arrieta Socha (Representante Legal)</t>
  </si>
  <si>
    <t>Grupo La Lupe Col Sas</t>
  </si>
  <si>
    <t>Cl 24 C No. 75 24 Lc 201</t>
  </si>
  <si>
    <t>oficina.lalupebar@gmail.com</t>
  </si>
  <si>
    <t>Ivett Paola Enciso Acosta (Representante Legal)</t>
  </si>
  <si>
    <t>Grupo Kimi-K Sas</t>
  </si>
  <si>
    <t>Bares y Otros Lugares para Beber(7224); Comerciantes al por Mayor de Comestibles y Productos Relacionados(4244); Comerciantes al por Mayor de Madera y Otros Materiales de Construcción(4233)</t>
  </si>
  <si>
    <t>Comercio Al Por Mayor De Productos Alimenticios (G4631); Comercio Al Por Mayor De Materiales De Construcción, Artículos De Ferretería, Pinturas, Productos De Vidrio, Equipo Y Materiales De Fontanería Y Calefacción (G4663); Expendio De Bebidas Alcohólicas Para El Consumo Dentro Del Establecimiento (I5630)</t>
  </si>
  <si>
    <t>Cl 13 19 71 Of C - 12</t>
  </si>
  <si>
    <t>kimiks916@gmail.com</t>
  </si>
  <si>
    <t>Maria Hediht Rangel Ortiz (Representante Legal)</t>
  </si>
  <si>
    <t>Grupo Invervalle S.A.S</t>
  </si>
  <si>
    <t>Restaurantes y Otros Lugares para Comer(72251); Otras Tiendas de Comidas Artesanales(44529); Arrendadores de Bienes Inmuebles(5311); Arrendadores de Bienes Intangibles No Financieros (excepto Obras con los Derechos Reservados)(533)</t>
  </si>
  <si>
    <t>Comercio Al Por Menor De Otros Productos Alimenticios N.C.P., En Establecimientos Especializados (G4729); Expendio Por Autoservicio De Comidas Preparadas (I5612); Actividades Inmobiliarias Realizadas Con Bienes Propios O Arrendados (L6810); Arrendamiento De Propiedad Intelectual Y Productos Similares, Excepto Obras Protegidas Por Derechos De Autor (N7740)</t>
  </si>
  <si>
    <t>Calle 90 14 08</t>
  </si>
  <si>
    <t>grupoinvervalle@gmail.com</t>
  </si>
  <si>
    <t>Juan Jose Solanilla Zuluaga (Representante Legal)</t>
  </si>
  <si>
    <t>Grupo Inversionista Mac Sas</t>
  </si>
  <si>
    <t>Cl 118 No. 5 51 P 3 Lo 1</t>
  </si>
  <si>
    <t>gerencia@chaletsuizo.co</t>
  </si>
  <si>
    <t>Miguel Angel Chaparro Pinzon (Representante Legal)</t>
  </si>
  <si>
    <t>Grupo Inversiones Al-Hajj Sas</t>
  </si>
  <si>
    <t>Restaurantes y Otros Lugares para Comer(72251); Servicios Especiales de Comida(7223); Comerciantes al por Mayor de Prendas de Vestir, Bienes que se Venden por Yarda y Accesorios(4243)</t>
  </si>
  <si>
    <t>Comercio Al Por Mayor De Productos Textiles, Productos Confeccionados Para Uso Doméstico (G4641); Expendio A La Mesa De Comidas Preparadas (I5611); Expendio Por Autoservicio De Comidas Preparadas (I5612)</t>
  </si>
  <si>
    <t>Cl 152 B No. 55 45 Ap 401 To 6</t>
  </si>
  <si>
    <t>juandesaleh@aol.com</t>
  </si>
  <si>
    <t>Maher Hasan Saleh Ambra (Representante Legal)</t>
  </si>
  <si>
    <t>Grupo Internacional Good Manners Tattoo Sas</t>
  </si>
  <si>
    <t>Otros Servicios Personales(8129); Bares y Otros Lugares para Beber(7224); Arrendadores de Bienes Inmuebles(5311)</t>
  </si>
  <si>
    <t>Expendio De Bebidas Alcohólicas Para El Consumo Dentro Del Establecimiento (I5630); Actividades Inmobiliarias Realizadas Con Bienes Propios O Arrendados (L6810); Otras Actividades De Servicios Personales N.C.P. (S9609)</t>
  </si>
  <si>
    <t>Cr 13 No. 108 35</t>
  </si>
  <si>
    <t>goodmannersttt@gmail.com</t>
  </si>
  <si>
    <t>Juan Sebastian Serrano Alsina (Representante Legal)</t>
  </si>
  <si>
    <t>Grupo Hula Hula Sas</t>
  </si>
  <si>
    <t>Comercio Al Por Menor En Establecimientos No Especializados Con Surtido Compuesto Principalmente Por Alimentos, Bebidas O Tabaco (G4711); Expendio De Comidas Preparadas En Cafeterías (I5613); Otros Tipos De Expendio De Comidas Preparadas N.C.P. (I5619)</t>
  </si>
  <si>
    <t>Calle 147 # 17 - 95 Local 39 Centro Come</t>
  </si>
  <si>
    <t>HULAHULABOGOTA@GMAIL.COM</t>
  </si>
  <si>
    <t>Jessika Alexandra Salgado Camacho (Representante Legal)</t>
  </si>
  <si>
    <t>Grupo Hersam Sas</t>
  </si>
  <si>
    <t>Cl 119 B No. 5 31</t>
  </si>
  <si>
    <t>grupo.hersa.sas1@gmail.com</t>
  </si>
  <si>
    <t>Brando Alexander Saavedra Badillo (Representante Legal)</t>
  </si>
  <si>
    <t>Grupo Hernandez Bogota Sas</t>
  </si>
  <si>
    <t>Cl 58 Bis No. 10 33</t>
  </si>
  <si>
    <t>grupohernandezbogota@gmail.com</t>
  </si>
  <si>
    <t>Rosalba Hernandez Malambo (Representante Legal)</t>
  </si>
  <si>
    <t>Grupo Hanks S.A.S</t>
  </si>
  <si>
    <t>Calle 76A 112 15</t>
  </si>
  <si>
    <t>Juan Sneyder Cardenas Colorado (Representante Legal)</t>
  </si>
  <si>
    <t>Grupo Halita Sas</t>
  </si>
  <si>
    <t>Cl 62 No. 9 A 40 P 2</t>
  </si>
  <si>
    <t>halitabogota@gmail.com</t>
  </si>
  <si>
    <t>Katheleen Carol Schmitz (Representante Legal)</t>
  </si>
  <si>
    <t>Grupo Guache Sas</t>
  </si>
  <si>
    <t>Cr 7 F No. 161 A 20</t>
  </si>
  <si>
    <t>legal@salvaguardian.co</t>
  </si>
  <si>
    <t>Esteban Correa Mejia (Representante Legal)</t>
  </si>
  <si>
    <t>Grupo Gler Sas</t>
  </si>
  <si>
    <t>Cl 73 No. 69 B 15</t>
  </si>
  <si>
    <t>grupo.gler.sas@hotmail.com</t>
  </si>
  <si>
    <t>Esther Amado Rodriguez (Representante Legal)</t>
  </si>
  <si>
    <t>Grupo Giraldo Lopez Sas</t>
  </si>
  <si>
    <t>Cl 71 B No. 100 B 18</t>
  </si>
  <si>
    <t>lopezygiraldosas2019@gmail.com</t>
  </si>
  <si>
    <t>Doris Fabiola Lopez Hernandez (Representante Legal)</t>
  </si>
  <si>
    <t>Grupo Gastronomico Raices Sas</t>
  </si>
  <si>
    <t>Cr 14 No. 83 65</t>
  </si>
  <si>
    <t>miguelcuantincabrera@gmail.com</t>
  </si>
  <si>
    <t>Miguel Dario Cuatin Cabrera (Representante Legal)</t>
  </si>
  <si>
    <t>Grupo Gastronómico Macizo Sas</t>
  </si>
  <si>
    <t>Cr 8 No. 127 C - 88 Ap 501</t>
  </si>
  <si>
    <t>said.motta@gmail.com</t>
  </si>
  <si>
    <t>Grupo Garjim Sas</t>
  </si>
  <si>
    <t>Cr 16 A No. 135 84</t>
  </si>
  <si>
    <t>j.ubaldo21@gmail.com</t>
  </si>
  <si>
    <t>Jesus Ubaldo Garcia Rivas (Representante Legal)</t>
  </si>
  <si>
    <t>Grupo Garcia H Sas</t>
  </si>
  <si>
    <t>Carrera 21 103 54</t>
  </si>
  <si>
    <t>nicolasgarciahoyos@gmail.com</t>
  </si>
  <si>
    <t>Nicolas Garcia Hoyos (Representante Legal)</t>
  </si>
  <si>
    <t>Grupo Gaman S.A.S</t>
  </si>
  <si>
    <t>Calle 24 C 80 B 39 Local 101</t>
  </si>
  <si>
    <t>grupogamansas@gmail.com</t>
  </si>
  <si>
    <t>Grupo Galf Sas</t>
  </si>
  <si>
    <t>Tv 58 C Bis No. 128 A 33</t>
  </si>
  <si>
    <t>grupogalf@gmail.com</t>
  </si>
  <si>
    <t>Andres Marquez Ramirez (Representante Legal)</t>
  </si>
  <si>
    <t>Grupo G Y C Compañia S.A.S</t>
  </si>
  <si>
    <t>Otros Servicios de Apoyo de Negocios(56149); Bares y Otros Lugares para Beber(7224); Industrias de Juego(7132)</t>
  </si>
  <si>
    <t>Expendio De Bebidas Alcohólicas Para El Consumo Dentro Del Establecimiento (I5630); Otras Actividades De Servicio De Apoyo A Las Empresas N.C.P. (N8299); Actividades De Juegos De Azar Y Apuestas (R9200)</t>
  </si>
  <si>
    <t>Cl 180 No. 11 20 Lc</t>
  </si>
  <si>
    <t>grupogyccia@gmail.com</t>
  </si>
  <si>
    <t>Blanca Belen Jaime Contreras (Representante Legal)</t>
  </si>
  <si>
    <t>Grupo Fatima 434 Sas</t>
  </si>
  <si>
    <t>Restaurantes y Otros Lugares para Comer(72251); Servicios de Ingeniería(54133); Servicios de Administrativos de Oficina(5611); Arrendadores de Bienes Inmuebles(5311)</t>
  </si>
  <si>
    <t>Expendio Por Autoservicio De Comidas Preparadas (I5612); Actividades Inmobiliarias Realizadas Con Bienes Propios O Arrendados (L6810); Actividades De Ingeniería Y Otras Actividades Conexas De Consultoría Técnica (M7112); Actividades Combinadas De Servicios Administrativos De Oficina (N8211)</t>
  </si>
  <si>
    <t>Cl 4 No. 71 A 27</t>
  </si>
  <si>
    <t>grupofatima434@yahoo.es</t>
  </si>
  <si>
    <t>Alvaro Fernando Henao Garcia (Representante Legal)</t>
  </si>
  <si>
    <t>Grupo Faoa Sas</t>
  </si>
  <si>
    <t>Cra 4Bis # 58 - 60</t>
  </si>
  <si>
    <t>administracion@nieblarestaurante.com</t>
  </si>
  <si>
    <t>Santiago Ortiz Arango (Representante Legal)</t>
  </si>
  <si>
    <t>Grupo F . Alfaro Sas</t>
  </si>
  <si>
    <t>Cl 128 Bis A No. 58 A - 86</t>
  </si>
  <si>
    <t>DELIDEFICIT@GMAIL.COM</t>
  </si>
  <si>
    <t>Francisca Lorena Alfaro Herrera (Representante Legal)</t>
  </si>
  <si>
    <t>Grupo Empresarial Yesmar C.Q S A S</t>
  </si>
  <si>
    <t>Cl 14 No. 21 45</t>
  </si>
  <si>
    <t>yeseniarevalo.trabajo@gmail.com</t>
  </si>
  <si>
    <t>Yesenia Arevalo Torres (Representante Legal)</t>
  </si>
  <si>
    <t>Grupo Empresarial Xl Sabana S.A.S</t>
  </si>
  <si>
    <t>Cra 54 D No. 186 - 85</t>
  </si>
  <si>
    <t>xlsabana@gmail.com</t>
  </si>
  <si>
    <t>Gabriel Alexander Varon Contreras (Representante Legal)</t>
  </si>
  <si>
    <t>Grupo Empresarial Vasquez Ardila S.A.S</t>
  </si>
  <si>
    <t>Cra 7 A No 121 48</t>
  </si>
  <si>
    <t>gerencia@burgers.com.co</t>
  </si>
  <si>
    <t>Juan Camilo Vasquez Ardila (Representante Legal)</t>
  </si>
  <si>
    <t>Grupo Empresarial Urantia Sas</t>
  </si>
  <si>
    <t>Oficinas de Convenciones y Visitantes(561591); Demás Tipos de Industrias de Diversión y Recreativas(71399); Bares y Otros Lugares para Beber(7224); Arrendadores de Bienes Intangibles No Financieros (excepto Obras con los Derechos Reservados)(533)</t>
  </si>
  <si>
    <t>Expendio De Bebidas Alcohólicas Para El Consumo Dentro Del Establecimiento (I5630); Arrendamiento De Propiedad Intelectual Y Productos Similares, Excepto Obras Protegidas Por Derechos De Autor (N7740); Organización De Convenciones Y Eventos Comerciales (N8230); Otras Actividades Recreativas Y De Esparcimiento N.C.P. (R9329)</t>
  </si>
  <si>
    <t>Cl 42 C Sur No. 78 P 21 Of 202</t>
  </si>
  <si>
    <t>gurantia@gmail.com</t>
  </si>
  <si>
    <t>Wilson Ronni Ochoa Rodriguez (Representante Legal)</t>
  </si>
  <si>
    <t>Grupo Empresarial Tantonella Sas</t>
  </si>
  <si>
    <t>Cr 54 No. 153 - 75 To 2 Apto 813</t>
  </si>
  <si>
    <t>GE.TANTONELLA@GMAIL.COM</t>
  </si>
  <si>
    <t>Miguel Angel Terreros Bejarano (Representante Legal)</t>
  </si>
  <si>
    <t>Grupo Empresarial Pesa Sas</t>
  </si>
  <si>
    <t>Empresas de Catering(72232); Destilerías(31214); Bares y Otros Lugares para Beber(7224)</t>
  </si>
  <si>
    <t>Destilación, Rectificación Y Mezcla De Bebidas Alcohólicas (C1101); Expendio A La Mesa De Comidas Preparadas (I5611); Catering Para Eventos (I5621); Expendio De Bebidas Alcohólicas Para El Consumo Dentro Del Establecimiento (I5630)</t>
  </si>
  <si>
    <t>Cl 34 Sur No. 75 - 06</t>
  </si>
  <si>
    <t>kamaleon.restaurantes@gmail.com</t>
  </si>
  <si>
    <t>Cesar Leonardo Peña Bernal (Representante Legal)</t>
  </si>
  <si>
    <t>Grupo Empresarial Palma Medina Sas</t>
  </si>
  <si>
    <t>Cafeterías y Bares para Bebidas sin Alcohol(722515); Grupos Musicales y Artistas(71113); Escuelas de Bellas Artes(61161); Tiendas de Artículos Deportivos, Hobbies e Instrumentos Musicales(4511)</t>
  </si>
  <si>
    <t>Comercio Al Por Menor De Otros Artículos Culturales Y De Entretenimiento N.C.P. En Establecimientos Especializados (G4769); Expendio De Comidas Preparadas En Cafeterías (I5613); Enseñanza Cultural (P8553); Actividades De Espectáculos Musicales En Vivo (R9007)</t>
  </si>
  <si>
    <t>Diagonal 182 20 91 L</t>
  </si>
  <si>
    <t>anniemedinamanager@gmail.com</t>
  </si>
  <si>
    <t>Ana Maria Medina Garcia (Representante Legal)</t>
  </si>
  <si>
    <t>Grupo Empresarial Mym S.A.S</t>
  </si>
  <si>
    <t>Otros Alojamientos para Viajeros(72119); Bares y Otros Lugares para Beber(7224); Servicios Especiales de Comida(7223); Supermercados(4451)</t>
  </si>
  <si>
    <t>Comercio Al Por Menor En Establecimientos No Especializados Con Surtido Compuesto Principalmente Por Alimentos, Bebidas O Tabaco (G4711); Alojamiento En Apartahoteles (I5512); Otros Tipos De Expendio De Comidas Preparadas N.C.P. (I5619); Expendio De Bebidas Alcohólicas Para El Consumo Dentro Del Establecimiento (I5630)</t>
  </si>
  <si>
    <t>Cr 49 No. 93 41 Of 203.</t>
  </si>
  <si>
    <t>gempresarialmym@gmail.com</t>
  </si>
  <si>
    <t>Monica Andrea Forero Marroquin (Representante Legal)</t>
  </si>
  <si>
    <t>Grupo Empresarial Moniquireña Sas</t>
  </si>
  <si>
    <t>Cl 1 C No. 53 55</t>
  </si>
  <si>
    <t>grupomoniquirena@gmail.com</t>
  </si>
  <si>
    <t>Yeimi Robles Contreras (Representante Legal)</t>
  </si>
  <si>
    <t>Grupo Empresarial M&amp;J S.A.S</t>
  </si>
  <si>
    <t>Carrera 14 A 83 10</t>
  </si>
  <si>
    <t>grupoempresarialorm23@gmail.com</t>
  </si>
  <si>
    <t>Milena Ortegon Roa (Representante Legal)</t>
  </si>
  <si>
    <t>Grupo Empresarial Lorduy &amp; Correa S.A.S</t>
  </si>
  <si>
    <t>Cl 163 B No. 50 64</t>
  </si>
  <si>
    <t>thelordcompanycerveceria@gmail.com</t>
  </si>
  <si>
    <t>Paola Lorduy Castro (Representante Legal)</t>
  </si>
  <si>
    <t>Grupo Empresarial Lmr Tematicas Con Sentido S.A.S</t>
  </si>
  <si>
    <t>Calle 8 Sur 37 21</t>
  </si>
  <si>
    <t>deleitegarden@gmail.com</t>
  </si>
  <si>
    <t>Maria Lilibeth Morales Rodriguez (Representante Legal)</t>
  </si>
  <si>
    <t>Grupo Empresarial La Carreta S.A.S.</t>
  </si>
  <si>
    <t>Cr 72 A No. 55 70</t>
  </si>
  <si>
    <t>gbogoya@hotmail.com</t>
  </si>
  <si>
    <t>John Faber Gallego Diaz (Representante Legal)</t>
  </si>
  <si>
    <t>Grupo Empresarial Horreo Asgaya Sas</t>
  </si>
  <si>
    <t>Cl 96 No. 11 A 15</t>
  </si>
  <si>
    <t>elmanchego.restaurant@gmail.com</t>
  </si>
  <si>
    <t>Jose Luis Fernandez Garcia (Representante Legal)</t>
  </si>
  <si>
    <t>Grupo Empresarial Gonbec Sas</t>
  </si>
  <si>
    <t>Expendio A La Mesa De Comidas Preparadas (I5611); Expendio De Comidas Preparadas En Cafeterías (I5613); Otros Tipos De Expendio De Comidas Preparadas N.C.P. (I5619); Actividades De Otros Servicios De Comidas (I5629)</t>
  </si>
  <si>
    <t>Ac 19 No. 4 38 Lc 11</t>
  </si>
  <si>
    <t>facturagonbecsas@hotmail.com</t>
  </si>
  <si>
    <t>Adelia Gonzalez Garavito (Representante Legal)</t>
  </si>
  <si>
    <t>Grupo Empresarial G3 Company S.A.S</t>
  </si>
  <si>
    <t>Construcción de Edificios Residenciales(23611); Bares y Otros Lugares para Beber(7224); Servicios Especiales de Comida(7223); Supermercados(4451)</t>
  </si>
  <si>
    <t>Construcción De Edificios Residenciales (F4111); Comercio Al Por Menor En Establecimientos No Especializados Con Surtido Compuesto Principalmente Por Alimentos, Bebidas O Tabaco (G4711); Expendio A La Mesa De Comidas Preparadas (I5611); Expendio De Bebidas Alcohólicas Para El Consumo Dentro Del Establecimiento (I5630)</t>
  </si>
  <si>
    <t>Calle 26 No. 69 - 63 Local 106</t>
  </si>
  <si>
    <t>grupoempresarialg3company@gmail.com</t>
  </si>
  <si>
    <t>Edison Alexander Leuro Gutierrez (Representante Legal)</t>
  </si>
  <si>
    <t>Grupo Empresarial Fenix Leon S.A.S</t>
  </si>
  <si>
    <t>Otras Telecomunicaciones(51791); Comerciantes al por Mayor de Electrodomésticos, Artículos del Hogar Eléctricos y Electrónicos de Consumo(42362); Bares y Otros Lugares para Beber(7224); Servicios Especiales de Comida(7223)</t>
  </si>
  <si>
    <t>Otras Telecomunicaciones(51791)</t>
  </si>
  <si>
    <t>Comercio Al Por Mayor De Equipo, Partes Y Piezas Electrónicos Y De Telecomunicaciones (G4652); Expendio A La Mesa De Comidas Preparadas (I5611); Expendio De Bebidas Alcohólicas Para El Consumo Dentro Del Establecimiento (I5630); Otras Actividades De Telecomunicaciones (J6190)</t>
  </si>
  <si>
    <t>Otras Actividades De Telecomunicaciones (J6190)</t>
  </si>
  <si>
    <t>Av Cra 24 # 65 - 18 Local 01</t>
  </si>
  <si>
    <t>natalialeon777@hotmail.com</t>
  </si>
  <si>
    <t>Natalia Del Pilar Leon Garzon (Representante Legal)</t>
  </si>
  <si>
    <t>Grupo Empresarial Familia Soundclub Sas</t>
  </si>
  <si>
    <t>Grupos Musicales y Artistas(71113); Bares y Otros Lugares para Beber(7224); Otro Tipo de Industrias de Diversión y Recreación(7139); Servicios Relacionados con el Transporte por Carretera(4884)</t>
  </si>
  <si>
    <t>Actividades De Estaciones, Vías Y Servicios Complementarios Para El Transporte Terrestre (H5221); Expendio De Bebidas Alcohólicas Para El Consumo Dentro Del Establecimiento (I5630); Actividades De Espectáculos Musicales En Vivo (R9007); Actividades De Clubes Deportivos (R9312)</t>
  </si>
  <si>
    <t>Cl 17 Sur No. 16 31</t>
  </si>
  <si>
    <t>GEFAMILIASOUNDCLUB@GMAIL.COM</t>
  </si>
  <si>
    <t>Ruben Dario Restrepo Ramirez (Representante Legal)</t>
  </si>
  <si>
    <t>Grupo Empresarial El Madero Sas</t>
  </si>
  <si>
    <t>Cl 65 F Sur No. 79 B 61</t>
  </si>
  <si>
    <t>toledojd@hotmail.com</t>
  </si>
  <si>
    <t>Jose David Toledo Aguilar (Representante Legal)</t>
  </si>
  <si>
    <t>Grupo Empresarial De Relaciones Especiales S A S</t>
  </si>
  <si>
    <t>Cl 76 No. 16 20 P 2</t>
  </si>
  <si>
    <t>gedressas@gmail.com</t>
  </si>
  <si>
    <t>Luis Oswaldo Morantes Sabogal (Representante Legal)</t>
  </si>
  <si>
    <t>Grupo Empresarial Cervimaj S.A.S</t>
  </si>
  <si>
    <t>Cr 65 No. 11 50 Lc 353 A Ccial Plaza Cen</t>
  </si>
  <si>
    <t>roldanjuan03@hotmail.com</t>
  </si>
  <si>
    <t>Cesar Augusto Roldan Garcia (Representante Legal)</t>
  </si>
  <si>
    <t>Grupo Empresarial Cemilla Sas</t>
  </si>
  <si>
    <t>Cr 7 C No. 125 11</t>
  </si>
  <si>
    <t>alisacafelocal@gmail.com</t>
  </si>
  <si>
    <t>Jose Leonardo Alfonso Coba (Representante Legal)</t>
  </si>
  <si>
    <t>Grupo Empresarial Casgar Sas</t>
  </si>
  <si>
    <t>Cra 11A # 98 - 49 Local 2</t>
  </si>
  <si>
    <t>gecasgarsas@gmail.com</t>
  </si>
  <si>
    <t>Luis Ernesto Castellanos Garcia (Representante Legal)</t>
  </si>
  <si>
    <t>Grupo Empresarial Capital 360 Sas</t>
  </si>
  <si>
    <t>Oficinas de Convenciones y Visitantes(561591); Otros Servicios de Apoyo de Negocios(56149); Bares y Otros Lugares para Beber(7224)</t>
  </si>
  <si>
    <t>Expendio De Bebidas Alcohólicas Para El Consumo Dentro Del Establecimiento (I5630); Organización De Convenciones Y Eventos Comerciales (N8230); Otras Actividades De Servicio De Apoyo A Las Empresas N.C.P. (N8299)</t>
  </si>
  <si>
    <t>Cll 16 S 16 84</t>
  </si>
  <si>
    <t>valumania823@gmail.com</t>
  </si>
  <si>
    <t>Victor Armando Leon Urrego (Representante Legal)</t>
  </si>
  <si>
    <t>Grupo Empresarial Becar S A S</t>
  </si>
  <si>
    <t>Cafeterías y Bares para Bebidas sin Alcohol(722515); Bares y Otros Lugares para Beber(7224); Cervecerías, Vinaterías y Tiendas de Licores(4453); Supermercados(4451)</t>
  </si>
  <si>
    <t>Comercio Al Por Menor En Establecimientos No Especializados Con Surtido Compuesto Principalmente Por Alimentos, Bebidas O Tabaco (G4711); Comercio Al Por Menor De Bebidas Y Productos Del Tabaco, En Establecimientos Especializados (G4724); Expendio De Comidas Preparadas En Cafeterías (I5613); Expendio De Bebidas Alcohólicas Para El Consumo Dentro Del Establecimiento (I5630)</t>
  </si>
  <si>
    <t>Cr 14 No. 70 22</t>
  </si>
  <si>
    <t>girocontableviro@gmail.com</t>
  </si>
  <si>
    <t>Hector Julio Bejarano Cardenas (Representante Legal)</t>
  </si>
  <si>
    <t>Grupo Empresarial Ag&amp;B Sas</t>
  </si>
  <si>
    <t>Oficinas de Convenciones y Visitantes(561591); Hoteles (excepto Hoteles Casino) y Moteles(72111); Bares y Otros Lugares para Beber(7224)</t>
  </si>
  <si>
    <t>Alojamiento En Hoteles (I5511); Expendio De Bebidas Alcohólicas Para El Consumo Dentro Del Establecimiento (I5630); Otros Servicios De Reserva Y Actividades Relacionadas (N7990); Organización De Convenciones Y Eventos Comerciales (N8230)</t>
  </si>
  <si>
    <t>Cr 89 156 55</t>
  </si>
  <si>
    <t>grupoempresarialagb@gmail.com</t>
  </si>
  <si>
    <t>Andres Gamba Bermudez (Representante Legal)</t>
  </si>
  <si>
    <t>Grupo Empresarial 99 Sas</t>
  </si>
  <si>
    <t>Calle 24 C # 80 A 15</t>
  </si>
  <si>
    <t>99burguerbogota@gmail.com</t>
  </si>
  <si>
    <t>Sandra Patricia Cortes Sanchez (Representante Legal)</t>
  </si>
  <si>
    <t>Grupo Empresarial 70.12 Sas</t>
  </si>
  <si>
    <t>Cr 6 # 49 - 51</t>
  </si>
  <si>
    <t>jcpgroupsas@gmail.com</t>
  </si>
  <si>
    <t>Maria Paula Pinto Vargas (Representante Legal)</t>
  </si>
  <si>
    <t>Grupo El Independiente Sas</t>
  </si>
  <si>
    <t>Cl 150 B No. 103 C 80</t>
  </si>
  <si>
    <t>ELINDEPENDIENTESAS@GMAIL.COM</t>
  </si>
  <si>
    <t>Daniela Vasquez Ballen (Representante Legal)</t>
  </si>
  <si>
    <t>Grupo Edén Sas</t>
  </si>
  <si>
    <t>Oficinas de Convenciones y Visitantes(561591); Otras Organizaciones Similares (excepto Organizaciones de Negocios, Profesionales, de Trabajadores y Políticas)(81399); Bares y Otros Lugares para Beber(7224)</t>
  </si>
  <si>
    <t>Expendio De Bebidas Alcohólicas Para El Consumo Dentro Del Establecimiento (I5630); Organización De Convenciones Y Eventos Comerciales (N8230); Actividades De Otras Asociaciones N.C.P. (S9499)</t>
  </si>
  <si>
    <t>Cr 14 No. 82 71</t>
  </si>
  <si>
    <t>partyinc.col@gmail.com</t>
  </si>
  <si>
    <t>Juan Diego Ortegon Acosta (Representante Legal)</t>
  </si>
  <si>
    <t>Grupo Down Sas</t>
  </si>
  <si>
    <t>Cr 5 117 45</t>
  </si>
  <si>
    <t>downmexicanway@gmail.com</t>
  </si>
  <si>
    <t>Johnny Stevans Bolivar Martinez (Representante Legal)</t>
  </si>
  <si>
    <t>Grupo Dolce Vita Sas</t>
  </si>
  <si>
    <t>Cl 31 Sur No. 69 A 02</t>
  </si>
  <si>
    <t>grupodolcevita2022@hotmail.com</t>
  </si>
  <si>
    <t>Maria Alejandra Aristizabal Rojas (Representante Legal)</t>
  </si>
  <si>
    <t>Grupo Digital Celf Sas</t>
  </si>
  <si>
    <t>Cafeterías y Bares para Bebidas sin Alcohol(722515); Servicios Especiales de Comida(7223); Arrendadores de Bienes Intangibles No Financieros (excepto Obras con los Derechos Reservados)(533)</t>
  </si>
  <si>
    <t>Expendio De Comidas Preparadas En Cafeterías (I5613); Otros Tipos De Expendio De Comidas Preparadas N.C.P. (I5619); Arrendamiento De Propiedad Intelectual Y Productos Similares, Excepto Obras Protegidas Por Derechos De Autor (N7740)</t>
  </si>
  <si>
    <t>Avenida Calle 52 72 A 29</t>
  </si>
  <si>
    <t>GRUPODIGITALCELF@GMAIL.COM</t>
  </si>
  <si>
    <t>Camilo Andres Riaño Pedraza (Representante Legal)</t>
  </si>
  <si>
    <t>Grupo Depa S.A.S</t>
  </si>
  <si>
    <t>Calle 12 9 16</t>
  </si>
  <si>
    <t>grupodepasas@gmail.com</t>
  </si>
  <si>
    <t>Jacobo De La Vega Paipa (Representante Legal)</t>
  </si>
  <si>
    <t>Grupo De Negocios Cassan S.A.S</t>
  </si>
  <si>
    <t>Cl 78B # 116B - 50</t>
  </si>
  <si>
    <t>luiscastaneda1809@gmail.com</t>
  </si>
  <si>
    <t>Luis Antonio Castañeda Vargas (Representante Legal)</t>
  </si>
  <si>
    <t>Grupo De Inversiones Milagro Sas</t>
  </si>
  <si>
    <t>Restaurantes y Otros Lugares para Comer(72251); Grupos Musicales y Artistas(71113); Bares y Otros Lugares para Beber(7224); Servicios Especiales de Comida(7223)</t>
  </si>
  <si>
    <t>Expendio A La Mesa De Comidas Preparadas (I5611); Expendio Por Autoservicio De Comidas Preparadas (I5612); Expendio De Bebidas Alcohólicas Para El Consumo Dentro Del Establecimiento (I5630); Actividades De Espectáculos Musicales En Vivo (R9007)</t>
  </si>
  <si>
    <t>Calle 83 # 14 - 13 Piso 2</t>
  </si>
  <si>
    <t>ALBERTOGRAOL@GMAIL.COM</t>
  </si>
  <si>
    <t>Milena Margarita Borrero Rodriguez (Representante Legal)</t>
  </si>
  <si>
    <t>Grupo De Inversiones Ago S.A.S.</t>
  </si>
  <si>
    <t>Cr 14 No. 82 - 87</t>
  </si>
  <si>
    <t>albertograol@hotmail.com</t>
  </si>
  <si>
    <t>Grupo Darta S.A.S</t>
  </si>
  <si>
    <t>Carrera 17 # 137 - 27</t>
  </si>
  <si>
    <t>arteaga_d@hotmail.com</t>
  </si>
  <si>
    <t>Daniel Arteaga Angel (Representante Legal)</t>
  </si>
  <si>
    <t>Grupo Danko S.A.S</t>
  </si>
  <si>
    <t>Cr 3 No. 12 D 83</t>
  </si>
  <si>
    <t>grupodankosas@gmail.com</t>
  </si>
  <si>
    <t>Dave Gerd Romero Patarroyo (Representante Legal)</t>
  </si>
  <si>
    <t>Grupo Crg S.A.S</t>
  </si>
  <si>
    <t>Cl 174 No. 7 80</t>
  </si>
  <si>
    <t>dianacaro1976@gmail.com</t>
  </si>
  <si>
    <t>Diana Carolina Garzon Romero (Representante Legal)</t>
  </si>
  <si>
    <t>Grupo Corola S A S</t>
  </si>
  <si>
    <t>Restaurantes y Otros Lugares para Comer(72251); Demás Tipos de Industrias de Diversión y Recreativas(71399); Otras Compañías de Artes Escénicas(71119); Bares y Otros Lugares para Beber(7224)</t>
  </si>
  <si>
    <t>Expendio Por Autoservicio De Comidas Preparadas (I5612); Expendio De Bebidas Alcohólicas Para El Consumo Dentro Del Establecimiento (I5630); Otras Actividades De Espectáculos En Vivo N.C.P. (R9008); Otras Actividades Recreativas Y De Esparcimiento N.C.P. (R9329)</t>
  </si>
  <si>
    <t>Cra 2A # 17 - 60</t>
  </si>
  <si>
    <t>grupocorolasas@gmail.com</t>
  </si>
  <si>
    <t>Angela Yaneth Arroyo Mena (Representante Legal)</t>
  </si>
  <si>
    <t>Grupo Corazón Contento S.A.S</t>
  </si>
  <si>
    <t>Calle 126 A 7 83 Apartamento 505</t>
  </si>
  <si>
    <t>ing-moron@hotmail.com</t>
  </si>
  <si>
    <t>Julio Andres Moron Ovalle (Representante Legal)</t>
  </si>
  <si>
    <t>Grupo Contento Sas</t>
  </si>
  <si>
    <t>Cl 63 C 69 C 07</t>
  </si>
  <si>
    <t>grupocontentosas@gmail.com</t>
  </si>
  <si>
    <t>Jose David Gonzalez Castaño (Representante Legal)</t>
  </si>
  <si>
    <t>Grupo Colorado S.A.S</t>
  </si>
  <si>
    <t>Cl 65 Bis No. 4 - 05</t>
  </si>
  <si>
    <t>coloradopanaderia@gmail.com</t>
  </si>
  <si>
    <t>Ivan Andres Cadena Galvis (Representante Legal)</t>
  </si>
  <si>
    <t>Grupo Cocina Pacifico Sas</t>
  </si>
  <si>
    <t>Restaurantes y Otros Lugares para Comer(72251); Carnicerías(44521); Servicios Especiales de Comida(7223); Conservación de Frutas, Verduras y Fabricación de Alimentos Especializados(3114)</t>
  </si>
  <si>
    <t>Procesamiento Y Conservación De Frutas, Legumbres, Hortalizas Y Tubérculos (C1020); Comercio Al Por Menor De Carnes (Incluye Aves De Corral), Productos Cárnicos, Pescados Y Productos De Mar, En Establecimientos Especializados (G4723); Expendio A La Mesa De Comidas Preparadas (I5611); Expendio Por Autoservicio De Comidas Preparadas (I5612)</t>
  </si>
  <si>
    <t>Ak 45 No. 166 80</t>
  </si>
  <si>
    <t>grupococinapacifico@gmail.com</t>
  </si>
  <si>
    <t>Santiago Rojas Alegria (Representante Legal)</t>
  </si>
  <si>
    <t>Grupo Cocina Pacifico Aeropuerto De Barranquilla S.A.S.</t>
  </si>
  <si>
    <t>Cl 93 A No. 12 - 35 Salvio</t>
  </si>
  <si>
    <t>RODRIGUEZANDRES1019@GMAIL.COM</t>
  </si>
  <si>
    <t>Tulio Hostillo Portal Rodriguez (Representante Legal)</t>
  </si>
  <si>
    <t>Grupo Cocina Pacifico 93 S.A.S.</t>
  </si>
  <si>
    <t>Cl 93 A No 12 - 35</t>
  </si>
  <si>
    <t>grupococinapacifico93@gmail.com</t>
  </si>
  <si>
    <t>Eliana Lucia Lucas (Representante Legal)</t>
  </si>
  <si>
    <t>Grupo Cob Sas</t>
  </si>
  <si>
    <t>Cr 17 A No. 122 27</t>
  </si>
  <si>
    <t>antagonicobistro@gmail.com</t>
  </si>
  <si>
    <t>Marisol Forero Espitia (Representante Legal)</t>
  </si>
  <si>
    <t>Grupo Cmj Sas</t>
  </si>
  <si>
    <t>Cr 6 No. 151 79 Ap 1101</t>
  </si>
  <si>
    <t>grupocmjsas@gmail.com</t>
  </si>
  <si>
    <t>Cristhian Mauricio Maldonado Gonzalez (Representante Legal)</t>
  </si>
  <si>
    <t>Grupo Cinema Barbería Sas</t>
  </si>
  <si>
    <t>Cafeterías y Bares para Bebidas sin Alcohol(722515); Servicios de Cuidado de Uñas, Pelo y Piel(81211); Servicios Especiales de Comida(7223)</t>
  </si>
  <si>
    <t>Expendio A La Mesa De Comidas Preparadas (I5611); Expendio De Comidas Preparadas En Cafeterías (I5613); Peluquería Y Otros Tratamientos De Belleza (S9602)</t>
  </si>
  <si>
    <t>Cr 9 No. 60 70</t>
  </si>
  <si>
    <t>oriana.rincon@hotmail.com</t>
  </si>
  <si>
    <t>Oriana Janeth Rincon Torres (Representante Legal)</t>
  </si>
  <si>
    <t>Grupo Casqua Sas</t>
  </si>
  <si>
    <t>Cl 144 No. 12 41 Ca 16</t>
  </si>
  <si>
    <t>gerencia@grupocasqua.com</t>
  </si>
  <si>
    <t>Nancy Calderon Sanchez (Representante Legal)</t>
  </si>
  <si>
    <t>Grupo Casa Del Bosque Sas</t>
  </si>
  <si>
    <t>Grupos Musicales y Artistas(71113); Comerciantes al por Mayor de Tabaco y Productos de Tabaco(42494); Cerveceras(31212); Bares y Otros Lugares para Beber(7224); Comerciantes al por Mayor de Cerveza, Vino y Bebidas Alcohólicas(4248)</t>
  </si>
  <si>
    <t>Producción De Malta, Elaboración De Cervezas Y Otras Bebidas Malteadas (C1103); Comercio Al Por Mayor De Bebidas Y Tabaco (G4632); Expendio De Bebidas Alcohólicas Para El Consumo Dentro Del Establecimiento (I5630); Actividades De Espectáculos Musicales En Vivo (R9007)</t>
  </si>
  <si>
    <t>Cl 196 C No. 18 31</t>
  </si>
  <si>
    <t>efrain.amaya@cerveceriacasadelbosque.com</t>
  </si>
  <si>
    <t>Efrain Amaya Vanegas (Representante Legal)</t>
  </si>
  <si>
    <t>Grupo Carbonoso Sas</t>
  </si>
  <si>
    <t>Cl 95 # 47 - 46</t>
  </si>
  <si>
    <t>bonillag.alejandro@gmail.com</t>
  </si>
  <si>
    <t>Alejandro Bonilla Garduño (Representante Legal)</t>
  </si>
  <si>
    <t>Grupo Cantabrico Sas</t>
  </si>
  <si>
    <t>Cr 14 No. 83 70</t>
  </si>
  <si>
    <t>cantabrico.2020@gmail.com</t>
  </si>
  <si>
    <t>Ronald Godoy Burgos (Representante Legal)</t>
  </si>
  <si>
    <t>Grupo Boro Sas</t>
  </si>
  <si>
    <t>Cl 55 No. 13 51</t>
  </si>
  <si>
    <t>grupo.bororoom@gmail.com</t>
  </si>
  <si>
    <t>Jorge Andres Pedraza Saavedra (Representante Legal)</t>
  </si>
  <si>
    <t>Grupo Ber Sas En Liquidacion</t>
  </si>
  <si>
    <t>asociados.esbero@hotmail.com</t>
  </si>
  <si>
    <t>Grupo Bdg Sas</t>
  </si>
  <si>
    <t>Cl 72 No. 74 A 37</t>
  </si>
  <si>
    <t>labirriadelgordotaqueriabar@gmail.com</t>
  </si>
  <si>
    <t>Grupo Barrilisimo Sas</t>
  </si>
  <si>
    <t>Restaurantes y Otros Lugares para Comer(72251); Empresas de Catering(72232); Supermercados y Otras Tiendas de Abarrotes(44511)</t>
  </si>
  <si>
    <t>Comercio Al Por Menor De Alimentos, Bebidas Y Tabaco, En Puestos De Venta Móviles (G4781); Expendio A La Mesa De Comidas Preparadas (I5611); Expendio Por Autoservicio De Comidas Preparadas (I5612); Catering Para Eventos (I5621)</t>
  </si>
  <si>
    <t>Cr 68 No. 169 A - 72</t>
  </si>
  <si>
    <t>BARRILISIMO@GMAIL.COM</t>
  </si>
  <si>
    <t>Gabriel Fernando Pulido Sierra (Representante Legal)</t>
  </si>
  <si>
    <t>Grupo Baquero Serrano Sas</t>
  </si>
  <si>
    <t>Cafeterías y Bares para Bebidas sin Alcohol(722515); Otros Servicios de Apoyo de Negocios(56149); Agencias de Publicidad(54181)</t>
  </si>
  <si>
    <t>Expendio De Comidas Preparadas En Cafeterías (I5613); Publicidad (M7310); Otras Actividades De Servicio De Apoyo A Las Empresas N.C.P. (N8299)</t>
  </si>
  <si>
    <t>Carrera 5 92 A 41</t>
  </si>
  <si>
    <t>ventas@ba-hue.com</t>
  </si>
  <si>
    <t>Nicolas Baquero Serrano (Representante Legal)</t>
  </si>
  <si>
    <t>Grupo Bajo El Cielo S.A.S.</t>
  </si>
  <si>
    <t>Cr 79 No. 47 B 42 Sur</t>
  </si>
  <si>
    <t>grupobajoelcielo@gmail.com</t>
  </si>
  <si>
    <t>Quiroga Perez Cristian Camilo (Representante Legal)</t>
  </si>
  <si>
    <t>Grupo Asociado Futboleros Sas</t>
  </si>
  <si>
    <t>Demás Tipos de Industrias de Diversión y Recreativas(71399); Otras Tiendas de Comidas Artesanales(44529); Bares y Otros Lugares para Beber(7224)</t>
  </si>
  <si>
    <t>Comercio Al Por Menor De Otros Productos Alimenticios N.C.P., En Establecimientos Especializados (G4729); Expendio De Bebidas Alcohólicas Para El Consumo Dentro Del Establecimiento (I5630); Gestión De Instalaciones Deportivas (R9311); Otras Actividades Recreativas Y De Esparcimiento N.C.P. (R9329)</t>
  </si>
  <si>
    <t>Cr 9 No. 23 49 Lc 602</t>
  </si>
  <si>
    <t>canchasfutboleroscolombia@gmail.com</t>
  </si>
  <si>
    <t>Juan Javier Atehortua Urdaneta (Representante Legal)</t>
  </si>
  <si>
    <t>Grupo Ary Sas</t>
  </si>
  <si>
    <t>Demás Tipos de Industrias de Diversión y Recreativas(71399); Enseñanza de Deporte y Recreación(61162); Bares y Otros Lugares para Beber(7224); Servicios Especiales de Comida(7223)</t>
  </si>
  <si>
    <t>Expendio A La Mesa De Comidas Preparadas (I5611); Expendio De Bebidas Alcohólicas Para El Consumo Dentro Del Establecimiento (I5630); Enseñanza Deportiva Y Recreativa (P8552); Gestión De Instalaciones Deportivas (R9311)</t>
  </si>
  <si>
    <t>Cl 150 No. 45 - 35</t>
  </si>
  <si>
    <t>kmagda23@hotmail.com</t>
  </si>
  <si>
    <t>Kelly Magdalena Rico Moreno (Representante Legal)</t>
  </si>
  <si>
    <t>Grupo Arcolfra Sas</t>
  </si>
  <si>
    <t>Cl 89 No. 20 45</t>
  </si>
  <si>
    <t>mariahelenamurcia@gmail.com</t>
  </si>
  <si>
    <t>Maria Helena Murcia Garcia (Representante Legal)</t>
  </si>
  <si>
    <t>Grupo Apsa S A S</t>
  </si>
  <si>
    <t>Cafeterías y Bares para Bebidas sin Alcohol(722515); Oficinas de Convenciones y Visitantes(561591); Empresas de Catering(72232)</t>
  </si>
  <si>
    <t>Expendio A La Mesa De Comidas Preparadas (I5611); Expendio De Comidas Preparadas En Cafeterías (I5613); Catering Para Eventos (I5621); Organización De Convenciones Y Eventos Comerciales (N8230)</t>
  </si>
  <si>
    <t>Calle 132 # 7A 06</t>
  </si>
  <si>
    <t>altalenacaffe@gmail.com</t>
  </si>
  <si>
    <t>Adriana Patricia Franco Morales (Representante Legal)</t>
  </si>
  <si>
    <t>Grupo Amado S.A.S</t>
  </si>
  <si>
    <t>Diagonal 47 A Sur 52 C 58</t>
  </si>
  <si>
    <t>grupoamadosas@outlook.es</t>
  </si>
  <si>
    <t>Jose Maria Amado Angulo (Representante Legal)</t>
  </si>
  <si>
    <t>Grupo Alrock Sas</t>
  </si>
  <si>
    <t>antoniooro@gmail.com</t>
  </si>
  <si>
    <t>Juan Sebastian Perez Aceros (Representante Legal)</t>
  </si>
  <si>
    <t>Grupo Adco Sas</t>
  </si>
  <si>
    <t>Cl 96 No. 10 10 Lc 7</t>
  </si>
  <si>
    <t>contacto@sakuraramenbar.com</t>
  </si>
  <si>
    <t>Guillermo Andres Ojeda Rueda (Representante Legal)</t>
  </si>
  <si>
    <t>Grupo Abata Sas</t>
  </si>
  <si>
    <t>Cr 48 No. 146 16</t>
  </si>
  <si>
    <t>gerencia@abata.com.co</t>
  </si>
  <si>
    <t>Juan Camilo Pedraza Garces (Representante Legal)</t>
  </si>
  <si>
    <t>Grupo Ab Holdings S.A.S.</t>
  </si>
  <si>
    <t>Dirección de Empresas(55111); Diseño de Sistemas Computacionales y Servicios Relacionados(54151); Bares y Otros Lugares para Beber(7224); Otras Escuelas e Instituciones Instructivas(6116)</t>
  </si>
  <si>
    <t>Expendio De Bebidas Alcohólicas Para El Consumo Dentro Del Establecimiento (I5630); Actividades De Consultoría Informática Y Actividades De Administración De Instalaciones Informáticas (J6202); Actividades De Consultaría De Gestión (M7020); Otros Tipos De Educación N.C.P. (P8559)</t>
  </si>
  <si>
    <t>Cl 160 No. 64 - 11</t>
  </si>
  <si>
    <t>attda11@hotmail.com</t>
  </si>
  <si>
    <t>Lorena Esther Bonett Clavijo (Representante Legal)</t>
  </si>
  <si>
    <t>Grupo A&amp;N Asociados S.A.S</t>
  </si>
  <si>
    <t>Carrera 77 19 35</t>
  </si>
  <si>
    <t>grupoanasociados@gmail.com</t>
  </si>
  <si>
    <t>Alvaro Torres Guerrero (Representante Legal)</t>
  </si>
  <si>
    <t>Grupo A Y M Sas</t>
  </si>
  <si>
    <t>Demás Tipos de Alojamiento para Viajeros(721199); Bares y Otros Lugares para Beber(7224); Tiendas de Ropa(4481)</t>
  </si>
  <si>
    <t>Comercio Al Por Menor De Prendas De Vestir Y Sus Accesorios (Incluye Artículos De Piel) En Establecimientos Especializados (G4771); Servicio Por Horas (I5530); Expendio De Bebidas Alcohólicas Para El Consumo Dentro Del Establecimiento (I5630)</t>
  </si>
  <si>
    <t>Tv 72 A No. 44 C 12 Sur</t>
  </si>
  <si>
    <t>florecita2909@hotmail.com</t>
  </si>
  <si>
    <t>Grupo 7/27 Sas</t>
  </si>
  <si>
    <t>Cl 6 C No. 7 23</t>
  </si>
  <si>
    <t>asisgerencia@signumimagen.com</t>
  </si>
  <si>
    <t>Maria Cristina Serrano Rueda (Representante Legal)</t>
  </si>
  <si>
    <t>Grupo 5Terre Sas En Liquidacion</t>
  </si>
  <si>
    <t>Bares y Otros Lugares para Beber(7224); Servicios Especiales de Comida(7223); Tiendas de Ropa(4481)</t>
  </si>
  <si>
    <t>Comercio Al Por Menor De Prendas De Vestir Y Sus Accesorios (Incluye Artículos De Piel) En Establecimientos Especializados (G4771); Expendio A La Mesa De Comidas Preparadas (I5611); Expendio De Bebidas Alcohólicas Para El Consumo Dentro Del Establecimiento (I5630)</t>
  </si>
  <si>
    <t>Avenida Carrera 24 # 39B - 56 Segundo Piso</t>
  </si>
  <si>
    <t>grupo5terre@gmail.com</t>
  </si>
  <si>
    <t>Juan Camilo Guayana Sanchez (Representante Legal)</t>
  </si>
  <si>
    <t>Grupo 492 Sas</t>
  </si>
  <si>
    <t>Oficinas de Administrción Corporativas, Subsidiarias y Regionales(551114); Fabricación de Alimentos Preparados Perecederos(311991); Bares y Otros Lugares para Beber(7224)</t>
  </si>
  <si>
    <t>Elaboración De Comidas Y Platos Preparados (C1084); Expendio De Bebidas Alcohólicas Para El Consumo Dentro Del Establecimiento (I5630); Actividades De Administración Empresarial (M7010)</t>
  </si>
  <si>
    <t>jggonzalez-c@hotmail.com</t>
  </si>
  <si>
    <t>Juan Guillermo Gonzalez Castaño (Representante Legal)</t>
  </si>
  <si>
    <t>Grucampo S.A.S</t>
  </si>
  <si>
    <t>Cl 94 A No. 11 A 50</t>
  </si>
  <si>
    <t>grucampo@outlook.com</t>
  </si>
  <si>
    <t>William Javier Ponton Arevalo (Representante Legal)</t>
  </si>
  <si>
    <t>Groupe Merlin Sas</t>
  </si>
  <si>
    <t>Cr 2 No. 12 - 84</t>
  </si>
  <si>
    <t>groupemerlin.sas@gmail.com</t>
  </si>
  <si>
    <t>Diana Marcela Duran Malpica (Representante Legal)</t>
  </si>
  <si>
    <t>Group Kfe Special Sas</t>
  </si>
  <si>
    <t>Trilla De Café (C1061); Comercio Al Por Mayor De Materias Primas Agropecuarias; Animales Vivos (G4620); Comercio Al Por Mayor De Productos Alimenticios (G4631); Expendio De Comidas Preparadas En Cafeterías (I5613)</t>
  </si>
  <si>
    <t>Cl 52 Sur No. 79 D 37 In 5 Ap 304</t>
  </si>
  <si>
    <t>contacto@kfecolombia.com</t>
  </si>
  <si>
    <t>Ayinson Garces Amaris (Representante Legal)</t>
  </si>
  <si>
    <t>Group D &amp; D Sas</t>
  </si>
  <si>
    <t>Cr 7 No. 17 01 Of 10 47</t>
  </si>
  <si>
    <t>tenampassports@gmail.com</t>
  </si>
  <si>
    <t>Javier Humberto Diaz Gomez (Representante Legal)</t>
  </si>
  <si>
    <t>Groso.Col Sas</t>
  </si>
  <si>
    <t>Cl 65 No. 5 77</t>
  </si>
  <si>
    <t>juan_aloisi@hotmail.com</t>
  </si>
  <si>
    <t>Cindy Lorena Vargas Rivera (Representante Legal)</t>
  </si>
  <si>
    <t>Grosas Argentinas Sas</t>
  </si>
  <si>
    <t>Cr 7 No. 48 03</t>
  </si>
  <si>
    <t>grosas.argentinas@gmail.com</t>
  </si>
  <si>
    <t>Jose Luis Sanchez Armenta (Representante Legal)</t>
  </si>
  <si>
    <t>Grilled Chees Sas</t>
  </si>
  <si>
    <t>Tv 59 No. 104 B 104 B 86</t>
  </si>
  <si>
    <t>grilledcheesesas@gmail.com</t>
  </si>
  <si>
    <t>Hernan Eduardo Cristancho Orjuela (Representante Legal)</t>
  </si>
  <si>
    <t>Grilla S.A.S</t>
  </si>
  <si>
    <t>sasgrilla@gmail.com</t>
  </si>
  <si>
    <t>Grill Meister Colombia Sas</t>
  </si>
  <si>
    <t>Carne Procesada de Canales(311612); Bares y Otros Lugares para Beber(7224); Servicios Especiales de Comida(7223)</t>
  </si>
  <si>
    <t>Procesamiento Y Conservación De Carne Y Productos Cárnicos (C1011); Expendio A La Mesa De Comidas Preparadas (I5611); Expendio De Bebidas Alcohólicas Para El Consumo Dentro Del Establecimiento (I5630)</t>
  </si>
  <si>
    <t>Calle 116 17 - 30</t>
  </si>
  <si>
    <t>GRILLMEISTER@OUTLOOK.ES</t>
  </si>
  <si>
    <t>Yomaira Osuna Tijaro (Representante Legal)</t>
  </si>
  <si>
    <t>Grill Haus Sas</t>
  </si>
  <si>
    <t>Elaboración De Otros Productos Alimenticios N.C.P. (C1089); Expendio A La Mesa De Comidas Preparadas (I5611); Actividades De Otros Servicios De Comidas (I5629); Expendio De Bebidas Alcohólicas Para El Consumo Dentro Del Establecimiento (I5630)</t>
  </si>
  <si>
    <t>Cl 27 No. 23 - 49</t>
  </si>
  <si>
    <t>grillhaus@protonmail.com</t>
  </si>
  <si>
    <t>Grill Green D3 Sas</t>
  </si>
  <si>
    <t>Calle 85 # 12 - 71</t>
  </si>
  <si>
    <t>nforerom@cala.com.co</t>
  </si>
  <si>
    <t>Green Stations Sas</t>
  </si>
  <si>
    <t>Restaurantes y Otros Lugares para Comer(72251); Otras Tiendas de Comidas Artesanales(44529)</t>
  </si>
  <si>
    <t>Comercio Al Por Menor De Otros Productos Alimenticios N.C.P., En Establecimientos Especializados (G4729); Expendio Por Autoservicio De Comidas Preparadas (I5612)</t>
  </si>
  <si>
    <t>Cl 73 F No. 35 A 24 Sur</t>
  </si>
  <si>
    <t>greenstations2023@gmail.com</t>
  </si>
  <si>
    <t>Daniel Sebastian Parra Suarez (Representante Legal)</t>
  </si>
  <si>
    <t>Green Spot 100% Sas</t>
  </si>
  <si>
    <t>Cl 142 12B 51 Cas</t>
  </si>
  <si>
    <t>dcpadmon@outlook.com</t>
  </si>
  <si>
    <t>Maria Camila Forero Mateus (Representante Legal)</t>
  </si>
  <si>
    <t>Green House Group Sas</t>
  </si>
  <si>
    <t>Cra 14 # 87 - 71</t>
  </si>
  <si>
    <t>Greece Sas</t>
  </si>
  <si>
    <t>Fabricación de Todos los Demás Tipos de Alimentos Diversos(311999); Fabricación de Café y Té(31192); Bares y Otros Lugares para Beber(7224); Contratistas de Trabajos de Acabado de Edificios(2383)</t>
  </si>
  <si>
    <t>Descafeinado, Tostión Y Molienda Del Café (C1062); Elaboración De Otros Productos Alimenticios N.C.P. (C1089); Terminación Y Acabado De Edificios Y Obras De Ingeniería Civil (F4330); Expendio De Bebidas Alcohólicas Para El Consumo Dentro Del Establecimiento (I5630)</t>
  </si>
  <si>
    <t>Cl 23 B Bis No. 82 61 Ap 102 In 1</t>
  </si>
  <si>
    <t>griegacolombiana@gmail.com</t>
  </si>
  <si>
    <t>Luz Amanda Barreto Sabogal (Representante Legal)</t>
  </si>
  <si>
    <t>Gravity Club 1 Sas</t>
  </si>
  <si>
    <t>Cl 79 C No. 112 B 03</t>
  </si>
  <si>
    <t>andresm.us@outlook.com</t>
  </si>
  <si>
    <t>Mendivelso Fernandez Andres Felipe (Representante Legal)</t>
  </si>
  <si>
    <t>Grato By Patty Guarin S.A.S.</t>
  </si>
  <si>
    <t>Restaurantes y Otros Lugares para Comer(72251); Otras Tiendas de Comidas Artesanales(44529); Tiendas de Venta Directa(4543)</t>
  </si>
  <si>
    <t>Comercio Al Por Menor De Otros Productos Alimenticios N.C.P., En Establecimientos Especializados (G4729); Comercio Al Por Menor De Otros Productos En Puestos De Venta Móviles (G4789); Expendio Por Autoservicio De Comidas Preparadas (I5612)</t>
  </si>
  <si>
    <t>Cr 69 A No. 69 82</t>
  </si>
  <si>
    <t>info@gratobypattyguarin.com</t>
  </si>
  <si>
    <t>Pamela Mazuera Angel (Representante Legal)</t>
  </si>
  <si>
    <t>Granjas Avicolas Colombianas Sas</t>
  </si>
  <si>
    <t>Restaurantes y Otros Lugares para Comer(72251); Servicios Veterinarios(54194); Carnicerías(44521)</t>
  </si>
  <si>
    <t>Comercio Al Por Menor De Carnes (Incluye Aves De Corral), Productos Cárnicos, Pescados Y Productos De Mar, En Establecimientos Especializados (G4723); Expendio Por Autoservicio De Comidas Preparadas (I5612); Actividades Veterinarias (M7500)</t>
  </si>
  <si>
    <t>Cl 183 No. 11 - 55</t>
  </si>
  <si>
    <t>GRAVICOLSAS@GMAIL.COM</t>
  </si>
  <si>
    <t>Victor Andres Sarmiento Jojoa (Representante Legal)</t>
  </si>
  <si>
    <t>Granizados Dembow Sas</t>
  </si>
  <si>
    <t>Empresas de Catering(72232); Otras Tiendas de Comidas Artesanales(44529); Bares y Otros Lugares para Beber(7224); Cervecerías, Vinaterías y Tiendas de Licores(4453)</t>
  </si>
  <si>
    <t>Comercio Al Por Menor De Bebidas Y Productos Del Tabaco, En Establecimientos Especializados (G4724); Comercio Al Por Menor De Otros Productos Alimenticios N.C.P., En Establecimientos Especializados (G4729); Catering Para Eventos (I5621); Expendio De Bebidas Alcohólicas Para El Consumo Dentro Del Establecimiento (I5630)</t>
  </si>
  <si>
    <t>Cr 4 No. 190 06</t>
  </si>
  <si>
    <t>GRANIZADOSDEMBOW@GMAIL.COM</t>
  </si>
  <si>
    <t>Ferney Enrique Granados Sichaca (Representante Legal)</t>
  </si>
  <si>
    <t>Gran Estacion Rodin Sas</t>
  </si>
  <si>
    <t>Ac 26 No. 60 47</t>
  </si>
  <si>
    <t>administracionbgt@graninkacolombia.com</t>
  </si>
  <si>
    <t>Gourmet Station Ani-Glo Sas</t>
  </si>
  <si>
    <t>Avenida Calle 26 # 62 - 47 Local 101 - 134 S</t>
  </si>
  <si>
    <t>ballard_gloe@hotmail.com</t>
  </si>
  <si>
    <t>Gloria Esperanza Forero De Ballard (Representante Legal)</t>
  </si>
  <si>
    <t>Gorila S Sas</t>
  </si>
  <si>
    <t>Calle 70A No 8 - 55</t>
  </si>
  <si>
    <t>andreacasca@hotmail.com</t>
  </si>
  <si>
    <t>Andrea Carolina Cascavita Barreto (Representante Legal)</t>
  </si>
  <si>
    <t>Goodjob Sas</t>
  </si>
  <si>
    <t>Tiendas de Electrodomésticos(443141); Restaurantes y Otros Lugares para Comer(72251); Servicios de Consejería(56172)</t>
  </si>
  <si>
    <t>Comercio Al Por Menor De Otros Artículos Domésticos En Establecimientos Especializados (G4759); Expendio Por Autoservicio De Comidas Preparadas (I5612); Limpieza General Interior De Edificios (N8121); Otras Actividades De Limpieza De Edificios E Instalaciones Industriales (N8129)</t>
  </si>
  <si>
    <t>Avenida Calle 24 74 55 Oficina 302</t>
  </si>
  <si>
    <t>goodjobsas1@gmail.com</t>
  </si>
  <si>
    <t>Maria Fernanda Ramirez Arenas (Representante Legal)</t>
  </si>
  <si>
    <t>Good Earth Sas</t>
  </si>
  <si>
    <t>Empresas de Catering(72232); Tiendas de Artículos Deportivos(45111); Bares y Otros Lugares para Beber(7224)</t>
  </si>
  <si>
    <t>Comercio Al Por Menor De Artículos Deportivos, En Establecimientos Especializados (G4762); Expendio A La Mesa De Comidas Preparadas (I5611); Catering Para Eventos (I5621); Expendio De Bebidas Alcohólicas Para El Consumo Dentro Del Establecimiento (I5630)</t>
  </si>
  <si>
    <t>Cr 13 A No. 96 - 41</t>
  </si>
  <si>
    <t>lauvisk@gmail.com</t>
  </si>
  <si>
    <t>Laura Viviana Cañon Pinto (Representante Legal)</t>
  </si>
  <si>
    <t>Gom Group S.A.S</t>
  </si>
  <si>
    <t>Fabricación de Alimentos Preparados Perecederos(311991); Hoteles (excepto Hoteles Casino) y Moteles(72111); Bares y Otros Lugares para Beber(7224)</t>
  </si>
  <si>
    <t>Elaboración De Comidas Y Platos Preparados (C1084); Alojamiento En Hoteles (I5511); Expendio De Bebidas Alcohólicas Para El Consumo Dentro Del Establecimiento (I5630)</t>
  </si>
  <si>
    <t>Carrera 19 96 25</t>
  </si>
  <si>
    <t>gom.group.colombia@gmail.com</t>
  </si>
  <si>
    <t>Deivis Eleazar Marin Rodriguez (Representante Legal)</t>
  </si>
  <si>
    <t>Golden Pub S A S</t>
  </si>
  <si>
    <t>Cl 17 No. 8 12 Oficina 201</t>
  </si>
  <si>
    <t>contactos@importadosmaicao.com</t>
  </si>
  <si>
    <t>Jesus Hernando Peña Leon (Representante Legal)</t>
  </si>
  <si>
    <t>Golden Key Sas</t>
  </si>
  <si>
    <t>Cra 17 # 121 26 Ofc 201</t>
  </si>
  <si>
    <t>semalov@hotmail.com</t>
  </si>
  <si>
    <t>Erika Natalia Lozano Vega (Representante Legal)</t>
  </si>
  <si>
    <t>Golden Coffee Co. Sas</t>
  </si>
  <si>
    <t>Dg 40 A No. 8 - 67 Lc1</t>
  </si>
  <si>
    <t>goldencoffeeag@gmail.com</t>
  </si>
  <si>
    <t>Adriana Maritza Diaz Piraban (Representante Legal)</t>
  </si>
  <si>
    <t>Godhim S Elf Sas</t>
  </si>
  <si>
    <t>Cl 22 A No. 72 B 48</t>
  </si>
  <si>
    <t>godhimselfcolombia@gmail.com</t>
  </si>
  <si>
    <t>Omer Mauricio Rivera Ruiz (Representante Legal)</t>
  </si>
  <si>
    <t>Go Fries Sas</t>
  </si>
  <si>
    <t>Cr 19 A No. 120 - 37 Ap 303</t>
  </si>
  <si>
    <t>mhamnano@gmail.com</t>
  </si>
  <si>
    <t>Miguel Hernando Arenas Mendoza (Representante Legal)</t>
  </si>
  <si>
    <t>Go Drink Cocteles S.A.S</t>
  </si>
  <si>
    <t>Cl 25 F No. 36 15</t>
  </si>
  <si>
    <t>godrinkcoctails@outlook.es</t>
  </si>
  <si>
    <t>Alvaro Javier Rojas Orjuela (Representante Legal)</t>
  </si>
  <si>
    <t>Gmc Solutions Sas</t>
  </si>
  <si>
    <t>Cll 57 # 7 - 51</t>
  </si>
  <si>
    <t>guacamolemexcol@gmail.com</t>
  </si>
  <si>
    <t>Daniel Esteban Garzon Lozano (Representante Legal)</t>
  </si>
  <si>
    <t>Glx Servicios Alimenticios Sas</t>
  </si>
  <si>
    <t>Fabricación de Maquinaría de Productos Alimenticios(333241); Restaurantes y Otros Lugares para Comer(72251); Supermercados(4451)</t>
  </si>
  <si>
    <t>Fabricación De Maquinaria Para La Elaboración De Alimentos, Bebidas Y Tabaco (C2825); Comercio Al Por Menor En Establecimientos No Especializados Con Surtido Compuesto Principalmente Por Alimentos, Bebidas O Tabaco (G4711); Expendio Por Autoservicio De Comidas Preparadas (I5612)</t>
  </si>
  <si>
    <t>Calle 81 11 41</t>
  </si>
  <si>
    <t>gerenteadministrativo@golox.com.co</t>
  </si>
  <si>
    <t>Angelica Maria Mora Henao (Representante Legal)</t>
  </si>
  <si>
    <t>Gluglu S.A.S</t>
  </si>
  <si>
    <t>Calle 3 Bis 68 40 Interior 2 Ofi 104</t>
  </si>
  <si>
    <t>administrativo@gluglu.com</t>
  </si>
  <si>
    <t>Diego Armando Cotacio Melo (Representante Legal)</t>
  </si>
  <si>
    <t>Gluck Company Sas</t>
  </si>
  <si>
    <t>Cl 24 C N. 80 B 14 Lc 101</t>
  </si>
  <si>
    <t>yuslendyperez1995@gmail.com</t>
  </si>
  <si>
    <t>Yuslendy Coromoto Perez Arellano (Representante Legal)</t>
  </si>
  <si>
    <t>Global Verde Sas</t>
  </si>
  <si>
    <t>Cr 111 C 86 A 68 In</t>
  </si>
  <si>
    <t>amparo.rojas.deperez@gmail.com</t>
  </si>
  <si>
    <t>Amparo Rojas De Perez (Representante Legal)</t>
  </si>
  <si>
    <t>Global Food Sas</t>
  </si>
  <si>
    <t>Cr 24 63 D 70 Of 608</t>
  </si>
  <si>
    <t>contabilidadglobalfood@gmail.com</t>
  </si>
  <si>
    <t>Yanira Andrea Cardenas Urian (Representante Legal)</t>
  </si>
  <si>
    <t>Global Express Nd Sas</t>
  </si>
  <si>
    <t>Cr 81 # 74 A 10 Sur</t>
  </si>
  <si>
    <t>jannethya18@gmail.com</t>
  </si>
  <si>
    <t>Nury Janeth Mejia Quintero (Representante Legal)</t>
  </si>
  <si>
    <t>Giver Corp Sociedad Por Acciones Simplificada</t>
  </si>
  <si>
    <t>Cafeterías y Bares para Bebidas sin Alcohol(722515); Dirección de Empresas(55111); Comerciantes al por Mayor de Comestibles y Productos Relacionados(4244)</t>
  </si>
  <si>
    <t>Comercio Al Por Mayor De Productos Alimenticios (G4631); Expendio De Comidas Preparadas En Cafeterías (I5613); Actividades De Consultaría De Gestión (M7020)</t>
  </si>
  <si>
    <t>Carrera 9 72 61 Oficina 402</t>
  </si>
  <si>
    <t>gerencia@givercorp.com</t>
  </si>
  <si>
    <t>Nicolas Gutierrez Zapata (Representante Legal)</t>
  </si>
  <si>
    <t>Giropan Coffe Express Sas</t>
  </si>
  <si>
    <t>Cr 32 A No. 1 H - 86</t>
  </si>
  <si>
    <t>giropanexpress5@gmail.com</t>
  </si>
  <si>
    <t>Oscar Javier Albarracin Fuentes (Representante Legal)</t>
  </si>
  <si>
    <t>Gino's International Group S.A.S</t>
  </si>
  <si>
    <t>Cafeterías y Bares para Bebidas sin Alcohol(722515); Fabricación de Otros Productos de Cuero, Piel y Materiales Afines(31699); Servicios Especiales de Comida(7223); Tiendas de Zapatos(4482)</t>
  </si>
  <si>
    <t>Fabricación De Artículos De Viaje, Bolsos De Mano Y Artículos Similares Elaborados En Cuero, Y Fabricación De Artículos De Talabartería Y Guarnicionería (C1512); Comercio Al Por Menor De Todo Tipo De Calzado Y Artículos De Cuero Y Sucedáneos Del Cuero En Establecimientos Especializados. (G4772); Expendio De Comidas Preparadas En Cafeterías (I5613); Otros Tipos De Expendio De Comidas Preparadas N.C.P. (I5619)</t>
  </si>
  <si>
    <t>Cr 57 A No. 145 61 In 1 402</t>
  </si>
  <si>
    <t>ginosintergroupsas@outlook.com</t>
  </si>
  <si>
    <t>Norma Isabel Abadia Ortegon (Representante Legal)</t>
  </si>
  <si>
    <t>Gin Garden Pub Sas</t>
  </si>
  <si>
    <t>Cerveceras(31212); Bares y Otros Lugares para Beber(7224); Servicios Especiales de Comida(7223); Industrias de Juego(7132)</t>
  </si>
  <si>
    <t>Producción De Malta, Elaboración De Cervezas Y Otras Bebidas Malteadas (C1103); Expendio A La Mesa De Comidas Preparadas (I5611); Expendio De Bebidas Alcohólicas Para El Consumo Dentro Del Establecimiento (I5630); Actividades De Juegos De Azar Y Apuestas (R9200)</t>
  </si>
  <si>
    <t>Cl 119 # 5 - 84</t>
  </si>
  <si>
    <t>alejof1971@gmail.com</t>
  </si>
  <si>
    <t>Gfj Food S.A.S</t>
  </si>
  <si>
    <t>Calle 21 5 35 Edificio The Spot Torre B</t>
  </si>
  <si>
    <t>gfjfood@gmail.com</t>
  </si>
  <si>
    <t>Rodriguez Becerra Juan Camilo (Representante Legal)</t>
  </si>
  <si>
    <t>Gepetto Taller Pizzeria S.A.S.</t>
  </si>
  <si>
    <t>Cra 8A # 108 - 25</t>
  </si>
  <si>
    <t>gepettopizzataller@gmail.com</t>
  </si>
  <si>
    <t>Jose Alejandro Prieto Gamboa (Representante Legal)</t>
  </si>
  <si>
    <t>Gelatum Sas</t>
  </si>
  <si>
    <t>Cl 142 No. 16 31 Ap 202</t>
  </si>
  <si>
    <t>elenin53@hotmail.com</t>
  </si>
  <si>
    <t>Rojas Maria Elena (Representante Legal)</t>
  </si>
  <si>
    <t>Gc&amp; Asociados S.A.S</t>
  </si>
  <si>
    <t>Expendio De Comidas Preparadas En Cafeterías (I5613); Gestión De Instalaciones Deportivas (R9311); Otras Actividades Deportivas (R9319)</t>
  </si>
  <si>
    <t>Avenida 2 No 1 45</t>
  </si>
  <si>
    <t>gcyasociadossas@gmail.com</t>
  </si>
  <si>
    <t>Carlos Geovanny Cuervo Rodriguez (Representante Legal)</t>
  </si>
  <si>
    <t>Gatolatte Home Sas</t>
  </si>
  <si>
    <t>Cafeterías y Bares para Bebidas sin Alcohol(722515); Tiendas de Electrodomésticos(443141); Otros Servicios Personales(8129)</t>
  </si>
  <si>
    <t>Comercio Al Por Menor De Otros Artículos Domésticos En Establecimientos Especializados (G4759); Expendio De Comidas Preparadas En Cafeterías (I5613); Otras Actividades De Servicios Personales N.C.P. (S9609)</t>
  </si>
  <si>
    <t>Cr 74 B No. 24 D - 22</t>
  </si>
  <si>
    <t>gatolattehome@gmail.com</t>
  </si>
  <si>
    <t>David Leonardo Moreno Triana (Representante Legal)</t>
  </si>
  <si>
    <t>Gato Frio Postres S.A.S.</t>
  </si>
  <si>
    <t>Cr 69 A # 71 33</t>
  </si>
  <si>
    <t>gatofrio2016@gmail.com</t>
  </si>
  <si>
    <t>Bernardo Isaac Sanchez Sanchez (Representante Legal)</t>
  </si>
  <si>
    <t>Gate Group S.A.S</t>
  </si>
  <si>
    <t>Transversal 39 A 20 A 52</t>
  </si>
  <si>
    <t>danycaam@hotmail.com</t>
  </si>
  <si>
    <t>Daniel Andres Camargo Bautista (Representante Legal)</t>
  </si>
  <si>
    <t>Gastronomy Segma Inc S A S</t>
  </si>
  <si>
    <t>Comercio Al Por Menor De Otros Productos Alimenticios N.C.P., En Establecimientos Especializados (G4729); Expendio A La Mesa De Comidas Preparadas (I5611); Expendio Por Autoservicio De Comidas Preparadas (I5612); Expendio De Comidas Preparadas En Cafeterías (I5613)</t>
  </si>
  <si>
    <t>Cr 7 No. 74 56 Of 70</t>
  </si>
  <si>
    <t>segma@gmail.com</t>
  </si>
  <si>
    <t>Nancy Marin Contreras (Representante Legal)</t>
  </si>
  <si>
    <t>Gastronomy Inn Sas</t>
  </si>
  <si>
    <t>Fabricación de Todos los Demás Tipos de Alimentos Diversos(311999); Restaurantes y Otros Lugares para Comer(72251); Panaderías y Producción de Tortillas(3118); Comercio al por Mayor(42)</t>
  </si>
  <si>
    <t>Elaboración De Productos De Panadería (C1081); Elaboración De Otros Productos Alimenticios N.C.P. (C1089); Comercio Al Por Mayor A Cambio De Una Retribución O Por Contrata (G4610); Expendio Por Autoservicio De Comidas Preparadas (I5612)</t>
  </si>
  <si>
    <t>Cr 59 B No. 131 58</t>
  </si>
  <si>
    <t>gromero.casallas@gmail.com</t>
  </si>
  <si>
    <t>German Ernesto Romero Casallas (Representante Legal)</t>
  </si>
  <si>
    <t>Gastronomy Group S A S</t>
  </si>
  <si>
    <t>Cr 19 No. 90 56</t>
  </si>
  <si>
    <t>ing.rafaelbaena@hotmail.com</t>
  </si>
  <si>
    <t>Rafael Eugenio Baena Ahumada (Representante Legal)</t>
  </si>
  <si>
    <t>Gastronomia Melany Catering Service S A S</t>
  </si>
  <si>
    <t>Fabricación de Todos los Demás Tipos de Alimentos Diversos(311999); Restaurantes y Otros Lugares para Comer(72251); Empresas de Catering(72232); Comerciantes al por Mayor de Comestibles y Productos Relacionados(4244)</t>
  </si>
  <si>
    <t>Elaboración De Otros Productos Alimenticios N.C.P. (C1089); Comercio Al Por Mayor De Productos Alimenticios (G4631); Expendio Por Autoservicio De Comidas Preparadas (I5612); Catering Para Eventos (I5621)</t>
  </si>
  <si>
    <t>Diagonal 22C # 29A - 47</t>
  </si>
  <si>
    <t>melania2960@hotmail.com</t>
  </si>
  <si>
    <t>Maria Melania Ramirez Rojas (Representante Legal)</t>
  </si>
  <si>
    <t>Gastromatica S.A.S.</t>
  </si>
  <si>
    <t>Cl 73 No 20C 25</t>
  </si>
  <si>
    <t>gastromaticasas@gmail.com</t>
  </si>
  <si>
    <t>Juan Jose Arango Correa (Representante Legal)</t>
  </si>
  <si>
    <t>Gastrology Ii S.A.S.</t>
  </si>
  <si>
    <t>Cr 5 No. 70 A 20</t>
  </si>
  <si>
    <t>gastrology2@gmail.com</t>
  </si>
  <si>
    <t>Luis Felipe Acosta Pachon (Representante Legal)</t>
  </si>
  <si>
    <t>Gastrocampo S.A.S</t>
  </si>
  <si>
    <t>Calle 60 9A 09</t>
  </si>
  <si>
    <t>halonsoomu@gmail.com</t>
  </si>
  <si>
    <t>Edinson Taborda Ortiz (Representante Legal)</t>
  </si>
  <si>
    <t>Gastrobar The Boss S.A.S</t>
  </si>
  <si>
    <t>Cr 14 No. 82 79</t>
  </si>
  <si>
    <t>yotorres777@yahoo.com</t>
  </si>
  <si>
    <t>Susan Viviana Puentes Velasquez (Representante Legal)</t>
  </si>
  <si>
    <t>Gastrobar Fl S.A.S</t>
  </si>
  <si>
    <t>Restaurantes y Otros Lugares para Comer(72251); Comerciantes al por Mayor de Tabaco y Productos de Tabaco(42494); Bares y Otros Lugares para Beber(7224); Servicios Especiales de Comida(7223); Comerciantes al por Mayor de Cerveza, Vino y Bebidas Alcohólicas(4248)</t>
  </si>
  <si>
    <t>Comercio Al Por Mayor De Bebidas Y Tabaco (G4632); Expendio A La Mesa De Comidas Preparadas (I5611); Expendio Por Autoservicio De Comidas Preparadas (I5612); Expendio De Bebidas Alcohólicas Para El Consumo Dentro Del Establecimiento (I5630)</t>
  </si>
  <si>
    <t>Cr 99 No. 156 B 25</t>
  </si>
  <si>
    <t>22del03del16@gmail.com</t>
  </si>
  <si>
    <t>Andrea Ramos Gonzalez (Representante Legal)</t>
  </si>
  <si>
    <t>Gastro Lab Food Sas</t>
  </si>
  <si>
    <t>Cr 10 A No. 134 B 82 Ap 202</t>
  </si>
  <si>
    <t>maryrod1192@gmail.com</t>
  </si>
  <si>
    <t>Maria Alejandra Rodriguez Montiel (Representante Legal)</t>
  </si>
  <si>
    <t>Gastro Impacto S.A.S</t>
  </si>
  <si>
    <t>Carne Procesada de Canales(311612); Restaurantes y Otros Lugares para Comer(72251); Empresas de Catering(72232)</t>
  </si>
  <si>
    <t>Procesamiento Y Conservación De Carne Y Productos Cárnicos (C1011); Expendio A La Mesa De Comidas Preparadas (I5611); Expendio Por Autoservicio De Comidas Preparadas (I5612); Catering Para Eventos (I5621)</t>
  </si>
  <si>
    <t>Carrera 51 168 11</t>
  </si>
  <si>
    <t>hola@gastroimpacto.com</t>
  </si>
  <si>
    <t>Alejandro Serna Ospina (Representante Legal)</t>
  </si>
  <si>
    <t>Gastro Bar Sweet Sin S A S</t>
  </si>
  <si>
    <t>Cr 87 C 69 B 52 Sur</t>
  </si>
  <si>
    <t>foreroalejandra48@gmail.com</t>
  </si>
  <si>
    <t>Yesica Alejandra Forero (Representante Legal)</t>
  </si>
  <si>
    <t>Gastro Bar Rancho El Oeste Sas</t>
  </si>
  <si>
    <t>Cr 3 # 12 D - 94</t>
  </si>
  <si>
    <t>eloeste.rancho@hotmail.com</t>
  </si>
  <si>
    <t>Garvar Logistic Sas</t>
  </si>
  <si>
    <t>Grupos Musicales y Artistas(71113); Bares y Otros Lugares para Beber(7224); Autotransporte de Carga General(4841); Supermercados(4451)</t>
  </si>
  <si>
    <t>Comercio Al Por Menor En Establecimientos No Especializados Con Surtido Compuesto Principalmente Por Alimentos, Bebidas O Tabaco (G4711); Transporte De Carga Por Carretera (H4923); Expendio De Bebidas Alcohólicas Para El Consumo Dentro Del Establecimiento (I5630); Actividades De Espectáculos Musicales En Vivo (R9007)</t>
  </si>
  <si>
    <t>Cr 78 D No. 13 31</t>
  </si>
  <si>
    <t>garvarsas@gmail.com</t>
  </si>
  <si>
    <t>Carlos Eduardo Garzon Varon (Representante Legal)</t>
  </si>
  <si>
    <t>Garden Cafe By Aleli Sas</t>
  </si>
  <si>
    <t>Cl 70 A No. 5 67</t>
  </si>
  <si>
    <t>gardencafe70a@gmail.com</t>
  </si>
  <si>
    <t>Maria Elisa Jensen Mosquera (Representante Legal)</t>
  </si>
  <si>
    <t>Garchis Dark Kitchen Sas</t>
  </si>
  <si>
    <t>Comerciantes al por Mayor de Electrodomésticos, Artículos del Hogar Eléctricos y Electrónicos de Consumo(42362); Bares y Otros Lugares para Beber(7224); Servicios Especiales de Comida(7223)</t>
  </si>
  <si>
    <t>Comercio Al Por Mayor De Equipo, Partes Y Piezas Electrónicos Y De Telecomunicaciones (G4652); Expendio A La Mesa De Comidas Preparadas (I5611); Otros Tipos De Expendio De Comidas Preparadas N.C.P. (I5619); Expendio De Bebidas Alcohólicas Para El Consumo Dentro Del Establecimiento (I5630)</t>
  </si>
  <si>
    <t>Cl 102 A No. 70 C - 08</t>
  </si>
  <si>
    <t>garchis.est2021@gmail.com</t>
  </si>
  <si>
    <t>Marianni De Los Angeles Gomez Tortolero (Representante Legal)</t>
  </si>
  <si>
    <t>Gamer Restaurant Bar Sas</t>
  </si>
  <si>
    <t>Carrera 36 63 10</t>
  </si>
  <si>
    <t>contabilidadlv17@gmail.com</t>
  </si>
  <si>
    <t>Johan Andres Barreto Villa (Representante Legal)</t>
  </si>
  <si>
    <t>Galletas &amp; Aventuras S.A.S</t>
  </si>
  <si>
    <t>Cr 80 A No. 77 16</t>
  </si>
  <si>
    <t>galletas.aventuras@gmail.com</t>
  </si>
  <si>
    <t>Cristian Raul Campos Lopez (Representante Legal)</t>
  </si>
  <si>
    <t>Gallery Monumental Sas</t>
  </si>
  <si>
    <t>Carrera 58 # 137B - 01 Local 70 Centro Com</t>
  </si>
  <si>
    <t>luzjan30@hotmail.com</t>
  </si>
  <si>
    <t>Luz Janneth Gil Garay (Representante Legal)</t>
  </si>
  <si>
    <t>Galilla Parrilla Y Sopas Sas</t>
  </si>
  <si>
    <t>Elaboración De Comidas Y Platos Preparados (C1084); Catering Para Eventos (I5621); Expendio De Bebidas Alcohólicas Para El Consumo Dentro Del Establecimiento (I5630)</t>
  </si>
  <si>
    <t>Av 15 No. 116 39 P 2</t>
  </si>
  <si>
    <t>galadelavega@hotmail.com</t>
  </si>
  <si>
    <t>Gala Alexandra De La Vega Delgado (Representante Legal)</t>
  </si>
  <si>
    <t>Galeria Restaurante Loqueria Sas</t>
  </si>
  <si>
    <t>Comercio Al Por Mayor De Productos Textiles, Productos Confeccionados Para Uso Doméstico (G4641); Comercio Al Por Mayor De Prendas De Vestir (G4642); Expendio A La Mesa De Comidas Preparadas (I5611); Expendio De Bebidas Alcohólicas Para El Consumo Dentro Del Establecimiento (I5630)</t>
  </si>
  <si>
    <t>Cl 11 No. 8 - 28</t>
  </si>
  <si>
    <t>LOQUERIASAS@GMAIL.COM</t>
  </si>
  <si>
    <t>Neluz Zuluaga Giraldo (Representante Legal)</t>
  </si>
  <si>
    <t>Galería De La Villa Sas</t>
  </si>
  <si>
    <t>Cafeterías y Bares para Bebidas sin Alcohol(722515); Tiendas de Electrodomésticos(443141); Escuelas de Bellas Artes(61161); Bares y Otros Lugares para Beber(7224)</t>
  </si>
  <si>
    <t>Comercio Al Por Menor De Otros Artículos Domésticos En Establecimientos Especializados (G4759); Expendio De Comidas Preparadas En Cafeterías (I5613); Expendio De Bebidas Alcohólicas Para El Consumo Dentro Del Establecimiento (I5630); Enseñanza Cultural (P8553)</t>
  </si>
  <si>
    <t>Cl 126 No. 7 C 45 Ap 102</t>
  </si>
  <si>
    <t>JAN.PARRA@GMAIL.COM</t>
  </si>
  <si>
    <t>Jan Wilhelm Parra Molina (Representante Legal)</t>
  </si>
  <si>
    <t>Galaxy Producciones &amp; Eventos S.A.S En Liquidacion</t>
  </si>
  <si>
    <t>Dg 71 # 78 67 Sur</t>
  </si>
  <si>
    <t>gerencia.galaxyevents@gmail.com</t>
  </si>
  <si>
    <t>Yeiny Segura Villamil (Representante Legal)</t>
  </si>
  <si>
    <t>Gaf Blue S.A.S</t>
  </si>
  <si>
    <t>Cl 24A No. 59 - 42 Lc 114A</t>
  </si>
  <si>
    <t>glorianc23@gmail.com</t>
  </si>
  <si>
    <t>Gloria Nelly Chavarro Arias (Representante Legal)</t>
  </si>
  <si>
    <t>Gadea Wey Colombia Sas</t>
  </si>
  <si>
    <t>Cr 13 No. 77 - 17 P 2</t>
  </si>
  <si>
    <t>administracion@gadeagroup.com</t>
  </si>
  <si>
    <t>Rogelio Antelo Rodriguez (Representante Legal)</t>
  </si>
  <si>
    <t>Gabsa 1 Sas</t>
  </si>
  <si>
    <t>Restaurantes y Otros Lugares para Comer(72251); Oficinas de Abogados(54111); Comerciantes al por Mayor de Comestibles y Productos Relacionados(4244)</t>
  </si>
  <si>
    <t>Comercio Al Por Mayor De Productos Alimenticios (G4631); Expendio Por Autoservicio De Comidas Preparadas (I5612); Actividades Jurídicas (M6910)</t>
  </si>
  <si>
    <t>Cl 127A 19 - 94</t>
  </si>
  <si>
    <t>smr@moragudelo.com</t>
  </si>
  <si>
    <t>Santiago Mauricio Mora Restrepo (Representante Legal)</t>
  </si>
  <si>
    <t>G&amp;G Event Planning Sas</t>
  </si>
  <si>
    <t>Cl 146 No. 7 B 90 Ap 405</t>
  </si>
  <si>
    <t>GUEVARJF@YAHOO.COM</t>
  </si>
  <si>
    <t>Jose Fernando Guevara Gomez (Representante Legal)</t>
  </si>
  <si>
    <t>G &amp; G Gestores Gastronómicos S.A.S.</t>
  </si>
  <si>
    <t>Cl 79 B No. 7 85</t>
  </si>
  <si>
    <t>emilio.garcia@eg-abogados.com.co</t>
  </si>
  <si>
    <t>Yaremy Fatima Toro Prada (Representante Legal)</t>
  </si>
  <si>
    <t>G &amp; G Catering Services Colombia Sas</t>
  </si>
  <si>
    <t>Cafeterías y Bares para Bebidas sin Alcohol(722515); Fabricación de Todos los Demás Tipos de Alimentos Diversos(311999); Hoteles (excepto Hoteles Casino) y Moteles(72111)</t>
  </si>
  <si>
    <t>Elaboración De Otros Productos Alimenticios N.C.P. (C1089); Alojamiento En Hoteles (I5511); Expendio De Comidas Preparadas En Cafeterías (I5613); Actividades De Otros Servicios De Comidas (I5629)</t>
  </si>
  <si>
    <t>Cl 134 No. 5 A 26 Ap 203</t>
  </si>
  <si>
    <t>ghgross@hotmail.com</t>
  </si>
  <si>
    <t>Guillermo Hernando Gross Supelano (Representante Legal)</t>
  </si>
  <si>
    <t>Fyre Lounge S.A.S</t>
  </si>
  <si>
    <t>Kr 12 # 93 - 13 Lc 2</t>
  </si>
  <si>
    <t>fyreloungeco@gmail.com</t>
  </si>
  <si>
    <t>Roberto Sabino Martinez Zelada (Representante Legal)</t>
  </si>
  <si>
    <t>Futbol Capital Sas</t>
  </si>
  <si>
    <t>Cl 154A # 105 - 99</t>
  </si>
  <si>
    <t>cami_garzon@hotmail.com</t>
  </si>
  <si>
    <t>Camila Andrea Garzon Romero (Representante Legal)</t>
  </si>
  <si>
    <t>Futbol 5 Synthetics Sas</t>
  </si>
  <si>
    <t>Cafeterías y Bares para Bebidas sin Alcohol(722515); Demás Tipos de Industrias de Diversión y Recreativas(71399); Bares y Otros Lugares para Beber(7224)</t>
  </si>
  <si>
    <t>Expendio De Comidas Preparadas En Cafeterías (I5613); Expendio De Bebidas Alcohólicas Para El Consumo Dentro Del Establecimiento (I5630); Gestión De Instalaciones Deportivas (R9311); Otras Actividades Recreativas Y De Esparcimiento N.C.P. (R9329)</t>
  </si>
  <si>
    <t>Cl 65 17 80</t>
  </si>
  <si>
    <t>carlosmauricionogueraescobar@hotmail.com</t>
  </si>
  <si>
    <t>Paola Andrea Escobar Troncoso (Representante Legal)</t>
  </si>
  <si>
    <t>Fusión Gourmet Bog Sas</t>
  </si>
  <si>
    <t>Cl 122 No. 11 B 37 Ap 102</t>
  </si>
  <si>
    <t>benditafusion24@gmail.com</t>
  </si>
  <si>
    <t>Luis Alberto Gil Hernandez (Representante Legal)</t>
  </si>
  <si>
    <t>Fusion Cook S.A.S</t>
  </si>
  <si>
    <t>Cl 60 No. 9 34</t>
  </si>
  <si>
    <t>catatumbochapinero@gmail.com</t>
  </si>
  <si>
    <t>Vincents Jose Santolo Aldazoro (Representante Legal)</t>
  </si>
  <si>
    <t>Fusion By Cgc Sas</t>
  </si>
  <si>
    <t>Oficinas de Convenciones y Visitantes(561591); Servicios de Cuidado de Uñas, Pelo y Piel(81211); Grupos Musicales y Artistas(71113); Bares y Otros Lugares para Beber(7224)</t>
  </si>
  <si>
    <t>Expendio De Bebidas Alcohólicas Para El Consumo Dentro Del Establecimiento (I5630); Organización De Convenciones Y Eventos Comerciales (N8230); Actividades De Espectáculos Musicales En Vivo (R9007); Peluquería Y Otros Tratamientos De Belleza (S9602)</t>
  </si>
  <si>
    <t>Cr 16 A No. 79 20 Of 208</t>
  </si>
  <si>
    <t>GABRIELAROMERO0211@GMAIL.COM</t>
  </si>
  <si>
    <t>Gabriela Romero Castro (Representante Legal)</t>
  </si>
  <si>
    <t>Full Arepa Mix Sas</t>
  </si>
  <si>
    <t>Elaboración De Comidas Y Platos Preparados (C1084); Expendio De Comidas Preparadas En Cafeterías (I5613); Otros Tipos De Expendio De Comidas Preparadas N.C.P. (I5619)</t>
  </si>
  <si>
    <t>Cr 89 B No. 58 A 41 Sur</t>
  </si>
  <si>
    <t>fullarepamix@gmail.com</t>
  </si>
  <si>
    <t>Vela Moreno Cristian Ysmael (Representante Legal)</t>
  </si>
  <si>
    <t>Fuerza Intensa Sas</t>
  </si>
  <si>
    <t>Cl 85 No. 12 50</t>
  </si>
  <si>
    <t>fuerzaintensa@gmail.com</t>
  </si>
  <si>
    <t>Fuegos Abiertos S.A.S.</t>
  </si>
  <si>
    <t>Cl 76 No. 9 66</t>
  </si>
  <si>
    <t>mauriciorosasgo@gmail.com</t>
  </si>
  <si>
    <t>Fernando Javier Borbonet Meza (Representante Legal)</t>
  </si>
  <si>
    <t>Frynes Alimentos Premium S A S</t>
  </si>
  <si>
    <t>Carne Procesada de Canales(311612); Restaurantes y Otros Lugares para Comer(72251); Tiendas de Venta Directa(4543); Conservación de Frutas, Verduras y Fabricación de Alimentos Especializados(3114)</t>
  </si>
  <si>
    <t>Procesamiento Y Conservación De Carne Y Productos Cárnicos (C1011); Procesamiento Y Conservación De Frutas, Legumbres, Hortalizas Y Tubérculos (C1020); Comercio Al Por Menor De Otros Productos En Puestos De Venta Móviles (G4789); Expendio Por Autoservicio De Comidas Preparadas (I5612)</t>
  </si>
  <si>
    <t>Cr 110 Bis No. 68 C 60</t>
  </si>
  <si>
    <t>frynesalpremiumsas@hotmail.com</t>
  </si>
  <si>
    <t>Roseli Rios Alarcon (Representante Legal)</t>
  </si>
  <si>
    <t>Fryers Papitas Sas</t>
  </si>
  <si>
    <t>Cl 51 No. 13 49</t>
  </si>
  <si>
    <t>fryerspapitas@gmail.com</t>
  </si>
  <si>
    <t>Darwin Esteban Suarez Rodriguez (Representante Legal)</t>
  </si>
  <si>
    <t>Fruvery Colombia Sas</t>
  </si>
  <si>
    <t>Bares y Otros Lugares para Beber(7224); Tiendas de Electrónica y de Venta por Correo(4541); Tiendas de Comidas Artesanales(4452)</t>
  </si>
  <si>
    <t>Comercio Al Por Menor De Productos Agrícolas Para El Consumo En Establecimientos Especializados (G4721); Comercio Al Por Menor Realizado A Través De Internet (G4791); Expendio De Bebidas Alcohólicas Para El Consumo Dentro Del Establecimiento (I5630)</t>
  </si>
  <si>
    <t>Cr 104 # 74 A 06</t>
  </si>
  <si>
    <t>Andrea Paola Chacon Sanchez (Representante Legal)</t>
  </si>
  <si>
    <t>Frutos Del Bosque Natural Sas</t>
  </si>
  <si>
    <t>Cr 72 C No. 23 13 In</t>
  </si>
  <si>
    <t>jlombanaj@gmail.com</t>
  </si>
  <si>
    <t>Jorge Alberto Lombana Gonzalez (Representante Legal)</t>
  </si>
  <si>
    <t>Frutilandia 99 S.A.S</t>
  </si>
  <si>
    <t>Cr 99 No. 20 03</t>
  </si>
  <si>
    <t>williamleguizamon99@gmail.com</t>
  </si>
  <si>
    <t>Willian Leguizamon (Representante Legal)</t>
  </si>
  <si>
    <t>Frutería &amp; Cafetería Mokka S.A.S.</t>
  </si>
  <si>
    <t>Cr 19 # 143 40</t>
  </si>
  <si>
    <t>fruteriaycafeteriamokka@gmail.com</t>
  </si>
  <si>
    <t>Monica Montenegro Castro (Representante Legal)</t>
  </si>
  <si>
    <t>Fruit Or Coffee 7/24 Sas</t>
  </si>
  <si>
    <t>Cr 19 No. 18 43 Sur Lc 29</t>
  </si>
  <si>
    <t>fruitorcoffee724@gmail.com</t>
  </si>
  <si>
    <t>Camilo Andres Retabisca Torres (Representante Legal)</t>
  </si>
  <si>
    <t>Fronteras Food S.A.S</t>
  </si>
  <si>
    <t>Av Boyaca No. 8 B 61</t>
  </si>
  <si>
    <t>fronterascasualfood@gmail.com</t>
  </si>
  <si>
    <t>Sergio Esteban Avila Herrera (Representante Legal)</t>
  </si>
  <si>
    <t>Front S A S</t>
  </si>
  <si>
    <t>Oficinas de Administrción Corporativas, Subsidiarias y Regionales(551114); Bares y Otros Lugares para Beber(7224); Servicios Especiales de Comida(7223)</t>
  </si>
  <si>
    <t>Expendio A La Mesa De Comidas Preparadas (I5611); Expendio De Bebidas Alcohólicas Para El Consumo Dentro Del Establecimiento (I5630); Actividades De Administración Empresarial (M7010); Actividades De Consultaría De Gestión (M7020)</t>
  </si>
  <si>
    <t>Cl 68 # 6 - 11 3 Ps</t>
  </si>
  <si>
    <t>solucionesfront@gmail.com</t>
  </si>
  <si>
    <t>Brigitte Liseth López Bermúdez (Representante Legal)</t>
  </si>
  <si>
    <t>Frog Bolirana Club Sas</t>
  </si>
  <si>
    <t>Restaurantes y Otros Lugares para Comer(72251); Demás Tipos de Industrias de Diversión y Recreativas(71399); Bares y Otros Lugares para Beber(7224); Supermercados(4451)</t>
  </si>
  <si>
    <t>Comercio Al Por Menor En Establecimientos No Especializados Con Surtido Compuesto Principalmente Por Alimentos, Bebidas O Tabaco (G4711); Expendio Por Autoservicio De Comidas Preparadas (I5612); Expendio De Bebidas Alcohólicas Para El Consumo Dentro Del Establecimiento (I5630); Otras Actividades Recreativas Y De Esparcimiento N.C.P. (R9329)</t>
  </si>
  <si>
    <t>Cr 24 No. 75 27 P 2</t>
  </si>
  <si>
    <t>frogboliclub@gmail.com</t>
  </si>
  <si>
    <t>Alexander Barrios Morales (Representante Legal)</t>
  </si>
  <si>
    <t>Frios Andromeda De Colombia Sas</t>
  </si>
  <si>
    <t>Cl 38 A Sur No. 34 B 08</t>
  </si>
  <si>
    <t>ilcedeya@yahoo.es</t>
  </si>
  <si>
    <t>Ilce Yanire Vergara Martinez (Representante Legal)</t>
  </si>
  <si>
    <t>Frida De Mis Amores S.A.S</t>
  </si>
  <si>
    <t>Av Cr 15 110 91 Lc 105</t>
  </si>
  <si>
    <t>contacto@fridademisamores.com</t>
  </si>
  <si>
    <t>Jespah Díaz Ramirez (Representante Legal)</t>
  </si>
  <si>
    <t>Fresh Retro Sas</t>
  </si>
  <si>
    <t>Cr 14 A No. 82 42 Lc 2</t>
  </si>
  <si>
    <t>freshretrobogota@gmail.com</t>
  </si>
  <si>
    <t>Luz Dary Garcia Garcia (Representante Legal)</t>
  </si>
  <si>
    <t>Fresh Market Place S.A.S</t>
  </si>
  <si>
    <t>Comercio Al Por Menor En Establecimientos No Especializados Con Surtido Compuesto Principalmente Por Alimentos, Bebidas O Tabaco (G4711); Comercio Al Por Menor De Leche, Productos Lácteos Y Huevos, En Establecimientos Especializados (G4722); Comercio Al Por Menor De Carnes (Incluye Aves De Corral), Productos Cárnicos, Pescados Y Productos De Mar, En Establecimientos Especializados (G4723); Expendio De Bebidas Alcohólicas Para El Consumo Dentro Del Establecimiento (I5630)</t>
  </si>
  <si>
    <t>Cr 95 J Bis # 91 A 56</t>
  </si>
  <si>
    <t>lucasuca3032@gmail.com</t>
  </si>
  <si>
    <t>Luis Carlos Suarez Castro (Representante Legal)</t>
  </si>
  <si>
    <t>Fresa &amp; Albahaca S.A.S. En Liquidacion</t>
  </si>
  <si>
    <t>Calle 20 # 82 - 52 Local 2 - 116 Centro Come</t>
  </si>
  <si>
    <t>saboreslunaguerra@gmail.com</t>
  </si>
  <si>
    <t>Yoselin Del Carmen Guerra Romero (Representante Legal)</t>
  </si>
  <si>
    <t>Freja Home Made Sas</t>
  </si>
  <si>
    <t>Cl 129 No 50 - 27 P 5</t>
  </si>
  <si>
    <t>frejahomemade@gmail.com</t>
  </si>
  <si>
    <t>Gina Paola Otalora Arias (Representante Legal)</t>
  </si>
  <si>
    <t>Free Ticket Sas</t>
  </si>
  <si>
    <t>Otras Compañías de Artes Escénicas(71119); Compañías de Teatro y Cena Teatros(71111); Bares y Otros Lugares para Beber(7224); Tiendas de Electrónica y de Venta por Correo(4541)</t>
  </si>
  <si>
    <t>Comercio Al Por Menor Realizado A Través De Internet (G4791); Expendio De Bebidas Alcohólicas Para El Consumo Dentro Del Establecimiento (I5630); Actividades Teatrales (R9006); Otras Actividades De Espectáculos En Vivo N.C.P. (R9008)</t>
  </si>
  <si>
    <t>Cr 15 # 93 - 47 Local 1 - 2</t>
  </si>
  <si>
    <t>contadorafreeticket@gmail.com</t>
  </si>
  <si>
    <t>Myriam Lucia Forero Giraldo (Representante Legal)</t>
  </si>
  <si>
    <t>Frd Consultores Sas</t>
  </si>
  <si>
    <t>Oficinas de Convenciones y Visitantes(561591); Restaurantes y Otros Lugares para Comer(72251); Dirección de Empresas(55111)</t>
  </si>
  <si>
    <t>Expendio Por Autoservicio De Comidas Preparadas (I5612); Actividades De Consultaría De Gestión (M7020); Organización De Convenciones Y Eventos Comerciales (N8230)</t>
  </si>
  <si>
    <t>Cr 18 No. 124 04</t>
  </si>
  <si>
    <t>fabirom.33@gmail.com</t>
  </si>
  <si>
    <t>Fabiola Maria Del Pilar Romero Daza (Representante Legal)</t>
  </si>
  <si>
    <t>Fratellifoodgroup S.A.S</t>
  </si>
  <si>
    <t>Diagonal 92 3 84</t>
  </si>
  <si>
    <t>fratellifoodgroup@gmail.com</t>
  </si>
  <si>
    <t>Jairo Cruz Badalacchi (Representante Legal)</t>
  </si>
  <si>
    <t>Franquicias Conosur S A S</t>
  </si>
  <si>
    <t>Calle 117 # 6 - 64</t>
  </si>
  <si>
    <t>contabilidad@conosur.com.co</t>
  </si>
  <si>
    <t>Faccini Guarin Giovanni Camilo Alberto (Representante Legal)</t>
  </si>
  <si>
    <t>Franquia Sas</t>
  </si>
  <si>
    <t>Cl 95 No. 9 80</t>
  </si>
  <si>
    <t>sasfranquia@gmail.com</t>
  </si>
  <si>
    <t>Claudia Johana Aldana Rubio (Representante Legal)</t>
  </si>
  <si>
    <t>Frankie's Panaderia Y Fast Food Sas</t>
  </si>
  <si>
    <t>Fabricación de Alimentos Preparados Perecederos(311991); Bares y Otros Lugares para Beber(7224); Servicios Especiales de Comida(7223); Panaderías y Producción de Tortillas(3118)</t>
  </si>
  <si>
    <t>Elaboración De Productos De Panadería (C1081); Elaboración De Comidas Y Platos Preparados (C1084); Expendio A La Mesa De Comidas Preparadas (I5611); Expendio De Bebidas Alcohólicas Para El Consumo Dentro Del Establecimiento (I5630)</t>
  </si>
  <si>
    <t>Cl 38 C Sur No. 86 C 28</t>
  </si>
  <si>
    <t>praxisabogados2020@gmail.com</t>
  </si>
  <si>
    <t>Reynaldo Jose Manuel Rodriguez Romero (Representante Legal)</t>
  </si>
  <si>
    <t>Franclin S A S</t>
  </si>
  <si>
    <t>Cl 110 B No. 1 60</t>
  </si>
  <si>
    <t>zetica@hotmail.com</t>
  </si>
  <si>
    <t>Zwannee Linares Fonseca (Representante Legal)</t>
  </si>
  <si>
    <t>Fragola. S A S</t>
  </si>
  <si>
    <t>Cr 26 No. 1 F 25</t>
  </si>
  <si>
    <t>fragolasas@hotmail.com</t>
  </si>
  <si>
    <t>Victor Julio Nova Avila (Representante Legal)</t>
  </si>
  <si>
    <t>Fractal Asociados Sas</t>
  </si>
  <si>
    <t>Ak 24 No. 39 B 52 P2</t>
  </si>
  <si>
    <t>fractalasociadossas@gmail.com</t>
  </si>
  <si>
    <t>Pedro Alexander Moreno Rivera (Representante Legal)</t>
  </si>
  <si>
    <t>Fouring S.A.S</t>
  </si>
  <si>
    <t>Cr 29 No. 78 86</t>
  </si>
  <si>
    <t>fouringsas@gmail.com</t>
  </si>
  <si>
    <t>Angela Maria Velandia Segura (Representante Legal)</t>
  </si>
  <si>
    <t>Four Stoners S.A.S</t>
  </si>
  <si>
    <t>Comercio Al Por Menor De Otros Artículos Domésticos En Establecimientos Especializados (G4759); Comercio Al Por Menor Realizado A Través De Internet (G4791); Expendio De Comidas Preparadas En Cafeterías (I5613)</t>
  </si>
  <si>
    <t>Carrera 24 45 A 28</t>
  </si>
  <si>
    <t>four4stoners@gmail.com</t>
  </si>
  <si>
    <t>Mateo Andres Vivas Acosta (Representante Legal)</t>
  </si>
  <si>
    <t>Forbles S.A.S</t>
  </si>
  <si>
    <t>Calle 175 17 A 11</t>
  </si>
  <si>
    <t>violetteforbles@gmail.com</t>
  </si>
  <si>
    <t>Laura Natalia Robles Suarez (Representante Legal)</t>
  </si>
  <si>
    <t>Foodtown Street Sas</t>
  </si>
  <si>
    <t>Cl 31 No. 13 A 51</t>
  </si>
  <si>
    <t>foodtownstreet@gmail.com</t>
  </si>
  <si>
    <t>Luz Mariana Rincon Tenjo (Representante Legal)</t>
  </si>
  <si>
    <t>Foodtown Street Ny Sas</t>
  </si>
  <si>
    <t>Cl 31 No 13 A 51 Lc 13</t>
  </si>
  <si>
    <t>foodtownstreetny@gmail.com</t>
  </si>
  <si>
    <t>Jose Antonio Forero Pinzon (Representante Legal)</t>
  </si>
  <si>
    <t>Foods &amp; Drinks Ripov Sas</t>
  </si>
  <si>
    <t>Dg 53 C No. 24 10 Of 504</t>
  </si>
  <si>
    <t>foodsandrinksripov@gmail.com</t>
  </si>
  <si>
    <t>Omar Fabian Poveda Buitrago (Representante Legal)</t>
  </si>
  <si>
    <t>Fooding Colombia S.A.S</t>
  </si>
  <si>
    <t>Carrera 43C 68 B 20 Sur</t>
  </si>
  <si>
    <t>fooding.col@gmail.com</t>
  </si>
  <si>
    <t>Clara Ines Ruiz Fernandez (Representante Legal)</t>
  </si>
  <si>
    <t>Food Yard They Ruztic Sas</t>
  </si>
  <si>
    <t>Restaurantes y Otros Lugares para Comer(72251); Bares y Otros Lugares para Beber(7224); Servicios Especiales de Comida(7223); Cervecerías, Vinaterías y Tiendas de Licores(4453)</t>
  </si>
  <si>
    <t>Comercio Al Por Menor De Bebidas Y Productos Del Tabaco, En Establecimientos Especializados (G4724); Expendio A La Mesa De Comidas Preparadas (I5611); Expendio Por Autoservicio De Comidas Preparadas (I5612); Expendio De Bebidas Alcohólicas Para El Consumo Dentro Del Establecimiento (I5630)</t>
  </si>
  <si>
    <t>Cr 78 No. 11 C - 21</t>
  </si>
  <si>
    <t>foodyardtheyruzticsas@gmail.com</t>
  </si>
  <si>
    <t>Karen Aidee Ortegon Buitrago (Representante Legal)</t>
  </si>
  <si>
    <t>Food Urban Street Sas</t>
  </si>
  <si>
    <t>Cr 78 No. 7 B 44</t>
  </si>
  <si>
    <t>aide.rubiano@gmail.com</t>
  </si>
  <si>
    <t>Maria Aide Constanza Rubiano Leguizamon (Representante Legal)</t>
  </si>
  <si>
    <t>Food Town Ny Sas</t>
  </si>
  <si>
    <t>Cl 31 No. 13 A 51 Lc 13</t>
  </si>
  <si>
    <t>foodtownst@gmail.com</t>
  </si>
  <si>
    <t>Cristian Alexander Ibañez Lopez (Representante Legal)</t>
  </si>
  <si>
    <t>Food Solutions Items Sas</t>
  </si>
  <si>
    <t>Cr 28 No. 4 A 44</t>
  </si>
  <si>
    <t>pasteleriavidamia@gmail.com</t>
  </si>
  <si>
    <t>Christian Orlando Peña Garzon (Representante Legal)</t>
  </si>
  <si>
    <t>Food Service 1A Sas</t>
  </si>
  <si>
    <t>Cr 24 # 41 - 26</t>
  </si>
  <si>
    <t>foodserv1a@gmail.com</t>
  </si>
  <si>
    <t>Francina Marcela Deste Escobar (Representante Legal)</t>
  </si>
  <si>
    <t>Food House A La Mesa Sas</t>
  </si>
  <si>
    <t>Carrera 103 C Bis # 139 - 38</t>
  </si>
  <si>
    <t>rubensanchez_15@hotmail.com</t>
  </si>
  <si>
    <t>Ruben Dario Sanchez Diaz (Representante Legal)</t>
  </si>
  <si>
    <t>Food And Cars Club S.A.S.</t>
  </si>
  <si>
    <t>Cl 12B # 8A - 03 Of 3</t>
  </si>
  <si>
    <t>admonfinancieraydeprocesos@gmail.com</t>
  </si>
  <si>
    <t>Flor Angela Bohorquez Roa (Representante Legal)</t>
  </si>
  <si>
    <t>Food 8 Sas</t>
  </si>
  <si>
    <t>Bares y Otros Lugares para Beber(7224); Servicios Especiales de Comida(7223); Fabricación de Productos Lácteos(3115)</t>
  </si>
  <si>
    <t>Elaboración De Productos Lácteos (C1040); Expendio A La Mesa De Comidas Preparadas (I5611); Otros Tipos De Expendio De Comidas Preparadas N.C.P. (I5619); Expendio De Bebidas Alcohólicas Para El Consumo Dentro Del Establecimiento (I5630)</t>
  </si>
  <si>
    <t>Cl 63 A No. 28 A - 7</t>
  </si>
  <si>
    <t>giovismaria@hotmail.com</t>
  </si>
  <si>
    <t>Giovanna Maria Rodriguez Gonzalez (Representante Legal)</t>
  </si>
  <si>
    <t>Fonda Tres Caballos Sas</t>
  </si>
  <si>
    <t>Demás Tipos de Industrias de Diversión y Recreativas(71399); Cría de Caballos y Otro Tipo de Equinos(11292); Bares y Otros Lugares para Beber(7224); Cervecerías, Vinaterías y Tiendas de Licores(4453)</t>
  </si>
  <si>
    <t>Cría De Caballos Y Otros Equinos (A0142); Comercio Al Por Menor De Bebidas Y Productos Del Tabaco, En Establecimientos Especializados (G4724); Expendio De Bebidas Alcohólicas Para El Consumo Dentro Del Establecimiento (I5630); Otras Actividades Recreativas Y De Esparcimiento N.C.P. (R9329)</t>
  </si>
  <si>
    <t>Cr 21 No. 15 - 38</t>
  </si>
  <si>
    <t>mis3potrillos24@gmail.com</t>
  </si>
  <si>
    <t>Johan Camilo Amaya Quintero (Representante Legal)</t>
  </si>
  <si>
    <t>Fomtoast S.A.S</t>
  </si>
  <si>
    <t>Calle 42 B Sur 78 L 28</t>
  </si>
  <si>
    <t>vsierra.avanzamas@gmail.com</t>
  </si>
  <si>
    <t>Victor Julio Sierra Roman (Representante Legal)</t>
  </si>
  <si>
    <t>Focuisine Group Sas</t>
  </si>
  <si>
    <t>Elaboración De Otros Productos Alimenticios N.C.P. (C1089); Expendio Por Autoservicio De Comidas Preparadas (I5612); Otros Tipos De Expendio De Comidas Preparadas N.C.P. (I5619); Actividades De Otros Servicios De Comidas (I5629)</t>
  </si>
  <si>
    <t>Cr 47 A No. 94A 25</t>
  </si>
  <si>
    <t>c1rcamilop@gmail.com</t>
  </si>
  <si>
    <t>Christian Camilo Prieto Prieto (Representante Legal)</t>
  </si>
  <si>
    <t>Focas Inversiones Sas</t>
  </si>
  <si>
    <t>Expendio De Comidas Preparadas En Cafeterías (I5613); Otros Tipos De Expendio De Comidas Preparadas N.C.P. (I5619); Catering Para Eventos (I5621)</t>
  </si>
  <si>
    <t>Cr 68 No. 169 A 72 Lc 20</t>
  </si>
  <si>
    <t>emparchaditos@gmail.com</t>
  </si>
  <si>
    <t>Andres Felipe Forero Sandoval (Representante Legal)</t>
  </si>
  <si>
    <t>Fnyq Sas</t>
  </si>
  <si>
    <t>Cafeterías y Bares para Bebidas sin Alcohol(722515); Fabricación de Alimentos Preparados Perecederos(311991); Bares y Otros Lugares para Beber(7224); Servicios Especiales de Comida(7223)</t>
  </si>
  <si>
    <t>Elaboración De Comidas Y Platos Preparados (C1084); Expendio A La Mesa De Comidas Preparadas (I5611); Expendio De Comidas Preparadas En Cafeterías (I5613); Expendio De Bebidas Alcohólicas Para El Consumo Dentro Del Establecimiento (I5630)</t>
  </si>
  <si>
    <t>Cr 17 No. 119A - 08</t>
  </si>
  <si>
    <t>GRUPOFNYQ@GMAIL.COM</t>
  </si>
  <si>
    <t>Bryan Simon Lebbos Zarzour (Representante Legal)</t>
  </si>
  <si>
    <t>Fmg Asociados Sas</t>
  </si>
  <si>
    <t>Cafeterías y Bares para Bebidas sin Alcohol(722515); Tiendas de Comidas Artesanales(4452)</t>
  </si>
  <si>
    <t>Tiendas de Comidas Artesanales(4452)</t>
  </si>
  <si>
    <t>Comercio Al Por Menor De Productos Agrícolas Para El Consumo En Establecimientos Especializados (G4721); Expendio De Comidas Preparadas En Cafeterías (I5613)</t>
  </si>
  <si>
    <t>Comercio Al Por Menor De Productos Agrícolas Para El Consumo En Establecimientos Especializados (G4721)</t>
  </si>
  <si>
    <t>Ac 24 No. 72 B 91</t>
  </si>
  <si>
    <t>asociadosfmg@gmail.com</t>
  </si>
  <si>
    <t>Miller Marcel Florez Cabrera (Representante Legal)</t>
  </si>
  <si>
    <t>Flavors &amp; Coffee Sas</t>
  </si>
  <si>
    <t>Cl 59 No. 10 67</t>
  </si>
  <si>
    <t>flavors-coffee@outlook.com</t>
  </si>
  <si>
    <t>Francelina Quintero Soto (Representante Legal)</t>
  </si>
  <si>
    <t>Fixed Point Of Beer Sas</t>
  </si>
  <si>
    <t>Cl 140 No. 13 86</t>
  </si>
  <si>
    <t>jesusdlopez1510@gmail.com</t>
  </si>
  <si>
    <t>Lopez Paez Jesus David (Representante Legal)</t>
  </si>
  <si>
    <t>Five Guys Enterprises Sas</t>
  </si>
  <si>
    <t>Fabricación de Alimentos Preparados Perecederos(311991); Bares y Otros Lugares para Beber(7224); Servicios Especiales de Comida(7223); Cervecerías, Vinaterías y Tiendas de Licores(4453)</t>
  </si>
  <si>
    <t>Elaboración De Comidas Y Platos Preparados (C1084); Comercio Al Por Menor De Bebidas Y Productos Del Tabaco, En Establecimientos Especializados (G4724); Expendio A La Mesa De Comidas Preparadas (I5611); Expendio De Bebidas Alcohólicas Para El Consumo Dentro Del Establecimiento (I5630)</t>
  </si>
  <si>
    <t>Cr 11 No. 140 46</t>
  </si>
  <si>
    <t>support@fiveguyscolombia.com</t>
  </si>
  <si>
    <t>Ayaniel Jose Suarez Gonzalez (Representante Legal)</t>
  </si>
  <si>
    <t>Firulette Parrilla S.A.S</t>
  </si>
  <si>
    <t>Calle 119B # 5 - 19</t>
  </si>
  <si>
    <t>firulettecontabilidad@gmail.com</t>
  </si>
  <si>
    <t>Guillermo Alejandro Stanglini (Representante Legal)</t>
  </si>
  <si>
    <t>Firmes Con Los Firmes Sas</t>
  </si>
  <si>
    <t>Cl 64 No 9 - 05</t>
  </si>
  <si>
    <t>firmeburgers@gmail.com</t>
  </si>
  <si>
    <t>Jeisson Camilo Ramirez Hurtado (Representante Legal)</t>
  </si>
  <si>
    <t>Firm Hospitality Sas En Liquidacion</t>
  </si>
  <si>
    <t>Carrera 13 A No 86 A 74 Torre 4 Of 302</t>
  </si>
  <si>
    <t>jaime@thewildbrunch.com</t>
  </si>
  <si>
    <t>Jorge Eduardo Rodriguez Ramirez (Representante Legal)</t>
  </si>
  <si>
    <t>Fierce Colombia Sas</t>
  </si>
  <si>
    <t>Cr 14 No. 47 39 Of 608</t>
  </si>
  <si>
    <t>admin@mundofierce.com</t>
  </si>
  <si>
    <t>Camilo Ernesto Ramirez Ortiz (Representante Legal)</t>
  </si>
  <si>
    <t>Ficciones Bar De Libros S.A.S</t>
  </si>
  <si>
    <t>Cafeterías y Bares para Bebidas sin Alcohol(722515); Escuelas de Bellas Artes(61161); Tiendas de Libros y Periódicos(45121); Bares y Otros Lugares para Beber(7224)</t>
  </si>
  <si>
    <t>Comercio Al Por Menor De Libros, Periódicos, Materiales Y Artículos De Papelería Y Escritorio, En Establecimientos Especializados (G4761); Expendio De Comidas Preparadas En Cafeterías (I5613); Expendio De Bebidas Alcohólicas Para El Consumo Dentro Del Establecimiento (I5630); Enseñanza Cultural (P8553)</t>
  </si>
  <si>
    <t>Cl 66 A No. 4 A 62 Ap 203</t>
  </si>
  <si>
    <t>cogaita16@gmail.com</t>
  </si>
  <si>
    <t>Maria Consuelo Gaitan Gaitan (Representante Legal)</t>
  </si>
  <si>
    <t>Ff Franco Sas</t>
  </si>
  <si>
    <t>Cr 50 37 A 84 Sur</t>
  </si>
  <si>
    <t>franco970910@outlook.com</t>
  </si>
  <si>
    <t>Oscar Yesid Franco Quevedo (Representante Legal)</t>
  </si>
  <si>
    <t>Fermentos S.A.S</t>
  </si>
  <si>
    <t>Descafeinado, Tostión Y Molienda Del Café (C1062); Otros Derivados Del Café (C1063); Expendio De Comidas Preparadas En Cafeterías (I5613); Expendio De Bebidas Alcohólicas Para El Consumo Dentro Del Establecimiento (I5630)</t>
  </si>
  <si>
    <t>Cra 24 63C 20 Piso 1</t>
  </si>
  <si>
    <t>sociedadfermentos@gmail.com</t>
  </si>
  <si>
    <t>Andres Eduardo Ramirez Rodriguez (Representante Legal)</t>
  </si>
  <si>
    <t>Fenix Gastrobar Karaoke S.A.S</t>
  </si>
  <si>
    <t>Cafeterías y Bares para Bebidas sin Alcohol(722515); Bares y Otros Lugares para Beber(7224); Servicios Especiales de Comida(7223); Comerciantes al por Mayor de Comestibles y Productos Relacionados(4244)</t>
  </si>
  <si>
    <t>Comercio Al Por Mayor De Productos Alimenticios (G4631); Expendio De Comidas Preparadas En Cafeterías (I5613); Otros Tipos De Expendio De Comidas Preparadas N.C.P. (I5619); Expendio De Bebidas Alcohólicas Para El Consumo Dentro Del Establecimiento (I5630)</t>
  </si>
  <si>
    <t>Cl 13 Sur # 20 40 P</t>
  </si>
  <si>
    <t>esneyderz@hotmail.com</t>
  </si>
  <si>
    <t>Esneyder Zapata Yepes (Representante Legal)</t>
  </si>
  <si>
    <t>Fendry Castillo Olarte S.A.S</t>
  </si>
  <si>
    <t>Comercio Al Por Mayor De Productos Alimenticios (G4631); Expendio De Comidas Preparadas En Cafeterías (I5613); Actividades De Otros Servicios De Comidas (I5629)</t>
  </si>
  <si>
    <t>Carrera 1A 46A 11</t>
  </si>
  <si>
    <t>fendry306@gmail.com</t>
  </si>
  <si>
    <t>Castillo Olarte Fendry (Representante Legal)</t>
  </si>
  <si>
    <t>Femefa Sas</t>
  </si>
  <si>
    <t>Calle 127 A 5 C 46</t>
  </si>
  <si>
    <t>juanjoseyara@gmail.com</t>
  </si>
  <si>
    <t>Juan José Yara (Representante Legal)</t>
  </si>
  <si>
    <t>Felix Global S.A.S</t>
  </si>
  <si>
    <t>Carrera 9 80 12</t>
  </si>
  <si>
    <t>alejandrobotero9@gmail.com</t>
  </si>
  <si>
    <t>Alejandro Botero Michelsen (Representante Legal)</t>
  </si>
  <si>
    <t>Felix Corp S.A.S</t>
  </si>
  <si>
    <t>felix.corp.sas@gmail.com</t>
  </si>
  <si>
    <t>Felino De Oro S.A.S</t>
  </si>
  <si>
    <t>Otras Tiendas de Comidas Artesanales(44529); Bares y Otros Lugares para Beber(7224); Servicios Especiales de Comida(7223); Panaderías y Producción de Tortillas(3118)</t>
  </si>
  <si>
    <t>Elaboración De Productos De Panadería (C1081); Comercio Al Por Menor De Otros Productos Alimenticios N.C.P., En Establecimientos Especializados (G4729); Expendio A La Mesa De Comidas Preparadas (I5611); Expendio De Bebidas Alcohólicas Para El Consumo Dentro Del Establecimiento (I5630)</t>
  </si>
  <si>
    <t>Cl 54 A No. 4 A 21</t>
  </si>
  <si>
    <t>eresastral@gmail.com</t>
  </si>
  <si>
    <t>Andrea Colette Suarez Gutierrez (Representante Legal)</t>
  </si>
  <si>
    <t>Feed Me Now S.A.S</t>
  </si>
  <si>
    <t>Cr 11 No. 95 10 Lc 2</t>
  </si>
  <si>
    <t>Genesis Paola Rodriguez Cedeño (Representante Legal)</t>
  </si>
  <si>
    <t>Fcs Inversiones Sas</t>
  </si>
  <si>
    <t>Carrera 18 # 93B - 49</t>
  </si>
  <si>
    <t>info@marinosushi.com</t>
  </si>
  <si>
    <t>Andres Ortega Buendia (Representante Legal)</t>
  </si>
  <si>
    <t>Fatima Hostels Sas</t>
  </si>
  <si>
    <t>Carrera 3 # 11 - 32</t>
  </si>
  <si>
    <t>paulagomez555@gmail.com</t>
  </si>
  <si>
    <t>Paula Victoria Gomez Gonzalez (Representante Legal)</t>
  </si>
  <si>
    <t>Fastggy Sas</t>
  </si>
  <si>
    <t>Cr 68 F No. 97 37</t>
  </si>
  <si>
    <t>fastggy@hotmail.com</t>
  </si>
  <si>
    <t>Daniel Arturo Acosta Campos (Representante Legal)</t>
  </si>
  <si>
    <t>Fast Station Comidas Rapidas Sas</t>
  </si>
  <si>
    <t>Cr 56 4 A 64</t>
  </si>
  <si>
    <t>faststationsas@gmail.com</t>
  </si>
  <si>
    <t>Fast Station Comidas Rapidas Sas (Representante Legal)</t>
  </si>
  <si>
    <t>Fast Station Alamos S.A.S</t>
  </si>
  <si>
    <t>Carrera 101 71 B 17</t>
  </si>
  <si>
    <t>faststationalamos@gmail.com</t>
  </si>
  <si>
    <t>Maria Fernanda Diaz Bermudez (Representante Legal)</t>
  </si>
  <si>
    <t>Fast Food Del Llano Sas</t>
  </si>
  <si>
    <t>Cl 93 B # 17 25 Of 207 A</t>
  </si>
  <si>
    <t>ASESORAMOSPROYECTOS@OTLOOK.COM</t>
  </si>
  <si>
    <t>Mauricio Mendoza Pattin (Representante Legal)</t>
  </si>
  <si>
    <t>Fast Cars Performance Sas</t>
  </si>
  <si>
    <t>Reparación y Mantenimiento de Vehículos(8111); Bares y Otros Lugares para Beber(7224)</t>
  </si>
  <si>
    <t>Mantenimiento Y Reparación De Vehículos Automotores (G4520); Expendio De Bebidas Alcohólicas Para El Consumo Dentro Del Establecimiento (I5630)</t>
  </si>
  <si>
    <t>Carrera 26 70 90</t>
  </si>
  <si>
    <t>WORKSHOP.FAST.CARS@OUTLOOK.COM</t>
  </si>
  <si>
    <t>Andres Gomez Camelo (Representante Legal)</t>
  </si>
  <si>
    <t>Farandula Martinez S.A.S</t>
  </si>
  <si>
    <t>Cl 90 # 18 - 15</t>
  </si>
  <si>
    <t>andresfelipe9113@hotmail.com</t>
  </si>
  <si>
    <t>Andres Felipe Martinez Martinez (Representante Legal)</t>
  </si>
  <si>
    <t>Fantasma Jazz Sas</t>
  </si>
  <si>
    <t>Cl 73 No. 7 31</t>
  </si>
  <si>
    <t>facturacionfantasmabogota@gmail.com</t>
  </si>
  <si>
    <t>Family Donut's Sas</t>
  </si>
  <si>
    <t>Cafeterías y Bares para Bebidas sin Alcohol(722515); Otras Tiendas de Comidas Artesanales(44529); Panaderías y Producción de Tortillas(3118)</t>
  </si>
  <si>
    <t>Elaboración De Productos De Panadería (C1081); Comercio Al Por Menor De Otros Productos Alimenticios N.C.P., En Establecimientos Especializados (G4729); Expendio De Comidas Preparadas En Cafeterías (I5613)</t>
  </si>
  <si>
    <t>Cra 116 N. 23 C 15</t>
  </si>
  <si>
    <t>familydonuts56@gmail.com</t>
  </si>
  <si>
    <t>Patricia Cifuentes Ruiz (Representante Legal)</t>
  </si>
  <si>
    <t>Family Burger - Since 2021 Sas</t>
  </si>
  <si>
    <t>Cl 7 A 71 D 41</t>
  </si>
  <si>
    <t>elianest.26@gmail.com</t>
  </si>
  <si>
    <t>Sebastian Duque Sanabria (Representante Legal)</t>
  </si>
  <si>
    <t>Familia Jaguar Sas</t>
  </si>
  <si>
    <t>Expendio Por Autoservicio De Comidas Preparadas (I5612); Expendio De Bebidas Alcohólicas Para El Consumo Dentro Del Establecimiento (I5630); Creación Musical (R9002)</t>
  </si>
  <si>
    <t>Cr 7 No. 59 30</t>
  </si>
  <si>
    <t>admondiscojaguar@hotmail.com</t>
  </si>
  <si>
    <t>German Andres Parada Eraso (Representante Legal)</t>
  </si>
  <si>
    <t>Familia Cattleya S.A.S</t>
  </si>
  <si>
    <t>Cr 89 A Bis # 8 A 2</t>
  </si>
  <si>
    <t>rsotelocristancho@gmail.com</t>
  </si>
  <si>
    <t>Rodrigo Sotelo Cristancho (Representante Legal)</t>
  </si>
  <si>
    <t>Famicu Inversiones S.A.S</t>
  </si>
  <si>
    <t>Servicio Por Horas (I5530); Expendio A La Mesa De Comidas Preparadas (I5611); Expendio De Bebidas Alcohólicas Para El Consumo Dentro Del Establecimiento (I5630)</t>
  </si>
  <si>
    <t>Carrera 129 17 F 21</t>
  </si>
  <si>
    <t>merfastmerfast@gmail.com</t>
  </si>
  <si>
    <t>Juan Manuel Cubillos Pulido (Representante Legal)</t>
  </si>
  <si>
    <t>Fairuz Soluciones Alimenticias S.A.S</t>
  </si>
  <si>
    <t>Cl 36 No. 16 15</t>
  </si>
  <si>
    <t>fairuz.facturaelectronica@gmail.com</t>
  </si>
  <si>
    <t>Warner Fernando Moreno Hernandez (Representante Legal)</t>
  </si>
  <si>
    <t>Fabrica Universal De Entretenimiento S.A.S</t>
  </si>
  <si>
    <t>Calle 127 B 50 A 35</t>
  </si>
  <si>
    <t>danilo9711@gmail.com</t>
  </si>
  <si>
    <t>Cristian Danilo Aragon Gil (Representante Legal)</t>
  </si>
  <si>
    <t>Fabargo S.A.S</t>
  </si>
  <si>
    <t>Cl 17 No. 98 25</t>
  </si>
  <si>
    <t>d.maritzagp@gmail.com</t>
  </si>
  <si>
    <t>Fabio Alonso Barrera Villalba (Representante Legal)</t>
  </si>
  <si>
    <t>Ezcarlata S.A.S</t>
  </si>
  <si>
    <t>Cafeterías y Bares para Bebidas sin Alcohol(722515); Tiendas de Libros y Periódicos(45121); Supermercados(4451); Tiendas de Artículos Diversos(453)</t>
  </si>
  <si>
    <t>Comercio Al Por Menor En Establecimientos No Especializados Con Surtido Compuesto Principalmente Por Alimentos, Bebidas O Tabaco (G4711); Comercio Al Por Menor De Libros, Periódicos, Materiales Y Artículos De Papelería Y Escritorio, En Establecimientos Especializados (G4761); Comercio Al Por Menor De Otros Productos Nuevos En Establecimientos Especializados (G4774); Expendio De Comidas Preparadas En Cafeterías (I5613)</t>
  </si>
  <si>
    <t>Cr 18 No. 39 A 50</t>
  </si>
  <si>
    <t>ezcarlatacol@gmail.com</t>
  </si>
  <si>
    <t>Maria Daniela Buitrago Ramos (Representante Legal)</t>
  </si>
  <si>
    <t>Exxus Gastronomia &amp; Food Service S.A.S</t>
  </si>
  <si>
    <t>Ac 116 No. 71 39</t>
  </si>
  <si>
    <t>exxusoysterbar@yahoo.com</t>
  </si>
  <si>
    <t>Ayda Cortes Gallo (Representante Legal)</t>
  </si>
  <si>
    <t>Expreaseo S A S</t>
  </si>
  <si>
    <t>Cafeterías y Bares para Bebidas sin Alcohol(722515); Servicios de Consejería(56172); Servicios de Apoyo de Instalaciones(5612); Comerciantes al por Mayor de Bienes Duraderos Diversos(4239)</t>
  </si>
  <si>
    <t>Comercio Al Por Mayor De Otros Utensilios Domésticos N.C.P. (G4649); Expendio De Comidas Preparadas En Cafeterías (I5613); Actividades Combinadas De Apoyo A Instalaciones (N8110); Limpieza General Interior De Edificios (N8121)</t>
  </si>
  <si>
    <t>Cr 72 D No. 38 81 Sur</t>
  </si>
  <si>
    <t>diegot247@hotmail.com</t>
  </si>
  <si>
    <t>Diego Armando Torres Labrador (Representante Legal)</t>
  </si>
  <si>
    <t>Explora Hostels Sas</t>
  </si>
  <si>
    <t>Cll 12 C No. 3 - 19</t>
  </si>
  <si>
    <t>manager@explorahostels.com</t>
  </si>
  <si>
    <t>Mario Caicedo Rodriguez (Representante Legal)</t>
  </si>
  <si>
    <t>Explicit Group Sas</t>
  </si>
  <si>
    <t>Oficinas de Convenciones y Visitantes(561591); Empresas de Catering(72232); Agencias de Publicidad(54181); Bares y Otros Lugares para Beber(7224)</t>
  </si>
  <si>
    <t>Catering Para Eventos (I5621); Expendio De Bebidas Alcohólicas Para El Consumo Dentro Del Establecimiento (I5630); Publicidad (M7310); Organización De Convenciones Y Eventos Comerciales (N8230)</t>
  </si>
  <si>
    <t>Cr 45 No. 103 34 Of</t>
  </si>
  <si>
    <t>molinavargasnicolas@gmail.com</t>
  </si>
  <si>
    <t>Nicolas Molina Vargas (Representante Legal)</t>
  </si>
  <si>
    <t>Experiencias De Cafe Sas</t>
  </si>
  <si>
    <t>Tv 19 A No. 95 30 Lc 401</t>
  </si>
  <si>
    <t>Experiencia Gastronomica Sas</t>
  </si>
  <si>
    <t>Cl 90 No. 18 16</t>
  </si>
  <si>
    <t>contabilidadexperienciagastro@gmail.com</t>
  </si>
  <si>
    <t>Daniel Camilo Astorquiza Castañeda (Representante Legal)</t>
  </si>
  <si>
    <t>Experiencia Culinaria Sas</t>
  </si>
  <si>
    <t>Expendio Por Autoservicio De Comidas Preparadas (I5612); Otros Tipos De Expendio De Comidas Preparadas N.C.P. (I5619); Catering Para Eventos (I5621); Actividades De Otros Servicios De Comidas (I5629)</t>
  </si>
  <si>
    <t>Cr 58 C No. 144 15 Ca I 7</t>
  </si>
  <si>
    <t>experienciaculinaria.lc@gmail.com</t>
  </si>
  <si>
    <t>Diana Carolina Canal Gaona (Representante Legal)</t>
  </si>
  <si>
    <t>Expansiones Estratégicas Sas</t>
  </si>
  <si>
    <t>Cafeterías y Bares para Bebidas sin Alcohol(722515); Dirección de Empresas(55111); Servicios de Apoyo Educativo(6117); Oficinas de Agentes Inmobiliarios y Corredores(5312)</t>
  </si>
  <si>
    <t>Expendio De Comidas Preparadas En Cafeterías (I5613); Actividades Inmobiliarias Realizadas A Cambio De Una Retribución O Por Contrata (L6820); Actividades De Consultaría De Gestión (M7020); Actividades De Apoyo A La Educación (P8560)</t>
  </si>
  <si>
    <t>Tv 56 No. 105 37 Of 506</t>
  </si>
  <si>
    <t>info@expansionestrategicas.com</t>
  </si>
  <si>
    <t>Mario Fernando Moscoso Grajales (Representante Legal)</t>
  </si>
  <si>
    <t>Excentrico Sas</t>
  </si>
  <si>
    <t>excentricosas@gmail.com</t>
  </si>
  <si>
    <t>Javier Andres Velasquez Rojas (Representante Legal)</t>
  </si>
  <si>
    <t>Excéntrica Sas</t>
  </si>
  <si>
    <t>Fabricación de Alimentos Preparados Perecederos(311991); Grupos Musicales y Artistas(71113); Bares y Otros Lugares para Beber(7224); Servicios Especiales de Comida(7223)</t>
  </si>
  <si>
    <t>Elaboración De Comidas Y Platos Preparados (C1084); Expendio A La Mesa De Comidas Preparadas (I5611); Expendio De Bebidas Alcohólicas Para El Consumo Dentro Del Establecimiento (I5630); Actividades De Espectáculos Musicales En Vivo (R9007)</t>
  </si>
  <si>
    <t>Cr 14 A No. 83 13</t>
  </si>
  <si>
    <t>excentricabogota@gmail.com</t>
  </si>
  <si>
    <t>Brandon Pedraza Caro (Representante Legal)</t>
  </si>
  <si>
    <t>Eventos Lebrun S.A.S</t>
  </si>
  <si>
    <t>Calle 22 A Bis A No. 92 - 25</t>
  </si>
  <si>
    <t>eventoslebrun@gmail.com</t>
  </si>
  <si>
    <t>Sonia Pardo Pardo (Representante Legal)</t>
  </si>
  <si>
    <t>Eventos Gomar Sas</t>
  </si>
  <si>
    <t>Cl 9 # 38 50</t>
  </si>
  <si>
    <t>inversionesgomarsas@gmail.com</t>
  </si>
  <si>
    <t>Jaime Alberto Gomez Hurtado (Representante Legal)</t>
  </si>
  <si>
    <t>Eventos Armando Records Sas En Liquidacion</t>
  </si>
  <si>
    <t>Ac 85 No. 14 46 P 3</t>
  </si>
  <si>
    <t>Eventos &amp; Producciones D' Alba S.A.S</t>
  </si>
  <si>
    <t>Catering Para Eventos (I5621); Expendio De Bebidas Alcohólicas Para El Consumo Dentro Del Establecimiento (I5630); Otras Actividades Recreativas Y De Esparcimiento N.C.P. (R9329)</t>
  </si>
  <si>
    <t>Ak 70 No. 70 14 P 3 Of 302</t>
  </si>
  <si>
    <t>hugomariodealba@hotmail.com</t>
  </si>
  <si>
    <t>Hugo Mario De Alba Escobar (Representante Legal)</t>
  </si>
  <si>
    <t>Eurolan Host And Living Sas</t>
  </si>
  <si>
    <t>Cafeterías y Bares para Bebidas sin Alcohol(722515); Hoteles (excepto Hoteles Casino) y Moteles(72111); Servicios de Consejería(56172); Otros Contratistas Especializados(2389)</t>
  </si>
  <si>
    <t>Otras Actividades Especializadas Para La Construcción De Edificios Y Obras De Ingeniería Civil (F4390); Alojamiento En Hoteles (I5511); Expendio De Comidas Preparadas En Cafeterías (I5613); Limpieza General Interior De Edificios (N8121)</t>
  </si>
  <si>
    <t>Cl 67 No. 7 57 Of 305</t>
  </si>
  <si>
    <t>info@eurolanliving.com</t>
  </si>
  <si>
    <t>Alexander Mendez Cardenas (Representante Legal)</t>
  </si>
  <si>
    <t>Eureka Jas Group S.A.S</t>
  </si>
  <si>
    <t>Elaboración De Otros Productos Alimenticios N.C.P. (C1089); Expendio Por Autoservicio De Comidas Preparadas (I5612); Otros Tipos De Expendio De Comidas Preparadas N.C.P. (I5619)</t>
  </si>
  <si>
    <t>Carrera 93 21 15</t>
  </si>
  <si>
    <t>go.eurekafood@gmail.com</t>
  </si>
  <si>
    <t>Andrea Del Pilar Chitiva Oñate (Representante Legal)</t>
  </si>
  <si>
    <t>Etnia Salsa Bar S A S</t>
  </si>
  <si>
    <t>Crr 11 Este # 66 - 6</t>
  </si>
  <si>
    <t>orlandocg21@hotmail.com</t>
  </si>
  <si>
    <t>Salvador Orlando Cortes Guanga (Representante Legal)</t>
  </si>
  <si>
    <t>Estiro El Brazo Sas</t>
  </si>
  <si>
    <t>Otros Servicios de Apoyo de Negocios(56149); Dirección de Empresas(55111); Bares y Otros Lugares para Beber(7224)</t>
  </si>
  <si>
    <t>Expendio De Bebidas Alcohólicas Para El Consumo Dentro Del Establecimiento (I5630); Actividades De Consultaría De Gestión (M7020); Otras Actividades De Servicio De Apoyo A Las Empresas N.C.P. (N8299)</t>
  </si>
  <si>
    <t>Cl 58 Bis No. 10 13 Ap 705</t>
  </si>
  <si>
    <t>santepresenta@gmail.com</t>
  </si>
  <si>
    <t>Andres Felipe Perico Mora (Representante Legal)</t>
  </si>
  <si>
    <t>Estación Café La Parrilla De Juan S.A.S - En Liquidacion</t>
  </si>
  <si>
    <t>Cl 62 No. 7 13</t>
  </si>
  <si>
    <t>SAINFANTE@YAHOO.COM</t>
  </si>
  <si>
    <t>Sergio Andres Infante Tello (Representante Legal)</t>
  </si>
  <si>
    <t>Esse Soluciones S.A.S En Liquidacion</t>
  </si>
  <si>
    <t>Comercio Al Por Menor En Establecimientos No Especializados Con Surtido Compuesto Principalmente Por Alimentos, Bebidas O Tabaco (G4711); Comercio Al Por Menor Realizado A Través De Casas De Venta O Por Correo (G4792); Expendio De Comidas Preparadas En Cafeterías (I5613)</t>
  </si>
  <si>
    <t>Cl 85 # 10 - 80 Loca</t>
  </si>
  <si>
    <t>essesoluciones@gmail.com</t>
  </si>
  <si>
    <t>Andres Gerardo Garcia Arias (Representante Legal)</t>
  </si>
  <si>
    <t>Espiritu Santo Cafe Sas</t>
  </si>
  <si>
    <t>Cafeterías y Bares para Bebidas sin Alcohol(722515); Empresas de Catering(72232); Otras Tiendas de Comidas Artesanales(44529)</t>
  </si>
  <si>
    <t>Comercio Al Por Menor De Otros Productos Alimenticios N.C.P., En Establecimientos Especializados (G4729); Expendio De Comidas Preparadas En Cafeterías (I5613); Catering Para Eventos (I5621)</t>
  </si>
  <si>
    <t>Cl 127 D No. 60 61 Ap 301 Tr 3</t>
  </si>
  <si>
    <t>jrpanesso@gmail.com</t>
  </si>
  <si>
    <t>Juan Manuel Rodriguez Panesso (Representante Legal)</t>
  </si>
  <si>
    <t>Espacios Ccp Sas</t>
  </si>
  <si>
    <t>Cafeterías y Bares para Bebidas sin Alcohol(722515); Servicios de Diseño Especializado(5414); Industrias de Grabación de Sonido(5122); Industrias Cinematográficas y de Vídeo(5121)</t>
  </si>
  <si>
    <t>Industrias de Grabación de Sonido(5122)</t>
  </si>
  <si>
    <t>Expendio De Comidas Preparadas En Cafeterías (I5613); Actividades De Producción De Películas Cinematográficas, Videos, Programas, Anuncios Y Comerciales De Televisión (J5911); Actividades De Grabación De Sonido Y Edición De Música (J5920); Actividades Especializadas De Diseño (M7410)</t>
  </si>
  <si>
    <t>Actividades De Grabación De Sonido Y Edición De Música (J5920)</t>
  </si>
  <si>
    <t>Cr 103 No. 83 - 90 Int 1 - 506</t>
  </si>
  <si>
    <t>ESPACIOSCCP@GMAIL.COM</t>
  </si>
  <si>
    <t>Juliana Camila Gutierrez Mendoza (Representante Legal)</t>
  </si>
  <si>
    <t>Espacio Kb Sas</t>
  </si>
  <si>
    <t>Expendio A La Mesa De Comidas Preparadas (I5611); Expendio De Bebidas Alcohólicas Para El Consumo Dentro Del Establecimiento (I5630); Artes Plásticas Y Visuales (R9005)</t>
  </si>
  <si>
    <t>Cl 74 No. 22 - 20</t>
  </si>
  <si>
    <t>angelinagv@gmail.com</t>
  </si>
  <si>
    <t>Maria Angelina Guerrero Valencia (Representante Legal)</t>
  </si>
  <si>
    <t>Espacio En Blanco Creatividad Sas</t>
  </si>
  <si>
    <t>Oficinas de Convenciones y Visitantes(561591); Otros Servicios de Apoyo de Negocios(56149); Bares y Otros Lugares para Beber(7224); Arrendadores de Bienes Inmuebles(5311)</t>
  </si>
  <si>
    <t>Expendio De Bebidas Alcohólicas Para El Consumo Dentro Del Establecimiento (I5630); Actividades Inmobiliarias Realizadas Con Bienes Propios O Arrendados (L6810); Organización De Convenciones Y Eventos Comerciales (N8230); Otras Actividades De Servicio De Apoyo A Las Empresas N.C.P. (N8299)</t>
  </si>
  <si>
    <t>Cl 48 No. 6 14</t>
  </si>
  <si>
    <t>info@espacioenblanco.com.co</t>
  </si>
  <si>
    <t>Theo Guevara Wells (Representante Legal)</t>
  </si>
  <si>
    <t>Esp@Col Sas En Liquidacion</t>
  </si>
  <si>
    <t>Cl 160 No. 73 47 To</t>
  </si>
  <si>
    <t>espacolbusiness@gmail.com</t>
  </si>
  <si>
    <t>Agustin Llata Vidal (Representante Legal)</t>
  </si>
  <si>
    <t>Eslabones Comerciales S.A.S.</t>
  </si>
  <si>
    <t>Carrera 68B 24 - 39 Local 306A</t>
  </si>
  <si>
    <t>eslabonescomerciales@gmail.com</t>
  </si>
  <si>
    <t>Maria Carolina Coba Reyes (Representante Legal)</t>
  </si>
  <si>
    <t>Eom Asociados Sas</t>
  </si>
  <si>
    <t>Expendio Por Autoservicio De Comidas Preparadas (I5612); Otros Tipos De Expendio De Comidas Preparadas N.C.P. (I5619); Expendio De Bebidas Alcohólicas Para El Consumo Dentro Del Establecimiento (I5630); Actividades Inmobiliarias Realizadas Con Bienes Propios O Arrendados (L6810)</t>
  </si>
  <si>
    <t>Cr 72 Bis No. 152 B</t>
  </si>
  <si>
    <t>eomasociadossas@gmail.com</t>
  </si>
  <si>
    <t>Miguel Danilo Molina Bohorquez (Representante Legal)</t>
  </si>
  <si>
    <t>Entrevolcanes Sas</t>
  </si>
  <si>
    <t>Cafeterías y Bares para Bebidas sin Alcohol(722515); Otros Alojamientos para Viajeros(72119); Comerciantes al por Mayor de Productos Agrícolas de Materias Primas(4245); Comerciantes al por Mayor de Comestibles y Productos Relacionados(4244)</t>
  </si>
  <si>
    <t>Comercio Al Por Mayor De Materias Primas Agropecuarias; Animales Vivos (G4620); Comercio Al Por Mayor De Productos Alimenticios (G4631); Alojamiento Rural (I5514); Expendio De Comidas Preparadas En Cafeterías (I5613)</t>
  </si>
  <si>
    <t>Cr 19 A No. 122 88 Ap 402</t>
  </si>
  <si>
    <t>guerraforero@gmail.com</t>
  </si>
  <si>
    <t>Anamaria Maria Guerra Forero (Representante Legal)</t>
  </si>
  <si>
    <t>Entrearos Sas</t>
  </si>
  <si>
    <t>Cafeterías y Bares para Bebidas sin Alcohol(722515); Tiendas de Mercancía General, incluyendo Grandes Almacenes(45231); Otras Escuelas e Instituciones Instructivas(6116); Tiendas de Artículos Diversos(453)</t>
  </si>
  <si>
    <t>Comercio Al Por Menor En Establecimientos No Especializados, Con Surtido Compuesto Principalmente Por Productos Diferentes De Alimentos (Víveres En General), Bebidas Y Tabaco (G4719); Comercio Al Por Menor De Otros Productos Nuevos En Establecimientos Especializados (G4774); Expendio De Comidas Preparadas En Cafeterías (I5613); Otros Tipos De Educación N.C.P. (P8559)</t>
  </si>
  <si>
    <t>Cl 166 No. 9 45 To 5</t>
  </si>
  <si>
    <t>entrearos@gmail.com</t>
  </si>
  <si>
    <t>Luis Eduardo Castillo Lopez (Representante Legal)</t>
  </si>
  <si>
    <t>Enter The Void Sas</t>
  </si>
  <si>
    <t>Demás Tipos de Industrias de Diversión y Recreativas(71399); Grupos Musicales y Artistas(71113); Compañías de Teatro y Cena Teatros(71111); Bares y Otros Lugares para Beber(7224)</t>
  </si>
  <si>
    <t>Expendio De Bebidas Alcohólicas Para El Consumo Dentro Del Establecimiento (I5630); Actividades Teatrales (R9006); Actividades De Espectáculos Musicales En Vivo (R9007); Otras Actividades Recreativas Y De Esparcimiento N.C.P. (R9329)</t>
  </si>
  <si>
    <t>Cl 5 B No. 31 B 42</t>
  </si>
  <si>
    <t>enterthevoid.col@gmail.com</t>
  </si>
  <si>
    <t>Halber Joan Guillen Ortegon (Representante Legal)</t>
  </si>
  <si>
    <t>Enriquez Group Corporation S A S</t>
  </si>
  <si>
    <t>Construcción de Edificios Residenciales(23611); Bares y Otros Lugares para Beber(7224); Servicios Especiales de Comida(7223); Construcción de Edificios No Residenciales(2362)</t>
  </si>
  <si>
    <t>Construcción De Edificios Residenciales (F4111); Construcción De Edificios No Residenciales (F4112); Expendio A La Mesa De Comidas Preparadas (I5611); Expendio De Bebidas Alcohólicas Para El Consumo Dentro Del Establecimiento (I5630)</t>
  </si>
  <si>
    <t>Cl 137 No. 55 A 65 A</t>
  </si>
  <si>
    <t>gerencia@encordsas.com</t>
  </si>
  <si>
    <t>Juan David Enriquez Muñoz (Representante Legal)</t>
  </si>
  <si>
    <t>Encasa Hosting S.A.S.</t>
  </si>
  <si>
    <t>Cafeterías y Bares para Bebidas sin Alcohol(722515); Otros Alojamientos para Viajeros(72119); Otras Compañías de Artes Escénicas(71119); Procesamiento de Datos, Proveedores de Internet y Servicios Relacionados(518)</t>
  </si>
  <si>
    <t>Alojamiento En Apartahoteles (I5512); Expendio De Comidas Preparadas En Cafeterías (I5613); Procesamiento De Datos, Alojamiento (Hosting) Y Actividades Relacionadas (J6311); Artes Plásticas Y Visuales (R9005)</t>
  </si>
  <si>
    <t>Cl 70 A # 11 38</t>
  </si>
  <si>
    <t>arenasjohana@hotmail.com</t>
  </si>
  <si>
    <t>Johanna Marcela Arenas Rueda (Representante Legal)</t>
  </si>
  <si>
    <t>Enamorarte Trattoria Y Charcuteria Artesanal Sas</t>
  </si>
  <si>
    <t>Cl 140 No 11 - 05</t>
  </si>
  <si>
    <t>nanavassan@outlook.com</t>
  </si>
  <si>
    <t>Adriana Elvira Vasquez Sanchez (Representante Legal)</t>
  </si>
  <si>
    <t>En Vos Confio S A S</t>
  </si>
  <si>
    <t>Km 5Via Calera</t>
  </si>
  <si>
    <t>choripancharrua@hotmail.com</t>
  </si>
  <si>
    <t>Federico Leon Alvarez De Soto (Representante Legal)</t>
  </si>
  <si>
    <t>En Atomos Volando S A S</t>
  </si>
  <si>
    <t>Carrera 9 # 69 - 10</t>
  </si>
  <si>
    <t>gerencia@guerrerocia.com</t>
  </si>
  <si>
    <t>Jose Miguel Amaya Fernandez (Representante Legal)</t>
  </si>
  <si>
    <t>En Alturas Cafe S.A.S</t>
  </si>
  <si>
    <t>Cafeterías y Bares para Bebidas sin Alcohol(722515); Construcción de Edificios Residenciales(23611); Construcción de Edificios No Residenciales(2362)</t>
  </si>
  <si>
    <t>Construcción De Edificios Residenciales (F4111); Construcción De Edificios No Residenciales (F4112); Expendio Por Autoservicio De Comidas Preparadas (I5612); Expendio De Comidas Preparadas En Cafeterías (I5613)</t>
  </si>
  <si>
    <t>Cr 67 No. 57 B 09 Sur To 4 P 23</t>
  </si>
  <si>
    <t>enalturascafe01@gmail.com</t>
  </si>
  <si>
    <t>Ivan Lonardy Marquez Ramirez (Representante Legal)</t>
  </si>
  <si>
    <t>Empresa Norteña Colombiana Sas</t>
  </si>
  <si>
    <t>Oficinas de Convenciones y Visitantes(561591); Grupos Musicales y Artistas(71113); Bares y Otros Lugares para Beber(7224); Industrias de Grabación de Sonido(5122)</t>
  </si>
  <si>
    <t>Expendio De Bebidas Alcohólicas Para El Consumo Dentro Del Establecimiento (I5630); Actividades De Grabación De Sonido Y Edición De Música (J5920); Organización De Convenciones Y Eventos Comerciales (N8230); Actividades De Espectáculos Musicales En Vivo (R9007)</t>
  </si>
  <si>
    <t>Kr 18H 91B Sur 03</t>
  </si>
  <si>
    <t>empresanortenacolombiana@gmail.com</t>
  </si>
  <si>
    <t>Juan Carlos Sanchez Hoyos (Representante Legal)</t>
  </si>
  <si>
    <t>Emprendedores Siglo Xxi S A S</t>
  </si>
  <si>
    <t>Cafeterías y Bares para Bebidas sin Alcohol(722515); Dirección de Empresas(55111); Demás Servicios Profesionales, Científicos y Técnicos(54199); Servicios Educativos(611)</t>
  </si>
  <si>
    <t>Expendio De Comidas Preparadas En Cafeterías (I5613); Actividades De Consultaría De Gestión (M7020); Otras Actividades Profesionales, Científicas Y Técnicas N.C.P. (M7490); Establecimientos Que Combinan Diferentes Niveles De Educación (P8530)</t>
  </si>
  <si>
    <t>Tv 93 No. 22 D 35 Ca 94 Et 1</t>
  </si>
  <si>
    <t>emprendedoresxxi3@gmail.com</t>
  </si>
  <si>
    <t>Sandra Liliana Avila Gallego (Representante Legal)</t>
  </si>
  <si>
    <t>Emprendedores Cafe Colombia S.A.S</t>
  </si>
  <si>
    <t>Carrera 7 B 135 27 Apartamento 1102</t>
  </si>
  <si>
    <t>emprendedorescafecolombia@gmail.com</t>
  </si>
  <si>
    <t>Gustavo Adolfo Sanchez Herrera (Representante Legal)</t>
  </si>
  <si>
    <t>Emparrandas Sas</t>
  </si>
  <si>
    <t>Dg 40 A No. 15 16</t>
  </si>
  <si>
    <t>alimentosunoa@gmail.com</t>
  </si>
  <si>
    <t>David Sebastian Vargas Fuentes (Representante Legal)</t>
  </si>
  <si>
    <t>Empanadas Don Jose S.A.S</t>
  </si>
  <si>
    <t>Dg 47 A No. 53 B 32 Sur</t>
  </si>
  <si>
    <t>nancy.1108c@hotmail.com</t>
  </si>
  <si>
    <t>Nancy Esperanza Cardona Gonzalez (Representante Legal)</t>
  </si>
  <si>
    <t>Emmanuel's Food Sas</t>
  </si>
  <si>
    <t>Cra 85 A 83 81</t>
  </si>
  <si>
    <t>infoemmanuelsfood@gmail.com</t>
  </si>
  <si>
    <t>Angelica Alejandra Castro Rozo (Representante Legal)</t>
  </si>
  <si>
    <t>Emc Logistica Sas</t>
  </si>
  <si>
    <t>Cr 18 No. 63 C 05 Ap 202</t>
  </si>
  <si>
    <t>caninolopezd@yahoo.es</t>
  </si>
  <si>
    <t>Martha Carolina Lopez Duran (Representante Legal)</t>
  </si>
  <si>
    <t>Emalu Gonsa Sas</t>
  </si>
  <si>
    <t>Demás Diversas Escuelas y Enseñanza(611699); Restaurantes y Otros Lugares para Comer(72251); Empresas de Catering(72232); Panaderías y Producción de Tortillas(3118)</t>
  </si>
  <si>
    <t>Elaboración De Productos De Panadería (C1081); Expendio Por Autoservicio De Comidas Preparadas (I5612); Catering Para Eventos (I5621); Formación Para El Trabajo (P8551)</t>
  </si>
  <si>
    <t>Cr 45 Aut Norte No. 106 71 Lc 105</t>
  </si>
  <si>
    <t>coffelunch106@gmail.com</t>
  </si>
  <si>
    <t>Olga Lucia Gonzalez Salamanca (Representante Legal)</t>
  </si>
  <si>
    <t>Em Har S.A.S.</t>
  </si>
  <si>
    <t>Avenida Carrera 7 115 60</t>
  </si>
  <si>
    <t>punjabidarbar2023@gmail.com</t>
  </si>
  <si>
    <t>Julia Maria Salazar Pinillos (Representante Legal)</t>
  </si>
  <si>
    <t>Elyed Inversiones Sas</t>
  </si>
  <si>
    <t>Cafeterías y Bares para Bebidas sin Alcohol(722515); Servicios de Cuidado de Uñas, Pelo y Piel(81211); Bares y Otros Lugares para Beber(7224); Comerciantes al por Mayor de Medicamentos y Productos Relacionados(4242)</t>
  </si>
  <si>
    <t>Comercio Al Por Mayor De Productos Farmacéuticos, Medicinales, Cosméticos Y De Tocador (G4645); Expendio De Comidas Preparadas En Cafeterías (I5613); Expendio De Bebidas Alcohólicas Para El Consumo Dentro Del Establecimiento (I5630); Peluquería Y Otros Tratamientos De Belleza (S9602)</t>
  </si>
  <si>
    <t>Cr 51 No. 167 50 In</t>
  </si>
  <si>
    <t>armorcenterco@gmail.com</t>
  </si>
  <si>
    <t>Edgar Alberto Delgado Velasco (Representante Legal)</t>
  </si>
  <si>
    <t>Elsub Sas</t>
  </si>
  <si>
    <t>Av Jimenez No. 7 17</t>
  </si>
  <si>
    <t>elsubsas@gmail.com</t>
  </si>
  <si>
    <t>Felipe Pinzon Londoño (Representante Legal)</t>
  </si>
  <si>
    <t>Elgallo 2022 Sas</t>
  </si>
  <si>
    <t>Calle 85 # 13 85/89</t>
  </si>
  <si>
    <t>elgallosas2022@gmail.com</t>
  </si>
  <si>
    <t>Nestor Felipe Quintero Tabares (Representante Legal)</t>
  </si>
  <si>
    <t>Element Sushi Bar Company Sas</t>
  </si>
  <si>
    <t>Cl 25 F No. 99 73</t>
  </si>
  <si>
    <t>yanacaasociados@gmail.com</t>
  </si>
  <si>
    <t>Pricila Rivera Espitia (Representante Legal)</t>
  </si>
  <si>
    <t>Elektra Heladeria Y Cafe Sas</t>
  </si>
  <si>
    <t>Cr 8 B No. 40 15 Lc</t>
  </si>
  <si>
    <t>electracafebar@gmail.com</t>
  </si>
  <si>
    <t>Vargas Bustos Daniel Leonardo (Representante Legal)</t>
  </si>
  <si>
    <t>Electrolink Colombia Sas</t>
  </si>
  <si>
    <t>Otras Telecomunicaciones(51791); Bares y Otros Lugares para Beber(7224)</t>
  </si>
  <si>
    <t>Expendio De Bebidas Alcohólicas Para El Consumo Dentro Del Establecimiento (I5630); Otras Actividades De Telecomunicaciones (J6190)</t>
  </si>
  <si>
    <t>Cl 32 A Sur No. 20 15</t>
  </si>
  <si>
    <t>JULIO.CORREA.MONDACA@GMAIL.COM</t>
  </si>
  <si>
    <t>Julio Armando Correa Mondaca (Representante Legal)</t>
  </si>
  <si>
    <t>El Vendedor Numero 1 Sas</t>
  </si>
  <si>
    <t>Cl 2G No 39A 24</t>
  </si>
  <si>
    <t>elvendedornumero1@gmail.com</t>
  </si>
  <si>
    <t>Mauricio Alexander Varela Barahona (Representante Legal)</t>
  </si>
  <si>
    <t>El Tour Gastronomico Sas</t>
  </si>
  <si>
    <t>Cl 154 No. 16 D 79</t>
  </si>
  <si>
    <t>laparadocomidas@gmail.com</t>
  </si>
  <si>
    <t>Liberato Estupiñan Acevedo (Representante Legal)</t>
  </si>
  <si>
    <t>El Templo Tes E Infusiones Sas</t>
  </si>
  <si>
    <t>Cafeterías y Bares para Bebidas sin Alcohol(722515); Tiendas de Electrodomésticos(443141)</t>
  </si>
  <si>
    <t>Comercio Al Por Menor De Artículos Y Utensilios De Uso Doméstico (G4755); Expendio De Comidas Preparadas En Cafeterías (I5613)</t>
  </si>
  <si>
    <t>Ak 24 No. 37 60</t>
  </si>
  <si>
    <t>eltemplo.te@gmail.com</t>
  </si>
  <si>
    <t>Yazmin Paola Mendez Arias (Representante Legal)</t>
  </si>
  <si>
    <t>El Taita Sas</t>
  </si>
  <si>
    <t>Cra 75 # 24 D 94</t>
  </si>
  <si>
    <t>eltaitafood@gmail.com</t>
  </si>
  <si>
    <t>Alvaro Andres Londoño Bedoya (Representante Legal)</t>
  </si>
  <si>
    <t>El Sitio Group Sas</t>
  </si>
  <si>
    <t>Empresas de Catering(72232); Otras Compañías de Artes Escénicas(71119); Bares y Otros Lugares para Beber(7224)</t>
  </si>
  <si>
    <t>Expendio A La Mesa De Comidas Preparadas (I5611); Catering Para Eventos (I5621); Expendio De Bebidas Alcohólicas Para El Consumo Dentro Del Establecimiento (I5630); Otras Actividades De Espectáculos En Vivo N.C.P. (R9008)</t>
  </si>
  <si>
    <t>Cr 13 No. 77 22</t>
  </si>
  <si>
    <t>MORIS@ELSITIOGROUP.COM</t>
  </si>
  <si>
    <t>Diego Mauricio Rodriguez Guarnizo (Representante Legal)</t>
  </si>
  <si>
    <t>El Siete Lounge Bohemia Pub Y Gastro Sas</t>
  </si>
  <si>
    <t>Cr 55 No. 171 - 29</t>
  </si>
  <si>
    <t>cami.leon93@hotmail.com</t>
  </si>
  <si>
    <t>Camila Andrea Leon Rueda (Representante Legal)</t>
  </si>
  <si>
    <t>El Séptimo Parche S.A.S</t>
  </si>
  <si>
    <t>Bares y Otros Lugares para Beber(7224); Servicios Especiales de Comida(7223); Industrias Cinematográficas y de Vídeo(5121)</t>
  </si>
  <si>
    <t>Expendio A La Mesa De Comidas Preparadas (I5611); Expendio De Bebidas Alcohólicas Para El Consumo Dentro Del Establecimiento (I5630); Actividades De Producción De Películas Cinematográficas, Videos, Programas, Anuncios Y Comerciales De Televisión (J5911)</t>
  </si>
  <si>
    <t>Cl 75 No. 22 40 Lc 2</t>
  </si>
  <si>
    <t>elseptimoparche@gmail.com</t>
  </si>
  <si>
    <t>Carlos Andres Castro Diaz (Representante Legal)</t>
  </si>
  <si>
    <t>El Sapo Bolirana Sas</t>
  </si>
  <si>
    <t>Cl 19 No. 4 - 06 Ap 502</t>
  </si>
  <si>
    <t>elsapoboliranacol@gmail.com</t>
  </si>
  <si>
    <t>Cristian Camilo Granados Ceron (Representante Legal)</t>
  </si>
  <si>
    <t>El Rincón Del Frijol Sas</t>
  </si>
  <si>
    <t>Restaurantes y Otros Lugares para Comer(72251); Servicios Especiales de Comida(7223); Cervecerías, Vinaterías y Tiendas de Licores(4453)</t>
  </si>
  <si>
    <t>Comercio Al Por Menor De Bebidas Y Productos Del Tabaco, En Establecimientos Especializados (G4724); Expendio A La Mesa De Comidas Preparadas (I5611); Expendio Por Autoservicio De Comidas Preparadas (I5612)</t>
  </si>
  <si>
    <t>Cl 151 No 18 A - 37</t>
  </si>
  <si>
    <t>barm17770899@gmail.com</t>
  </si>
  <si>
    <t>Rosales Medina Belen Adriana (Representante Legal)</t>
  </si>
  <si>
    <t>El Rescate De La Esperanza S.A.S En Liquidacion</t>
  </si>
  <si>
    <t>Cl 9 A # 69 B - 04</t>
  </si>
  <si>
    <t>biancarole@yahoo.com</t>
  </si>
  <si>
    <t>Bianca Carole Urdinola Vargas (Representante Legal)</t>
  </si>
  <si>
    <t>El Perrito Salsero S.A.S</t>
  </si>
  <si>
    <t>Oficinas de Convenciones y Visitantes(561591); Restaurantes y Otros Lugares para Comer(72251); Otros Servicios Personales(8129); Comerciantes al por Mayor de Comestibles y Productos Relacionados(4244)</t>
  </si>
  <si>
    <t>Comercio Al Por Mayor De Productos Alimenticios (G4631); Expendio Por Autoservicio De Comidas Preparadas (I5612); Organización De Convenciones Y Eventos Comerciales (N8230); Otras Actividades De Servicios Personales N.C.P. (S9609)</t>
  </si>
  <si>
    <t>Carrera 111 A 22 J 45</t>
  </si>
  <si>
    <t>elperritosalsero55@gmail.com</t>
  </si>
  <si>
    <t>William Andres Rodriguez Mateus (Representante Legal)</t>
  </si>
  <si>
    <t>El Pepino Rumbeadero Sas</t>
  </si>
  <si>
    <t>Calle 85 # 11 - 53 Paseo Del Faro Interi</t>
  </si>
  <si>
    <t>elpepinobogota@gmail.com</t>
  </si>
  <si>
    <t>Ricardo Augusto Camacho Tarquino (Representante Legal)</t>
  </si>
  <si>
    <t>El Mono Bandido Sas</t>
  </si>
  <si>
    <t>Cr 4 No. 54 - 85 El Mono Bandido</t>
  </si>
  <si>
    <t>Simon Villada Londoño (Representante Legal)</t>
  </si>
  <si>
    <t>El Meson Del Arriero 10 S.A.S.</t>
  </si>
  <si>
    <t>Calle 16 No 10 - 19 2</t>
  </si>
  <si>
    <t>1919alpasa@gmail.com</t>
  </si>
  <si>
    <t>William Moreno Restrepo (Representante Legal)</t>
  </si>
  <si>
    <t>El Merendero Sabor Casero Sas</t>
  </si>
  <si>
    <t>Cr 9 No. 12 56</t>
  </si>
  <si>
    <t>merenderosaborcasero@gmail.com</t>
  </si>
  <si>
    <t>Ruth Alejandra Torres Mora (Representante Legal)</t>
  </si>
  <si>
    <t>El Master Productos Alimenticios Sas</t>
  </si>
  <si>
    <t>Calle 67 N 9A - 27</t>
  </si>
  <si>
    <t>elmastertaqueria@gmail.com</t>
  </si>
  <si>
    <t>Dagoberto Garcia Bedoya (Representante Legal)</t>
  </si>
  <si>
    <t>El Lobo Blanco Sas</t>
  </si>
  <si>
    <t>Grupos Musicales y Artistas(71113); Construcción de Edificios Residenciales(23611); Bares y Otros Lugares para Beber(7224)</t>
  </si>
  <si>
    <t>Construcción De Edificios Residenciales (F4111); Expendio De Bebidas Alcohólicas Para El Consumo Dentro Del Establecimiento (I5630); Actividades De Espectáculos Musicales En Vivo (R9007)</t>
  </si>
  <si>
    <t>Cl 30 # 3 A - 42</t>
  </si>
  <si>
    <t>Giuseppe Marquez (Representante Legal)</t>
  </si>
  <si>
    <t>El Ídolo Sas</t>
  </si>
  <si>
    <t>Calle 94 N 72 A 92 C</t>
  </si>
  <si>
    <t>elidolococinamex@gmail.com</t>
  </si>
  <si>
    <t>Carlos Augusto Martinez Castro (Representante Legal)</t>
  </si>
  <si>
    <t>El Horno De Piedra Sas</t>
  </si>
  <si>
    <t>Cl 100 No. 19 - 61 Lc 1</t>
  </si>
  <si>
    <t>CISARS100@GMAIL.COM</t>
  </si>
  <si>
    <t>Jose Luis Ramirez Rondon (Representante Legal)</t>
  </si>
  <si>
    <t>El Hangar Wings And Beer S.A.S</t>
  </si>
  <si>
    <t>Calle 130 58 A 09</t>
  </si>
  <si>
    <t>ojimenezj75@gmail.com</t>
  </si>
  <si>
    <t>Oscar Javier Jimenez Soler (Representante Legal)</t>
  </si>
  <si>
    <t>El Hangar De Los 80's Sas</t>
  </si>
  <si>
    <t>Oficinas de Convenciones y Visitantes(561591); Fabricación de Alimentos Preparados Perecederos(311991); Bares y Otros Lugares para Beber(7224); Servicios Especiales de Comida(7223)</t>
  </si>
  <si>
    <t>Elaboración De Comidas Y Platos Preparados (C1084); Expendio A La Mesa De Comidas Preparadas (I5611); Expendio De Bebidas Alcohólicas Para El Consumo Dentro Del Establecimiento (I5630); Organización De Convenciones Y Eventos Comerciales (N8230)</t>
  </si>
  <si>
    <t>Cr 80 C No. 24 C 07 Lc 2</t>
  </si>
  <si>
    <t>elhangardelos80s@gmail.com</t>
  </si>
  <si>
    <t>Santos Barbosa Ricardo Alfonso (Representante Legal)</t>
  </si>
  <si>
    <t>El Guapo S.A.S</t>
  </si>
  <si>
    <t>Cr 17 No. 124 31</t>
  </si>
  <si>
    <t>elguapo.col@gmail.com</t>
  </si>
  <si>
    <t>Jhonatan Alejandro Sandoval Yance (Representante Legal)</t>
  </si>
  <si>
    <t>El Gaucho Hamburgueseria Y Parrilla Sas</t>
  </si>
  <si>
    <t>Cll 63 B # 80 A - 68</t>
  </si>
  <si>
    <t>elgauchofacturas2022@hotmail.com</t>
  </si>
  <si>
    <t>Jamith Alonso Bareño Rodriguez (Representante Legal)</t>
  </si>
  <si>
    <t>El Gato Tragon S.A.S</t>
  </si>
  <si>
    <t>Carrera 104 No 148 07 Centro Comercial P</t>
  </si>
  <si>
    <t>oscarbogota79@gmail.com</t>
  </si>
  <si>
    <t>Oscar Javier Bogota Guerrero (Representante Legal)</t>
  </si>
  <si>
    <t>El Fogón Y El Parrileño Sas</t>
  </si>
  <si>
    <t>Cr 72 K 36 99 Sur</t>
  </si>
  <si>
    <t>lasgavic@gmail.com</t>
  </si>
  <si>
    <t>Francy Lorena Gonzalez Lucuara (Representante Legal)</t>
  </si>
  <si>
    <t>El Fogon De Las Sopitas Sas</t>
  </si>
  <si>
    <t>Cr 8 No. 12 21 Lc 12</t>
  </si>
  <si>
    <t>ELFOGONDELASSOPITAS@HOTMAIL.COM</t>
  </si>
  <si>
    <t>Cesar Ivan Uribe Molina (Representante Legal)</t>
  </si>
  <si>
    <t>El Escondite Gastrobar Sas</t>
  </si>
  <si>
    <t>Cr 6 No. 30 25</t>
  </si>
  <si>
    <t>diegojohan123@gmail.com</t>
  </si>
  <si>
    <t>Diego Johan Camelo Vargas (Representante Legal)</t>
  </si>
  <si>
    <t>El Escondite Del 7 Sas</t>
  </si>
  <si>
    <t>Cl 67 No. 25 33</t>
  </si>
  <si>
    <t>elesconditedel7@gmail.com</t>
  </si>
  <si>
    <t>Christian Javier Molina Arenas (Representante Legal)</t>
  </si>
  <si>
    <t>El Coqq S.A.S</t>
  </si>
  <si>
    <t>Cl 85 No. 13 85</t>
  </si>
  <si>
    <t>Juan Nicolas Nader Garzon (Representante Legal)</t>
  </si>
  <si>
    <t>El Club Oficial Sas</t>
  </si>
  <si>
    <t>Cr 30 No. 8 53</t>
  </si>
  <si>
    <t>elcluboficial24@gmail.com</t>
  </si>
  <si>
    <t>Jhonatan Perea Santamaria (Representante Legal)</t>
  </si>
  <si>
    <t>El Club Dorado S.A.S</t>
  </si>
  <si>
    <t>Calle 56 13 38 Barrio Chapinero</t>
  </si>
  <si>
    <t>elclubdoradosas@gmail.com</t>
  </si>
  <si>
    <t>Albeiro Lopez Esguerra (Representante Legal)</t>
  </si>
  <si>
    <t>El Club Del Waffle Sas</t>
  </si>
  <si>
    <t>Cafeterías y Bares para Bebidas sin Alcohol(722515); Panaderías y Producción de Tortillas(3118); Conservación de Frutas, Verduras y Fabricación de Alimentos Especializados(3114); Arrendadores de Bienes Intangibles No Financieros (excepto Obras con los Derechos Reservados)(533)</t>
  </si>
  <si>
    <t>Procesamiento Y Conservación De Frutas, Legumbres, Hortalizas Y Tubérculos (C1020); Elaboración De Productos De Panadería (C1081); Expendio De Comidas Preparadas En Cafeterías (I5613); Arrendamiento De Propiedad Intelectual Y Productos Similares, Excepto Obras Protegidas Por Derechos De Autor (N7740)</t>
  </si>
  <si>
    <t>Cr 73 No. 38 D 18 Su</t>
  </si>
  <si>
    <t>elclubdelwafflecorporativo@gmail.com</t>
  </si>
  <si>
    <t>Liz Geraldine Patiño Perdomo (Representante Legal)</t>
  </si>
  <si>
    <t>El Club De Los Licores S.A.S.</t>
  </si>
  <si>
    <t>Cl 101 No. 70 B - 16</t>
  </si>
  <si>
    <t>favio67@hotmail.com</t>
  </si>
  <si>
    <t>Favio Silverio Gonzalez Cuenca (Representante Legal)</t>
  </si>
  <si>
    <t>El Cinematógrafo Sas</t>
  </si>
  <si>
    <t>Cl 54 C Sur No. 99 A 41</t>
  </si>
  <si>
    <t>cronos-11@hotmail.com</t>
  </si>
  <si>
    <t>Luis Ernesto Vargas Romero (Representante Legal)</t>
  </si>
  <si>
    <t>El Chomex Comida Afromexican Sas</t>
  </si>
  <si>
    <t>Cl 24 No. 81 C 61</t>
  </si>
  <si>
    <t>elchomex4@gmail.com</t>
  </si>
  <si>
    <t>Diego Armando Mena Palacios (Representante Legal)</t>
  </si>
  <si>
    <t>El Changarro Gastrobar Sas</t>
  </si>
  <si>
    <t>Fabricación de Alimentos Preparados Perecederos(311991); Grupos Musicales y Artistas(71113); Bares y Otros Lugares para Beber(7224); Industrias de Juego(7132)</t>
  </si>
  <si>
    <t>Elaboración De Comidas Y Platos Preparados (C1084); Expendio De Bebidas Alcohólicas Para El Consumo Dentro Del Establecimiento (I5630); Actividades De Espectáculos Musicales En Vivo (R9007); Actividades De Juegos De Azar Y Apuestas (R9200)</t>
  </si>
  <si>
    <t>Cl 146 No. 21 22 P 1</t>
  </si>
  <si>
    <t>582andreatovar@gmail.com</t>
  </si>
  <si>
    <t>Paola Andrea Tovar Reyes (Representante Legal)</t>
  </si>
  <si>
    <t>El Capi Bar Sas</t>
  </si>
  <si>
    <t>Cl 92 No. 19 C 45 Ap</t>
  </si>
  <si>
    <t>ramolinas@gmail.com</t>
  </si>
  <si>
    <t>Ramon Alberto Molina Sarti (Representante Legal)</t>
  </si>
  <si>
    <t>El Brewer Sas</t>
  </si>
  <si>
    <t>Cl 131 A No. 55 16</t>
  </si>
  <si>
    <t>juansegamu615@hotmail.com</t>
  </si>
  <si>
    <t>Juan Sebastian Galindo Muñeton (Representante Legal)</t>
  </si>
  <si>
    <t>El Bourbon Sas</t>
  </si>
  <si>
    <t>Cl 39 No. 24 - 36</t>
  </si>
  <si>
    <t>julianbotero.bourbon@gmail.com</t>
  </si>
  <si>
    <t>Julian Andres Botero Calderon (Representante Legal)</t>
  </si>
  <si>
    <t>El Bocin De Rafa S.A.S</t>
  </si>
  <si>
    <t>Cr 80 A 17 53</t>
  </si>
  <si>
    <t>elbocinderafa@gmail.com</t>
  </si>
  <si>
    <t>Rafael Gomez Pedraza (Representante Legal)</t>
  </si>
  <si>
    <t>El Berriondo Pal Arranque Sas</t>
  </si>
  <si>
    <t>Cr 92 # 147 - 50</t>
  </si>
  <si>
    <t>barelberriondo@gmail.com</t>
  </si>
  <si>
    <t>Jefferson Arvey Ramirez Ibañez (Representante Legal)</t>
  </si>
  <si>
    <t>El Barril Bodega Cervecera Sas</t>
  </si>
  <si>
    <t>Cr 116C No 64 C - 26</t>
  </si>
  <si>
    <t>eduardcatari@gmail.com</t>
  </si>
  <si>
    <t>Eduard Catari Teran (Representante Legal)</t>
  </si>
  <si>
    <t>El Bambinos Pizza Sas</t>
  </si>
  <si>
    <t>Cr 3 A No 11 - 10 Sur</t>
  </si>
  <si>
    <t>jairowilson@gmail.com</t>
  </si>
  <si>
    <t>Jairo Wilson Bolaños Orjuela (Representante Legal)</t>
  </si>
  <si>
    <t>El Andariego Bogotano Sas</t>
  </si>
  <si>
    <t>Fabricación de Alimentos Preparados Perecederos(311991); Demás Tipos de Industrias de Diversión y Recreativas(71399); Bares y Otros Lugares para Beber(7224); Arrendadores de Bienes Inmuebles(5311)</t>
  </si>
  <si>
    <t>Elaboración De Comidas Y Platos Preparados (C1084); Expendio De Bebidas Alcohólicas Para El Consumo Dentro Del Establecimiento (I5630); Actividades Inmobiliarias Realizadas Con Bienes Propios O Arrendados (L6810); Otras Actividades Recreativas Y De Esparcimiento N.C.P. (R9329)</t>
  </si>
  <si>
    <t>Calle 73 No. 9 - 38/22</t>
  </si>
  <si>
    <t>elandariegosas@hotmail.com</t>
  </si>
  <si>
    <t>Diana Carolina Peña Arbelaez (Representante Legal)</t>
  </si>
  <si>
    <t>El Amigo De Siempre Investments Sas</t>
  </si>
  <si>
    <t>Cra 28 # 52 A 08</t>
  </si>
  <si>
    <t>jr_cuestas@hotmail.com</t>
  </si>
  <si>
    <t>Jaime Ricardo Cuestas Castellanos (Representante Legal)</t>
  </si>
  <si>
    <t>El Alero S.A.S</t>
  </si>
  <si>
    <t>Calle 130 58 20 Local 265</t>
  </si>
  <si>
    <t>contacto@elalero.com.co</t>
  </si>
  <si>
    <t>Felix Eduardo Velasquez Chinchilla (Representante Legal)</t>
  </si>
  <si>
    <t>Ehomaki Delivery Sas</t>
  </si>
  <si>
    <t>Elaboración De Comidas Y Platos Preparados (C1084); Expendio Por Autoservicio De Comidas Preparadas (I5612); Otros Tipos De Expendio De Comidas Preparadas N.C.P. (I5619)</t>
  </si>
  <si>
    <t>Carrera 53 128 C 47</t>
  </si>
  <si>
    <t>luciarregoces@gmail.com</t>
  </si>
  <si>
    <t>Vilma Lucia Arregoces Cuello (Representante Legal)</t>
  </si>
  <si>
    <t>Ecotel Forest House Sas</t>
  </si>
  <si>
    <t>Estacionamientos de Caravanas y Campamentos(721211); Hoteles (excepto Hoteles Casino) y Moteles(72111); Bares y Otros Lugares para Beber(7224); Servicios Especiales de Comida(7223)</t>
  </si>
  <si>
    <t>Alojamiento En Hoteles (I5511); Actividades De Zonas De Camping Y Parques Para Vehículos Recreacionales (I5520); Expendio A La Mesa De Comidas Preparadas (I5611); Expendio De Bebidas Alcohólicas Para El Consumo Dentro Del Establecimiento (I5630)</t>
  </si>
  <si>
    <t>Cr 100 No. 73 74</t>
  </si>
  <si>
    <t>gerenciaforesthouse@gmail.com</t>
  </si>
  <si>
    <t>Daniel Ricardo Londoño Jimenez (Representante Legal)</t>
  </si>
  <si>
    <t>Ecologyca S.A.S.</t>
  </si>
  <si>
    <t>Dg 25 G # 95 A - 85</t>
  </si>
  <si>
    <t>ecologycasas@gmail.com</t>
  </si>
  <si>
    <t>Omar Octavio Rueda Alarcon (Representante Legal)</t>
  </si>
  <si>
    <t>Ecocines S.A.S</t>
  </si>
  <si>
    <t>Otras Industrias Cinematográficas y de Video(512199); Restaurantes y Otros Lugares para Comer(72251); Distribución Cinematográfica y de Video(51212)</t>
  </si>
  <si>
    <t>Otras Industrias Cinematográficas y de Video(512199)</t>
  </si>
  <si>
    <t>Expendio Por Autoservicio De Comidas Preparadas (I5612); Actividades De Distribución De Películas Cinematográficas, Videos, Programas, Anuncios Y Comerciales De Televisión (J5913); Actividades De Exhibición De Películas Cinematográficas Y Videos (J5914)</t>
  </si>
  <si>
    <t>Actividades De Exhibición De Películas Cinematográficas Y Videos (J5914)</t>
  </si>
  <si>
    <t>Cra 106 # 70A - 03</t>
  </si>
  <si>
    <t>ecocines2020@gmail.com</t>
  </si>
  <si>
    <t>John Camilo Orozco Davila (Representante Legal)</t>
  </si>
  <si>
    <t>Eclosion Publicidad Diana Carolina Pineda Valle E U</t>
  </si>
  <si>
    <t>Fabricación de Alimentos Preparados Perecederos(311991); Editoriales de Revistas(51112); Editoriales de Períodicos(51111); Impresión(32311); Bares y Otros Lugares para Beber(7224)</t>
  </si>
  <si>
    <t>Elaboración De Comidas Y Platos Preparados (C1084); Actividades De Impresión (C1811); Expendio De Bebidas Alcohólicas Para El Consumo Dentro Del Establecimiento (I5630); Edición De Periódicos, Revistas Y Otras Publicaciones Periódicas (J5813)</t>
  </si>
  <si>
    <t>Calle 19A 82 65 Apto 102 Torre 17</t>
  </si>
  <si>
    <t>eclosionpublicidad@gmail.com</t>
  </si>
  <si>
    <t>Diana Carolina Pineda Valle (Representante Legal)</t>
  </si>
  <si>
    <t>Eclipsar Inversiones Sas</t>
  </si>
  <si>
    <t>Cl 84 Bis No. 14 44</t>
  </si>
  <si>
    <t>inversionesec1717@outlook.com</t>
  </si>
  <si>
    <t>Andres Felipe Castro Franco (Representante Legal)</t>
  </si>
  <si>
    <t>Eclat Corp S.A.S</t>
  </si>
  <si>
    <t>Cafeterías y Bares para Bebidas sin Alcohol(722515); Demás Tipos de Alojamiento para Viajeros(721199)</t>
  </si>
  <si>
    <t>Otros Tipos De Alojamientos Para Visitantes (I5519); Expendio De Comidas Preparadas En Cafeterías (I5613)</t>
  </si>
  <si>
    <t>Cl 67 B No. 60 67</t>
  </si>
  <si>
    <t>GUSTAVOALDANAR@HOTMAIL.COM</t>
  </si>
  <si>
    <t>Catherine Alexandra Aldana Castillo (Representante Legal)</t>
  </si>
  <si>
    <t>Ebrius Bolirana Bar S.A.S</t>
  </si>
  <si>
    <t>Comercio Al Por Menor De Otros Productos Alimenticios N.C.P., En Establecimientos Especializados (G4729); Expendio De Bebidas Alcohólicas Para El Consumo Dentro Del Establecimiento (I5630); Otras Actividades Recreativas Y De Esparcimiento N.C.P. (R9329)</t>
  </si>
  <si>
    <t>Carrera 24 75 22</t>
  </si>
  <si>
    <t>dghibet@gmail.com</t>
  </si>
  <si>
    <t>Asly Daniela Florez Villa (Representante Legal)</t>
  </si>
  <si>
    <t>Ebc Arte Y Cocina Sas</t>
  </si>
  <si>
    <t>Cl 27 No. 5 96</t>
  </si>
  <si>
    <t>gastrobarconfidencia@gmail.com</t>
  </si>
  <si>
    <t>Horacio Bobadilla Burgos (Representante Legal)</t>
  </si>
  <si>
    <t>Easylife Global Corporation S A S</t>
  </si>
  <si>
    <t>Cafeterías y Bares para Bebidas sin Alcohol(722515); Tiendas de Venta Directa(4543); Comerciantes al por Mayor de Maquinaría, Equipos y Suministros(4238)</t>
  </si>
  <si>
    <t>Comercio Al Por Mayor De Otros Tipos De Maquinaria Y Equipo N.C.P. (G4659); Otros Tipos De Comercio Al Por Menor No Realizado En Establecimientos, Puestos De Venta O Mercados. (G4799); Expendio De Comidas Preparadas En Cafeterías (I5613)</t>
  </si>
  <si>
    <t>Carrera 14 # 106A - 66</t>
  </si>
  <si>
    <t>daniel.chicuazuque@feelingsmaker.com</t>
  </si>
  <si>
    <t>Daniel Chicuazuque Diaz (Representante Legal)</t>
  </si>
  <si>
    <t>E&amp;J Corp S.A.S</t>
  </si>
  <si>
    <t>Calle 57 7 17</t>
  </si>
  <si>
    <t>ejcorpsas@gmail.com</t>
  </si>
  <si>
    <t>Javier Alfonso Ariza (Representante Legal)</t>
  </si>
  <si>
    <t>E Y X Group Sas</t>
  </si>
  <si>
    <t>Carrera 56 B # 66 B - 23</t>
  </si>
  <si>
    <t>eyxgroup@gmail.com</t>
  </si>
  <si>
    <t>Luz Dary Aguirre Camargo (Representante Legal)</t>
  </si>
  <si>
    <t>Dynamic Gourmet S.A.S</t>
  </si>
  <si>
    <t>Cl 128 C # 47 70</t>
  </si>
  <si>
    <t>laurac11@hotmail.com</t>
  </si>
  <si>
    <t>Laura Catalina Burgos Puentes (Representante Legal)</t>
  </si>
  <si>
    <t>Dvg Agencia Creativa Sas</t>
  </si>
  <si>
    <t>Restaurantes y Otros Lugares para Comer(72251); Otras Compañías de Artes Escénicas(71119); Servicios Fotográficos(54192); Servicios de Diseño Especializado(5414)</t>
  </si>
  <si>
    <t>Expendio Por Autoservicio De Comidas Preparadas (I5612); Actividades Especializadas De Diseño (M7410); Actividades De Fotografía (M7420); Creación Audiovisual (R9004)</t>
  </si>
  <si>
    <t>Cr 23 No. 163 A 30</t>
  </si>
  <si>
    <t>danielvasquezgalvis@gmail.com</t>
  </si>
  <si>
    <t>Oscar Daniel Vasquez Galvis (Representante Legal)</t>
  </si>
  <si>
    <t>Duyan Inversiones S.A.S</t>
  </si>
  <si>
    <t>Cl 109 No. 21 46 Ap 605</t>
  </si>
  <si>
    <t>duyan.gerenciageneral@gmail.com</t>
  </si>
  <si>
    <t>Mario David Duque Forero (Representante Legal)</t>
  </si>
  <si>
    <t>Dutch Wafels Sas</t>
  </si>
  <si>
    <t>Restaurantes y Otros Lugares para Comer(72251); Supermercados(4451); Panaderías y Producción de Tortillas(3118); Arrendadores de Bienes Intangibles No Financieros (excepto Obras con los Derechos Reservados)(533)</t>
  </si>
  <si>
    <t>Elaboración De Productos De Panadería (C1081); Comercio Al Por Menor En Establecimientos No Especializados Con Surtido Compuesto Principalmente Por Alimentos, Bebidas O Tabaco (G4711); Expendio Por Autoservicio De Comidas Preparadas (I5612); Arrendamiento De Propiedad Intelectual Y Productos Similares, Excepto Obras Protegidas Por Derechos De Autor (N7740)</t>
  </si>
  <si>
    <t>Carrera 58 D 146 51 Local Cf06A Wonderen</t>
  </si>
  <si>
    <t>COLOMBIA@WONDEREN.COM</t>
  </si>
  <si>
    <t>Fabiola Pereira Osorio (Representante Legal)</t>
  </si>
  <si>
    <t>Dusscarr S A S</t>
  </si>
  <si>
    <t>Cl 69 A No. 5 60</t>
  </si>
  <si>
    <t>elbucher.bogota@gmail.com</t>
  </si>
  <si>
    <t>Jaime Dussan Calderon (Representante Legal)</t>
  </si>
  <si>
    <t>Durango Mx Taqueria S.A.S</t>
  </si>
  <si>
    <t>Carrera 72 62 44 Sur</t>
  </si>
  <si>
    <t>durangorestaurante.mx@gmail.com</t>
  </si>
  <si>
    <t>William David Rodriguez Galindo (Representante Legal)</t>
  </si>
  <si>
    <t>Dulcetto Sas</t>
  </si>
  <si>
    <t>Cafeterías y Bares para Bebidas sin Alcohol(722515); Empresas de Catering(72232); Bares y Otros Lugares para Beber(7224); Panaderías y Producción de Tortillas(3118)</t>
  </si>
  <si>
    <t>Elaboración De Productos De Panadería (C1081); Expendio De Comidas Preparadas En Cafeterías (I5613); Catering Para Eventos (I5621); Expendio De Bebidas Alcohólicas Para El Consumo Dentro Del Establecimiento (I5630)</t>
  </si>
  <si>
    <t>Cl 144 No. 13 58</t>
  </si>
  <si>
    <t>gerenciadulcetto@gmail.com</t>
  </si>
  <si>
    <t>Novoa Garzon Juan Leonardo (Representante Legal)</t>
  </si>
  <si>
    <t>Dulce Cielo Cafe S.A.S</t>
  </si>
  <si>
    <t>Calle 180 12 A 16 Apartamento 1003 Torre</t>
  </si>
  <si>
    <t>cafedulcecielo@gmail.com</t>
  </si>
  <si>
    <t>Deisy Yurany Lopez Obando (Representante Legal)</t>
  </si>
  <si>
    <t>Dulce Catar S.A.S</t>
  </si>
  <si>
    <t>Comercio Al Por Menor Realizado A Través De Internet (G4791); Expendio A La Mesa De Comidas Preparadas (I5611); Expendio De Comidas Preparadas En Cafeterías (I5613); Catering Para Eventos (I5621)</t>
  </si>
  <si>
    <t>Cl 151 No. 55 68 To 5 Ap 603</t>
  </si>
  <si>
    <t>dulcecatar@gmail.com</t>
  </si>
  <si>
    <t>Paula Escobar Valenzuela (Representante Legal)</t>
  </si>
  <si>
    <t>Dulce Bendicion Sas</t>
  </si>
  <si>
    <t>Cl 146 No. 21 75 Ap 101</t>
  </si>
  <si>
    <t>dbendicionvending@gmail.com</t>
  </si>
  <si>
    <t>Kelly Paola Mendez Olaya (Representante Legal)</t>
  </si>
  <si>
    <t>Dublin Pool Sas</t>
  </si>
  <si>
    <t>Reparación y Mantenimiento de Otros Tipos de Artículos Personales y Domésticos(81149); Tiendas de Artículos Deportivos(45111); Fabricación de Muñecas, Juguetes y Juegos(33993); Bares y Otros Lugares para Beber(7224)</t>
  </si>
  <si>
    <t>Fabricación de Muñecas, Juguetes y Juegos(33993)</t>
  </si>
  <si>
    <t>Fabricación De Juegos, Juguetes Y Rompecabezas (C3240); Comercio Al Por Menor De Artículos Deportivos, En Establecimientos Especializados (G4762); Expendio De Bebidas Alcohólicas Para El Consumo Dentro Del Establecimiento (I5630); Mantenimiento Y Reparación De Otros Efectos Personales Y Enseres Domésticos (S9529)</t>
  </si>
  <si>
    <t>Fabricación De Juegos, Juguetes Y Rompecabezas (C3240)</t>
  </si>
  <si>
    <t>Cl 74 C Sur No. 14 B - 22</t>
  </si>
  <si>
    <t>pooldublin@hotmail.com</t>
  </si>
  <si>
    <t>Steven Jerez Quimbayo (Representante Legal)</t>
  </si>
  <si>
    <t>Drop Capital S.A.S</t>
  </si>
  <si>
    <t>Carrera 53 C 134 70 Apartamento 802 - 4</t>
  </si>
  <si>
    <t>alvaro.flechas@gmail.com</t>
  </si>
  <si>
    <t>Alvaro Flechas Sandoval (Representante Legal)</t>
  </si>
  <si>
    <t>Drinks And Beer Sas</t>
  </si>
  <si>
    <t>Ak 50 No. 1 B 03</t>
  </si>
  <si>
    <t>gerencia@drinksandbeer.com</t>
  </si>
  <si>
    <t>Aida Margarita Gutierrez Barros (Representante Legal)</t>
  </si>
  <si>
    <t>Drink And Drink Special Price Sas</t>
  </si>
  <si>
    <t>Cl 147 B No. 91 41 Lc 24</t>
  </si>
  <si>
    <t>licoresdrinkanddrink@gmail.com</t>
  </si>
  <si>
    <t>Alejandro Velasco Rico (Representante Legal)</t>
  </si>
  <si>
    <t>Draco Bogota S.A.S</t>
  </si>
  <si>
    <t>Bares y Otros Lugares para Beber(7224); Tiendas de Electrónica y de Venta por Correo(4541); Tiendas de Artículos Deportivos, Hobbies e Instrumentos Musicales(4511)</t>
  </si>
  <si>
    <t>Comercio Al Por Menor De Otros Artículos Culturales Y De Entretenimiento N.C.P. En Establecimientos Especializados (G4769); Comercio Al Por Menor Realizado A Través De Internet (G4791); Expendio De Bebidas Alcohólicas Para El Consumo Dentro Del Establecimiento (I5630)</t>
  </si>
  <si>
    <t>Carrera 16 # 76 - 27 Piso 2</t>
  </si>
  <si>
    <t>contactodracobogota@gmail.com</t>
  </si>
  <si>
    <t>Camilo Andres Diaz Correa (Representante Legal)</t>
  </si>
  <si>
    <t>Dqm Bar Sas</t>
  </si>
  <si>
    <t>Cr 12 No. 84 A - 41</t>
  </si>
  <si>
    <t>juanmnieves@gmail.com</t>
  </si>
  <si>
    <t>Juan Manuel Nieves Romero (Representante Legal)</t>
  </si>
  <si>
    <t>Dougfor Sas</t>
  </si>
  <si>
    <t>Cafeterías y Bares para Bebidas sin Alcohol(722515); Servicios de Ingeniería(54133); Autotransporte de Carga General(4841); Comerciantes al por Mayor de Comestibles y Productos Relacionados(4244)</t>
  </si>
  <si>
    <t>Comercio Al Por Mayor De Productos Alimenticios (G4631); Transporte De Carga Por Carretera (H4923); Expendio De Comidas Preparadas En Cafeterías (I5613); Actividades De Ingeniería Y Otras Actividades Conexas De Consultoría Técnica (M7112)</t>
  </si>
  <si>
    <t>Cl 188 No. 55 69 3 402</t>
  </si>
  <si>
    <t>dforero_01@hotmail.com</t>
  </si>
  <si>
    <t>Douglas Alfredo Forero Reyes (Representante Legal)</t>
  </si>
  <si>
    <t>Dos Olmos S.A.S</t>
  </si>
  <si>
    <t>Carrera 89 156 65</t>
  </si>
  <si>
    <t>dosolmossas@gmail.com</t>
  </si>
  <si>
    <t>Murcia Olmos Sara Camila (Representante Legal)</t>
  </si>
  <si>
    <t>Dos F G S.A.S.</t>
  </si>
  <si>
    <t>Cafeterías y Bares para Bebidas sin Alcohol(722515); Supermercados y Otras Tiendas de Abarrotes(44511); Reparación y Mantenimiento de Vehículos(8111); Tiendas de Piezas y Accesorios Automotrices y Neumáticos(4413)</t>
  </si>
  <si>
    <t>Mantenimiento Y Reparación De Vehículos Automotores (G4520); Comercio De Partes, Piezas (Autopartes) Y Accesorios (Lujos) Para Vehículos Automotores (G4530); Comercio Al Por Menor De Alimentos, Bebidas Y Tabaco, En Puestos De Venta Móviles (G4781); Expendio De Comidas Preparadas En Cafeterías (I5613)</t>
  </si>
  <si>
    <t>Cl 94 C No. 56 41</t>
  </si>
  <si>
    <t>fabian.amaya.co@gmail.com</t>
  </si>
  <si>
    <t>Fabian Amaya Corredor (Representante Legal)</t>
  </si>
  <si>
    <t>Dos Babos Sas</t>
  </si>
  <si>
    <t>Bares y Otros Lugares para Beber(7224); Servicios Especiales de Comida(7223); Tiendas de Electrónica y de Venta por Correo(4541); Supermercados(4451)</t>
  </si>
  <si>
    <t>Comercio Al Por Menor En Establecimientos No Especializados Con Surtido Compuesto Principalmente Por Alimentos, Bebidas O Tabaco (G4711); Comercio Al Por Menor Realizado A Través De Internet (G4791); Expendio A La Mesa De Comidas Preparadas (I5611); Expendio De Bebidas Alcohólicas Para El Consumo Dentro Del Establecimiento (I5630)</t>
  </si>
  <si>
    <t>Cr 53 No. 106 87</t>
  </si>
  <si>
    <t>DBBS.KANG@GMAIL.COM</t>
  </si>
  <si>
    <t>Hye Lyeong Seo (Representante Legal)</t>
  </si>
  <si>
    <t>Dorilistos Colombia S.A.S</t>
  </si>
  <si>
    <t>Calle 63 B 28 A 36</t>
  </si>
  <si>
    <t>contabilidad.dorilistos@gmail.com</t>
  </si>
  <si>
    <t>Camilo Andres Castellanos Molina (Representante Legal)</t>
  </si>
  <si>
    <t>Dorayaki 3 Y 5 Sas</t>
  </si>
  <si>
    <t>Ak 68 No 75 - 50 Lc 220 A</t>
  </si>
  <si>
    <t>dorayakilover35@gmail.com</t>
  </si>
  <si>
    <t>Castro Parra Adriana Marcela (Representante Legal)</t>
  </si>
  <si>
    <t>Dorado Cafe &amp; Inversiones Sas</t>
  </si>
  <si>
    <t>Cafeterías y Bares para Bebidas sin Alcohol(722515); Supermercados(4451); Comerciantes al por Mayor de Comestibles y Productos Relacionados(4244)</t>
  </si>
  <si>
    <t>Comercio Al Por Mayor De Productos Alimenticios (G4631); Comercio Al Por Menor En Establecimientos No Especializados Con Surtido Compuesto Principalmente Por Alimentos, Bebidas O Tabaco (G4711); Expendio Por Autoservicio De Comidas Preparadas (I5612); Expendio De Comidas Preparadas En Cafeterías (I5613)</t>
  </si>
  <si>
    <t>Cr 91 No. 19 A 29 Of 3312</t>
  </si>
  <si>
    <t>luisjimenez2312@hotmail.com</t>
  </si>
  <si>
    <t>Luis Dario Jimenez Ospino (Representante Legal)</t>
  </si>
  <si>
    <t>Doom Bogota Sas</t>
  </si>
  <si>
    <t>Catering Para Eventos (I5621); Expendio De Bebidas Alcohólicas Para El Consumo Dentro Del Establecimiento (I5630); Actividades De Espectáculos Musicales En Vivo (R9007)</t>
  </si>
  <si>
    <t>Cl 101 # 19A - 33</t>
  </si>
  <si>
    <t>doombogota@gmail.com</t>
  </si>
  <si>
    <t>Freddy Alejandro Quiroga Ulloa (Representante Legal)</t>
  </si>
  <si>
    <t>Don Vito Cocina Con Estilo S.A.S.</t>
  </si>
  <si>
    <t>Cra 78 B 1 - 48</t>
  </si>
  <si>
    <t>argosbar@hotmail.com</t>
  </si>
  <si>
    <t>Mauricio Anibal Gaviria Vargas (Representante Legal)</t>
  </si>
  <si>
    <t>Don Silvestre S.A.S.</t>
  </si>
  <si>
    <t>Carrera 9 60 12</t>
  </si>
  <si>
    <t>trodloscolombia21@gmail.com</t>
  </si>
  <si>
    <t>Daniel Herley Cifuentes Castro (Representante Legal)</t>
  </si>
  <si>
    <t>Don Juan Taqueria Sas</t>
  </si>
  <si>
    <t>Cr 79 No. 128 67</t>
  </si>
  <si>
    <t>donjuantaqueriacol@gmail.com</t>
  </si>
  <si>
    <t>Juan Jose Malvehy Garcia (Representante Legal)</t>
  </si>
  <si>
    <t>Don Efra Licores Sas</t>
  </si>
  <si>
    <t>Cl 58 No. 3 D 41</t>
  </si>
  <si>
    <t>marianagbrando1981@gmail.com</t>
  </si>
  <si>
    <t>Efrain Alberto Isaacs Triana (Representante Legal)</t>
  </si>
  <si>
    <t>Domo Burger Sas</t>
  </si>
  <si>
    <t>Cl 44 No. 59 60</t>
  </si>
  <si>
    <t>jose_daniel01@hotmail.com</t>
  </si>
  <si>
    <t>Jose Daniel Acero Martinez (Representante Legal)</t>
  </si>
  <si>
    <t>Dom Fire &amp; Beer Sas</t>
  </si>
  <si>
    <t>Cl 80 No. 14 08 Lc 2</t>
  </si>
  <si>
    <t>fireandbeerbogota@gmail.com</t>
  </si>
  <si>
    <t>Rodriguez Rodriguez Rocio Lorena (Representante Legal)</t>
  </si>
  <si>
    <t>Dolin &amp; Dolas S.A.S.</t>
  </si>
  <si>
    <t>Cr 58 No. 127 59 Lc</t>
  </si>
  <si>
    <t>dolindolas@gmail.com</t>
  </si>
  <si>
    <t>Dolce Vita Sas</t>
  </si>
  <si>
    <t>Cl 69 No 17 - 39</t>
  </si>
  <si>
    <t>caffedolcevitaco@mail.com</t>
  </si>
  <si>
    <t>Martha Liliana Castellanos Vela (Representante Legal)</t>
  </si>
  <si>
    <t>Do Brazil S.A.S</t>
  </si>
  <si>
    <t>Fabricación de Alimentos Preparados Perecederos(311991); Tiendas de Mercancía General, incluyendo Grandes Almacenes(45231); Bares y Otros Lugares para Beber(7224)</t>
  </si>
  <si>
    <t>Elaboración De Comidas Y Platos Preparados (C1084); Comercio Al Por Menor En Establecimientos No Especializados, Con Surtido Compuesto Principalmente Por Productos Diferentes De Alimentos (Víveres En General), Bebidas Y Tabaco (G4719); Expendio De Bebidas Alcohólicas Para El Consumo Dentro Del Establecimiento (I5630)</t>
  </si>
  <si>
    <t>Cr 10 113 51 Apto 101</t>
  </si>
  <si>
    <t>dobrazilsas@gmail.com</t>
  </si>
  <si>
    <t>Jose Gabriel Sarmiento Vesga (Representante Legal)</t>
  </si>
  <si>
    <t>Dmt Inversiones Sas</t>
  </si>
  <si>
    <t>Expendio Por Autoservicio De Comidas Preparadas (I5612); Expendio De Comidas Preparadas En Cafeterías (I5613); Actividades De Otros Servicios De Comidas (I5629)</t>
  </si>
  <si>
    <t>Cl 23 No. 5 35</t>
  </si>
  <si>
    <t>dimatok@hotmail.com</t>
  </si>
  <si>
    <t>Diana Marcela Torres Camejo (Representante Legal)</t>
  </si>
  <si>
    <t>Divino S.A.S</t>
  </si>
  <si>
    <t>Calle 8 Sur 38 43</t>
  </si>
  <si>
    <t>liz.lopezb0117@gmail.com</t>
  </si>
  <si>
    <t>Divino Bienestar Sas</t>
  </si>
  <si>
    <t>Cl 127 C No. 2 B 18</t>
  </si>
  <si>
    <t>apolodevs@gmail.com</t>
  </si>
  <si>
    <t>Fabian Andres Garzon Cubillos (Representante Legal)</t>
  </si>
  <si>
    <t>Divine Fusion S.A.S</t>
  </si>
  <si>
    <t>Carrera 21 45 A 53</t>
  </si>
  <si>
    <t>juanttierrez@hotmail.com</t>
  </si>
  <si>
    <t>Juan Pablo Gutierrez Mora (Representante Legal)</t>
  </si>
  <si>
    <t>Divina Tam Estrategias Empresariales Sas</t>
  </si>
  <si>
    <t>Servicios de Cuidado de Uñas, Pelo y Piel(81211); Demás Servicios Profesionales, Científicos y Técnicos(54199); Bares y Otros Lugares para Beber(7224)</t>
  </si>
  <si>
    <t>Expendio De Bebidas Alcohólicas Para El Consumo Dentro Del Establecimiento (I5630); Otras Actividades Profesionales, Científicas Y Técnicas N.C.P. (M7490); Peluquería Y Otros Tratamientos De Belleza (S9602)</t>
  </si>
  <si>
    <t>Cr 126 No. 20 10 To</t>
  </si>
  <si>
    <t>anllypaola.pt@gmail.com</t>
  </si>
  <si>
    <t>Anlly Paola Tamara Garcia (Representante Legal)</t>
  </si>
  <si>
    <t>Divercapital Sas</t>
  </si>
  <si>
    <t>Cl 9 # 37A - 73</t>
  </si>
  <si>
    <t>divercapital@gmail.com</t>
  </si>
  <si>
    <t>Jason David Cubides Fajardo (Representante Legal)</t>
  </si>
  <si>
    <t>Distrito Capital Food &amp; Beer Sas</t>
  </si>
  <si>
    <t>jaimeagudelog@hotmail.com</t>
  </si>
  <si>
    <t>Jaime Agudelo Garibello (Representante Legal)</t>
  </si>
  <si>
    <t>Distrito Cannábico Sas</t>
  </si>
  <si>
    <t>Demás Servicios Profesionales, Científicos y Técnicos(54199); Bares y Otros Lugares para Beber(7224); Supermercados(4451)</t>
  </si>
  <si>
    <t>Comercio Al Por Menor En Establecimientos No Especializados Con Surtido Compuesto Principalmente Por Alimentos, Bebidas O Tabaco (G4711); Expendio De Bebidas Alcohólicas Para El Consumo Dentro Del Establecimiento (I5630); Otras Actividades Profesionales, Científicas Y Técnicas N.C.P. (M7490)</t>
  </si>
  <si>
    <t>Av Cr 24 # 37 - 60 P 2</t>
  </si>
  <si>
    <t>distritocannabico@gmail.com</t>
  </si>
  <si>
    <t>Lena Catalina Gonzalez Peralta (Representante Legal)</t>
  </si>
  <si>
    <t>Distrito Bar M.K.. Sas</t>
  </si>
  <si>
    <t>Comercio Al Por Menor En Establecimientos No Especializados Con Surtido Compuesto Principalmente Por Alimentos, Bebidas O Tabaco (G4711); Expendio De Bebidas Alcohólicas Para El Consumo Dentro Del Establecimiento (I5630); Otras Actividades Recreativas Y De Esparcimiento N.C.P. (R9329)</t>
  </si>
  <si>
    <t>Cr 17 No. 18 27 Sur</t>
  </si>
  <si>
    <t>kvn020896@outlook.com</t>
  </si>
  <si>
    <t>Kevin Stivent Calderon Hernandez (Representante Legal)</t>
  </si>
  <si>
    <t>Distrito 122 Sas</t>
  </si>
  <si>
    <t>Otros Tipos De Expendio De Comidas Preparadas N.C.P. (I5619); Expendio De Bebidas Alcohólicas Para El Consumo Dentro Del Establecimiento (I5630); Peluquería Y Otros Tratamientos De Belleza (S9602)</t>
  </si>
  <si>
    <t>Calle 122 18 44</t>
  </si>
  <si>
    <t>barberdistrito122@gmail.com</t>
  </si>
  <si>
    <t>Giovanny Martinez Alfonso (Representante Legal)</t>
  </si>
  <si>
    <t>Districiga Colombia S.A.S</t>
  </si>
  <si>
    <t>Cr 102 No. 155 50</t>
  </si>
  <si>
    <t>districigacolombia@gmail.com</t>
  </si>
  <si>
    <t>Jairo Antonio Calderon Vera (Representante Legal)</t>
  </si>
  <si>
    <t>Distribuidora Y Comercializadora La Villa Sas</t>
  </si>
  <si>
    <t>Cl 44 Sur No. 72 M 3</t>
  </si>
  <si>
    <t>ivan.chisaca@gmail.com</t>
  </si>
  <si>
    <t>Hermes Andres Villanueva Martinez (Representante Legal)</t>
  </si>
  <si>
    <t>Distribuidora Rosita Forever Sas</t>
  </si>
  <si>
    <t>Otras Tiendas de Comidas Artesanales(44529); Bares y Otros Lugares para Beber(7224); Cervecerías, Vinaterías y Tiendas de Licores(4453); Tiendas de Artículos Diversos(453)</t>
  </si>
  <si>
    <t>Comercio Al Por Menor De Bebidas Y Productos Del Tabaco, En Establecimientos Especializados (G4724); Comercio Al Por Menor De Otros Productos Alimenticios N.C.P., En Establecimientos Especializados (G4729); Comercio Al Por Menor De Otros Productos Nuevos En Establecimientos Especializados (G4774); Expendio De Bebidas Alcohólicas Para El Consumo Dentro Del Establecimiento (I5630)</t>
  </si>
  <si>
    <t>Ak 70 No. 73 - 17</t>
  </si>
  <si>
    <t>alexsan05@gmail.com</t>
  </si>
  <si>
    <t>Henry Alexander Sanabria Cardenas (Representante Legal)</t>
  </si>
  <si>
    <t>Distribuidora Go Gori Go Sas</t>
  </si>
  <si>
    <t>Cl 137 A No. 58 70 Ap 1102 To 1</t>
  </si>
  <si>
    <t>daniel_kyc@hotmail.com</t>
  </si>
  <si>
    <t>Daniel Andres Beltran Diaz (Representante Legal)</t>
  </si>
  <si>
    <t>Distribuidora El Zar S.A.S</t>
  </si>
  <si>
    <t>Avenida Calle 19 25 04</t>
  </si>
  <si>
    <t>l3112863429@gmail.com</t>
  </si>
  <si>
    <t>Luis Fernando Sanchez Pinzon (Representante Legal)</t>
  </si>
  <si>
    <t>Distribuidora De Licores Vikingos Beer's Sas</t>
  </si>
  <si>
    <t>Calle 70 A Sur 21 16</t>
  </si>
  <si>
    <t>zendzey@hotmail.com</t>
  </si>
  <si>
    <t>Jhon Snayder Penagos Rubiano (Representante Legal)</t>
  </si>
  <si>
    <t>Distribuidora De Licores Punto Naranja Sas</t>
  </si>
  <si>
    <t>Cr 7 No. 46 51</t>
  </si>
  <si>
    <t>puntonaranja46@gmail.com</t>
  </si>
  <si>
    <t>Freddy Mauricio Avendaño Conde (Representante Legal)</t>
  </si>
  <si>
    <t>Distribuidora De Alimentos La Apuesta S.A.S</t>
  </si>
  <si>
    <t>Calle 19A No. 72 - 57 Bq O St 2 Lc C104 C</t>
  </si>
  <si>
    <t>laapuestasas@gmail.com</t>
  </si>
  <si>
    <t>Maria Teresa Eleonora Auzas Galvis (Representante Legal)</t>
  </si>
  <si>
    <t>Distribuidora Bacata Zv S.A.S</t>
  </si>
  <si>
    <t>Cr 19 A No. 63D 14 S</t>
  </si>
  <si>
    <t>jonatanzabala11@gmail.com</t>
  </si>
  <si>
    <t>Jonathan Alexis Zabala Vasquez (Representante Legal)</t>
  </si>
  <si>
    <t>Distribuciones Kyl Sas</t>
  </si>
  <si>
    <t>Otras Tiendas de Comidas Artesanales(44529); Bares y Otros Lugares para Beber(7224); Tiendas de Venta Directa(4543)</t>
  </si>
  <si>
    <t>Comercio Al Por Menor De Otros Productos Alimenticios N.C.P., En Establecimientos Especializados (G4729); Otros Tipos De Comercio Al Por Menor No Realizado En Establecimientos, Puestos De Venta O Mercados. (G4799); Expendio De Bebidas Alcohólicas Para El Consumo Dentro Del Establecimiento (I5630)</t>
  </si>
  <si>
    <t>Cl 73 G No. 81 09 Sur Brr Bosa Laureles</t>
  </si>
  <si>
    <t>wilsonb_16@hotmail.com</t>
  </si>
  <si>
    <t>Jose Wilson Bermudez Camargo (Representante Legal)</t>
  </si>
  <si>
    <t>Distribuciones Evella S.A.S</t>
  </si>
  <si>
    <t>Dg 69 B 78 I 58 Sur</t>
  </si>
  <si>
    <t>distrievellasas@gmail.com</t>
  </si>
  <si>
    <t>Sandra Carolina Gonzalez Montenegro (Representante Legal)</t>
  </si>
  <si>
    <t>Distribuciones E Inversiones Rfh Sas</t>
  </si>
  <si>
    <t>Cl 106 B No. 54 73 Ap 503</t>
  </si>
  <si>
    <t>germanreyesf@yahoo.com</t>
  </si>
  <si>
    <t>German Eduardo Reyes Falla (Representante Legal)</t>
  </si>
  <si>
    <t>Distribarbaros S.A.S</t>
  </si>
  <si>
    <t>Cl 45 No. 16 09</t>
  </si>
  <si>
    <t>distribarbaros@hotmail.com</t>
  </si>
  <si>
    <t>Juan Sebastian Recalde Granados (Representante Legal)</t>
  </si>
  <si>
    <t>Distri Arepiz S.A.S.</t>
  </si>
  <si>
    <t>Cr 9 No. 61 86</t>
  </si>
  <si>
    <t>sergioarepiz@hotmail.com</t>
  </si>
  <si>
    <t>Sergio Andres Florez Alvarez (Representante Legal)</t>
  </si>
  <si>
    <t>Dioses Sas Bic</t>
  </si>
  <si>
    <t>Destilerías(31214); Bares y Otros Lugares para Beber(7224); Cervecerías, Vinaterías y Tiendas de Licores(4453)</t>
  </si>
  <si>
    <t>Destilerías(31214)</t>
  </si>
  <si>
    <t>Destilación, Rectificación Y Mezcla De Bebidas Alcohólicas (C1101); Comercio Al Por Menor De Bebidas Y Productos Del Tabaco, En Establecimientos Especializados (G4724); Expendio De Bebidas Alcohólicas Para El Consumo Dentro Del Establecimiento (I5630)</t>
  </si>
  <si>
    <t>Destilación, Rectificación Y Mezcla De Bebidas Alcohólicas (C1101)</t>
  </si>
  <si>
    <t>Cl 88 Sur No. 50 - 45</t>
  </si>
  <si>
    <t>diosesbebidas@gmail.com</t>
  </si>
  <si>
    <t>Arizala Benitez Cristian Alexander (Representante Legal)</t>
  </si>
  <si>
    <t>Diosa Matorral Sas</t>
  </si>
  <si>
    <t>YSINEMBARGO.6@GMAIL.COM</t>
  </si>
  <si>
    <t>Daniela Villamizar Puentes (Representante Legal)</t>
  </si>
  <si>
    <t>Diosa Cafe S A S</t>
  </si>
  <si>
    <t>Carrera 4 54 24</t>
  </si>
  <si>
    <t>diosacafe@gmail.com</t>
  </si>
  <si>
    <t>Andres Gustavo Rodriguez Castillo (Representante Legal)</t>
  </si>
  <si>
    <t>Dionisio Café Y Vino Bar S.A.S</t>
  </si>
  <si>
    <t>Calle 56 5 06</t>
  </si>
  <si>
    <t>natesmatynalejandra@gmail.com</t>
  </si>
  <si>
    <t>Mary Alejandra Nates Rivera (Representante Legal)</t>
  </si>
  <si>
    <t>Dimapard Sas</t>
  </si>
  <si>
    <t>Cafeterías y Bares para Bebidas sin Alcohol(722515); Agencias de Publicidad(54181); Tiendas de Libros y Periódicos(45121); Reparación y Mantenimiento de Vehículos(8111)</t>
  </si>
  <si>
    <t>Mantenimiento Y Reparación De Vehículos Automotores (G4520); Comercio Al Por Menor De Libros, Periódicos, Materiales Y Artículos De Papelería Y Escritorio, En Establecimientos Especializados (G4761); Expendio De Comidas Preparadas En Cafeterías (I5613); Publicidad (M7310)</t>
  </si>
  <si>
    <t>Cra.82 G # 73 B - 07 Sur</t>
  </si>
  <si>
    <t>pardojessica25@gmail.com</t>
  </si>
  <si>
    <t>Albert Pardo Becerra (Representante Legal)</t>
  </si>
  <si>
    <t>Digitaria Colombia Sas</t>
  </si>
  <si>
    <t>Restaurantes y Otros Lugares para Comer(72251); Otras Compañías de Artes Escénicas(71119); Agencias de Publicidad(54181); Servicios Especiales de Comida(7223)</t>
  </si>
  <si>
    <t>Expendio Por Autoservicio De Comidas Preparadas (I5612); Otros Tipos De Expendio De Comidas Preparadas N.C.P. (I5619); Publicidad (M7310); Creación Audiovisual (R9004)</t>
  </si>
  <si>
    <t>Dg 72 Bis No. 85 04</t>
  </si>
  <si>
    <t>digitariacol@gmail.com</t>
  </si>
  <si>
    <t>Andrea Catalina Zuluaga Gaitan (Representante Legal)</t>
  </si>
  <si>
    <t>Diez Cuatro Sas</t>
  </si>
  <si>
    <t>Cl 6 D # 79 A 76 In 16 Ap 589</t>
  </si>
  <si>
    <t>diezcuatrosas@gmail.com</t>
  </si>
  <si>
    <t>Mauricio Fernando Beltran (Representante Legal)</t>
  </si>
  <si>
    <t>Dicmer Sas</t>
  </si>
  <si>
    <t>Centro Comercial Av</t>
  </si>
  <si>
    <t>dicsas@outlook.com</t>
  </si>
  <si>
    <t>Laura Arias Osorio (Representante Legal)</t>
  </si>
  <si>
    <t>Diana García G. Chef Sas</t>
  </si>
  <si>
    <t>Cr 7 No. 70 80</t>
  </si>
  <si>
    <t>contabilidad@restaurantedianagarcia.com</t>
  </si>
  <si>
    <t>Diana Cecilia Garcia Garcia (Representante Legal)</t>
  </si>
  <si>
    <t>Diana García Chef Sas</t>
  </si>
  <si>
    <t>Dialma S.A.S.</t>
  </si>
  <si>
    <t>Cr 17 A No. 119 A 65 S Barbara Ap 503</t>
  </si>
  <si>
    <t>dialmacolombia@gmail.com</t>
  </si>
  <si>
    <t>Alvaro Felipe Patarroyo Martinez (Representante Legal)</t>
  </si>
  <si>
    <t>Di Montri Sas</t>
  </si>
  <si>
    <t>Cl 63 Sur # 37 C 05</t>
  </si>
  <si>
    <t>turruteangie@hotmail.com</t>
  </si>
  <si>
    <t>Jose Evelio Briñez Muñoz (Representante Legal)</t>
  </si>
  <si>
    <t>Di Martina S.A.S</t>
  </si>
  <si>
    <t>Cl 94 A No. 67 A 74 Lc 18</t>
  </si>
  <si>
    <t>contabilidad.dimartina@gmail.com</t>
  </si>
  <si>
    <t>Diego David Calderon Guerrero (Representante Legal)</t>
  </si>
  <si>
    <t>Di Arancio S.A.S En Liquidacion</t>
  </si>
  <si>
    <t>Oficinas de Convenciones y Visitantes(561591); Otros Servicios Personales(8129); Bares y Otros Lugares para Beber(7224)</t>
  </si>
  <si>
    <t>Expendio De Bebidas Alcohólicas Para El Consumo Dentro Del Establecimiento (I5630); Organización De Convenciones Y Eventos Comerciales (N8230); Otras Actividades De Servicios Personales N.C.P. (S9609)</t>
  </si>
  <si>
    <t>Cr 21 No. 82 15</t>
  </si>
  <si>
    <t>fliky7605@hotmail.com</t>
  </si>
  <si>
    <t>Linda Jeannette Naranjo Castrillon (Representante Legal)</t>
  </si>
  <si>
    <t>Deus Fruits Sas</t>
  </si>
  <si>
    <t>Comercio Al Por Menor De Productos Agrícolas Para El Consumo En Establecimientos Especializados (G4721); Comercio Al Por Menor De Otros Productos Alimenticios N.C.P., En Establecimientos Especializados (G4729); Expendio De Comidas Preparadas En Cafeterías (I5613)</t>
  </si>
  <si>
    <t>Cl 72 No. 77 A 14 P 1</t>
  </si>
  <si>
    <t>deusfruit08@gmail.com</t>
  </si>
  <si>
    <t>Luis Oswaldo Espinosa Galindo (Representante Legal)</t>
  </si>
  <si>
    <t>Designar Ltda</t>
  </si>
  <si>
    <t>Restaurantes y Otros Lugares para Comer(72251); Agencias de Publicidad(54181); Otras Escuelas e Instituciones Instructivas(6116)</t>
  </si>
  <si>
    <t>Expendio Por Autoservicio De Comidas Preparadas (I5612); Publicidad (M7310); Otros Tipos De Educación N.C.P. (P8559)</t>
  </si>
  <si>
    <t>Cr 8 C No. 185 B</t>
  </si>
  <si>
    <t>designar.com.co@hotmail.com</t>
  </si>
  <si>
    <t>Carlos Javier Acuña (Representante Legal)</t>
  </si>
  <si>
    <t>Desayunos Eventos Y Algo Mas S A S</t>
  </si>
  <si>
    <t>Oficinas de Convenciones y Visitantes(561591); Restaurantes y Otros Lugares para Comer(72251); Empresas de Catering(72232); Operadores Turísticos(56152)</t>
  </si>
  <si>
    <t>Expendio Por Autoservicio De Comidas Preparadas (I5612); Catering Para Eventos (I5621); Actividades De Operadores Turísticos (N7912); Organización De Convenciones Y Eventos Comerciales (N8230)</t>
  </si>
  <si>
    <t>Cl 159 No. 56 75 To</t>
  </si>
  <si>
    <t>msbg93@hotmail.com</t>
  </si>
  <si>
    <t>Mario Santiago Barrientos Grisales (Representante Legal)</t>
  </si>
  <si>
    <t>Deprontoquizá Sas</t>
  </si>
  <si>
    <t>Tiendas de Libros y Periódicos(45121); Bares y Otros Lugares para Beber(7224); Servicios Especiales de Comida(7223)</t>
  </si>
  <si>
    <t>Comercio Al Por Menor De Libros, Periódicos, Materiales Y Artículos De Papelería Y Escritorio, En Establecimientos Especializados (G4761); Expendio A La Mesa De Comidas Preparadas (I5611); Expendio De Bebidas Alcohólicas Para El Consumo Dentro Del Establecimiento (I5630)</t>
  </si>
  <si>
    <t>Calle 151 # 7H - 31</t>
  </si>
  <si>
    <t>jmhernandeztorresp@gmail.com</t>
  </si>
  <si>
    <t>Camila Andrea Rivera Paipilla (Representante Legal)</t>
  </si>
  <si>
    <t>Departur Departamentos Y Turismo Sas Bic</t>
  </si>
  <si>
    <t>Cafeterías y Bares para Bebidas sin Alcohol(722515); Otros Alojamientos para Viajeros(72119); Otro Tipo de Servicios de Preparación de Viajes y Reservaciones(56159); Museos, Locaciones Históricas e Instituciones Similares(7121)</t>
  </si>
  <si>
    <t>Alojamiento Rural (I5514); Expendio De Comidas Preparadas En Cafeterías (I5613); Otros Servicios De Reserva Y Actividades Relacionadas (N7990); Actividades Y Funcionamiento De Museos, Conservación De Edificios Y Sitios Históricos (R9102)</t>
  </si>
  <si>
    <t>Cl 120 No. 70 49 Ap 201</t>
  </si>
  <si>
    <t>departurpqrs@outlook.com</t>
  </si>
  <si>
    <t>Juan Felipe Carrasquilla Solano (Representante Legal)</t>
  </si>
  <si>
    <t>Demacé Sas</t>
  </si>
  <si>
    <t>Cl 159 No. 55 - 35 Ed Azimut</t>
  </si>
  <si>
    <t>magdasuarez71@hotmail.com</t>
  </si>
  <si>
    <t>Magda Alexandra Suarez Mendoza (Representante Legal)</t>
  </si>
  <si>
    <t>Deluxe Car Wash Sas</t>
  </si>
  <si>
    <t>Cafeterías y Bares para Bebidas sin Alcohol(722515); Reparación y Mantenimiento de Vehículos(8111); Bares y Otros Lugares para Beber(7224)</t>
  </si>
  <si>
    <t>Mantenimiento Y Reparación De Vehículos Automotores (G4520); Expendio De Comidas Preparadas En Cafeterías (I5613); Expendio De Bebidas Alcohólicas Para El Consumo Dentro Del Establecimiento (I5630)</t>
  </si>
  <si>
    <t>Cr 27 No. 19 - 29</t>
  </si>
  <si>
    <t>vanerojas2304@gmail.com</t>
  </si>
  <si>
    <t>Rojas Guzman Angie Vanessa (Representante Legal)</t>
  </si>
  <si>
    <t>Delizio Caffe Sas</t>
  </si>
  <si>
    <t>Avenida Calle 100 # 18A - 51 Piso 3</t>
  </si>
  <si>
    <t>saritahl@hotmail.com</t>
  </si>
  <si>
    <t>Sara Stella Hurtado Leon (Representante Legal)</t>
  </si>
  <si>
    <t>Délirant S.A.S</t>
  </si>
  <si>
    <t>Cl 79 B No. 8 10 P 1</t>
  </si>
  <si>
    <t>fevife8103@gmail.com</t>
  </si>
  <si>
    <t>Felipe Villanueva Fernandez (Representante Legal)</t>
  </si>
  <si>
    <t>Delicias Uruguayas Colombia Sas</t>
  </si>
  <si>
    <t>Cr 58 No. 127 59 Lc 340 A</t>
  </si>
  <si>
    <t>info@deliciasuruguayas.com</t>
  </si>
  <si>
    <t>Alejandro Fabian Veiga Pacheco (Representante Legal)</t>
  </si>
  <si>
    <t>Delicias Marpe Sas</t>
  </si>
  <si>
    <t>delimarpe@gmail.com</t>
  </si>
  <si>
    <t>Mayra Elizabeth Marquez Gonzalez (Representante Legal)</t>
  </si>
  <si>
    <t>Delicias Los Cedros Ltda</t>
  </si>
  <si>
    <t>Ak 9 126 A 28 Lc 002</t>
  </si>
  <si>
    <t>deliciaslcl@gmail.com</t>
  </si>
  <si>
    <t>Mariana Helou Helo (Representante Legal)</t>
  </si>
  <si>
    <t>Delicias Hermer Sas</t>
  </si>
  <si>
    <t>Cr 105 F No. 70 - 33</t>
  </si>
  <si>
    <t>july.martinez@gmail.com</t>
  </si>
  <si>
    <t>Julian Camilo Martinez Meneses (Representante Legal)</t>
  </si>
  <si>
    <t>Delicias Cafe Ltda</t>
  </si>
  <si>
    <t>Plantaciones de Café(1113392); Cafeterías y Bares para Bebidas sin Alcohol(722515); Actividades de Poscosecha (excepto Desmotado de Algodón)(115114); Comerciantes al por Mayor de Comestibles y Productos Relacionados(4244)</t>
  </si>
  <si>
    <t>Cultivo De Café (A0123); Actividades Posteriores A La Cosecha (A0163); Comercio Al Por Mayor De Productos Alimenticios (G4631); Expendio De Comidas Preparadas En Cafeterías (I5613)</t>
  </si>
  <si>
    <t>Cl 70 D No. 107 A 82</t>
  </si>
  <si>
    <t>micafecolombiano@hotmail.com</t>
  </si>
  <si>
    <t>Erwin Alexander Rios Toquica (Representante Legal)</t>
  </si>
  <si>
    <t>Deliamor Sas</t>
  </si>
  <si>
    <t>Carne Procesada de Canales(311612); Restaurantes y Otros Lugares para Comer(72251); Servicios Especiales de Comida(7223)</t>
  </si>
  <si>
    <t>Procesamiento Y Conservación De Carne Y Productos Cárnicos (C1011); Expendio A La Mesa De Comidas Preparadas (I5611); Expendio Por Autoservicio De Comidas Preparadas (I5612)</t>
  </si>
  <si>
    <t>Carrera 49 B # 173 - 24</t>
  </si>
  <si>
    <t>deliamorcilla@gmail.com</t>
  </si>
  <si>
    <t>Brayan Anderson Diaz Ramirez (Representante Legal)</t>
  </si>
  <si>
    <t>Deli Kt Sas</t>
  </si>
  <si>
    <t>Cr 18 A No. 182 58 Ca 29</t>
  </si>
  <si>
    <t>gerencia.deli_kt@outlook.com</t>
  </si>
  <si>
    <t>Johanna Maria Idarraga Martinez (Representante Legal)</t>
  </si>
  <si>
    <t>Deli Jd Sas En Liquidacion</t>
  </si>
  <si>
    <t>Cafeterías y Bares para Bebidas sin Alcohol(722515); Fabricación de Todos los Demás Tipos de Alimentos Diversos(311999); Servicios Especiales de Comida(7223); Cervecerías, Vinaterías y Tiendas de Licores(4453)</t>
  </si>
  <si>
    <t>Elaboración De Otros Productos Alimenticios N.C.P. (C1089); Comercio Al Por Menor De Bebidas Y Productos Del Tabaco, En Establecimientos Especializados (G4724); Expendio De Comidas Preparadas En Cafeterías (I5613); Otros Tipos De Expendio De Comidas Preparadas N.C.P. (I5619)</t>
  </si>
  <si>
    <t>Transversal 77 I No 69 A 43 Sur</t>
  </si>
  <si>
    <t>janethmorenojerez@gmail.com</t>
  </si>
  <si>
    <t>Janeth Moreno Jerez (Representante Legal)</t>
  </si>
  <si>
    <t>Deli Bono S.A.S.</t>
  </si>
  <si>
    <t>Fabricación de Todos los Demás Tipos de Alimentos Diversos(311999); Fabricación de Chocolate y Pastelería(31135); Bares y Otros Lugares para Beber(7224); Panaderías y Producción de Tortillas(3118)</t>
  </si>
  <si>
    <t>Elaboración De Productos De Panadería (C1081); Elaboración De Cacao, Chocolate Y Productos De Confitería (C1082); Elaboración De Otros Productos Alimenticios N.C.P. (C1089); Expendio De Bebidas Alcohólicas Para El Consumo Dentro Del Establecimiento (I5630)</t>
  </si>
  <si>
    <t>Cl 76 No. 30 19</t>
  </si>
  <si>
    <t>delibonosas@gmail.com</t>
  </si>
  <si>
    <t>Hector Julio Navarro Castillo (Representante Legal)</t>
  </si>
  <si>
    <t>Delelu Sas</t>
  </si>
  <si>
    <t>Cr 13 No. 88 17</t>
  </si>
  <si>
    <t>de.morales28@gmail.com</t>
  </si>
  <si>
    <t>Diego Ernesto Morales Sanchez (Representante Legal)</t>
  </si>
  <si>
    <t>Delcasta Sas</t>
  </si>
  <si>
    <t>Restaurantes y Otros Lugares para Comer(72251); Empresas de Catering(72232); Comerciantes al por Mayor de Comestibles y Productos Relacionados(4244)</t>
  </si>
  <si>
    <t>Comercio Al Por Mayor De Productos Alimenticios (G4631); Expendio Por Autoservicio De Comidas Preparadas (I5612); Catering Para Eventos (I5621); Actividades De Otros Servicios De Comidas (I5629)</t>
  </si>
  <si>
    <t>Cra 15 127B 43 Torre 1 Apto 1202</t>
  </si>
  <si>
    <t>don_choripan@outlook.com</t>
  </si>
  <si>
    <t>Felipe Andres Delgado Giraldo (Representante Legal)</t>
  </si>
  <si>
    <t>Delagranja Co Sas</t>
  </si>
  <si>
    <t>Cafeterías y Bares para Bebidas sin Alcohol(722515); Tiendas de Comidas Artesanales(4452); Comerciantes al por Mayor de Comestibles y Productos Relacionados(4244)</t>
  </si>
  <si>
    <t>Comercio Al Por Mayor De Productos Alimenticios (G4631); Comercio Al Por Menor De Productos Agrícolas Para El Consumo En Establecimientos Especializados (G4721); Expendio De Comidas Preparadas En Cafeterías (I5613)</t>
  </si>
  <si>
    <t>Carrera 30 # 48 - 30 Local 13</t>
  </si>
  <si>
    <t>delagranja.org@gmail.com</t>
  </si>
  <si>
    <t>Karol Paola Rueda Vergara (Representante Legal)</t>
  </si>
  <si>
    <t>Del Horno De Elvia Sas</t>
  </si>
  <si>
    <t>Cr 26 No. 3 23</t>
  </si>
  <si>
    <t>andress.alzatee@hotmail.com</t>
  </si>
  <si>
    <t>Andres Felipe Alzate Gomez (Representante Legal)</t>
  </si>
  <si>
    <t>Del Barril Foods S.A.S</t>
  </si>
  <si>
    <t>Carrera 115 A 89 B 20 Administracion 3 - 5</t>
  </si>
  <si>
    <t>chorizosdelbarril@gmail.com</t>
  </si>
  <si>
    <t>Fidel Ernesto Sanabria Ovalle (Representante Legal)</t>
  </si>
  <si>
    <t>Decantery Sas</t>
  </si>
  <si>
    <t>Av Cl 26 60 47 Lc 163</t>
  </si>
  <si>
    <t>nelsondiaz5@hotmail.com</t>
  </si>
  <si>
    <t>Nelson Enrique Diaz Gutierrez (Representante Legal)</t>
  </si>
  <si>
    <t>De Te En Te S A S</t>
  </si>
  <si>
    <t>Fabricación de Todos los Demás Tipos de Alimentos Diversos(311999); Restaurantes y Otros Lugares para Comer(72251); Otras Tiendas de Comidas Artesanales(44529); Supermercados(4451)</t>
  </si>
  <si>
    <t>Elaboración De Otros Productos Alimenticios N.C.P. (C1089); Comercio Al Por Menor En Establecimientos No Especializados Con Surtido Compuesto Principalmente Por Alimentos, Bebidas O Tabaco (G4711); Comercio Al Por Menor De Otros Productos Alimenticios N.C.P., En Establecimientos Especializados (G4729); Expendio Por Autoservicio De Comidas Preparadas (I5612)</t>
  </si>
  <si>
    <t>Calle 12 1 20</t>
  </si>
  <si>
    <t>albaximenagarcia@gmail.com</t>
  </si>
  <si>
    <t>Alba Ximena Garcia Gutierrez (Representante Legal)</t>
  </si>
  <si>
    <t>Dc Riders 467 S A S</t>
  </si>
  <si>
    <t>Cafeterías y Bares para Bebidas sin Alcohol(722515); Concesionarios de Motocicletas, Cuatriciclos y Otros Vehículos Motorizados(441228); Reparación y Mantenimiento de Vehículos(8111); Comerciantes al por Mayor de Vehículos Motorizados y Partes y Suministros de Vehículos Motorizados(4231)</t>
  </si>
  <si>
    <t>Concesionarios de Motocicletas, Cuatriciclos y Otros Vehículos Motorizados(441228); Comerciantes al por Mayor de Vehículos Motorizados y Partes y Suministros de Vehículos Motorizados(4231)</t>
  </si>
  <si>
    <t>Comercio De Motocicletas Y De Sus Partes, Piezas Y Accesorios (G4541); Mantenimiento Y Reparación De Motocicletas Y De Sus Partes Y Piezas (G4542); Expendio De Comidas Preparadas En Cafeterías (I5613)</t>
  </si>
  <si>
    <t>Comercio De Motocicletas Y De Sus Partes, Piezas Y Accesorios (G4541)</t>
  </si>
  <si>
    <t>Carrera 95A # 131B - 74</t>
  </si>
  <si>
    <t>dcriders467@gmail.com</t>
  </si>
  <si>
    <t>Jose Luis Ruiz Ramirez (Representante Legal)</t>
  </si>
  <si>
    <t>Dc Capital Pub S.A.S</t>
  </si>
  <si>
    <t>Cl 17 No. 8 12 Of 201</t>
  </si>
  <si>
    <t>CONTACTOS@IMPORTADOSMAICAO.COM</t>
  </si>
  <si>
    <t>Dark Label Sas</t>
  </si>
  <si>
    <t>Cr 13 No. 33 A - 22 Sur</t>
  </si>
  <si>
    <t>ecohard420@gmail.com</t>
  </si>
  <si>
    <t>Braian Jose Moreno Bernal (Representante Legal)</t>
  </si>
  <si>
    <t>Dara Mágica S.A.S</t>
  </si>
  <si>
    <t>Cafeterías y Bares para Bebidas sin Alcohol(722515); Servicios Especiales de Comida(7223); Otros Servicios Médicos Ambulatorios(6219); Comerciantes al por Mayor de Medicamentos y Productos Relacionados(4242)</t>
  </si>
  <si>
    <t>Comercio Al Por Mayor De Productos Farmacéuticos, Medicinales, Cosméticos Y De Tocador (G4645); Expendio De Comidas Preparadas En Cafeterías (I5613); Otros Tipos De Expendio De Comidas Preparadas N.C.P. (I5619); Actividades De Apoyo Terapéutico (Q8692)</t>
  </si>
  <si>
    <t>Cl 21 No. 87 B 47 Ca 38</t>
  </si>
  <si>
    <t>magicadara@gmail.com</t>
  </si>
  <si>
    <t>Alejandro Pinzon Garavito (Representante Legal)</t>
  </si>
  <si>
    <t>Dam Pizza Sas</t>
  </si>
  <si>
    <t>Calle 72 A # 20 A 60</t>
  </si>
  <si>
    <t>infodamici@dampizza.co</t>
  </si>
  <si>
    <t>Dahe S.A.S.</t>
  </si>
  <si>
    <t>Carrera 11 # 97 - 10</t>
  </si>
  <si>
    <t>sasdahe@gmail.com</t>
  </si>
  <si>
    <t>Javier Hemel Giraldo Diaz (Representante Legal)</t>
  </si>
  <si>
    <t>Dagasajo Sas</t>
  </si>
  <si>
    <t>Cr 111 No. 159 A - 61</t>
  </si>
  <si>
    <t>DAGASAJO@GMAIL.COM</t>
  </si>
  <si>
    <t>Carlos Eduardo Ortiz Muñoz (Representante Legal)</t>
  </si>
  <si>
    <t>Daco Selecta Sas</t>
  </si>
  <si>
    <t>Cafeterías y Bares para Bebidas sin Alcohol(722515); Grupos Musicales y Artistas(71113); Compañías de Teatro y Cena Teatros(71111); Servicios Especiales de Comida(7223)</t>
  </si>
  <si>
    <t>Expendio A La Mesa De Comidas Preparadas (I5611); Expendio De Comidas Preparadas En Cafeterías (I5613); Actividades Teatrales (R9006); Actividades De Espectáculos Musicales En Vivo (R9007)</t>
  </si>
  <si>
    <t>Kr 77 A # 64 C 11</t>
  </si>
  <si>
    <t>kpitalbistro@gmail.com</t>
  </si>
  <si>
    <t>Castelblanco Otalora Daniel Alejandro (Representante Legal)</t>
  </si>
  <si>
    <t>Dac Food Group Colombia S A S</t>
  </si>
  <si>
    <t>Tv. 55 # 98A - 66 Local 310</t>
  </si>
  <si>
    <t>Da Quei Matti Mz Sas</t>
  </si>
  <si>
    <t>Cl 150 No. 48 71</t>
  </si>
  <si>
    <t>D2C Deliciosa Cocina Colombiana S.A.S</t>
  </si>
  <si>
    <t>Cl 145 No. 128 40 Ca 119</t>
  </si>
  <si>
    <t>d2cdcc@gmail.com</t>
  </si>
  <si>
    <t>Ana Beatriz Angulo Rodriguez (Representante Legal)</t>
  </si>
  <si>
    <t>D'Oliva Pizza Pasta Cafe Sas</t>
  </si>
  <si>
    <t>Cl 175 No. 15 20 To 5 Ap 602</t>
  </si>
  <si>
    <t>doliva.oficial@gmail.com</t>
  </si>
  <si>
    <t>Nelson Orlando Guette Abondano (Representante Legal)</t>
  </si>
  <si>
    <t>D'Lili Pasteleria Sas</t>
  </si>
  <si>
    <t>Cl 95 No. 15 30</t>
  </si>
  <si>
    <t>arangolili@gmail.com</t>
  </si>
  <si>
    <t>Liliana Arango Angel (Representante Legal)</t>
  </si>
  <si>
    <t>D&amp;W Inversiones Sas</t>
  </si>
  <si>
    <t>Bodegas(31213); Contratistas Eléctricos y de Otras Instalaciones de Cableado(23821); Bares y Otros Lugares para Beber(7224)</t>
  </si>
  <si>
    <t>Elaboración De Bebidas Fermentadas No Destiladas (C1102); Instalación Especializada De Maquinaria Y Equipo Industrial (C3320); Expendio De Bebidas Alcohólicas Para El Consumo Dentro Del Establecimiento (I5630)</t>
  </si>
  <si>
    <t>Cl 103 A No. 11 B 84</t>
  </si>
  <si>
    <t>alejoalvarez94@gmail.com</t>
  </si>
  <si>
    <t>Daniel Alejandro Alvarez Diaz (Representante Legal)</t>
  </si>
  <si>
    <t>D&amp;H Inicio Sas</t>
  </si>
  <si>
    <t>Calle 20 82 52 Local 275 Piso 2 Edificio</t>
  </si>
  <si>
    <t>daviddt82@hotmail.com</t>
  </si>
  <si>
    <t>Marialejandra Hansen Sangronis (Representante Legal)</t>
  </si>
  <si>
    <t>D&amp;G Especialistas Sas</t>
  </si>
  <si>
    <t>Cafeterías y Bares para Bebidas sin Alcohol(722515); Centros de Diagnóstico por Imágenes(621512); Otros Servicios Médicos Ambulatorios(6219)</t>
  </si>
  <si>
    <t>Servicios de Salud Móviles(621)</t>
  </si>
  <si>
    <t>Expendio De Comidas Preparadas En Cafeterías (I5613); Actividades De La Práctica Médica, Sin Internación (Q8621); Actividades De Apoyo Diagnóstico (Q8691); Otras Actividades De Atención De La Salud Humana (Q8699)</t>
  </si>
  <si>
    <t>Actividades De La Práctica Médica, Sin Internación (Q8621)</t>
  </si>
  <si>
    <t>Cra 7 Bis No 124 - 56 Consultorio 709</t>
  </si>
  <si>
    <t>dgespecialistas@gmail.com</t>
  </si>
  <si>
    <t>Laura Daniela Chaparro Reyes (Representante Legal)</t>
  </si>
  <si>
    <t>Cwags S A S</t>
  </si>
  <si>
    <t>Cl 85 No. 14 05 P 5</t>
  </si>
  <si>
    <t>reservaslabolera@gmail.com</t>
  </si>
  <si>
    <t>Eduardo Alfonso Reyes Cely (Representante Legal)</t>
  </si>
  <si>
    <t>Cut Club Group S.A.S</t>
  </si>
  <si>
    <t>Cl 83 # 14 A - 09</t>
  </si>
  <si>
    <t>MYMASESORIASCONTABLES@GMAIL.COM</t>
  </si>
  <si>
    <t>Camilo Andres Gonzalez Cubillos (Representante Legal)</t>
  </si>
  <si>
    <t>Curassan 1937 Sas</t>
  </si>
  <si>
    <t>Empresas de Catering(72232); Bares y Otros Lugares para Beber(7224); Panaderías y Producción de Tortillas(3118)</t>
  </si>
  <si>
    <t>Elaboración De Productos De Panadería (C1081); Expendio A La Mesa De Comidas Preparadas (I5611); Catering Para Eventos (I5621); Expendio De Bebidas Alcohólicas Para El Consumo Dentro Del Establecimiento (I5630)</t>
  </si>
  <si>
    <t>Cr 14 A 109 - 38</t>
  </si>
  <si>
    <t>curassan1937@gmail.com</t>
  </si>
  <si>
    <t>Stefanni Lisbeth Vargas Mateus (Representante Legal)</t>
  </si>
  <si>
    <t>Cumbre Gastronomica Sas En Liquidacion</t>
  </si>
  <si>
    <t>lasanta.tacosypolas@gmail.com</t>
  </si>
  <si>
    <t>Josue Amaya Gonzalez (Representante Legal)</t>
  </si>
  <si>
    <t>Cumbia Y Bolero Sas</t>
  </si>
  <si>
    <t>Cafeterías y Bares para Bebidas sin Alcohol(722515); Floricultura(111422); Comerciantes al por Mayor de Comestibles y Productos Relacionados(4244); Tiendas de Artículos Diversos(453)</t>
  </si>
  <si>
    <t>Propagación De Plantas (Actividades De Los Viveros, Excepto Viveros Forestales) (A0130); Comercio Al Por Mayor De Productos Alimenticios (G4631); Comercio Al Por Menor De Otros Productos Nuevos En Establecimientos Especializados (G4774); Expendio De Comidas Preparadas En Cafeterías (I5613)</t>
  </si>
  <si>
    <t>Cl 71 # 6 27</t>
  </si>
  <si>
    <t>facturacion@vidacafeplantas.com</t>
  </si>
  <si>
    <t>Monica Adriana Mariño Gutierrez (Representante Legal)</t>
  </si>
  <si>
    <t>Culebrero Bar Sas</t>
  </si>
  <si>
    <t>Oficinas de Convenciones y Visitantes(561591); Fabricación de Alimentos Preparados Perecederos(311991); Bares y Otros Lugares para Beber(7224); Cervecerías, Vinaterías y Tiendas de Licores(4453)</t>
  </si>
  <si>
    <t>Elaboración De Comidas Y Platos Preparados (C1084); Comercio Al Por Menor De Bebidas Y Productos Del Tabaco, En Establecimientos Especializados (G4724); Expendio De Bebidas Alcohólicas Para El Consumo Dentro Del Establecimiento (I5630); Organización De Convenciones Y Eventos Comerciales (N8230)</t>
  </si>
  <si>
    <t>Carrera 7 # 48 - 04 / Piso 2</t>
  </si>
  <si>
    <t>juanodanielcc@hotmail.com</t>
  </si>
  <si>
    <t>Juan Daniel Catama Castaño (Representante Legal)</t>
  </si>
  <si>
    <t>Cuatroveintidos S.A.S.</t>
  </si>
  <si>
    <t>Cl 144 No. 13 - 42</t>
  </si>
  <si>
    <t>HOLA@TIENEHUEVO.COM</t>
  </si>
  <si>
    <t>Diego Felipe Pulecio Velasquez (Representante Legal)</t>
  </si>
  <si>
    <t>Ctrez Group Sas</t>
  </si>
  <si>
    <t>Diagonal 57 C Sur # 62 - 60 Local C - 24</t>
  </si>
  <si>
    <t>ctrezgroup@gmail.com</t>
  </si>
  <si>
    <t>Edward Camilo Castro Uzeta (Representante Legal)</t>
  </si>
  <si>
    <t>Csd Group Sas</t>
  </si>
  <si>
    <t>Cl 64 No. 9 05 Lc 1</t>
  </si>
  <si>
    <t>criscops@hotmail.com</t>
  </si>
  <si>
    <t>Jeferson Simon Cardenas Laiton (Representante Legal)</t>
  </si>
  <si>
    <t>Crolett S.A.S</t>
  </si>
  <si>
    <t>Carrera 74 A 168 A 85</t>
  </si>
  <si>
    <t>male.suarez01@gmail.com</t>
  </si>
  <si>
    <t>Juan Esteban Sánchez Pineda (Representante Legal)</t>
  </si>
  <si>
    <t>Croffles Sas</t>
  </si>
  <si>
    <t>Tv 60 No. 119 30 T 4 Ap 914</t>
  </si>
  <si>
    <t>omar.oliveros@gmail.com</t>
  </si>
  <si>
    <t>Omar Andres Oliveros Sanchez (Representante Legal)</t>
  </si>
  <si>
    <t>Crocanta Sas</t>
  </si>
  <si>
    <t>Cr 13 No. 93 91 Lc 106</t>
  </si>
  <si>
    <t>contacto@crocanta.com</t>
  </si>
  <si>
    <t>Sergio Andres Osorio Trujillo (Representante Legal)</t>
  </si>
  <si>
    <t>Crisol Food Sas</t>
  </si>
  <si>
    <t>Cl 94 18 - 50 Ap 402</t>
  </si>
  <si>
    <t>crisolfacturaelectronica@gmail.com</t>
  </si>
  <si>
    <t>Andres Ramirez Pinzon (Representante Legal)</t>
  </si>
  <si>
    <t>Criadero La Monarca Sas</t>
  </si>
  <si>
    <t>Unidades de Engorde de Ganado Vacuno(112112); Cría de Caballos y Otro Tipo de Equinos(11292); Bares y Otros Lugares para Beber(7224); Servicios Especiales de Comida(7223)</t>
  </si>
  <si>
    <t>Unidades de Engorde de Ganado Vacuno(112112)</t>
  </si>
  <si>
    <t>Cría De Ganado Bovino Y Bufalino (A0141); Cría De Caballos Y Otros Equinos (A0142); Expendio A La Mesa De Comidas Preparadas (I5611); Expendio De Bebidas Alcohólicas Para El Consumo Dentro Del Establecimiento (I5630)</t>
  </si>
  <si>
    <t>Cría De Ganado Bovino Y Bufalino (A0141)</t>
  </si>
  <si>
    <t>Cr 40 D No. 1 H - 34</t>
  </si>
  <si>
    <t>criaderolamonarca2024@gmail.com</t>
  </si>
  <si>
    <t>Yudy Judith Ruiz Martin (Representante Legal)</t>
  </si>
  <si>
    <t>Crew Company S.A.S</t>
  </si>
  <si>
    <t>Cafeterías y Bares para Bebidas sin Alcohol(722515); Servicios de Cuidado de Uñas, Pelo y Piel(81211); Comerciantes al por Mayor de Otros Productos No Duraderos Diversos(42499); Reparación y Mantenimiento de Vehículos(8111)</t>
  </si>
  <si>
    <t>Mantenimiento Y Reparación De Vehículos Automotores (G4520); Comercio Al Por Mayor De Desperdicios, Desechos Y Chatarra (G4665); Expendio De Comidas Preparadas En Cafeterías (I5613); Peluquería Y Otros Tratamientos De Belleza (S9602)</t>
  </si>
  <si>
    <t>Comercio Al Por Mayor De Desperdicios, Desechos Y Chatarra (G4665)</t>
  </si>
  <si>
    <t>Av Cl 6 No. 31 B 05</t>
  </si>
  <si>
    <t>CLAFO1904@GMAIL.COM</t>
  </si>
  <si>
    <t>Gilma Esther Forero De Avila (Representante Legal)</t>
  </si>
  <si>
    <t>Crescendo Presenta S.A.S.</t>
  </si>
  <si>
    <t>Calle 169A No. 67 - 81 Portales Del Cerr</t>
  </si>
  <si>
    <t>infocrescendobog@gmail.com</t>
  </si>
  <si>
    <t>Fredy Alexander Rincon Vargas (Representante Legal)</t>
  </si>
  <si>
    <t>Crepes &amp; Otras Delicias Sas En Liquidacion</t>
  </si>
  <si>
    <t>Cra 99 A No.26 - 80 Sur Casa 214B</t>
  </si>
  <si>
    <t>fredymurciadiaz@gmail.com</t>
  </si>
  <si>
    <t>Tania Cecilia Sanchez Cardozo (Representante Legal)</t>
  </si>
  <si>
    <t>Creperie Restaurante Bonaparte J&amp;A Sas</t>
  </si>
  <si>
    <t>Cr 8 No. 11 19</t>
  </si>
  <si>
    <t>creperiebonaparte@gmail.com</t>
  </si>
  <si>
    <t>Andres Ricardo Rodriguez Peña (Representante Legal)</t>
  </si>
  <si>
    <t>Crepella Sas</t>
  </si>
  <si>
    <t>Cr 51 B No. 41 10 Sur</t>
  </si>
  <si>
    <t>fredy.3622.fv@gmail.com</t>
  </si>
  <si>
    <t>Fredy Rene Velasco Molina (Representante Legal)</t>
  </si>
  <si>
    <t>Creative Jungle Tec Sas</t>
  </si>
  <si>
    <t>Restaurantes y Otros Lugares para Comer(72251); Agencias de Publicidad(54181); Diseño de Sistemas Computacionales y Servicios Relacionados(54151)</t>
  </si>
  <si>
    <t>Expendio Por Autoservicio De Comidas Preparadas (I5612); Actividades De Desarrollo De Sistemas Informáticos (Planificación, Análisis, Diseño, Programación, Pruebas) (J6201); Publicidad (M7310)</t>
  </si>
  <si>
    <t>Cl 127 D No. 45 A 54</t>
  </si>
  <si>
    <t>diego@creativejungle.co</t>
  </si>
  <si>
    <t>Silvia Fernanda Meneses Lara (Representante Legal)</t>
  </si>
  <si>
    <t>Crear J &amp; M S.A.S</t>
  </si>
  <si>
    <t>Calle 24 C # 75 - 29 Piso 2</t>
  </si>
  <si>
    <t>crearjymsas2019@hotmail.com</t>
  </si>
  <si>
    <t>Creamos &amp; Diseñamos Sas</t>
  </si>
  <si>
    <t>Tiendas de Mercancía General, incluyendo Grandes Almacenes(45231); Bares y Otros Lugares para Beber(7224); Cervecerías, Vinaterías y Tiendas de Licores(4453); Supermercados(4451)</t>
  </si>
  <si>
    <t>Comercio Al Por Menor En Establecimientos No Especializados Con Surtido Compuesto Principalmente Por Alimentos, Bebidas O Tabaco (G4711); Comercio Al Por Menor En Establecimientos No Especializados, Con Surtido Compuesto Principalmente Por Productos Diferentes De Alimentos (Víveres En General), Bebidas Y Tabaco (G4719); Comercio Al Por Menor De Bebidas Y Productos Del Tabaco, En Establecimientos Especializados (G4724); Expendio De Bebidas Alcohólicas Para El Consumo Dentro Del Establecimiento (I5630)</t>
  </si>
  <si>
    <t>Carrera 73 No 37 84</t>
  </si>
  <si>
    <t>cydforyou@gmail.com</t>
  </si>
  <si>
    <t>Adriana Carolina Porras Ramirez (Representante Legal)</t>
  </si>
  <si>
    <t>Creaciones Metalicas Dasca Sas</t>
  </si>
  <si>
    <t>Bares y Otros Lugares para Beber(7224); Servicios Especiales de Comida(7223); Contratistas de Trabajos de Acabado de Edificios(2383)</t>
  </si>
  <si>
    <t>Contratistas de Trabajos de Acabado de Edificios(2383)</t>
  </si>
  <si>
    <t>Terminación Y Acabado De Edificios Y Obras De Ingeniería Civil (F4330); Expendio A La Mesa De Comidas Preparadas (I5611); Expendio De Bebidas Alcohólicas Para El Consumo Dentro Del Establecimiento (I5630)</t>
  </si>
  <si>
    <t>Terminación Y Acabado De Edificios Y Obras De Ingeniería Civil (F4330)</t>
  </si>
  <si>
    <t>Cr 96 H Bis No. 19 54 P 2</t>
  </si>
  <si>
    <t>creacionesdasca@gmail.com</t>
  </si>
  <si>
    <t>Lorena Patricia Ramirez Mendoza (Representante Legal)</t>
  </si>
  <si>
    <t>Creación Gastronómica Sas</t>
  </si>
  <si>
    <t>Cafeterías y Bares para Bebidas sin Alcohol(722515); Panaderías y Producción de Tortillas(3118); Conservación de Frutas, Verduras y Fabricación de Alimentos Especializados(3114)</t>
  </si>
  <si>
    <t>Procesamiento Y Conservación De Frutas, Legumbres, Hortalizas Y Tubérculos (C1020); Elaboración De Productos De Panadería (C1081); Expendio De Comidas Preparadas En Cafeterías (I5613)</t>
  </si>
  <si>
    <t>Cl 106 No. 56 08</t>
  </si>
  <si>
    <t>julihernandez.m@hotmail.com</t>
  </si>
  <si>
    <t>Julian Andres Hernandez Muñoz (Representante Legal)</t>
  </si>
  <si>
    <t>Cracks Sas</t>
  </si>
  <si>
    <t>Otras Compañías de Artes Escénicas(71119); Bares y Otros Lugares para Beber(7224); Servicios Especiales de Comida(7223); Industrias de Juego(7132)</t>
  </si>
  <si>
    <t>Expendio A La Mesa De Comidas Preparadas (I5611); Expendio De Bebidas Alcohólicas Para El Consumo Dentro Del Establecimiento (I5630); Otras Actividades De Espectáculos En Vivo N.C.P. (R9008); Actividades De Juegos De Azar Y Apuestas (R9200)</t>
  </si>
  <si>
    <t>Cr 80 A No. 24 C 19</t>
  </si>
  <si>
    <t>crackssas@outlook.com</t>
  </si>
  <si>
    <t>Cristian Steven Sora Correa (Representante Legal)</t>
  </si>
  <si>
    <t>Cortázar Inversiones Sas</t>
  </si>
  <si>
    <t>Cafeterías y Bares para Bebidas sin Alcohol(722515); Supermercados y Otras Tiendas de Abarrotes(44511); Servicios Especiales de Comida(7223)</t>
  </si>
  <si>
    <t>Comercio Al Por Menor En Establecimientos No Especializados Con Surtido Compuesto Principalmente Por Alimentos, Bebidas O Tabaco (G4711); Comercio Al Por Menor De Alimentos, Bebidas Y Tabaco, En Puestos De Venta Móviles (G4781); Expendio A La Mesa De Comidas Preparadas (I5611); Expendio De Comidas Preparadas En Cafeterías (I5613)</t>
  </si>
  <si>
    <t>Cl 12A No. 71C - 60</t>
  </si>
  <si>
    <t>CORTAZAR28@GMAIL.COM</t>
  </si>
  <si>
    <t>Johann Adair Cortazar Castiblanco (Representante Legal)</t>
  </si>
  <si>
    <t>Correa Echeverri Y González Cuervo Sas</t>
  </si>
  <si>
    <t>Cl 90 No. 16 - 56 Lc</t>
  </si>
  <si>
    <t>altapasticceriaa@gmail.com</t>
  </si>
  <si>
    <t>Angie Lineth Gonzalez Cuervo (Representante Legal)</t>
  </si>
  <si>
    <t>Corporacion Triple C S A S</t>
  </si>
  <si>
    <t>Otros Tipos De Expendio De Comidas Preparadas N.C.P. (I5619); Actividades De Otros Servicios De Comidas (I5629); Expendio De Bebidas Alcohólicas Para El Consumo Dentro Del Establecimiento (I5630); Actividades De Consultaría De Gestión (M7020)</t>
  </si>
  <si>
    <t>Cl 114 No. 6 A 92 Of</t>
  </si>
  <si>
    <t>ccaceres@triplec.com.co</t>
  </si>
  <si>
    <t>Carlos Jose Caceres Orozco (Representante Legal)</t>
  </si>
  <si>
    <t>Corporacion Danel Sas</t>
  </si>
  <si>
    <t>Calle 172A 8 - 20 Conjunto Canelo Torre 14</t>
  </si>
  <si>
    <t>fran4260@gmail.com</t>
  </si>
  <si>
    <t>Francelina Santander Becerra (Representante Legal)</t>
  </si>
  <si>
    <t>Corporación Capsula Sas</t>
  </si>
  <si>
    <t>Expendio A La Mesa De Comidas Preparadas (I5611); Expendio Por Autoservicio De Comidas Preparadas (I5612); Otros Tipos De Expendio De Comidas Preparadas N.C.P. (I5619); Catering Para Eventos (I5621)</t>
  </si>
  <si>
    <t>Cra 16 # 79 - 81 Loc</t>
  </si>
  <si>
    <t>ventas.lacapsula@gmail.com</t>
  </si>
  <si>
    <t>Carolina Cuellar Ramirez (Representante Legal)</t>
  </si>
  <si>
    <t>Corlins Sas</t>
  </si>
  <si>
    <t>Calle 91 49 C 24</t>
  </si>
  <si>
    <t>corlinscoffee@gmail.com</t>
  </si>
  <si>
    <t>Cindy Lorena Garzon Suarez (Representante Legal)</t>
  </si>
  <si>
    <t>Corcan Food Sas</t>
  </si>
  <si>
    <t>Comercio Al Por Menor De Otros Productos Alimenticios N.C.P., En Establecimientos Especializados (G4729); Expendio A La Mesa De Comidas Preparadas (I5611); Expendio Por Autoservicio De Comidas Preparadas (I5612)</t>
  </si>
  <si>
    <t>Cr 13 No. 41 - 36 T 1 Lc 24N</t>
  </si>
  <si>
    <t>utersi@hotmail.com</t>
  </si>
  <si>
    <t>Oscar Daniel Cañon Martinez (Representante Legal)</t>
  </si>
  <si>
    <t>Coqueto S.A.S</t>
  </si>
  <si>
    <t>Cl 84 Bis No. 13 45</t>
  </si>
  <si>
    <t>sebhdealr@hotmail.com</t>
  </si>
  <si>
    <t>Sebastian Hernandez De La Roche (Representante Legal)</t>
  </si>
  <si>
    <t>Cooperativa Negocios Estrategicos Integrales</t>
  </si>
  <si>
    <t>Expendio, a la mesa, de comidas preparadas en cafeterias</t>
  </si>
  <si>
    <t>Carrera 12 Nro.86-69 Torre 2 Apartamento 202</t>
  </si>
  <si>
    <t>Jose Enrique Duarte Pabon (Representante Legal)</t>
  </si>
  <si>
    <t>Cooking 3Rothers Sas</t>
  </si>
  <si>
    <t>Carrera 15 A 124 22 Apartamento 202</t>
  </si>
  <si>
    <t>navascardona@cooking3rothers.com</t>
  </si>
  <si>
    <t>Cristian Navas Cardona (Representante Legal)</t>
  </si>
  <si>
    <t>Convencional Investments Sas</t>
  </si>
  <si>
    <t>Cafeterías y Bares para Bebidas sin Alcohol(722515); Supermercados y Otras Tiendas de Abarrotes(44511); Tiendas de Venta Directa(4543)</t>
  </si>
  <si>
    <t>Comercio Al Por Menor En Establecimientos No Especializados Con Surtido Compuesto Principalmente Por Alimentos, Bebidas O Tabaco (G4711); Comercio Al Por Menor De Alimentos, Bebidas Y Tabaco, En Puestos De Venta Móviles (G4781); Otros Tipos De Comercio Al Por Menor No Realizado En Establecimientos, Puestos De Venta O Mercados. (G4799); Expendio De Comidas Preparadas En Cafeterías (I5613)</t>
  </si>
  <si>
    <t>Cl 111 No. 2 20</t>
  </si>
  <si>
    <t>convencionalcloud@gmail.com</t>
  </si>
  <si>
    <t>Martin Galindo Regalado (Representante Legal)</t>
  </si>
  <si>
    <t>Contraste Coffee Sas</t>
  </si>
  <si>
    <t>Cafeterías y Bares para Bebidas sin Alcohol(722515); Demás Tipos de Industrias de Diversión y Recreativas(71399); Fabricación de Café y Té(31192)</t>
  </si>
  <si>
    <t>Descafeinado, Tostión Y Molienda Del Café (C1062); Otros Derivados Del Café (C1063); Expendio De Comidas Preparadas En Cafeterías (I5613); Otras Actividades Recreativas Y De Esparcimiento N.C.P. (R9329)</t>
  </si>
  <si>
    <t>Diagonal 40 A 13 26</t>
  </si>
  <si>
    <t>contrastecoffeelab@gmail.com</t>
  </si>
  <si>
    <t>Contenedor Cultura Y Cocina S A S</t>
  </si>
  <si>
    <t>Cafeterías y Bares para Bebidas sin Alcohol(722515); Empresas de Catering(72232); Institutos Técnicos y de Negocios(61151)</t>
  </si>
  <si>
    <t>Institutos Técnicos y de Negocios(61151)</t>
  </si>
  <si>
    <t>Expendio A La Mesa De Comidas Preparadas (I5611); Expendio De Comidas Preparadas En Cafeterías (I5613); Catering Para Eventos (I5621); Educación Media Técnica (P8523)</t>
  </si>
  <si>
    <t>Educación Media Técnica (P8523)</t>
  </si>
  <si>
    <t>Cl 44 A No. 59 75</t>
  </si>
  <si>
    <t>infosmartcook@gmail.com</t>
  </si>
  <si>
    <t>Nidia Alexandra Leon Rodriguez (Representante Legal)</t>
  </si>
  <si>
    <t>Container G&amp;R Sas</t>
  </si>
  <si>
    <t>Cl 97 A No. 9 - 50</t>
  </si>
  <si>
    <t>containergrsas@gmail.com</t>
  </si>
  <si>
    <t>Edison Ricardo Muñoz Casallas (Representante Legal)</t>
  </si>
  <si>
    <t>Contadores Profesionales Y Del Turismo Contaprotur Sas</t>
  </si>
  <si>
    <t>Restaurantes y Otros Lugares para Comer(72251); Hoteles (excepto Hoteles Casino) y Moteles(72111); Servicios de Contabilidad, Preparación de Impuestos, Teneduría de Libros y Servicios de Nómina(54121); Servicios Especiales de Comida(7223)</t>
  </si>
  <si>
    <t>Alojamiento En Hoteles (I5511); Expendio A La Mesa De Comidas Preparadas (I5611); Expendio Por Autoservicio De Comidas Preparadas (I5612); Actividades De Contabilidad, Teneduría De Libros, Auditoría Financiera Y Asesoría Tributaria (M6920)</t>
  </si>
  <si>
    <t>Carrera 7 B Bis 130 B 41 Torre A Ap 503</t>
  </si>
  <si>
    <t>contaprontasas@gmail.com</t>
  </si>
  <si>
    <t>Zora Jeanne Giraldo Tarquino (Representante Legal)</t>
  </si>
  <si>
    <t>Consultores E Inversiones Mompox S A S</t>
  </si>
  <si>
    <t>Cafeterías y Bares para Bebidas sin Alcohol(722515); Oficinas de Abogados(54111); Bares y Otros Lugares para Beber(7224); Supermercados(4451)</t>
  </si>
  <si>
    <t>Comercio Al Por Menor En Establecimientos No Especializados Con Surtido Compuesto Principalmente Por Alimentos, Bebidas O Tabaco (G4711); Expendio De Comidas Preparadas En Cafeterías (I5613); Expendio De Bebidas Alcohólicas Para El Consumo Dentro Del Establecimiento (I5630); Actividades Jurídicas (M6910)</t>
  </si>
  <si>
    <t>Cl 147 No. 9 - 09 Lc 001</t>
  </si>
  <si>
    <t>consultoresmompox@gmail.com</t>
  </si>
  <si>
    <t>Ruger Jesus Ortega Avila (Representante Legal)</t>
  </si>
  <si>
    <t>Construingenieria Y Mantenimiento S.A.S.</t>
  </si>
  <si>
    <t>Restaurantes y Otros Lugares para Comer(72251); Construcción de Edificios Residenciales(23611); Otros Contratistas Especializados(2389); Contratistas de Trabajos de Acabado de Edificios(2383)</t>
  </si>
  <si>
    <t>Otros Contratistas Especializados(2389)</t>
  </si>
  <si>
    <t>Construcción De Edificios Residenciales (F4111); Terminación Y Acabado De Edificios Y Obras De Ingeniería Civil (F4330); Otras Actividades Especializadas Para La Construcción De Edificios Y Obras De Ingeniería Civil (F4390); Expendio Por Autoservicio De Comidas Preparadas (I5612)</t>
  </si>
  <si>
    <t>Otras Actividades Especializadas Para La Construcción De Edificios Y Obras De Ingeniería Civil (F4390)</t>
  </si>
  <si>
    <t>Cr 68 B No. 57 40 Sur Villa Del Rio</t>
  </si>
  <si>
    <t>santiagopardobernal@gmail.com</t>
  </si>
  <si>
    <t>Santiago Pardo Bernal (Representante Legal)</t>
  </si>
  <si>
    <t>Consorcio Mambe Sas</t>
  </si>
  <si>
    <t>Fabricación de Alimentos Preparados Perecederos(311991); Bares y Otros Lugares para Beber(7224); Servicios Especiales de Comida(7223); Arrendadores de Bienes Intangibles No Financieros (excepto Obras con los Derechos Reservados)(533)</t>
  </si>
  <si>
    <t>Elaboración De Comidas Y Platos Preparados (C1084); Expendio A La Mesa De Comidas Preparadas (I5611); Expendio De Bebidas Alcohólicas Para El Consumo Dentro Del Establecimiento (I5630); Arrendamiento De Propiedad Intelectual Y Productos Similares, Excepto Obras Protegidas Por Derechos De Autor (N7740)</t>
  </si>
  <si>
    <t>Cl 12 D No. 3 84</t>
  </si>
  <si>
    <t>consorciomambe@gmail.com</t>
  </si>
  <si>
    <t>William Leonardo Neira Cuellar (Representante Legal)</t>
  </si>
  <si>
    <t>Conosur D.C. Sas</t>
  </si>
  <si>
    <t>Cl 117 No. 6 64</t>
  </si>
  <si>
    <t>luisgiovannigarciapardo@gmail.com</t>
  </si>
  <si>
    <t>Luis Giovanni Garcia Pardo (Representante Legal)</t>
  </si>
  <si>
    <t>Conexión Dyr Sas</t>
  </si>
  <si>
    <t>Cl 131 A No. 53 B 91 In 2 Ap 601</t>
  </si>
  <si>
    <t>conexiondyr@gmail.com</t>
  </si>
  <si>
    <t>Conejera Sport's Sas</t>
  </si>
  <si>
    <t>Alquiler de Bienes Recreativos(532284); Demás Tipos de Industrias de Diversión y Recreativas(71399); Bares y Otros Lugares para Beber(7224)</t>
  </si>
  <si>
    <t>Expendio De Bebidas Alcohólicas Para El Consumo Dentro Del Establecimiento (I5630); Alquiler Y Arrendamiento De Equipo Recreativo Y Deportivo (N7721); Actividades De Clubes Deportivos (R9312); Otras Actividades Deportivas (R9319)</t>
  </si>
  <si>
    <t>Km 3 Via Suba Cota</t>
  </si>
  <si>
    <t>futbolconejera@gmail.com</t>
  </si>
  <si>
    <t>Carlos Enrique Barrios Rios (Representante Legal)</t>
  </si>
  <si>
    <t>Conciertos G &amp; P S.A.S</t>
  </si>
  <si>
    <t>Otras Compañías de Artes Escénicas(71119); Grupos Musicales y Artistas(71113); Bares y Otros Lugares para Beber(7224); Industrias de Grabación de Sonido(5122)</t>
  </si>
  <si>
    <t>Expendio De Bebidas Alcohólicas Para El Consumo Dentro Del Establecimiento (I5630); Actividades De Grabación De Sonido Y Edición De Música (J5920); Creación Audiovisual (R9004); Actividades De Espectáculos Musicales En Vivo (R9007)</t>
  </si>
  <si>
    <t>Cl 49 A No. 73 A 17</t>
  </si>
  <si>
    <t>gerardoamadooficial@gmail.com</t>
  </si>
  <si>
    <t>Gerardo Amado Ardila (Representante Legal)</t>
  </si>
  <si>
    <t>Con Sentido Gastrobar S.A.S.</t>
  </si>
  <si>
    <t>Oficinas de Convenciones y Visitantes(561591); Otras Compañías de Artes Escénicas(71119); Bares y Otros Lugares para Beber(7224); Servicios Especiales de Comida(7223)</t>
  </si>
  <si>
    <t>Expendio A La Mesa De Comidas Preparadas (I5611); Expendio De Bebidas Alcohólicas Para El Consumo Dentro Del Establecimiento (I5630); Organización De Convenciones Y Eventos Comerciales (N8230); Otras Actividades De Espectáculos En Vivo N.C.P. (R9008)</t>
  </si>
  <si>
    <t>Carrera 95 A # 136 - 42</t>
  </si>
  <si>
    <t>jolseny@gmail.com</t>
  </si>
  <si>
    <t>Jolseny Carolina Tamayo Ovalle (Representante Legal)</t>
  </si>
  <si>
    <t>Compañia Mmg S.A.S</t>
  </si>
  <si>
    <t>Cafeterías y Bares para Bebidas sin Alcohol(722515); Tiendas de Medicamentos y Farmacias(44611); Fabricación de Muñecas, Juguetes y Juegos(33993)</t>
  </si>
  <si>
    <t>Fabricación De Juegos, Juguetes Y Rompecabezas (C3240); Comercio Al Por Menor De Productos Farmacéuticos Y Medicinales, Cosméticos Y Artículos De Tocador En Establecimientos Especializados (G4773); Expendio De Comidas Preparadas En Cafeterías (I5613)</t>
  </si>
  <si>
    <t>Calle 68 B 72 A 95</t>
  </si>
  <si>
    <t>acruzgcontador@gmail.com</t>
  </si>
  <si>
    <t>Gonzalo Mateus Martin (Representante Legal)</t>
  </si>
  <si>
    <t>Compañia Colombiana De Soluciones Alimenticias Sas</t>
  </si>
  <si>
    <t>Kr 14 77 17</t>
  </si>
  <si>
    <t>corporativo@dowuntownburger.com.co</t>
  </si>
  <si>
    <t>Guillermo Fernando Cordoba Soto (Representante Legal)</t>
  </si>
  <si>
    <t>Compañia Bog Appetit Sas</t>
  </si>
  <si>
    <t>Cafeterías y Bares para Bebidas sin Alcohol(722515); Tiendas de Mercancía General, incluyendo Grandes Almacenes(45231); Servicios Especiales de Comida(7223); Conservación de Frutas, Verduras y Fabricación de Alimentos Especializados(3114)</t>
  </si>
  <si>
    <t>Procesamiento Y Conservación De Frutas, Legumbres, Hortalizas Y Tubérculos (C1020); Comercio Al Por Menor En Establecimientos No Especializados, Con Surtido Compuesto Principalmente Por Productos Diferentes De Alimentos (Víveres En General), Bebidas Y Tabaco (G4719); Expendio A La Mesa De Comidas Preparadas (I5611); Expendio De Comidas Preparadas En Cafeterías (I5613)</t>
  </si>
  <si>
    <t>Cr 7 B # 135 - 27 Apto 1205</t>
  </si>
  <si>
    <t>bogappetitsas@gmail.com</t>
  </si>
  <si>
    <t>Eliana Salazar Morales (Representante Legal)</t>
  </si>
  <si>
    <t>Common People S.A.S</t>
  </si>
  <si>
    <t>Cr 9 69 07</t>
  </si>
  <si>
    <t>mateomora@gmail.com</t>
  </si>
  <si>
    <t>Mateo Mora Uribe (Representante Legal)</t>
  </si>
  <si>
    <t>Comidas Asiaticas S.A.S</t>
  </si>
  <si>
    <t>Ak 58 No. 125 69 L 334</t>
  </si>
  <si>
    <t>ricastro@eleseg.com</t>
  </si>
  <si>
    <t>Ricardo De Castro Miranda (Representante Legal)</t>
  </si>
  <si>
    <t>Comida Rápida Y Pizzeria La Mamma Mia Sas</t>
  </si>
  <si>
    <t>Cr 36 No. 1 F 72</t>
  </si>
  <si>
    <t>pizzalamammamia@gmail.com</t>
  </si>
  <si>
    <t>Geovanny Rios Bernal (Representante Legal)</t>
  </si>
  <si>
    <t>Comida China Express Sas</t>
  </si>
  <si>
    <t>Cr 17 No. 33A - 19</t>
  </si>
  <si>
    <t>mono.olaya@gmail.com</t>
  </si>
  <si>
    <t>Juan Ricardo Suarez Gregory (Representante Legal)</t>
  </si>
  <si>
    <t>Comic Hamburgueseria Sas</t>
  </si>
  <si>
    <t>Carrera 17 163 A 59</t>
  </si>
  <si>
    <t>hamburgueseriacomic@gmail.com</t>
  </si>
  <si>
    <t>Juan Pablo Zorrilla Guevara (Representante Legal)</t>
  </si>
  <si>
    <t>Comercializadora Y Logística Jar S.A.S</t>
  </si>
  <si>
    <t>Cafeterías y Bares para Bebidas sin Alcohol(722515); Otros Servicios Relacionados con el Transporte(48899); Servicios de Almacenamiento(4931)</t>
  </si>
  <si>
    <t>Servicios de Almacenamiento(4931)</t>
  </si>
  <si>
    <t>Almacenamiento Y Depósito (H5210); Manipulación De Carga (H5224); Otras Actividades Complementarias Al Transporte (H5229); Expendio De Comidas Preparadas En Cafeterías (I5613)</t>
  </si>
  <si>
    <t>Almacenamiento Y Depósito (H5210)</t>
  </si>
  <si>
    <t>Cr 45 A No. 128 C 06 Of 301</t>
  </si>
  <si>
    <t>olgogo72@hotmail.com</t>
  </si>
  <si>
    <t>Julio Esteban Gomez Arevalo (Representante Legal)</t>
  </si>
  <si>
    <t>Comercializadora Y Asociados Bolibar Angeles Distribuidora Sas</t>
  </si>
  <si>
    <t>Comerciantes al por Mayor de Tabaco y Productos de Tabaco(42494); Bares y Otros Lugares para Beber(7224); Industrias de Juego(7132); Comerciantes al por Mayor de Cerveza, Vino y Bebidas Alcohólicas(4248)</t>
  </si>
  <si>
    <t>Comercio Al Por Mayor De Bebidas Y Tabaco (G4632); Expendio De Bebidas Alcohólicas Para El Consumo Dentro Del Establecimiento (I5630); Actividades De Juegos De Azar Y Apuestas (R9200)</t>
  </si>
  <si>
    <t>Cr 17 A No 56 - 33 Sur</t>
  </si>
  <si>
    <t>alexanderborrerougc@hotmail.com</t>
  </si>
  <si>
    <t>Yarley Paola Galvis Torres (Representante Legal)</t>
  </si>
  <si>
    <t>Comercializadora Viparrilla - Sabor Con Pasion S.A.S</t>
  </si>
  <si>
    <t>Cl 64 No. 119 A 03</t>
  </si>
  <si>
    <t>jduran1401@hotmail.com</t>
  </si>
  <si>
    <t>Jhon Jairo Duran Montenegro (Representante Legal)</t>
  </si>
  <si>
    <t>Comercializadora Tribar Sas</t>
  </si>
  <si>
    <t>Cr 4 A No. 27 10</t>
  </si>
  <si>
    <t>tribarsas@gmail.com</t>
  </si>
  <si>
    <t>Deissy Lorena Triana Barrote (Representante Legal)</t>
  </si>
  <si>
    <t>Comercializadora Surti Tamales &amp; Algo Mas Sas</t>
  </si>
  <si>
    <t>Cafeterías y Bares para Bebidas sin Alcohol(722515); Fabricación de Alimentos Preparados Perecederos(311991); Otras Actividades Relacionadas con la Intermediación de Crédito(52239); Bares y Otros Lugares para Beber(7224)</t>
  </si>
  <si>
    <t>Elaboración De Comidas Y Platos Preparados (C1084); Expendio De Comidas Preparadas En Cafeterías (I5613); Expendio De Bebidas Alcohólicas Para El Consumo Dentro Del Establecimiento (I5630); Otras Actividades Auxiliares De Las Actividades De Servicios Financieros N.C.P. (K6619)</t>
  </si>
  <si>
    <t>Calle 57B Sur No. 72B - 08</t>
  </si>
  <si>
    <t>oscar_guerrero1@hotmail.es</t>
  </si>
  <si>
    <t>Oscar Willman Guerrero Soler (Representante Legal)</t>
  </si>
  <si>
    <t>Comercializadora Sanchez.John's Sas</t>
  </si>
  <si>
    <t>Transversal 73 # 11 C 32</t>
  </si>
  <si>
    <t>jharold.sanchezn@hotmail.com</t>
  </si>
  <si>
    <t>John Harold Sanchez Niño (Representante Legal)</t>
  </si>
  <si>
    <t>Comercializadora Sanchez Lk Sas</t>
  </si>
  <si>
    <t>Cafeterías y Bares para Bebidas sin Alcohol(722515); Concesionarios de Motocicletas, Cuatriciclos y Otros Vehículos Motorizados(441228); Comercio de Artículos Electrónicos y Electrodomésticos(44314); Reparación y Mantenimiento de Vehículos(8111); Comerciantes al por Mayor de Vehículos Motorizados y Partes y Suministros de Vehículos Motorizados(4231)</t>
  </si>
  <si>
    <t>Mantenimiento Y Reparación De Vehículos Automotores (G4520); Comercio De Motocicletas Y De Sus Partes, Piezas Y Accesorios (G4541); Comercio Al Por Menor De Computadores, Equipos Periféricos, Programas De Informática Y Equipos De Telecomunicaciones En Establecimientos Especializados (G4741); Expendio De Comidas Preparadas En Cafeterías (I5613)</t>
  </si>
  <si>
    <t>Cl 8 Sur # 35 A 23</t>
  </si>
  <si>
    <t>k_or123@hotmail.com</t>
  </si>
  <si>
    <t>Karen Alexandra Baquero Sanchez (Representante Legal)</t>
  </si>
  <si>
    <t>Comercializadora Sanbacar Sas</t>
  </si>
  <si>
    <t>Cafeterías y Bares para Bebidas sin Alcohol(722515); Comerciantes al por Mayor de Otros Productos No Duraderos Diversos(42499); Arrendadores de Bienes Inmuebles(5311); Supermercados(4451)</t>
  </si>
  <si>
    <t>Comercio Al Por Mayor De Desperdicios, Desechos Y Chatarra (G4665); Comercio Al Por Menor En Establecimientos No Especializados Con Surtido Compuesto Principalmente Por Alimentos, Bebidas O Tabaco (G4711); Expendio De Comidas Preparadas En Cafeterías (I5613); Actividades Inmobiliarias Realizadas Con Bienes Propios O Arrendados (L6810)</t>
  </si>
  <si>
    <t>Cr 82A # 6B 74</t>
  </si>
  <si>
    <t>facturacion.sanbacar@gmail.com</t>
  </si>
  <si>
    <t>Carlos Alberto Sanchez Barrios (Representante Legal)</t>
  </si>
  <si>
    <t>Comercializadora Samana Jyd S.A.S</t>
  </si>
  <si>
    <t>Calle 53 Bis Sur 88 05</t>
  </si>
  <si>
    <t>distribucionessamana@gmail.com</t>
  </si>
  <si>
    <t>Lina Yazmin Arevalo Cañon (Representante Legal)</t>
  </si>
  <si>
    <t>Comercializadora Pan De Pan S.A.S.</t>
  </si>
  <si>
    <t>Cafeterías y Bares para Bebidas sin Alcohol(722515); Empresas de Catering(72232); Otras Tiendas de Comidas Artesanales(44529); Panaderías y Producción de Tortillas(3118)</t>
  </si>
  <si>
    <t>Elaboración De Productos De Panadería (C1081); Comercio Al Por Menor De Otros Productos Alimenticios N.C.P., En Establecimientos Especializados (G4729); Expendio De Comidas Preparadas En Cafeterías (I5613); Catering Para Eventos (I5621)</t>
  </si>
  <si>
    <t>Dg 23 No. 69 11 Lc 2 108</t>
  </si>
  <si>
    <t>pandepan777sas@gmail.com</t>
  </si>
  <si>
    <t>Luis Arturo Romero Landines (Representante Legal)</t>
  </si>
  <si>
    <t>Comercializadora Murbel Sas</t>
  </si>
  <si>
    <t>Cafeterías y Bares para Bebidas sin Alcohol(722515); Servicios Especiales de Comida(7223); Comercio al por Mayor(42)</t>
  </si>
  <si>
    <t>Comercio Al Por Mayor A Cambio De Una Retribución O Por Contrata (G4610); Expendio A La Mesa De Comidas Preparadas (I5611); Expendio De Comidas Preparadas En Cafeterías (I5613); Otros Tipos De Expendio De Comidas Preparadas N.C.P. (I5619)</t>
  </si>
  <si>
    <t>Cl 152 No. 58 - 50 O</t>
  </si>
  <si>
    <t>isamurbe@gmail.com</t>
  </si>
  <si>
    <t>Isabel Murillo Bedoya (Representante Legal)</t>
  </si>
  <si>
    <t>Comercializadora Mongui Sas</t>
  </si>
  <si>
    <t>comercializadoramonguisas@gmail.com</t>
  </si>
  <si>
    <t>Ilba Contreras De Robles (Representante Legal)</t>
  </si>
  <si>
    <t>Comercializadora Loar's S.A.S</t>
  </si>
  <si>
    <t>Cr 87 F No. 2 A 90</t>
  </si>
  <si>
    <t>armape1811@gmail.com</t>
  </si>
  <si>
    <t>Lujan Palacio Alexandra Katiusca (Representante Legal)</t>
  </si>
  <si>
    <t>Comercializadora La Mano Peluda S.A.S</t>
  </si>
  <si>
    <t>Cafeterías y Bares para Bebidas sin Alcohol(722515); Tiendas de Mercancía General, incluyendo Grandes Almacenes(45231); Comerciantes al por Mayor de Tabaco y Productos de Tabaco(42494); Servicios Especiales de Comida(7223); Comerciantes al por Mayor de Cerveza, Vino y Bebidas Alcohólicas(4248)</t>
  </si>
  <si>
    <t>Comercio Al Por Mayor De Bebidas Y Tabaco (G4632); Comercio Al Por Menor En Establecimientos No Especializados, Con Surtido Compuesto Principalmente Por Productos Diferentes De Alimentos (Víveres En General), Bebidas Y Tabaco (G4719); Expendio A La Mesa De Comidas Preparadas (I5611); Expendio De Comidas Preparadas En Cafeterías (I5613)</t>
  </si>
  <si>
    <t>Cl 66 No. 20 26</t>
  </si>
  <si>
    <t>admon.lamanopeluda@gmail.com</t>
  </si>
  <si>
    <t>Ana Maria Ramos Delgado (Representante Legal)</t>
  </si>
  <si>
    <t>Comercializadora Industrial Ger S.A.S.</t>
  </si>
  <si>
    <t>Demás Tipos de Alojamiento para Viajeros(721199); Restaurantes y Otros Lugares para Comer(72251); Agencias de Viaje(56151); Comerciantes de Materiales y Suministros para la Construcción(4441)</t>
  </si>
  <si>
    <t>Comercio Al Por Menor De Artículos De Ferretería, Pinturas Y Productos De Vidrio En Establecimientos Especializados (G4752); Otros Tipos De Alojamientos Para Visitantes (I5519); Expendio Por Autoservicio De Comidas Preparadas (I5612); Actividades De Las Agencias De Viaje (N7911)</t>
  </si>
  <si>
    <t>Calle 19 Sur # 40 B - 70</t>
  </si>
  <si>
    <t>coinger.sas@gmail.com</t>
  </si>
  <si>
    <t>Gonzalo Escobar Rincon (Representante Legal)</t>
  </si>
  <si>
    <t>Comercializadora Hhr Sas</t>
  </si>
  <si>
    <t>Avenida Carrera 89 1</t>
  </si>
  <si>
    <t>fabiomorales50@yahoo.com</t>
  </si>
  <si>
    <t>Jorge Leonardo Herran Cadena (Representante Legal)</t>
  </si>
  <si>
    <t>Comercializadora Hennessy S.A.S</t>
  </si>
  <si>
    <t>Cra 52 # 44 A - 35</t>
  </si>
  <si>
    <t>comercializadorahennessy@gmail.com</t>
  </si>
  <si>
    <t>Ciro Alfonso Merchan Rodriguez (Representante Legal)</t>
  </si>
  <si>
    <t>Comercializadora Gas De La Sabana Sas E.S.P</t>
  </si>
  <si>
    <t>Cl 159A # 21A 43</t>
  </si>
  <si>
    <t>comercializadoragasdelasabana@gmail.com</t>
  </si>
  <si>
    <t>Luis Fernando Moreno Briceño (Representante Legal)</t>
  </si>
  <si>
    <t>Comercializadora Fruits Sucres Sas</t>
  </si>
  <si>
    <t>Cl 86 No. 69 H 35 Ca 64</t>
  </si>
  <si>
    <t>rbena24@gmail.com</t>
  </si>
  <si>
    <t>Nohora Isabel Diaz Velasquez (Representante Legal)</t>
  </si>
  <si>
    <t>Comercializadora Esteban Arevalo S.A.S.</t>
  </si>
  <si>
    <t>Cafeterías y Bares para Bebidas sin Alcohol(722515); Otras Actividades Relacionadas con la Intermediación de Crédito(52239); Tiendas de Mercancía General, incluyendo Grandes Almacenes(45231); Arrendadores de Bienes Inmuebles(5311)</t>
  </si>
  <si>
    <t>Comercio Al Por Menor En Establecimientos No Especializados, Con Surtido Compuesto Principalmente Por Productos Diferentes De Alimentos (Víveres En General), Bebidas Y Tabaco (G4719); Expendio De Comidas Preparadas En Cafeterías (I5613); Actividades De Los Profesionales De Compra Y Venta De Divisas (K6615); Actividades Inmobiliarias Realizadas Con Bienes Propios O Arrendados (L6810)</t>
  </si>
  <si>
    <t>Kr 21 No.127D - 63 Apt 501 To A</t>
  </si>
  <si>
    <t>estebanarevalor@hotmail.com</t>
  </si>
  <si>
    <t>Esteban Francisco Arevalo Rodriguez (Representante Legal)</t>
  </si>
  <si>
    <t>Comercializadora El Shaddai Sas</t>
  </si>
  <si>
    <t>Bares y Otros Lugares para Beber(7224); Servicios Especiales de Comida(7223); Supermercados(4451); Fabricación de Prendas de Vestir(3151)</t>
  </si>
  <si>
    <t>Confección De Prendas De Vestir, Excepto Prendas De Piel (C1410); Comercio Al Por Menor En Establecimientos No Especializados Con Surtido Compuesto Principalmente Por Alimentos, Bebidas O Tabaco (G4711); Expendio A La Mesa De Comidas Preparadas (I5611); Expendio De Bebidas Alcohólicas Para El Consumo Dentro Del Establecimiento (I5630)</t>
  </si>
  <si>
    <t>Cl 71 F Sur No. 80 74</t>
  </si>
  <si>
    <t>bernalladymirllan@gmail.com</t>
  </si>
  <si>
    <t>Leydy Mirllan Bernal Murcia (Representante Legal)</t>
  </si>
  <si>
    <t>Comercializadora Edimburgo S.A.S</t>
  </si>
  <si>
    <t>Cr 15 No. 95 48 L 2</t>
  </si>
  <si>
    <t>edwinburgosala@hotmail.com</t>
  </si>
  <si>
    <t>Kerry Jhondafferson Quintero Cabrera (Representante Legal)</t>
  </si>
  <si>
    <t>Comercializadora E Inversiones La Mundial Sas</t>
  </si>
  <si>
    <t>Calle 12 No 9 - 15</t>
  </si>
  <si>
    <t>juliocyepes@gmail.com</t>
  </si>
  <si>
    <t>Julio Cesar Yepes Rambal (Representante Legal)</t>
  </si>
  <si>
    <t>Comercializadora De Lacteos Rym S A S</t>
  </si>
  <si>
    <t>Cl 18 A No. 68 D 96</t>
  </si>
  <si>
    <t>rymsas2016@hotmail.com</t>
  </si>
  <si>
    <t>Ricardo Mojica Mojica (Representante Legal)</t>
  </si>
  <si>
    <t>Comercializadora De Dulces Edancon Ltda</t>
  </si>
  <si>
    <t>Cr 54 No. 43 47 Sur</t>
  </si>
  <si>
    <t>contreritas66@hotmail.com</t>
  </si>
  <si>
    <t>Edgar Contreras Manosalva (Representante Legal)</t>
  </si>
  <si>
    <t>Comercializadora De Alimentos Terranova S.A.S</t>
  </si>
  <si>
    <t>Carrera 68 C Sur 8 05</t>
  </si>
  <si>
    <t>pasteleria.cafeterranova@gmail.com</t>
  </si>
  <si>
    <t>Campo E Mora Gonzalez (Representante Legal)</t>
  </si>
  <si>
    <t>Comercializadora De Alimentos Jg Sas</t>
  </si>
  <si>
    <t>Cr 59 No 152 49</t>
  </si>
  <si>
    <t>comeralimentosjg@hotmail.com</t>
  </si>
  <si>
    <t>Juan Bladimir Garcia Galvis (Representante Legal)</t>
  </si>
  <si>
    <t>Comercializadora De Alimentos D Y N Sas</t>
  </si>
  <si>
    <t>Cl 31 B Sur No 20 - 16</t>
  </si>
  <si>
    <t>camiccamacho965@hotmail.com</t>
  </si>
  <si>
    <t>Cristian Camilo Castro Camacho (Representante Legal)</t>
  </si>
  <si>
    <t>Comercializadora Dallas Club Sas</t>
  </si>
  <si>
    <t>Ak 14 No. 70 47</t>
  </si>
  <si>
    <t>NEVADO2526@GMAIL.COM</t>
  </si>
  <si>
    <t>Javier Leonardo Aponte Ariza (Representante Legal)</t>
  </si>
  <si>
    <t>Comercializadora Copydist Multiservicios E U</t>
  </si>
  <si>
    <t>Tiendas de Libros y Periódicos(45121); Comercio de Artículos Electrónicos y Electrodomésticos(44314); Bares y Otros Lugares para Beber(7224); Comerciantes al por Mayor de Madera y Otros Materiales de Construcción(4233)</t>
  </si>
  <si>
    <t>Comercio Al Por Mayor De Materiales De Construcción, Artículos De Ferretería, Pinturas, Productos De Vidrio, Equipo Y Materiales De Fontanería Y Calefacción (G4663); Comercio Al Por Menor De Computadores, Equipos Periféricos, Programas De Informática Y Equipos De Telecomunicaciones En Establecimientos Especializados (G4741); Comercio Al Por Menor De Libros, Periódicos, Materiales Y Artículos De Papelería Y Escritorio, En Establecimientos Especializados (G4761); Expendio De Bebidas Alcohólicas Para El Consumo Dentro Del Establecimiento (I5630)</t>
  </si>
  <si>
    <t>Cl 24 Sur No. 12 D - 28</t>
  </si>
  <si>
    <t>multicopydist@hotmail.com</t>
  </si>
  <si>
    <t>Jorge Alberto Pulgarin Murcia (Representante Legal)</t>
  </si>
  <si>
    <t>Comercializadora Cafeteros Sas</t>
  </si>
  <si>
    <t>Auto Norte No. 232 35</t>
  </si>
  <si>
    <t>servicontor@gmail.com</t>
  </si>
  <si>
    <t>William Castro Cuartas (Representante Legal)</t>
  </si>
  <si>
    <t>Comercializadora Cafe Tostion Sas</t>
  </si>
  <si>
    <t>Carrera 13A 101 61</t>
  </si>
  <si>
    <t>info@cafetostion.com</t>
  </si>
  <si>
    <t>Victor Mauricio Shattah Monroy (Representante Legal)</t>
  </si>
  <si>
    <t>Comercializadora Boiteia Y Lois Sas</t>
  </si>
  <si>
    <t>Cr 17 No. 164 31</t>
  </si>
  <si>
    <t>contabilidad2@woodys.com.co</t>
  </si>
  <si>
    <t>Luz Florez De Castillo (Representante Legal)</t>
  </si>
  <si>
    <t>Comercializadora Baruk Sas</t>
  </si>
  <si>
    <t>Dg 77 B 116 B 42</t>
  </si>
  <si>
    <t>comercializadorabaruchsas@gmail.com</t>
  </si>
  <si>
    <t>Oscar Javier Camargo Magin (Representante Legal)</t>
  </si>
  <si>
    <t>Comercializadora Barbo S.A.S</t>
  </si>
  <si>
    <t>Cafeterías y Bares para Bebidas sin Alcohol(722515); Fabricación de Pasta Seca, Masa y Harinas Preparadas de Harina Comprada(311824); Otras Tiendas de Comidas Artesanales(44529)</t>
  </si>
  <si>
    <t>Elaboración De Productos De Panadería (C1081); Elaboración De Macarrones, Fideos, Alcuzcuz Y Productos Farináceos Similares (C1083); Comercio Al Por Menor De Otros Productos Alimenticios N.C.P., En Establecimientos Especializados (G4729); Expendio De Comidas Preparadas En Cafeterías (I5613)</t>
  </si>
  <si>
    <t>Carrera 78 C # 72 B 10 Sur</t>
  </si>
  <si>
    <t>sasbarbosas@gmail.com</t>
  </si>
  <si>
    <t>Blanca Lucia Barbosa Molina (Representante Legal)</t>
  </si>
  <si>
    <t>Comercializadora Are S.A.S.</t>
  </si>
  <si>
    <t>Otras Tiendas de Comidas Artesanales(44529); Bares y Otros Lugares para Beber(7224); Arrendadores de Bienes Inmuebles(5311); Comerciantes al por Mayor de Comestibles y Productos Relacionados(4244)</t>
  </si>
  <si>
    <t>Comercio Al Por Mayor De Productos Alimenticios (G4631); Comercio Al Por Menor De Otros Productos Alimenticios N.C.P., En Establecimientos Especializados (G4729); Expendio De Bebidas Alcohólicas Para El Consumo Dentro Del Establecimiento (I5630); Actividades Inmobiliarias Realizadas Con Bienes Propios O Arrendados (L6810)</t>
  </si>
  <si>
    <t>Cl 159 A No. 7 D - 18</t>
  </si>
  <si>
    <t>arecomercializadora12@gmail.com</t>
  </si>
  <si>
    <t>Adriana Restrepo Estupiñan (Representante Legal)</t>
  </si>
  <si>
    <t>Comercializadora All Import S.A.S</t>
  </si>
  <si>
    <t>Servicios de Ingeniería(54133); Tiendas de Mercancía General, incluyendo Grandes Almacenes(45231); Bares y Otros Lugares para Beber(7224); Fabricación de Prendas de Vestir(3151)</t>
  </si>
  <si>
    <t>Confección De Prendas De Vestir, Excepto Prendas De Piel (C1410); Comercio Al Por Menor En Establecimientos No Especializados, Con Surtido Compuesto Principalmente Por Productos Diferentes De Alimentos (Víveres En General), Bebidas Y Tabaco (G4719); Expendio De Bebidas Alcohólicas Para El Consumo Dentro Del Establecimiento (I5630); Actividades De Ingeniería Y Otras Actividades Conexas De Consultoría Técnica (M7112)</t>
  </si>
  <si>
    <t>Cr 2 No. 49 13</t>
  </si>
  <si>
    <t>comercializadoraall@gmail.com</t>
  </si>
  <si>
    <t>Brigitte Lorena Gomez Ramirez (Representante Legal)</t>
  </si>
  <si>
    <t>Comercializadora A.R.D. Sas</t>
  </si>
  <si>
    <t>Fabricación de Pinturas y Recubrimientos(32551); Bares y Otros Lugares para Beber(7224); Cervecerías, Vinaterías y Tiendas de Licores(4453); Comerciantes al por Mayor de Madera y Otros Materiales de Construcción(4233)</t>
  </si>
  <si>
    <t>Fabricación De Pinturas, Barnices Y Revestimientos Similares, Tintas Para Impresión Y Masillas (C2022); Comercio Al Por Mayor De Materiales De Construcción, Artículos De Ferretería, Pinturas, Productos De Vidrio, Equipo Y Materiales De Fontanería Y Calefacción (G4663); Comercio Al Por Menor De Bebidas Y Productos Del Tabaco, En Establecimientos Especializados (G4724); Expendio De Bebidas Alcohólicas Para El Consumo Dentro Del Establecimiento (I5630)</t>
  </si>
  <si>
    <t>Cra 10 A No. 138 - 50 Apto. 308</t>
  </si>
  <si>
    <t>comercializadoraardsas@gmail.com</t>
  </si>
  <si>
    <t>Juan Alejandro Roa Silva (Representante Legal)</t>
  </si>
  <si>
    <t>Comercialización Logística Y Servicios 33 Sas</t>
  </si>
  <si>
    <t>Dirección de Empresas(55111); Bares y Otros Lugares para Beber(7224); Servicios Especiales de Comida(7223); Comerciantes al por Mayor de Prendas de Vestir, Bienes que se Venden por Yarda y Accesorios(4243)</t>
  </si>
  <si>
    <t>Comercio Al Por Mayor De Prendas De Vestir (G4642); Expendio A La Mesa De Comidas Preparadas (I5611); Expendio De Bebidas Alcohólicas Para El Consumo Dentro Del Establecimiento (I5630); Actividades De Consultaría De Gestión (M7020)</t>
  </si>
  <si>
    <t>Cr 53C No. 134 70 Int 5 Apt 104</t>
  </si>
  <si>
    <t>comserlog33sas@gmail.com</t>
  </si>
  <si>
    <t>Martha Yaneth Bejarano Diaz (Representante Legal)</t>
  </si>
  <si>
    <t>Comerciales Rb Catering Sas En Liquidacion</t>
  </si>
  <si>
    <t>Cr 69 H No. 65 93 P</t>
  </si>
  <si>
    <t>ascebe@yahoo.com</t>
  </si>
  <si>
    <t>Nelson Jesus Rocha Soto (Representante Legal)</t>
  </si>
  <si>
    <t>Comercial Uganda S.A.S.</t>
  </si>
  <si>
    <t>Dg 136 No. 18B - 28</t>
  </si>
  <si>
    <t>Comercial Altamira Sas</t>
  </si>
  <si>
    <t>Kra 13 116 04</t>
  </si>
  <si>
    <t>altamirasas54@gmail.com</t>
  </si>
  <si>
    <t>Honorio Saenz Chaves (Representante Legal)</t>
  </si>
  <si>
    <t>Comelones Express Oficial Sas</t>
  </si>
  <si>
    <t>Fabricación de Carrocerías y Remolques de Vehículos Motorizados(33621); Bares y Otros Lugares para Beber(7224); Cervecerías, Vinaterías y Tiendas de Licores(4453); Comerciantes al por Mayor de Comestibles y Productos Relacionados(4244)</t>
  </si>
  <si>
    <t>Fabricación De Carrocerías Para Vehículos Automotores; Fabricación De Remolques Y Semirremolques (C2920); Comercio Al Por Mayor De Productos Alimenticios (G4631); Comercio Al Por Menor De Bebidas Y Productos Del Tabaco, En Establecimientos Especializados (G4724); Expendio De Bebidas Alcohólicas Para El Consumo Dentro Del Establecimiento (I5630)</t>
  </si>
  <si>
    <t>Calle 53 73A - 19</t>
  </si>
  <si>
    <t>gerencia@comelones.co</t>
  </si>
  <si>
    <t>Wilson Augusto Segura Vasquez (Representante Legal)</t>
  </si>
  <si>
    <t>Combos Del Establo Jmv Sas</t>
  </si>
  <si>
    <t>Cl 9 No 37 A - 62</t>
  </si>
  <si>
    <t>jm67.vasquez@gmail.com</t>
  </si>
  <si>
    <t>Mateo Vasquez Escobar (Representante Legal)</t>
  </si>
  <si>
    <t>Combeer Pub S.A.S</t>
  </si>
  <si>
    <t>Carrera 14 77 30</t>
  </si>
  <si>
    <t>biclabeer@gmail.com</t>
  </si>
  <si>
    <t>Cesar David Piedrahita Alfonso (Representante Legal)</t>
  </si>
  <si>
    <t>Colonial Pub Sas</t>
  </si>
  <si>
    <t>Comerciantes al por Mayor de Tabaco y Productos de Tabaco(42494); Bares y Otros Lugares para Beber(7224); Servicios Especiales de Comida(7223); Supermercados(4451); Comerciantes al por Mayor de Cerveza, Vino y Bebidas Alcohólicas(4248)</t>
  </si>
  <si>
    <t>Comercio Al Por Mayor De Bebidas Y Tabaco (G4632); Comercio Al Por Menor En Establecimientos No Especializados Con Surtido Compuesto Principalmente Por Alimentos, Bebidas O Tabaco (G4711); Expendio A La Mesa De Comidas Preparadas (I5611); Expendio De Bebidas Alcohólicas Para El Consumo Dentro Del Establecimiento (I5630)</t>
  </si>
  <si>
    <t>Cl 41 8 61</t>
  </si>
  <si>
    <t>colonial.bebidasartesanales@gmail.com</t>
  </si>
  <si>
    <t>Fernando Ortiz Ariza (Representante Legal)</t>
  </si>
  <si>
    <t>Colombiemos S.A.S.</t>
  </si>
  <si>
    <t>Cl 78 No. 10 31 Ca 4</t>
  </si>
  <si>
    <t>lizarazuabogados@gmail.com</t>
  </si>
  <si>
    <t>Rafael Enrique Lizarazu Montoya (Representante Legal)</t>
  </si>
  <si>
    <t>Colombian Republic Sas</t>
  </si>
  <si>
    <t>Calle 118 # 5 - 23</t>
  </si>
  <si>
    <t>avor06@hotmail.com</t>
  </si>
  <si>
    <t>Alberto Vanoy Orjuela (Representante Legal)</t>
  </si>
  <si>
    <t>Colombian Pizza 1 Sas</t>
  </si>
  <si>
    <t>Cl 9 D No. 69 B 79</t>
  </si>
  <si>
    <t>colombianpizza2023@gmail.com</t>
  </si>
  <si>
    <t>Neffer Arturo Nossa Camargo (Representante Legal)</t>
  </si>
  <si>
    <t>Colombian Meatballs - Turks Sas</t>
  </si>
  <si>
    <t>Cr 11 No. 63 A 68</t>
  </si>
  <si>
    <t>ramiro_castro@hotmail.com</t>
  </si>
  <si>
    <t>Ramiro Castro Rangel (Representante Legal)</t>
  </si>
  <si>
    <t>Colombian Food Investments S.A.S</t>
  </si>
  <si>
    <t>Calle 36 Sur 72 J 91</t>
  </si>
  <si>
    <t>cofoinsas@gmail.com</t>
  </si>
  <si>
    <t>Angel Leonardo Parrado Rodriguez (Representante Legal)</t>
  </si>
  <si>
    <t>Colombian Croqueta Company S.A.S</t>
  </si>
  <si>
    <t>Cl 156 A No. 8 B 22</t>
  </si>
  <si>
    <t>sgdarias@hotmail.com</t>
  </si>
  <si>
    <t>Sergio Gallardo Darias (Representante Legal)</t>
  </si>
  <si>
    <t>Colombia Xtrema S A S</t>
  </si>
  <si>
    <t>Agencias de Publicidad(54181); Impresión(32311); Bares y Otros Lugares para Beber(7224); Servicios Especiales de Comida(7223)</t>
  </si>
  <si>
    <t>Actividades De Impresión (C1811); Expendio A La Mesa De Comidas Preparadas (I5611); Expendio De Bebidas Alcohólicas Para El Consumo Dentro Del Establecimiento (I5630); Publicidad (M7310)</t>
  </si>
  <si>
    <t>Cl 19 No. 4 - 74 Of 1804</t>
  </si>
  <si>
    <t>william.amezquita@hotmail.com</t>
  </si>
  <si>
    <t>William Francisco Amezquita Bolivar (Representante Legal)</t>
  </si>
  <si>
    <t>Colombia Fighters Club Sas</t>
  </si>
  <si>
    <t>Demás Tipos de Industrias de Diversión y Recreativas(71399); Otras Compañías de Artes Escénicas(71119); Bares y Otros Lugares para Beber(7224); Industrias de Juego(7132)</t>
  </si>
  <si>
    <t>Expendio De Bebidas Alcohólicas Para El Consumo Dentro Del Establecimiento (I5630); Otras Actividades De Espectáculos En Vivo N.C.P. (R9008); Actividades De Juegos De Azar Y Apuestas (R9200); Gestión De Instalaciones Deportivas (R9311)</t>
  </si>
  <si>
    <t>Cra 72 B 7C 54</t>
  </si>
  <si>
    <t>edinsonbonilla@hotmail.com</t>
  </si>
  <si>
    <t>Edinson Bonilla Jimenez (Representante Legal)</t>
  </si>
  <si>
    <t>Collage Lab. S.A.S</t>
  </si>
  <si>
    <t>Cafeterías y Bares para Bebidas sin Alcohol(722515); Otras Compañías de Artes Escénicas(71119); Grupos Musicales y Artistas(71113); Servicios Especiales de Comida(7223)</t>
  </si>
  <si>
    <t>Expendio A La Mesa De Comidas Preparadas (I5611); Expendio De Comidas Preparadas En Cafeterías (I5613); Artes Plásticas Y Visuales (R9005); Actividades De Espectáculos Musicales En Vivo (R9007)</t>
  </si>
  <si>
    <t>Cl 41 No 22 - 32</t>
  </si>
  <si>
    <t>collage.bistro@gmail.com</t>
  </si>
  <si>
    <t>Hernandez Caceres Liliana Marcela (Representante Legal)</t>
  </si>
  <si>
    <t>Colfritas Sas</t>
  </si>
  <si>
    <t>Cl 134 D No. 45 A 65 Lc 1</t>
  </si>
  <si>
    <t>info@fritas.co</t>
  </si>
  <si>
    <t>Nicolas Steven Romero Reyes (Representante Legal)</t>
  </si>
  <si>
    <t>Colbot Soluciones S A S En Liquidacion</t>
  </si>
  <si>
    <t>Catering Para Eventos (I5621); Expendio De Bebidas Alcohólicas Para El Consumo Dentro Del Establecimiento (I5630); Organización De Convenciones Y Eventos Comerciales (N8230)</t>
  </si>
  <si>
    <t>Carrera 27 # 53 - 59</t>
  </si>
  <si>
    <t>felipemorenocontador@gmail.com</t>
  </si>
  <si>
    <t>Laura Tatiana Umaña Rueda (Representante Legal)</t>
  </si>
  <si>
    <t>Coga Burguer Sas</t>
  </si>
  <si>
    <t>Cl 24 A No. 56 35 Bl 1 Ap 901</t>
  </si>
  <si>
    <t>RECEPCIONCOGA@OUTLOOK.COM</t>
  </si>
  <si>
    <t>Bryan Alexander Corso Valderrama (Representante Legal)</t>
  </si>
  <si>
    <t>Coffelia S.A.S</t>
  </si>
  <si>
    <t>Comercio Al Por Menor De Otros Productos Alimenticios N.C.P., En Establecimientos Especializados (G4729); Expendio A La Mesa De Comidas Preparadas (I5611); Expendio De Comidas Preparadas En Cafeterías (I5613); Catering Para Eventos (I5621)</t>
  </si>
  <si>
    <t>Carrera 24 45 A 42</t>
  </si>
  <si>
    <t>djmayorquinb@gmail.com</t>
  </si>
  <si>
    <t>Deivy Johnatan Mayorquin Bejarano (Representante Legal)</t>
  </si>
  <si>
    <t>Coffeestylers Inversiones S.A.S</t>
  </si>
  <si>
    <t>Cafeterías y Bares para Bebidas sin Alcohol(722515); Bares y Otros Lugares para Beber(7224); Comerciantes al por Mayor de Productos Agrícolas de Materias Primas(4245)</t>
  </si>
  <si>
    <t>Comercio Al Por Mayor A Cambio De Una Retribución O Por Contrata (G4610); Comercio Al Por Mayor De Materias Primas Agropecuarias; Animales Vivos (G4620); Expendio De Comidas Preparadas En Cafeterías (I5613); Expendio De Bebidas Alcohólicas Para El Consumo Dentro Del Establecimiento (I5630)</t>
  </si>
  <si>
    <t>Cl 57 No. 19 35</t>
  </si>
  <si>
    <t>coffeestylers@gmail.com</t>
  </si>
  <si>
    <t>Duvan Felipe Ramirez Moreno (Representante Legal)</t>
  </si>
  <si>
    <t>Coffeel S.A.S</t>
  </si>
  <si>
    <t>Cl 106 A No. 20 07 O</t>
  </si>
  <si>
    <t>camilocotesj@outlook.com</t>
  </si>
  <si>
    <t>Camilo Alberto Cotes Jimenez (Representante Legal)</t>
  </si>
  <si>
    <t>Coffee Racer Colombia Sas</t>
  </si>
  <si>
    <t>Cafeterías y Bares para Bebidas sin Alcohol(722515); Fabricación de Café y Té(31192); Reparación y Mantenimiento de Vehículos(8111)</t>
  </si>
  <si>
    <t>Descafeinado, Tostión Y Molienda Del Café (C1062); Otros Derivados Del Café (C1063); Mantenimiento Y Reparación De Motocicletas Y De Sus Partes Y Piezas (G4542); Expendio De Comidas Preparadas En Cafeterías (I5613)</t>
  </si>
  <si>
    <t>Cr 8 No. 11 39 Of 307</t>
  </si>
  <si>
    <t>coffeeracercolombia@gmail.com</t>
  </si>
  <si>
    <t>Ana Maria Herran Gil (Representante Legal)</t>
  </si>
  <si>
    <t>Coffee Mountain Sas</t>
  </si>
  <si>
    <t>Cr 71 A No. 52 14</t>
  </si>
  <si>
    <t>GERENCIATHEGOLDVEINCOFFEE@GMAIL.COM</t>
  </si>
  <si>
    <t>Sara Maria Barrera Hurtado (Representante Legal)</t>
  </si>
  <si>
    <t>Coffee Fest S.A.S</t>
  </si>
  <si>
    <t>Cafeterías y Bares para Bebidas sin Alcohol(722515); Oficinas de Convenciones y Visitantes(561591); Otros Servicios de Apoyo de Negocios(56149); Tiendas de Venta Directa(4543)</t>
  </si>
  <si>
    <t>Otros Tipos De Comercio Al Por Menor No Realizado En Establecimientos, Puestos De Venta O Mercados. (G4799); Expendio De Comidas Preparadas En Cafeterías (I5613); Organización De Convenciones Y Eventos Comerciales (N8230); Otras Actividades De Servicio De Apoyo A Las Empresas N.C.P. (N8299)</t>
  </si>
  <si>
    <t>Cr 28 No. 68 87</t>
  </si>
  <si>
    <t>facturacion@lltostadores.com</t>
  </si>
  <si>
    <t>Gloria Lucia Londoño Jaramillo (Representante Legal)</t>
  </si>
  <si>
    <t>Coffee De La 11 Sas</t>
  </si>
  <si>
    <t>Calle 11 16 74</t>
  </si>
  <si>
    <t>coffedela11@yahoo.com</t>
  </si>
  <si>
    <t>David Cardona Lopéz (Representante Legal)</t>
  </si>
  <si>
    <t>Coffee Beans Sas</t>
  </si>
  <si>
    <t>Cafeterías y Bares para Bebidas sin Alcohol(722515); Fabricación de Prendas de Vestir(3151)</t>
  </si>
  <si>
    <t>Confección De Prendas De Vestir, Excepto Prendas De Piel (C1410); Expendio De Comidas Preparadas En Cafeterías (I5613)</t>
  </si>
  <si>
    <t>Cl 62 Bis No. 68 A 32</t>
  </si>
  <si>
    <t>sanmigama0508@gmail.com</t>
  </si>
  <si>
    <t>Sandra Milena Garcia Marin (Representante Legal)</t>
  </si>
  <si>
    <t>Coffee &amp; Com S.A.S</t>
  </si>
  <si>
    <t>Cr 68 No. 75 A 50 Lc 229 A</t>
  </si>
  <si>
    <t>daniloduarte42@gmail.com</t>
  </si>
  <si>
    <t>Yadir Danilo Duarte Guerrero (Representante Legal)</t>
  </si>
  <si>
    <t>Coffe Choice Catering S A S</t>
  </si>
  <si>
    <t>Calle 79 # 69K - 40</t>
  </si>
  <si>
    <t>nhoa0704@gmail.com</t>
  </si>
  <si>
    <t>Carlos Javier Diaz Peñaranda (Representante Legal)</t>
  </si>
  <si>
    <t>Cocodrilo Sas</t>
  </si>
  <si>
    <t>Carrera 8 59 11</t>
  </si>
  <si>
    <t>bar759bar@yahoo.com</t>
  </si>
  <si>
    <t>Jaime Andres Castiblanco Gaitan (Representante Legal)</t>
  </si>
  <si>
    <t>Cocination Sas</t>
  </si>
  <si>
    <t>Cra 7 # 70 - 24</t>
  </si>
  <si>
    <t>lsalazar@buhodorado.com</t>
  </si>
  <si>
    <t>Lorenzo Salazar De Zubiria (Representante Legal)</t>
  </si>
  <si>
    <t>Cocina Studio Sas</t>
  </si>
  <si>
    <t>Restaurantes y Otros Lugares para Comer(72251); Otras Compañías de Artes Escénicas(71119); Otras Escuelas e Instituciones Instructivas(6116)</t>
  </si>
  <si>
    <t>Expendio Por Autoservicio De Comidas Preparadas (I5612); Otros Tipos De Educación N.C.P. (P8559); Creación Audiovisual (R9004); Otras Actividades De Espectáculos En Vivo N.C.P. (R9008)</t>
  </si>
  <si>
    <t>Cl 86 No. 8 05 Ap 902 Bogota</t>
  </si>
  <si>
    <t>federicagaleani@gmail.com</t>
  </si>
  <si>
    <t>Federica Galeani (Representante Legal)</t>
  </si>
  <si>
    <t>Cocina Botánica Sas</t>
  </si>
  <si>
    <t>Fabricación de Alimentos Preparados Perecederos(311991); Escuelas de Bellas Artes(61161); Bares y Otros Lugares para Beber(7224); Servicios Especiales de Comida(7223)</t>
  </si>
  <si>
    <t>Elaboración De Comidas Y Platos Preparados (C1084); Expendio A La Mesa De Comidas Preparadas (I5611); Expendio De Bebidas Alcohólicas Para El Consumo Dentro Del Establecimiento (I5630); Enseñanza Cultural (P8553)</t>
  </si>
  <si>
    <t>Cl 57 # 5 - 17</t>
  </si>
  <si>
    <t>cocinabotanica2021@gmail.com</t>
  </si>
  <si>
    <t>Juan Jose Rincon Escobar (Representante Legal)</t>
  </si>
  <si>
    <t>Coccinar Sas</t>
  </si>
  <si>
    <t>Cr 80 No. 40 B 36 Sur</t>
  </si>
  <si>
    <t>carbu.contabilidad@gmail.com</t>
  </si>
  <si>
    <t>Jorge Enrique Herrera Duarte (Representante Legal)</t>
  </si>
  <si>
    <t>Club Social Y Deportivo Lombardia Sas</t>
  </si>
  <si>
    <t>Comercio Al Por Menor En Establecimientos No Especializados Con Surtido Compuesto Principalmente Por Alimentos, Bebidas O Tabaco (G4711); Expendio De Bebidas Alcohólicas Para El Consumo Dentro Del Establecimiento (I5630); Actividades De Clubes Deportivos (R9312); Otras Actividades Recreativas Y De Esparcimiento N.C.P. (R9329)</t>
  </si>
  <si>
    <t>Cr 109 No. 143 08</t>
  </si>
  <si>
    <t>nlmarroquinib@gmail.com</t>
  </si>
  <si>
    <t>Marroquin Ibañez Nancy Liliana (Representante Legal)</t>
  </si>
  <si>
    <t>Club Social Y Deportivo Cancha Ya Sas</t>
  </si>
  <si>
    <t>Expendio De Comidas Preparadas En Cafeterías (I5613); Expendio De Bebidas Alcohólicas Para El Consumo Dentro Del Establecimiento (I5630); Gestión De Instalaciones Deportivas (R9311); Actividades De Clubes Deportivos (R9312)</t>
  </si>
  <si>
    <t>Cl 71 No. 74 A 40</t>
  </si>
  <si>
    <t>futbolcanchaya@gmail.com</t>
  </si>
  <si>
    <t>Fabian Cachaya Caicedo (Representante Legal)</t>
  </si>
  <si>
    <t>Club Social La Milagrosa Sas</t>
  </si>
  <si>
    <t>Otros Tipos De Expendio De Comidas Preparadas N.C.P. (I5619); Catering Para Eventos (I5621); Expendio De Bebidas Alcohólicas Para El Consumo Dentro Del Establecimiento (I5630)</t>
  </si>
  <si>
    <t>Cl 8 No. 78 35</t>
  </si>
  <si>
    <t>clubsociallamilagrosa@gmail.com</t>
  </si>
  <si>
    <t>Diaz Garcia Kelly Geraldine (Representante Legal)</t>
  </si>
  <si>
    <t>Club Social Fiebre Sex Sas</t>
  </si>
  <si>
    <t>Demás Tipos de Alojamiento para Viajeros(721199); Otros Servicios Personales(8129); Bares y Otros Lugares para Beber(7224); Servicios Especiales de Comida(7223)</t>
  </si>
  <si>
    <t>Servicio Por Horas (I5530); Expendio A La Mesa De Comidas Preparadas (I5611); Expendio De Bebidas Alcohólicas Para El Consumo Dentro Del Establecimiento (I5630); Otras Actividades De Servicios Personales N.C.P. (S9609)</t>
  </si>
  <si>
    <t>Cr 16 A No. 23 52</t>
  </si>
  <si>
    <t>yecidrg99@gmail.com</t>
  </si>
  <si>
    <t>Franco Cortes Carlos Alberto (Representante Legal)</t>
  </si>
  <si>
    <t>Club Privado Equino Y Social Parador Paisa Sas</t>
  </si>
  <si>
    <t>Demás Tipos de Alquiler de Bienes de Consumo(532289); Empresas de Catering(72232); Cría de Caballos y Otro Tipo de Equinos(11292); Bares y Otros Lugares para Beber(7224)</t>
  </si>
  <si>
    <t>Cría De Caballos Y Otros Equinos (A0142); Catering Para Eventos (I5621); Expendio De Bebidas Alcohólicas Para El Consumo Dentro Del Establecimiento (I5630); Alquiler Y Arrendamiento De Otros Efectos Personales Y Enseres Domésticos N.C.P. (N7729)</t>
  </si>
  <si>
    <t>Cr 69 F No. 63 A 76</t>
  </si>
  <si>
    <t>paradorpaisa@gmail.com</t>
  </si>
  <si>
    <t>Sigifredo De Jesus Montoya Lopez (Representante Legal)</t>
  </si>
  <si>
    <t>Club Prestige Sas</t>
  </si>
  <si>
    <t>Demás Tipos de Industrias de Diversión y Recreativas(71399); Bares y Otros Lugares para Beber(7224); Cervecerías, Vinaterías y Tiendas de Licores(4453)</t>
  </si>
  <si>
    <t>Comercio Al Por Menor De Bebidas Y Productos Del Tabaco, En Establecimientos Especializados (G4724); Expendio De Bebidas Alcohólicas Para El Consumo Dentro Del Establecimiento (I5630); Otras Actividades Recreativas Y De Esparcimiento N.C.P. (R9329)</t>
  </si>
  <si>
    <t>Cr 100 No. 17 A 09</t>
  </si>
  <si>
    <t>clubprestige30@gmail.com</t>
  </si>
  <si>
    <t>Jeison Fabian Contreras Molina (Representante Legal)</t>
  </si>
  <si>
    <t>Club Gallistico Los Paisanos Sas</t>
  </si>
  <si>
    <t>Calle 40 Sur # 93B - 15</t>
  </si>
  <si>
    <t>clubgallistico10@gmail.com</t>
  </si>
  <si>
    <t>Carlos Arturo Medina Quiroga (Representante Legal)</t>
  </si>
  <si>
    <t>Club Fenix Sas</t>
  </si>
  <si>
    <t>Expendio De Bebidas Alcohólicas Para El Consumo Dentro Del Establecimiento (I5630); Actividades De Clubes Deportivos (R9312); Otras Actividades Deportivas (R9319); Otras Actividades Recreativas Y De Esparcimiento N.C.P. (R9329)</t>
  </si>
  <si>
    <t>Cra 106A # 71A 84 Piso 3</t>
  </si>
  <si>
    <t>katherin.t.r.n@hotmail.com</t>
  </si>
  <si>
    <t>Katherine Tatiana Ramirez Nuñez (Representante Legal)</t>
  </si>
  <si>
    <t>Club Deportivo Y Recreativo La Revancha Sas</t>
  </si>
  <si>
    <t>Cafeterías y Bares para Bebidas sin Alcohol(722515); Demás Tipos de Industrias de Diversión y Recreativas(71399); Arrendadores de Bienes Inmuebles(5311); Cervecerías, Vinaterías y Tiendas de Licores(4453)</t>
  </si>
  <si>
    <t>Comercio Al Por Menor De Bebidas Y Productos Del Tabaco, En Establecimientos Especializados (G4724); Expendio De Comidas Preparadas En Cafeterías (I5613); Actividades Inmobiliarias Realizadas Con Bienes Propios O Arrendados (L6810); Gestión De Instalaciones Deportivas (R9311)</t>
  </si>
  <si>
    <t>Tv 80 I No 88 B - 05 Sur Bogotá Dc</t>
  </si>
  <si>
    <t>CLUBDEPORTIVOYRECREATIVOLAREVA@GMAIL.COM</t>
  </si>
  <si>
    <t>Luis Javier Rozo Vivas (Representante Legal)</t>
  </si>
  <si>
    <t>Club Deportivo Futbol 7 Sas</t>
  </si>
  <si>
    <t>Carrera 50 # 5 G - 20</t>
  </si>
  <si>
    <t>clubdeportivofutbol7@gmail.com</t>
  </si>
  <si>
    <t>Luis Enrique Aponte Cardenas (Representante Legal)</t>
  </si>
  <si>
    <t>Club De Tiro El Instructor Del Siglo Xxi S.A.S</t>
  </si>
  <si>
    <t>Cafeterías y Bares para Bebidas sin Alcohol(722515); Enseñanza de Deporte y Recreación(61162); Tiendas de Artículos Deportivos(45111); Otro Tipo de Industrias de Diversión y Recreación(7139)</t>
  </si>
  <si>
    <t>Comercio Al Por Menor De Artículos Deportivos, En Establecimientos Especializados (G4762); Expendio De Comidas Preparadas En Cafeterías (I5613); Enseñanza Deportiva Y Recreativa (P8552); Actividades De Clubes Deportivos (R9312)</t>
  </si>
  <si>
    <t>Ak 77 G No. 65 A 15 Sur</t>
  </si>
  <si>
    <t>instructordelsigloxxi@gmail.com</t>
  </si>
  <si>
    <t>Javier Buenaños Cordoba (Representante Legal)</t>
  </si>
  <si>
    <t>Club De Juegos La Banda Chachacha E.U</t>
  </si>
  <si>
    <t>Cr 27 No. 10 55 Lc 501</t>
  </si>
  <si>
    <t>pit-317@hotmail.com</t>
  </si>
  <si>
    <t>Linderman Ardila Benavides (Representante Legal)</t>
  </si>
  <si>
    <t>Club De Billares Sala De Juntas Sas</t>
  </si>
  <si>
    <t>Calle 24B No. 25 - 3</t>
  </si>
  <si>
    <t>jeffer.ramirez@gmail.com</t>
  </si>
  <si>
    <t>Club Bolirana Bar La 139 Sas</t>
  </si>
  <si>
    <t>Bares y Otros Lugares para Beber(7224); Industrias de Juego(7132)</t>
  </si>
  <si>
    <t>Expendio De Bebidas Alcohólicas Para El Consumo Dentro Del Establecimiento (I5630); Actividades De Juegos De Azar Y Apuestas (R9200)</t>
  </si>
  <si>
    <t>Cl 139 No. 98 A 10</t>
  </si>
  <si>
    <t>JAVIERBUSTOS82@HOTMAIL.COM</t>
  </si>
  <si>
    <t>Diego Fernando Triviño Escalante (Representante Legal)</t>
  </si>
  <si>
    <t>Club Barber &amp; Beauty S A S</t>
  </si>
  <si>
    <t>Cl 9A No. 22 - 48</t>
  </si>
  <si>
    <t>jcr.barberandbeauty@gmail.com</t>
  </si>
  <si>
    <t>Julian Camilo Gomez Gamez (Representante Legal)</t>
  </si>
  <si>
    <t>Club Alto Calibre Sas</t>
  </si>
  <si>
    <t>Cr 58 15 01</t>
  </si>
  <si>
    <t>clubaltocalibre@gmail.com</t>
  </si>
  <si>
    <t>Katherin Paola Gaitan (Representante Legal)</t>
  </si>
  <si>
    <t>Cleaning Services Nw Sas</t>
  </si>
  <si>
    <t>Cafeterías y Bares para Bebidas sin Alcohol(722515); Servicios de Consejería(56172); Comerciantes al por Mayor de Prendas de Vestir, Bienes que se Venden por Yarda y Accesorios(4243)</t>
  </si>
  <si>
    <t>Comercio Al Por Mayor De Prendas De Vestir (G4642); Expendio De Comidas Preparadas En Cafeterías (I5613); Limpieza General Interior De Edificios (N8121); Otras Actividades De Limpieza De Edificios E Instalaciones Industriales (N8129)</t>
  </si>
  <si>
    <t>Tv 73 A Bis A No. 35 C - 17 Sur</t>
  </si>
  <si>
    <t>gerencia@cleaning-services.com.co</t>
  </si>
  <si>
    <t>Nohemi Buitrago Duarte (Representante Legal)</t>
  </si>
  <si>
    <t>Clack Soluciones Sas</t>
  </si>
  <si>
    <t>Cafeterías y Bares para Bebidas sin Alcohol(722515); Servicios de Cuidado de Uñas, Pelo y Piel(81211); Arrendadores de Bienes Inmuebles(5311)</t>
  </si>
  <si>
    <t>Expendio De Comidas Preparadas En Cafeterías (I5613); Actividades Inmobiliarias Realizadas Con Bienes Propios O Arrendados (L6810); Peluquería Y Otros Tratamientos De Belleza (S9602)</t>
  </si>
  <si>
    <t>Cl 124 # 47 74 Ap 50</t>
  </si>
  <si>
    <t>marceparra_77@hotmail.com</t>
  </si>
  <si>
    <t>Parra Molano Lina Marcela (Representante Legal)</t>
  </si>
  <si>
    <t>Ciudad Cultural Sas</t>
  </si>
  <si>
    <t>Cr 14 87 91</t>
  </si>
  <si>
    <t>aristizabal@mi.com.co</t>
  </si>
  <si>
    <t>Gerardo Aristizabal Peraza (Representante Legal)</t>
  </si>
  <si>
    <t>Citmár Inversiones S.A.S.</t>
  </si>
  <si>
    <t>Cr 1 A No. 77 22</t>
  </si>
  <si>
    <t>gerencia.restaurante.bog@gmail.com</t>
  </si>
  <si>
    <t>Cintia Paola Mosquera Acuña (Representante Legal)</t>
  </si>
  <si>
    <t>Cintli S.A.S.</t>
  </si>
  <si>
    <t>Avenida Carrera 60 24 09 Local 339</t>
  </si>
  <si>
    <t>arx04@hotmail.com</t>
  </si>
  <si>
    <t>Albeiro Ruiz Escobar (Representante Legal)</t>
  </si>
  <si>
    <t>Cines Premier Sas</t>
  </si>
  <si>
    <t>Otras Industrias Cinematográficas y de Video(512199); Bares y Otros Lugares para Beber(7224); Servicios Especiales de Comida(7223); Parques de Atracciones y Centros de Entretenimiento(7131)</t>
  </si>
  <si>
    <t>Otros Tipos De Expendio De Comidas Preparadas N.C.P. (I5619); Expendio De Bebidas Alcohólicas Para El Consumo Dentro Del Establecimiento (I5630); Actividades De Exhibición De Películas Cinematográficas Y Videos (J5914); Actividades De Parques De Atracciones Y Parques Temáticos (R9321)</t>
  </si>
  <si>
    <t>Ak 72 No 12 B - 48</t>
  </si>
  <si>
    <t>notijudiciales@eledencc.com</t>
  </si>
  <si>
    <t>Alejandro Alzate Velasquez (Representante Legal)</t>
  </si>
  <si>
    <t>Cindy Rodriguez Y Asociados Sas</t>
  </si>
  <si>
    <t>Cafeterías y Bares para Bebidas sin Alcohol(722515); Bares y Otros Lugares para Beber(7224); Servicios Especiales de Comida(7223); Supermercados(4451)</t>
  </si>
  <si>
    <t>Comercio Al Por Menor En Establecimientos No Especializados Con Surtido Compuesto Principalmente Por Alimentos, Bebidas O Tabaco (G4711); Expendio De Comidas Preparadas En Cafeterías (I5613); Otros Tipos De Expendio De Comidas Preparadas N.C.P. (I5619); Expendio De Bebidas Alcohólicas Para El Consumo Dentro Del Establecimiento (I5630)</t>
  </si>
  <si>
    <t>Cr 80 D No. 7 B 83 T</t>
  </si>
  <si>
    <t>cindyrodriguez29@gmail.com</t>
  </si>
  <si>
    <t>Cindy Viviana Rodriguez Gamboa (Representante Legal)</t>
  </si>
  <si>
    <t>Cincomasuno S A S</t>
  </si>
  <si>
    <t>Calle 29 No. 6 - 58 Oficina 603</t>
  </si>
  <si>
    <t>libertadorgrandbar@gmail.com</t>
  </si>
  <si>
    <t>Andres Ortiz Samper (Representante Legal)</t>
  </si>
  <si>
    <t>Cinco Caballos Sas</t>
  </si>
  <si>
    <t>Expendio A La Mesa De Comidas Preparadas (I5611); Expendio De Bebidas Alcohólicas Para El Consumo Dentro Del Establecimiento (I5630); Otras Actividades Deportivas (R9319); Otras Actividades Recreativas Y De Esparcimiento N.C.P. (R9329)</t>
  </si>
  <si>
    <t>Cl 70 No. 8 18</t>
  </si>
  <si>
    <t>cincocaballossas@gmail.com</t>
  </si>
  <si>
    <t>Lina Londoño Williamson (Representante Legal)</t>
  </si>
  <si>
    <t>Cigarrerias Don Juaco Sas</t>
  </si>
  <si>
    <t>Comercio Al Por Menor En Establecimientos No Especializados Con Surtido Compuesto Principalmente Por Alimentos, Bebidas O Tabaco (G4711); Expendio Por Autoservicio De Comidas Preparadas (I5612); Expendio De Comidas Preparadas En Cafeterías (I5613); Expendio De Bebidas Alcohólicas Para El Consumo Dentro Del Establecimiento (I5630)</t>
  </si>
  <si>
    <t>Tv 27 Bis No. 43 39</t>
  </si>
  <si>
    <t>orlandomsoler@gmail.com</t>
  </si>
  <si>
    <t>Orlando Miguel Soler Rodriguez (Representante Legal)</t>
  </si>
  <si>
    <t>Cigarreria Y Licorera La Señorial S.A.S</t>
  </si>
  <si>
    <t>Cl 167 No. 54 D 48</t>
  </si>
  <si>
    <t>cigalico1@hotmail.com</t>
  </si>
  <si>
    <t>Ines Patiño Charry (Representante Legal)</t>
  </si>
  <si>
    <t>Cigarreria Y Discoteca Samba Caramba Sas</t>
  </si>
  <si>
    <t>Comerciantes al por Mayor de Tabaco y Productos de Tabaco(42494); Bares y Otros Lugares para Beber(7224); Cervecerías, Vinaterías y Tiendas de Licores(4453); Comerciantes al por Mayor de Cerveza, Vino y Bebidas Alcohólicas(4248)</t>
  </si>
  <si>
    <t>Comercio Al Por Mayor De Bebidas Y Tabaco (G4632); Comercio Al Por Menor De Bebidas Y Productos Del Tabaco, En Establecimientos Especializados (G4724); Expendio De Bebidas Alcohólicas Para El Consumo Dentro Del Establecimiento (I5630)</t>
  </si>
  <si>
    <t>Cra 10 No. 24 - 31 Cont. 2449</t>
  </si>
  <si>
    <t>sambacaramba11807@gmail.com</t>
  </si>
  <si>
    <t>Francisco Jose Renteria Palma (Representante Legal)</t>
  </si>
  <si>
    <t>Cigarreria Beer Cupa S.A.S</t>
  </si>
  <si>
    <t>Tiendas de Mercancía General, incluyendo Grandes Almacenes(45231); Bares y Otros Lugares para Beber(7224); Tiendas de Comidas Artesanales(4452)</t>
  </si>
  <si>
    <t>Comercio Al Por Menor En Establecimientos No Especializados, Con Surtido Compuesto Principalmente Por Productos Diferentes De Alimentos (Víveres En General), Bebidas Y Tabaco (G4719); Comercio Al Por Menor De Leche, Productos Lácteos Y Huevos, En Establecimientos Especializados (G4722); Expendio De Bebidas Alcohólicas Para El Consumo Dentro Del Establecimiento (I5630)</t>
  </si>
  <si>
    <t>Carrera 111 A 135 B 03 A</t>
  </si>
  <si>
    <t>cupbeer22@gmail.com</t>
  </si>
  <si>
    <t>Maria Isabel Velasco Duque (Representante Legal)</t>
  </si>
  <si>
    <t>Cigarreria Bar Maga S A S</t>
  </si>
  <si>
    <t>Tv 93 N 64 57</t>
  </si>
  <si>
    <t>magnolia741@hotmail.com</t>
  </si>
  <si>
    <t>Johan Sebastian Cuellar Bolivar (Representante Legal)</t>
  </si>
  <si>
    <t>Cigarreria Bar Leon Sas</t>
  </si>
  <si>
    <t>Cl 60 No. 56 A - 26 Lc 133</t>
  </si>
  <si>
    <t>leon3213836161@gmail.com</t>
  </si>
  <si>
    <t>Jaiden Ferney Leon Rodriguez (Representante Legal)</t>
  </si>
  <si>
    <t>Cien Fuegos Sas</t>
  </si>
  <si>
    <t>Fabricación de Alimentos Preparados Perecederos(311991); Bares y Otros Lugares para Beber(7224); Cervecerías, Vinaterías y Tiendas de Licores(4453); Comerciantes al por Mayor de Comestibles y Productos Relacionados(4244)</t>
  </si>
  <si>
    <t>Elaboración De Comidas Y Platos Preparados (C1084); Comercio Al Por Mayor De Productos Alimenticios (G4631); Comercio Al Por Menor De Bebidas Y Productos Del Tabaco, En Establecimientos Especializados (G4724); Expendio De Bebidas Alcohólicas Para El Consumo Dentro Del Establecimiento (I5630)</t>
  </si>
  <si>
    <t>Calle 8 Sur No 32D - 24</t>
  </si>
  <si>
    <t>cien.fuegosprincipal@gmail.com</t>
  </si>
  <si>
    <t>Cesar Andres Gonzalez Rincon (Representante Legal)</t>
  </si>
  <si>
    <t>Ciana Sas</t>
  </si>
  <si>
    <t>Cl 8 Sur No. 39 94 Piso 2</t>
  </si>
  <si>
    <t>contabilidad.ciana@gmail.com</t>
  </si>
  <si>
    <t>Cia Casas Zua S.A.S</t>
  </si>
  <si>
    <t>Cl 98 No. 68 C 13</t>
  </si>
  <si>
    <t>cazumon@gmail.com</t>
  </si>
  <si>
    <t>Camilo Ferney Zua Montes (Representante Legal)</t>
  </si>
  <si>
    <t>Ci Bcr Coffee Bogota Sas</t>
  </si>
  <si>
    <t>Cafeterías y Bares para Bebidas sin Alcohol(722515); Comerciantes al por Mayor de Otros Productos No Duraderos Diversos(42499)</t>
  </si>
  <si>
    <t>Comercio Al Por Mayor De Otros Productos N.C.P. (G4669); Expendio De Comidas Preparadas En Cafeterías (I5613)</t>
  </si>
  <si>
    <t>Cl 41 No. 20 24</t>
  </si>
  <si>
    <t>bogotacoffeeroasters@gmail.com</t>
  </si>
  <si>
    <t>Freddy Mauricio Ortegon Cortes (Representante Legal)</t>
  </si>
  <si>
    <t>Chulo Conciertos Sas</t>
  </si>
  <si>
    <t>Cl 24 Sur No. 40 B 94</t>
  </si>
  <si>
    <t>chuloconciertos78@gmail.com</t>
  </si>
  <si>
    <t>Junior Mauricio Brion Utreras (Representante Legal)</t>
  </si>
  <si>
    <t>Chorreo E.U</t>
  </si>
  <si>
    <t>Bares y Otros Lugares para Beber(7224); Panaderías y Producción de Tortillas(3118); Fabricación de Productos Lácteos(3115)</t>
  </si>
  <si>
    <t>Elaboración De Productos Lácteos (C1040); Elaboración De Productos De Panadería (C1081); Expendio De Bebidas Alcohólicas Para El Consumo Dentro Del Establecimiento (I5630)</t>
  </si>
  <si>
    <t>Calle 33 # 6 - 37 Apto 2208</t>
  </si>
  <si>
    <t>jennifer.katherinflorez@gmail.com</t>
  </si>
  <si>
    <t>Jennifer Katherin Peña Florez (Representante Legal)</t>
  </si>
  <si>
    <t>Choices House Of Crepes Sas</t>
  </si>
  <si>
    <t>Cr 7 N. 52 - 06</t>
  </si>
  <si>
    <t>choicescrepes@gmail.com</t>
  </si>
  <si>
    <t>David Andres Moreno Reyes (Representante Legal)</t>
  </si>
  <si>
    <t>Chocoolato's S.A.S</t>
  </si>
  <si>
    <t>Cr 67 A No. 95 - 63</t>
  </si>
  <si>
    <t>DCHOCOLO1@GMAIL.COM</t>
  </si>
  <si>
    <t>Mery Alcira Baquero Hernandez (Representante Legal)</t>
  </si>
  <si>
    <t>Choclas S.A.S</t>
  </si>
  <si>
    <t>Cr 58 No. 128 B 75</t>
  </si>
  <si>
    <t>gerencia@choclas.co</t>
  </si>
  <si>
    <t>Jorge Andres Osorio Quiceno (Representante Legal)</t>
  </si>
  <si>
    <t>Chkn S.A.S.</t>
  </si>
  <si>
    <t>Cr 56 No. 49 A 33 Sur</t>
  </si>
  <si>
    <t>chkn.roastedgourmet@gmail.com</t>
  </si>
  <si>
    <t>Wilson Ricardo Guerrero Cortes (Representante Legal)</t>
  </si>
  <si>
    <t>Chispert S.A.S</t>
  </si>
  <si>
    <t>Cr 53 B No. 45 B 19 Sur</t>
  </si>
  <si>
    <t>chispertsas@gmail.com</t>
  </si>
  <si>
    <t>Juan Carlos Pinzon Estupiñan (Representante Legal)</t>
  </si>
  <si>
    <t>Chilli Art Collective S.A.S</t>
  </si>
  <si>
    <t>Comerciantes al por Mayor de Otros Productos No Duraderos Diversos(42499); Otros Servicios Personales(8129); Bares y Otros Lugares para Beber(7224)</t>
  </si>
  <si>
    <t>Comercio Al Por Mayor De Otros Productos N.C.P. (G4669); Expendio De Bebidas Alcohólicas Para El Consumo Dentro Del Establecimiento (I5630); Otras Actividades De Servicios Personales N.C.P. (S9609)</t>
  </si>
  <si>
    <t>Cl 61 No. 17 16</t>
  </si>
  <si>
    <t>chilliartcollective@gmail.com</t>
  </si>
  <si>
    <t>Eliana Andrea Prieto Beltran (Representante Legal)</t>
  </si>
  <si>
    <t>Chilena Futbol Club Mas Entretenimiento S A S</t>
  </si>
  <si>
    <t>Cr 62 18 A 02</t>
  </si>
  <si>
    <t>ingridgongora@hotmail.es</t>
  </si>
  <si>
    <t>Ingrid Yulieth Gongora Hernandez (Representante Legal)</t>
  </si>
  <si>
    <t>Chile Morita Sas</t>
  </si>
  <si>
    <t>Cl 88 13 A 43</t>
  </si>
  <si>
    <t>elpanteraadmon@gmail.com</t>
  </si>
  <si>
    <t>Gonzalo Marin Narvaez (Representante Legal)</t>
  </si>
  <si>
    <t>Chief Foods S.A.S</t>
  </si>
  <si>
    <t>Cl 79 No. 11 32</t>
  </si>
  <si>
    <t>onihanzokitchen@gmail.com</t>
  </si>
  <si>
    <t>Juan Jose Cortes Sierra (Representante Legal)</t>
  </si>
  <si>
    <t>Chemor Asociados Sas</t>
  </si>
  <si>
    <t>Cl 24 C 80 B 19</t>
  </si>
  <si>
    <t>uhhuuuh01@gmail.com</t>
  </si>
  <si>
    <t>Oscar Augusto Morales Duarte (Representante Legal)</t>
  </si>
  <si>
    <t>Chef Rp Sas</t>
  </si>
  <si>
    <t>Cr 80 A No. 24 36</t>
  </si>
  <si>
    <t>contacto161@gmail.com</t>
  </si>
  <si>
    <t>Henry Candia Cardenas (Representante Legal)</t>
  </si>
  <si>
    <t>Cheesteack Group Sas</t>
  </si>
  <si>
    <t>Carne Procesada de Canales(311612); Bares y Otros Lugares para Beber(7224); Servicios Especiales de Comida(7223); Supermercados(4451)</t>
  </si>
  <si>
    <t>Procesamiento Y Conservación De Carne Y Productos Cárnicos (C1011); Comercio Al Por Menor En Establecimientos No Especializados Con Surtido Compuesto Principalmente Por Alimentos, Bebidas O Tabaco (G4711); Expendio A La Mesa De Comidas Preparadas (I5611); Expendio De Bebidas Alcohólicas Para El Consumo Dentro Del Establecimiento (I5630)</t>
  </si>
  <si>
    <t>Cl 66 No. 11 25</t>
  </si>
  <si>
    <t>info@cheesteack.com</t>
  </si>
  <si>
    <t>Alvaro Ricardo Rendon Rodriguez (Representante Legal)</t>
  </si>
  <si>
    <t>Chaus Café S.A.S</t>
  </si>
  <si>
    <t>Cafeterías y Bares para Bebidas sin Alcohol(722515); Demás Diversas Escuelas y Enseñanza(611699); Otras Tiendas de Comidas Artesanales(44529); Comerciantes al por Mayor de Otros Productos No Duraderos Diversos(42499)</t>
  </si>
  <si>
    <t>Comercio Al Por Mayor De Otros Productos N.C.P. (G4669); Comercio Al Por Menor De Otros Productos Alimenticios N.C.P., En Establecimientos Especializados (G4729); Expendio De Comidas Preparadas En Cafeterías (I5613); Formación Para El Trabajo (P8551)</t>
  </si>
  <si>
    <t>Dg 44 No. 68 B 65 Entrada Norte Oficinas</t>
  </si>
  <si>
    <t>chauscafe20@gmail.com</t>
  </si>
  <si>
    <t>Cristian David Chaus Leyva (Representante Legal)</t>
  </si>
  <si>
    <t>Charcuteria Santa Cecilia Sas</t>
  </si>
  <si>
    <t>Carne Procesada de Canales(311612); Restaurantes y Otros Lugares para Comer(72251); Empresas de Catering(72232); Carnicerías(44521)</t>
  </si>
  <si>
    <t>Procesamiento Y Conservación De Carne Y Productos Cárnicos (C1011); Comercio Al Por Menor De Carnes (Incluye Aves De Corral), Productos Cárnicos, Pescados Y Productos De Mar, En Establecimientos Especializados (G4723); Expendio Por Autoservicio De Comidas Preparadas (I5612); Catering Para Eventos (I5621)</t>
  </si>
  <si>
    <t>Cl 34 Sur No. 50 A 92</t>
  </si>
  <si>
    <t>vanguardiagastronomica@gmail.com</t>
  </si>
  <si>
    <t>Wilson Hernando Valbuena Paez (Representante Legal)</t>
  </si>
  <si>
    <t>Chapilero Sas</t>
  </si>
  <si>
    <t>Comerciantes al por Mayor de Tabaco y Productos de Tabaco(42494); Destilerías(31214); Bares y Otros Lugares para Beber(7224); Servicios Especiales de Comida(7223); Comerciantes al por Mayor de Cerveza, Vino y Bebidas Alcohólicas(4248)</t>
  </si>
  <si>
    <t>Destilación, Rectificación Y Mezcla De Bebidas Alcohólicas (C1101); Comercio Al Por Mayor De Bebidas Y Tabaco (G4632); Expendio A La Mesa De Comidas Preparadas (I5611); Expendio De Bebidas Alcohólicas Para El Consumo Dentro Del Establecimiento (I5630)</t>
  </si>
  <si>
    <t>Cl 54 No. 10 66 Ap 808</t>
  </si>
  <si>
    <t>chapilchapilero@gmail.com</t>
  </si>
  <si>
    <t>Nelson Rafael Palacios Ibarra (Representante Legal)</t>
  </si>
  <si>
    <t>Chao Pescao Sas</t>
  </si>
  <si>
    <t>Cl 85 No 12 43</t>
  </si>
  <si>
    <t>tatospina@gmail.com</t>
  </si>
  <si>
    <t>Jose Luis Ospina Giraldo (Representante Legal)</t>
  </si>
  <si>
    <t>Chantonner S.A.S.</t>
  </si>
  <si>
    <t>Otras Tiendas de Comidas Artesanales(44529); Bares y Otros Lugares para Beber(7224); Arrendadores de Bienes Inmuebles(5311); Supermercados(4451)</t>
  </si>
  <si>
    <t>Comercio Al Por Menor En Establecimientos No Especializados Con Surtido Compuesto Principalmente Por Alimentos, Bebidas O Tabaco (G4711); Comercio Al Por Menor De Otros Productos Alimenticios N.C.P., En Establecimientos Especializados (G4729); Expendio De Bebidas Alcohólicas Para El Consumo Dentro Del Establecimiento (I5630); Actividades Inmobiliarias Realizadas Con Bienes Propios O Arrendados (L6810)</t>
  </si>
  <si>
    <t>Comercio Al Por Menor De Otros Productos Alimenticios Ncp, En Establecimientos Especializados</t>
  </si>
  <si>
    <t>Carrera 5 No. 16 - 01</t>
  </si>
  <si>
    <t>chantonnerltda@gmail.com</t>
  </si>
  <si>
    <t>Martha Yolanda Duarte Alvarado (Representante Legal)</t>
  </si>
  <si>
    <t>6 (2004)</t>
  </si>
  <si>
    <t>Chala Aristizabal Sas</t>
  </si>
  <si>
    <t>Cafeterías y Bares para Bebidas sin Alcohol(722515); Fabricación de Café y Té(31192); Supermercados(4451)</t>
  </si>
  <si>
    <t>Descafeinado, Tostión Y Molienda Del Café (C1062); Comercio Al Por Menor En Establecimientos No Especializados Con Surtido Compuesto Principalmente Por Alimentos, Bebidas O Tabaco (G4711); Expendio De Comidas Preparadas En Cafeterías (I5613)</t>
  </si>
  <si>
    <t>Calle 140 # 7A - 48 Plazoleta Central</t>
  </si>
  <si>
    <t>alvaro.chala@gmail.com</t>
  </si>
  <si>
    <t>Alvaro Hernan Chala Enriquez (Representante Legal)</t>
  </si>
  <si>
    <t>Cgh Hoteles Sas</t>
  </si>
  <si>
    <t>Cr 74 A 47 51</t>
  </si>
  <si>
    <t>cghhotelescontabilidad@gmail.com</t>
  </si>
  <si>
    <t>Carlos Hernando Barrera Baquero (Representante Legal)</t>
  </si>
  <si>
    <t>Cervecería Turmequé Sas</t>
  </si>
  <si>
    <t>Cerveceras(31212); Bares y Otros Lugares para Beber(7224); Supermercados(4451)</t>
  </si>
  <si>
    <t>Producción De Malta, Elaboración De Cervezas Y Otras Bebidas Malteadas (C1103); Comercio Al Por Menor En Establecimientos No Especializados Con Surtido Compuesto Principalmente Por Alimentos, Bebidas O Tabaco (G4711); Expendio De Bebidas Alcohólicas Para El Consumo Dentro Del Establecimiento (I5630)</t>
  </si>
  <si>
    <t>Cl 160 C # 1 A 62</t>
  </si>
  <si>
    <t>cervezaturmeque@gmail.com</t>
  </si>
  <si>
    <t>Rafael Ricardo Rodriguez Martinez (Representante Legal)</t>
  </si>
  <si>
    <t>Cerveceria Salavarrieta Sas</t>
  </si>
  <si>
    <t>Calle 61 5 39</t>
  </si>
  <si>
    <t>alejolopez@alejolopez.com</t>
  </si>
  <si>
    <t>Alejandro Lopez Aguilar (Representante Legal)</t>
  </si>
  <si>
    <t>Cerveceria Romer Sas</t>
  </si>
  <si>
    <t>Comerciantes al por Mayor de Tabaco y Productos de Tabaco(42494); Cerveceras(31212); Bares y Otros Lugares para Beber(7224); Comerciantes al por Mayor de Cerveza, Vino y Bebidas Alcohólicas(4248)</t>
  </si>
  <si>
    <t>Producción De Malta, Elaboración De Cervezas Y Otras Bebidas Malteadas (C1103); Comercio Al Por Mayor De Bebidas Y Tabaco (G4632); Expendio De Bebidas Alcohólicas Para El Consumo Dentro Del Establecimiento (I5630)</t>
  </si>
  <si>
    <t>Cr 45 B No. 130 27</t>
  </si>
  <si>
    <t>contacto@romerbeer.com</t>
  </si>
  <si>
    <t>Mateo Pachon Rincon (Representante Legal)</t>
  </si>
  <si>
    <t>Cerveceria Casa Alternativa Sas</t>
  </si>
  <si>
    <t>Cl 36 17 12</t>
  </si>
  <si>
    <t>cervezaalternativabogota@gmail.com</t>
  </si>
  <si>
    <t>Posada Parra Leidy Jhoanna (Representante Legal)</t>
  </si>
  <si>
    <t>Cerveceria 1781 Sas</t>
  </si>
  <si>
    <t>Cr 50 A No. 174 B 03 In 3 Ap 604</t>
  </si>
  <si>
    <t>cerveceria1781@gmx.com</t>
  </si>
  <si>
    <t>Victor Alejandro Fajardo Pardo (Representante Legal)</t>
  </si>
  <si>
    <t>Cerro Dorado Investments Sas</t>
  </si>
  <si>
    <t>Calle 165 45 46 Local 7</t>
  </si>
  <si>
    <t>OPERACIONES@CERRODORADOCAFE.COM</t>
  </si>
  <si>
    <t>Mario Barrera Ardila (Representante Legal)</t>
  </si>
  <si>
    <t>Cero Animal S.A.S</t>
  </si>
  <si>
    <t>Cl 79 No. 8 21</t>
  </si>
  <si>
    <t>jeronimoval96@gmail.com</t>
  </si>
  <si>
    <t>Jeronimo Valencia Jaramillo (Representante Legal)</t>
  </si>
  <si>
    <t>Cerenutrir S.A.S</t>
  </si>
  <si>
    <t>Cafeterías y Bares para Bebidas sin Alcohol(722515); Oficinas de Convenciones y Visitantes(561591); Fabricación de Alimentos Preparados Perecederos(311991); Panaderías y Producción de Tortillas(3118)</t>
  </si>
  <si>
    <t>Elaboración De Productos De Panadería (C1081); Elaboración De Comidas Y Platos Preparados (C1084); Expendio De Comidas Preparadas En Cafeterías (I5613); Organización De Convenciones Y Eventos Comerciales (N8230)</t>
  </si>
  <si>
    <t>Carrera 24 22 A 42</t>
  </si>
  <si>
    <t>cerenutrir.sas@gmail.com</t>
  </si>
  <si>
    <t>Cindy Stephany Colorado Ortiz (Representante Legal)</t>
  </si>
  <si>
    <t>Cer Gigante Sas</t>
  </si>
  <si>
    <t>Expendio A La Mesa De Comidas Preparadas (I5611); Actividades De Otros Servicios De Comidas (I5629); Expendio De Bebidas Alcohólicas Para El Consumo Dentro Del Establecimiento (I5630); Otras Actividades De Servicio De Apoyo A Las Empresas N.C.P. (N8299)</t>
  </si>
  <si>
    <t>Cl 63 A No. 10 46</t>
  </si>
  <si>
    <t>cerveceriagigante@gmail.com</t>
  </si>
  <si>
    <t>William C Catlett (Representante Legal)</t>
  </si>
  <si>
    <t>Ceo Comunicaciones Sas</t>
  </si>
  <si>
    <t>Restaurantes y Otros Lugares para Comer(72251); Otros Servicios de Apoyo de Negocios(56149); Dirección de Empresas(55111); Oficinas de Agentes Inmobiliarios y Corredores(5312)</t>
  </si>
  <si>
    <t>Expendio Por Autoservicio De Comidas Preparadas (I5612); Actividades Inmobiliarias Realizadas A Cambio De Una Retribución O Por Contrata (L6820); Actividades De Consultaría De Gestión (M7020); Otras Actividades De Servicio De Apoyo A Las Empresas N.C.P. (N8299)</t>
  </si>
  <si>
    <t>Cl 131 A No. 9 59 Ap 501 K</t>
  </si>
  <si>
    <t>info@ceo-com.com</t>
  </si>
  <si>
    <t>Guillermo Cruz Aristizabal (Representante Legal)</t>
  </si>
  <si>
    <t>Centro Gastronomico Cappuccino Plaza Sas</t>
  </si>
  <si>
    <t>Cr 68 A No. 33 41 S</t>
  </si>
  <si>
    <t>invaralf@gmail.com</t>
  </si>
  <si>
    <t>Martha Claire Alfonso Gomez (Representante Legal)</t>
  </si>
  <si>
    <t>Centro De Eventos Sagros Sas</t>
  </si>
  <si>
    <t>Dg 47 A Sur No. 52 C 83</t>
  </si>
  <si>
    <t>pinedaluis905@hotmail.com</t>
  </si>
  <si>
    <t>Luis Miguel Pineda Bayona (Representante Legal)</t>
  </si>
  <si>
    <t>Centro De Eventos Lota Sas En Liquidacion</t>
  </si>
  <si>
    <t>Cr 60 No. 12 63</t>
  </si>
  <si>
    <t>centrodeeventos.calle13bar@gmail.com</t>
  </si>
  <si>
    <t>Daniel Enrique Otalora Piamonte (Representante Legal)</t>
  </si>
  <si>
    <t>Centro De Eventos La Cantina Vip S.A.S.</t>
  </si>
  <si>
    <t>Demás Tipos de Industrias de Diversión y Recreativas(71399); Otras Compañías de Artes Escénicas(71119); Grupos Musicales y Artistas(71113); Bares y Otros Lugares para Beber(7224)</t>
  </si>
  <si>
    <t>Expendio De Bebidas Alcohólicas Para El Consumo Dentro Del Establecimiento (I5630); Actividades De Espectáculos Musicales En Vivo (R9007); Otras Actividades De Espectáculos En Vivo N.C.P. (R9008); Otras Actividades Recreativas Y De Esparcimiento N.C.P. (R9329)</t>
  </si>
  <si>
    <t>Cr 42 A Bis No. 13 - 53</t>
  </si>
  <si>
    <t>centrodeeventoslacantina@gmail.com</t>
  </si>
  <si>
    <t>Rios Ochoa Jairo William (Representante Legal)</t>
  </si>
  <si>
    <t>Centro De Enseñanza Automovilistica Extreme Cars Sas</t>
  </si>
  <si>
    <t>Cafeterías y Bares para Bebidas sin Alcohol(722515); Demás Diversas Escuelas y Enseñanza(611699)</t>
  </si>
  <si>
    <t>Expendio De Comidas Preparadas En Cafeterías (I5613); Formación Para El Trabajo (P8551); Otros Tipos De Educación N.C.P. (P8559)</t>
  </si>
  <si>
    <t>Calle 53 Sur 19 A 45</t>
  </si>
  <si>
    <t>ceaextremecars@gmail.com</t>
  </si>
  <si>
    <t>Diana Carolina Garcia Gaitan (Representante Legal)</t>
  </si>
  <si>
    <t>Centro Cultural Piso 6 S A S</t>
  </si>
  <si>
    <t>Demás Tipos de Industrias de Diversión y Recreativas(71399); Compañías de Teatro y Cena Teatros(71111); Bares y Otros Lugares para Beber(7224); Servicios Especiales de Comida(7223)</t>
  </si>
  <si>
    <t>Expendio A La Mesa De Comidas Preparadas (I5611); Expendio De Bebidas Alcohólicas Para El Consumo Dentro Del Establecimiento (I5630); Actividades Teatrales (R9006); Otras Actividades Recreativas Y De Esparcimiento N.C.P. (R9329)</t>
  </si>
  <si>
    <t>Cr 20 No. 88 50 Ap 409</t>
  </si>
  <si>
    <t>clara.diaz@gmail.com</t>
  </si>
  <si>
    <t>Clara Ines Meneses Diaz (Representante Legal)</t>
  </si>
  <si>
    <t>Central Bussines Sas</t>
  </si>
  <si>
    <t>Cenda Inversiones Sas</t>
  </si>
  <si>
    <t>Cl 12 No. 3 45</t>
  </si>
  <si>
    <t>labrujarestaurantecafe@gmail.com</t>
  </si>
  <si>
    <t>Cedars Bakery S A S En Liquidacion</t>
  </si>
  <si>
    <t>Cr 14 No. 81 19 Of 5</t>
  </si>
  <si>
    <t>contabilidad1@mac-center.com</t>
  </si>
  <si>
    <t>Antonio Duarte Cremaschi (Representante Legal)</t>
  </si>
  <si>
    <t>Cecilia S.A.S</t>
  </si>
  <si>
    <t>Cafeterías y Bares para Bebidas sin Alcohol(722515); Otros Servicios de Apoyo de Negocios(56149); Oficinas de Abogados(54111); Arrendadores de Bienes Inmuebles(5311)</t>
  </si>
  <si>
    <t>Expendio De Comidas Preparadas En Cafeterías (I5613); Actividades Inmobiliarias Realizadas Con Bienes Propios O Arrendados (L6810); Actividades Jurídicas (M6910); Otras Actividades De Servicio De Apoyo A Las Empresas N.C.P. (N8299)</t>
  </si>
  <si>
    <t>Cl 71 # 13 14 Brr Quinta Camacho</t>
  </si>
  <si>
    <t>ceciliacoworking@gmail.com</t>
  </si>
  <si>
    <t>Sandra Milena Rojas Ruiz (Representante Legal)</t>
  </si>
  <si>
    <t>Cb International Sas</t>
  </si>
  <si>
    <t>Demás Tipos de Alojamiento para Viajeros(721199); Restaurantes y Otros Lugares para Comer(72251); Intérpretes, Artistas y Escritores Independientes(7115)</t>
  </si>
  <si>
    <t>Otros Tipos De Alojamientos Para Visitantes (I5519); Expendio Por Autoservicio De Comidas Preparadas (I5612); Creación Literaria (R9001)</t>
  </si>
  <si>
    <t>Cr 4 64 A 06</t>
  </si>
  <si>
    <t>cbinternacionalsas@gmail.com</t>
  </si>
  <si>
    <t>Cecilia Matilde Besso (Representante Legal)</t>
  </si>
  <si>
    <t>Cava Wine Shop S A S</t>
  </si>
  <si>
    <t>Cra 6 No. 67 - 63</t>
  </si>
  <si>
    <t>cavabogota@gmail.com</t>
  </si>
  <si>
    <t>Juliana Lecompte Martinez (Representante Legal)</t>
  </si>
  <si>
    <t>Catering Vida Sana S.A.S</t>
  </si>
  <si>
    <t>Fabricación de Todos los Demás Tipos de Alimentos Diversos(311999); Fabricación de Alimentos Preparados Perecederos(311991); Restaurantes y Otros Lugares para Comer(72251); Servicios Especiales de Comida(7223)</t>
  </si>
  <si>
    <t>Elaboración De Comidas Y Platos Preparados (C1084); Elaboración De Otros Productos Alimenticios N.C.P. (C1089); Expendio A La Mesa De Comidas Preparadas (I5611); Expendio Por Autoservicio De Comidas Preparadas (I5612)</t>
  </si>
  <si>
    <t>Cl 13 No. 31 - 75</t>
  </si>
  <si>
    <t>cateringvida@gmail.com</t>
  </si>
  <si>
    <t>Fairuth Del Rocio Solorzano Nasiff (Representante Legal)</t>
  </si>
  <si>
    <t>Catedra Universitaria S.A.S</t>
  </si>
  <si>
    <t>Carrera 7 45 87</t>
  </si>
  <si>
    <t>catedrauniversitaria2023@gmail.com</t>
  </si>
  <si>
    <t>Nubia Gonzalez Peña (Representante Legal)</t>
  </si>
  <si>
    <t>Catarte S A S En Liquidacion</t>
  </si>
  <si>
    <t>Fabricación de Alimentos Preparados Perecederos(311991); Restaurantes y Otros Lugares para Comer(72251); Empresas de Catering(72232); Supermercados(4451)</t>
  </si>
  <si>
    <t>Elaboración De Comidas Y Platos Preparados (C1084); Comercio Al Por Menor En Establecimientos No Especializados Con Surtido Compuesto Principalmente Por Alimentos, Bebidas O Tabaco (G4711); Expendio Por Autoservicio De Comidas Preparadas (I5612); Catering Para Eventos (I5621)</t>
  </si>
  <si>
    <t>Cr 20 No. 122 74</t>
  </si>
  <si>
    <t>nicolas.poveda@catarte.com.co</t>
  </si>
  <si>
    <t>Raquel Stella Valenzuela Sandoval (Representante Legal)</t>
  </si>
  <si>
    <t>Castro Muñoz Inversiones Sas</t>
  </si>
  <si>
    <t>Cr 91 No. 145 A 22 Suba Centro</t>
  </si>
  <si>
    <t>castromunozinversionessas@gmail.com</t>
  </si>
  <si>
    <t>Diego Andres Castro Parrado (Representante Legal)</t>
  </si>
  <si>
    <t>Castle Novum Sas</t>
  </si>
  <si>
    <t>Avenida Carrera 21 132 46</t>
  </si>
  <si>
    <t>zh.restaurante@hotmail.com</t>
  </si>
  <si>
    <t>Eliana Catalina Zuluaga Hernandez (Representante Legal)</t>
  </si>
  <si>
    <t>Castillo De Pan S.A.S</t>
  </si>
  <si>
    <t>Ac 12 No. 79 A 03</t>
  </si>
  <si>
    <t>elcastillodelpan@yahoo.com</t>
  </si>
  <si>
    <t>Eladio Quesada Aguilar (Representante Legal)</t>
  </si>
  <si>
    <t>Castillo &amp; Arévalo S.A.S.</t>
  </si>
  <si>
    <t>Cl 21 No. 100 38</t>
  </si>
  <si>
    <t>avatar.fontibon@gmail.com</t>
  </si>
  <si>
    <t>Paul Mauricio Arevalo Herrera (Representante Legal)</t>
  </si>
  <si>
    <t>Casinos Empresariales Sas</t>
  </si>
  <si>
    <t>Ak 70 No. 108 49</t>
  </si>
  <si>
    <t>julianparrajimenez@gmail.com</t>
  </si>
  <si>
    <t>Carlos Julian Parra Jimenez (Representante Legal)</t>
  </si>
  <si>
    <t>Casinos El Portal Santandereano Sas</t>
  </si>
  <si>
    <t>Cl 13 A No. 80 C 12</t>
  </si>
  <si>
    <t>rey1975diaz@hotmail.com</t>
  </si>
  <si>
    <t>Reinaldo Diaz Quesada (Representante Legal)</t>
  </si>
  <si>
    <t>Casino Y Restaurante Jm S.A.S</t>
  </si>
  <si>
    <t>Carrera 33 10 95</t>
  </si>
  <si>
    <t>casinoyrestaurantejm@gmail.com</t>
  </si>
  <si>
    <t>Leidy Viviana Amezquita Hurtado (Representante Legal)</t>
  </si>
  <si>
    <t>Casino Brijor Sas</t>
  </si>
  <si>
    <t>Cr 123 No. 22 K 23</t>
  </si>
  <si>
    <t>yiyita.bohorquez66@gmail.com</t>
  </si>
  <si>
    <t>Briguitte Bohorquez Colorado (Representante Legal)</t>
  </si>
  <si>
    <t>Casarobu Sas</t>
  </si>
  <si>
    <t>Cl 29 Bis No. 5 74</t>
  </si>
  <si>
    <t>santiagozuluaga86@gmail.com</t>
  </si>
  <si>
    <t>Casablanca Capital Sas</t>
  </si>
  <si>
    <t>Cl 93 B No. 16 08 Of 205</t>
  </si>
  <si>
    <t>casablancacapital@outlook.com</t>
  </si>
  <si>
    <t>Juan Jose Currea Londoño (Representante Legal)</t>
  </si>
  <si>
    <t>Casa Solar Sas</t>
  </si>
  <si>
    <t>Cafeterías y Bares para Bebidas sin Alcohol(722515); Enseñanza de Deporte y Recreación(61162); Escuelas de Bellas Artes(61161); Otros Servicios Médicos Ambulatorios(6219)</t>
  </si>
  <si>
    <t>Expendio De Comidas Preparadas En Cafeterías (I5613); Enseñanza Deportiva Y Recreativa (P8552); Enseñanza Cultural (P8553); Otras Actividades De Atención De La Salud Humana (Q8699)</t>
  </si>
  <si>
    <t>Cr 81 B No. 19 B 80 In 20 Ap 301</t>
  </si>
  <si>
    <t>john.arenas@casasolar.com.co</t>
  </si>
  <si>
    <t>John Jairo Arenas Nuñez (Representante Legal)</t>
  </si>
  <si>
    <t>Casa Rivas Tapas Vinos &amp; Cervezas Sas</t>
  </si>
  <si>
    <t>Cl 120 A No 6 43</t>
  </si>
  <si>
    <t>d_linamarcela@hotmail.com</t>
  </si>
  <si>
    <t>Rivas Garcia Lina Marcela (Representante Legal)</t>
  </si>
  <si>
    <t>Casa Republica S.A.S.</t>
  </si>
  <si>
    <t>Cl 79 A No. 8 63</t>
  </si>
  <si>
    <t>CONTACTO@MILEHIGHINVESTMENTS.COM.CO</t>
  </si>
  <si>
    <t>David Robert Simpson (Representante Legal)</t>
  </si>
  <si>
    <t>Casa Quinta Hotel La Candelaria Sas</t>
  </si>
  <si>
    <t>Cr 4 No. 17 - 51/59</t>
  </si>
  <si>
    <t>edgarcorredor720@gmail.com</t>
  </si>
  <si>
    <t>Edgard Alberto Corredor (Representante Legal)</t>
  </si>
  <si>
    <t>Casa Parrilla S A S</t>
  </si>
  <si>
    <t>Cr 81 No. 8 D 26</t>
  </si>
  <si>
    <t>casa.parrilla@gmail.com</t>
  </si>
  <si>
    <t>Jedmy Alejandra Ramirez Yazo (Representante Legal)</t>
  </si>
  <si>
    <t>Casa Monasterio Eventos S A S - En Liquidacion</t>
  </si>
  <si>
    <t>Cra 19 A # 134 - 31</t>
  </si>
  <si>
    <t>casamonasterioeventos1@gmail.com</t>
  </si>
  <si>
    <t>Victor Hugo Villegas Velez (Representante Legal)</t>
  </si>
  <si>
    <t>Casa Manigua Fd S.A.S</t>
  </si>
  <si>
    <t>Cl 45 # 19 - 44</t>
  </si>
  <si>
    <t>casamanigua2016@gmail.com</t>
  </si>
  <si>
    <t>Casa Juarez Sas</t>
  </si>
  <si>
    <t>Dg 69 B Sur No. 78 L 04</t>
  </si>
  <si>
    <t>caasajuarez@gmail.com</t>
  </si>
  <si>
    <t>Brayan Julian Cajamarca Barbosa (Representante Legal)</t>
  </si>
  <si>
    <t>Casa Gourmet Devachan Sas</t>
  </si>
  <si>
    <t>Cr 9 No. 69 16</t>
  </si>
  <si>
    <t>edusanta27@hotmail.com</t>
  </si>
  <si>
    <t>Hector Eduardo Santander Rodriguez (Representante Legal)</t>
  </si>
  <si>
    <t>Casa Del Bosque S A S</t>
  </si>
  <si>
    <t>info@casadelbosque.com.co</t>
  </si>
  <si>
    <t>Mario Torres Silva (Representante Legal)</t>
  </si>
  <si>
    <t>Casa De Eventos Asociados Sas</t>
  </si>
  <si>
    <t>Cra 14 # 82 - 49</t>
  </si>
  <si>
    <t>casadeasociados@gmail.com</t>
  </si>
  <si>
    <t>Elkin Jair Ballesteros Moreno (Representante Legal)</t>
  </si>
  <si>
    <t>Casa De Banquetes Y Eventos Calipso S A S</t>
  </si>
  <si>
    <t>Calle 90 # 76 04 Piso 1</t>
  </si>
  <si>
    <t>calypsos.s.a.s@gmail.com</t>
  </si>
  <si>
    <t>Gerley Borda (Representante Legal)</t>
  </si>
  <si>
    <t>Casa De Banquetes Sys Sas</t>
  </si>
  <si>
    <t>Cra 14 # 80 67</t>
  </si>
  <si>
    <t>juansebastiangiraldosabala@gmail.com</t>
  </si>
  <si>
    <t>Juan Sebastian Giraldo Sabala (Representante Legal)</t>
  </si>
  <si>
    <t>Casa Cultural Japonesa Sas</t>
  </si>
  <si>
    <t>Cafeterías y Bares para Bebidas sin Alcohol(722515); Escuelas de Bellas Artes(61161); Tiendas de Libros y Periódicos(45121)</t>
  </si>
  <si>
    <t>Comercio Al Por Menor De Libros, Periódicos, Materiales Y Artículos De Papelería Y Escritorio, En Establecimientos Especializados (G4761); Expendio De Comidas Preparadas En Cafeterías (I5613); Enseñanza Cultural (P8553)</t>
  </si>
  <si>
    <t>Cl 96 No 12 - 65 403</t>
  </si>
  <si>
    <t>ryokotatsuta@gmail.com</t>
  </si>
  <si>
    <t>Ryoko Kawakami (Representante Legal)</t>
  </si>
  <si>
    <t>Casa Cafe Y Libreria Colombia Sas</t>
  </si>
  <si>
    <t>Cafeterías y Bares para Bebidas sin Alcohol(722515); Comerciantes al por Mayor de Bienes No Duraderos Diversos(4249)</t>
  </si>
  <si>
    <t>Comercio Al Por Mayor No Especializado (G4690); Expendio De Comidas Preparadas En Cafeterías (I5613)</t>
  </si>
  <si>
    <t>Calle 132 No 50 - 40</t>
  </si>
  <si>
    <t>gsefair@gmail.com</t>
  </si>
  <si>
    <t>Georges Sefair Nader (Representante Legal)</t>
  </si>
  <si>
    <t>Casa Blanca Mx Sas</t>
  </si>
  <si>
    <t>Bares y Otros Lugares para Beber(7224); Tiendas de Venta Directa(4543); Supermercados(4451)</t>
  </si>
  <si>
    <t>Comercio Al Por Menor En Establecimientos No Especializados Con Surtido Compuesto Principalmente Por Alimentos, Bebidas O Tabaco (G4711); Otros Tipos De Comercio Al Por Menor No Realizado En Establecimientos, Puestos De Venta O Mercados. (G4799); Expendio De Bebidas Alcohólicas Para El Consumo Dentro Del Establecimiento (I5630)</t>
  </si>
  <si>
    <t>Cl 163 B No. 45 32</t>
  </si>
  <si>
    <t>jeag_1995@hotmail.com</t>
  </si>
  <si>
    <t>Jorge Enrique Agudelo Garzon (Representante Legal)</t>
  </si>
  <si>
    <t>Cas Express S.A.S.</t>
  </si>
  <si>
    <t>Cafeterías y Bares para Bebidas sin Alcohol(722515); Tiendas de Medicamentos y Farmacias(44611); Otras Tiendas de Comidas Artesanales(44529); Servicios Especiales de Comida(7223)</t>
  </si>
  <si>
    <t>Comercio Al Por Menor De Otros Productos Alimenticios N.C.P., En Establecimientos Especializados (G4729); Comercio Al Por Menor De Productos Farmacéuticos Y Medicinales, Cosméticos Y Artículos De Tocador En Establecimientos Especializados (G4773); Expendio De Comidas Preparadas En Cafeterías (I5613); Otros Tipos De Expendio De Comidas Preparadas N.C.P. (I5619)</t>
  </si>
  <si>
    <t>Cr 11 A No. 90 16 Of 502</t>
  </si>
  <si>
    <t>alexandra.suden@hotmail.com</t>
  </si>
  <si>
    <t>Cristina Alexandra Suden Rivera (Representante Legal)</t>
  </si>
  <si>
    <t>Carnes Y Vinos Bogota Sas</t>
  </si>
  <si>
    <t>Cr 6 No. 119 B 57</t>
  </si>
  <si>
    <t>gerencia@carnesyvinos.com</t>
  </si>
  <si>
    <t>Jose Ricardo Chauta Rodriguez (Representante Legal)</t>
  </si>
  <si>
    <t>Carnes Frias Mega Sas</t>
  </si>
  <si>
    <t>Cafeterías y Bares para Bebidas sin Alcohol(722515); Carne Procesada de Canales(311612); Carnicerías(44521)</t>
  </si>
  <si>
    <t>Procesamiento Y Conservación De Carne Y Productos Cárnicos (C1011); Comercio Al Por Menor De Carnes (Incluye Aves De Corral), Productos Cárnicos, Pescados Y Productos De Mar, En Establecimientos Especializados (G4723); Expendio De Comidas Preparadas En Cafeterías (I5613)</t>
  </si>
  <si>
    <t>Calle 35 Sur 70 B 85</t>
  </si>
  <si>
    <t>brayangmega@gmail.com</t>
  </si>
  <si>
    <t>Brayan Esteban Gonzalez Vargas (Representante Legal)</t>
  </si>
  <si>
    <t>Carne En Vara Del Llano Sas</t>
  </si>
  <si>
    <t>Procesamiento Y Conservación De Carne Y Productos Cárnicos (C1011); Expendio A La Mesa De Comidas Preparadas (I5611); Otros Tipos De Expendio De Comidas Preparadas N.C.P. (I5619); Expendio De Bebidas Alcohólicas Para El Consumo Dentro Del Establecimiento (I5630)</t>
  </si>
  <si>
    <t>Av La Esperanza No. 48 50 Lc 2</t>
  </si>
  <si>
    <t>carneenvaradelllano@gmail.com</t>
  </si>
  <si>
    <t>Yilberth Ferney Rincon Valverde (Representante Legal)</t>
  </si>
  <si>
    <t>Carlos Perez Inversiones Sas</t>
  </si>
  <si>
    <t>Ac 24 No. 51 40 Of 416</t>
  </si>
  <si>
    <t>carlosandresperezrojas98@gmail.com</t>
  </si>
  <si>
    <t>Carlos Andres Perez Rojas (Representante Legal)</t>
  </si>
  <si>
    <t>Carlos Jose Vera Yaima S A S</t>
  </si>
  <si>
    <t>Carisma Representaciones S.A.S</t>
  </si>
  <si>
    <t>Cl 151 # 11 62 In 1 Ap 1202</t>
  </si>
  <si>
    <t>ne.navas10@gmail.com</t>
  </si>
  <si>
    <t>Carihall Eventos Sas</t>
  </si>
  <si>
    <t>Cr 102 B No. 148 31 Bl 9 In 8 Ap 402</t>
  </si>
  <si>
    <t>facturacion@carihalleventos.com</t>
  </si>
  <si>
    <t>Andrea Carolina Corredor Quintana (Representante Legal)</t>
  </si>
  <si>
    <t>Caribbean Beer Sas</t>
  </si>
  <si>
    <t>Cr 26 No. 51 75</t>
  </si>
  <si>
    <t>elcuartodetulabog@gmail.com</t>
  </si>
  <si>
    <t>Franklin Junior Rada Charris (Representante Legal)</t>
  </si>
  <si>
    <t>Cardozo Estudio Legal S.A.S</t>
  </si>
  <si>
    <t>Restaurantes y Otros Lugares para Comer(72251); Oficinas de Abogados(54111)</t>
  </si>
  <si>
    <t>Expendio Por Autoservicio De Comidas Preparadas (I5612); Actividades Jurídicas (M6910)</t>
  </si>
  <si>
    <t>abogados@cardozoordonez.com</t>
  </si>
  <si>
    <t>Cardenas &amp; Mendez Asociados Sas</t>
  </si>
  <si>
    <t>Cl 18 Sur No. 18 04</t>
  </si>
  <si>
    <t>natalycardenas11@gmail.com</t>
  </si>
  <si>
    <t>Yeisson Alexander Cardenas Mendez (Representante Legal)</t>
  </si>
  <si>
    <t>Cardanni S.A.S</t>
  </si>
  <si>
    <t>Empresas de Catering(72232); Otras Tiendas de Comidas Artesanales(44529); Bares y Otros Lugares para Beber(7224); Panaderías y Producción de Tortillas(3118)</t>
  </si>
  <si>
    <t>Elaboración De Productos De Panadería (C1081); Comercio Al Por Menor De Otros Productos Alimenticios N.C.P., En Establecimientos Especializados (G4729); Catering Para Eventos (I5621); Expendio De Bebidas Alcohólicas Para El Consumo Dentro Del Establecimiento (I5630)</t>
  </si>
  <si>
    <t>Calle 135 # 49 - 43</t>
  </si>
  <si>
    <t>cardannicardanni@gmail.com</t>
  </si>
  <si>
    <t>Moreno Gil Carlos Andres (Representante Legal)</t>
  </si>
  <si>
    <t>Car Wash Detailing Group Jml S.A.S</t>
  </si>
  <si>
    <t>Cafeterías y Bares para Bebidas sin Alcohol(722515); Reparación y Mantenimiento de Vehículos(8111); Bares y Otros Lugares para Beber(7224); Servicios Relacionados con el Transporte por Carretera(4884)</t>
  </si>
  <si>
    <t>Mantenimiento Y Reparación De Vehículos Automotores (G4520); Actividades De Estaciones, Vías Y Servicios Complementarios Para El Transporte Terrestre (H5221); Expendio De Comidas Preparadas En Cafeterías (I5613); Expendio De Bebidas Alcohólicas Para El Consumo Dentro Del Establecimiento (I5630)</t>
  </si>
  <si>
    <t>Cl 12 A No. 27 55</t>
  </si>
  <si>
    <t>detailing.jml@gmail.com</t>
  </si>
  <si>
    <t>Julian Andres Pava Gomez (Representante Legal)</t>
  </si>
  <si>
    <t>Cappellacci Gastronomia S.A.S</t>
  </si>
  <si>
    <t>Calle 11 3 11 Local 2</t>
  </si>
  <si>
    <t>cappellacciristorante@gmail.com</t>
  </si>
  <si>
    <t>Rodrigo Endara Sanchez (Representante Legal)</t>
  </si>
  <si>
    <t>Capote Sas</t>
  </si>
  <si>
    <t>Cr 23 No. 86 42</t>
  </si>
  <si>
    <t>COMERCIAL@CAPOTE.COM.CO</t>
  </si>
  <si>
    <t>Geronimo Basile Lemaitre (Representante Legal)</t>
  </si>
  <si>
    <t>Capitolio Company Sas</t>
  </si>
  <si>
    <t>Tiendas de Electrodomésticos(443141); Agencias de Publicidad(54181); Bares y Otros Lugares para Beber(7224); Arrendadores de Bienes Inmuebles(5311)</t>
  </si>
  <si>
    <t>Comercio Al Por Menor De Artículos Y Utensilios De Uso Doméstico (G4755); Expendio De Bebidas Alcohólicas Para El Consumo Dentro Del Establecimiento (I5630); Actividades Inmobiliarias Realizadas Con Bienes Propios O Arrendados (L6810); Publicidad (M7310)</t>
  </si>
  <si>
    <t>Carrera 13 # 65 - 42 Piso 2</t>
  </si>
  <si>
    <t>capitoliocompany@gmail.com</t>
  </si>
  <si>
    <t>Gustavo Adolfo Gelves Esteban (Representante Legal)</t>
  </si>
  <si>
    <t>Capitales Unidos Maya Ltda</t>
  </si>
  <si>
    <t>Calle 122 No 16 - 08</t>
  </si>
  <si>
    <t>servicontor@hotmail.com</t>
  </si>
  <si>
    <t>Capitales E Inversiones S Y B Sas</t>
  </si>
  <si>
    <t>Jairo Humberto Suarez Camargo (Representante Legal)</t>
  </si>
  <si>
    <t>Capitales E Inversiones A Y B Sas</t>
  </si>
  <si>
    <t>Capital Pub Sas</t>
  </si>
  <si>
    <t>Cr 65 No. 11 47 Lc 373</t>
  </si>
  <si>
    <t>mrbeersbogota@hotmail.com</t>
  </si>
  <si>
    <t>Lina Constanza Rojas Peña (Representante Legal)</t>
  </si>
  <si>
    <t>Capital Business S.A.S</t>
  </si>
  <si>
    <t>Carrera 9 77 67 Edificio Torre Unika 78</t>
  </si>
  <si>
    <t>profesional.juridico2@cala.com.co</t>
  </si>
  <si>
    <t>Capella Cafe S A S</t>
  </si>
  <si>
    <t>Cafeterías y Bares para Bebidas sin Alcohol(722515); Oficinas de Agentes Inmobiliarios y Corredores(5312)</t>
  </si>
  <si>
    <t>Expendio De Comidas Preparadas En Cafeterías (I5613); Actividades Inmobiliarias Realizadas A Cambio De Una Retribución O Por Contrata (L6820)</t>
  </si>
  <si>
    <t>Cr 32 A 25 B 75 Ap 1501 To 3</t>
  </si>
  <si>
    <t>capellacafe49@gmail.com</t>
  </si>
  <si>
    <t>Fanny Manosalva De Adarme (Representante Legal)</t>
  </si>
  <si>
    <t>Cantina Sdc Sas</t>
  </si>
  <si>
    <t>Cl 38 A Sur No. 34 D - 51 Lc 30 - 47 Cc</t>
  </si>
  <si>
    <t>cantinasdcsas@gmail.com</t>
  </si>
  <si>
    <t>Yeisson Alvarez Gonzalez (Representante Legal)</t>
  </si>
  <si>
    <t>Canterbury Cafe Sas</t>
  </si>
  <si>
    <t>Otras Industrias Cinematográficas y de Video(512199); Grupos Musicales y Artistas(71113); Bares y Otros Lugares para Beber(7224); Servicios Especiales de Comida(7223)</t>
  </si>
  <si>
    <t>Expendio A La Mesa De Comidas Preparadas (I5611); Expendio De Bebidas Alcohólicas Para El Consumo Dentro Del Establecimiento (I5630); Actividades De Exhibición De Películas Cinematográficas Y Videos (J5914); Actividades De Espectáculos Musicales En Vivo (R9007)</t>
  </si>
  <si>
    <t>Cr 71 D No. 3 A 37 Sur</t>
  </si>
  <si>
    <t>artescanterbury@gmail.com</t>
  </si>
  <si>
    <t>Oscar Paul Lopez Walteros (Representante Legal)</t>
  </si>
  <si>
    <t>Candilejas Colombia Sas</t>
  </si>
  <si>
    <t>Hoteles (excepto Hoteles Casino) y Moteles(72111); Demás Tipos de Industrias de Diversión y Recreativas(71399); Bares y Otros Lugares para Beber(7224); Servicios Especiales de Comida(7223)</t>
  </si>
  <si>
    <t>Alojamiento En Hoteles (I5511); Expendio A La Mesa De Comidas Preparadas (I5611); Expendio De Bebidas Alcohólicas Para El Consumo Dentro Del Establecimiento (I5630); Otras Actividades Recreativas Y De Esparcimiento N.C.P. (R9329)</t>
  </si>
  <si>
    <t>Cl 12 D Bis No 1 - 07</t>
  </si>
  <si>
    <t>candilejassas@gmail.com</t>
  </si>
  <si>
    <t>Javier Herrera Chala (Representante Legal)</t>
  </si>
  <si>
    <t>Cañas Perver Sas</t>
  </si>
  <si>
    <t>Dg 55 No. 4 37</t>
  </si>
  <si>
    <t>canasperversas@gmail.com</t>
  </si>
  <si>
    <t>Juan Miguel Valderrama Cicery (Representante Legal)</t>
  </si>
  <si>
    <t>Camiacu Sas</t>
  </si>
  <si>
    <t>Cra 68 No. 75 A 50 Local 207</t>
  </si>
  <si>
    <t>caae87@gmail.com</t>
  </si>
  <si>
    <t>Camilo Andres Acuña Erazo (Representante Legal)</t>
  </si>
  <si>
    <t>Camdil S A S</t>
  </si>
  <si>
    <t>Calle 117 # 5A - 13</t>
  </si>
  <si>
    <t>camdilsas@gmail.com</t>
  </si>
  <si>
    <t>Lina Maria Camacho Jaramillo (Representante Legal)</t>
  </si>
  <si>
    <t>Camacho Sanabria Sas</t>
  </si>
  <si>
    <t>Cl 174 # 7 A 26 To 7 Of 502</t>
  </si>
  <si>
    <t>camachosanabriasas@gmail.com</t>
  </si>
  <si>
    <t>Sandra Mileny Guzman Galeano (Representante Legal)</t>
  </si>
  <si>
    <t>Calle De Guadalupe Eventos S.A.S</t>
  </si>
  <si>
    <t>Calle 12B # 1 - 23 Apto 107</t>
  </si>
  <si>
    <t>calledeguadalupesas@gmail.com</t>
  </si>
  <si>
    <t>Maria Del Pilar Angulo Mejia (Representante Legal)</t>
  </si>
  <si>
    <t>Calle Capón Sociedad Por Acciones Simplificada</t>
  </si>
  <si>
    <t>Calle 29 Bis # 6 - 06</t>
  </si>
  <si>
    <t>vanegasmarce85@gmail.com</t>
  </si>
  <si>
    <t>Carlos Salamanca Olarte (Representante Legal)</t>
  </si>
  <si>
    <t>Callao Sangucheria S.A.S.</t>
  </si>
  <si>
    <t>Cr 13 A No. 78 59 Lc 1</t>
  </si>
  <si>
    <t>callaosangucheria@gmail.com</t>
  </si>
  <si>
    <t>Joel Alexander Paredes Fernandez (Representante Legal)</t>
  </si>
  <si>
    <t>Caleta Gastrobar Sas</t>
  </si>
  <si>
    <t>Cr 8 No. 65 A 14</t>
  </si>
  <si>
    <t>Cagp S A S</t>
  </si>
  <si>
    <t>Avenida Carrera 19 # 153 - 34</t>
  </si>
  <si>
    <t>cagpsas@gmail.com</t>
  </si>
  <si>
    <t>Cafeterias Y Eventos Gmh S A S</t>
  </si>
  <si>
    <t>Ac 72 No. 6 - 30 Of 501</t>
  </si>
  <si>
    <t>Alejandro Morales Gonzalez (Representante Legal)</t>
  </si>
  <si>
    <t>Cafeteria Restaurante Las Americas Sas</t>
  </si>
  <si>
    <t>Av De Las Americas No. 43 A 48</t>
  </si>
  <si>
    <t>restaurantelasamericassas@gmail.com</t>
  </si>
  <si>
    <t>Eliseo Castiblanco Murcia (Representante Legal)</t>
  </si>
  <si>
    <t>Cafeteria Del Barrio S.A.S.</t>
  </si>
  <si>
    <t>Cafeterías y Bares para Bebidas sin Alcohol(722515); Bares y Otros Lugares para Beber(7224); Arrendadores de Bienes Inmuebles(5311)</t>
  </si>
  <si>
    <t>Expendio De Comidas Preparadas En Cafeterías (I5613); Expendio De Bebidas Alcohólicas Para El Consumo Dentro Del Establecimiento (I5630); Actividades Inmobiliarias Realizadas Con Bienes Propios O Arrendados (L6810)</t>
  </si>
  <si>
    <t>Calle 75 20C 89</t>
  </si>
  <si>
    <t>mariaisaperez@me.com</t>
  </si>
  <si>
    <t>Alejandro Castaño Convers (Representante Legal)</t>
  </si>
  <si>
    <t>Caferosa Sas</t>
  </si>
  <si>
    <t>Cr 52 No. 123 B 50 A</t>
  </si>
  <si>
    <t>caferosamusic@gmail.com</t>
  </si>
  <si>
    <t>Monica Jimenez Niño (Representante Legal)</t>
  </si>
  <si>
    <t>Cafeina Etica Eu</t>
  </si>
  <si>
    <t>Cafeterías y Bares para Bebidas sin Alcohol(722515); Fabricación de Café y Té(31192); Comerciantes al por Mayor de Productos Agrícolas de Materias Primas(4245); Comerciantes al por Mayor de Maquinaría, Equipos y Suministros(4238)</t>
  </si>
  <si>
    <t>Descafeinado, Tostión Y Molienda Del Café (C1062); Comercio Al Por Mayor De Materias Primas Agropecuarias; Animales Vivos (G4620); Comercio Al Por Mayor De Otros Tipos De Maquinaria Y Equipo N.C.P. (G4659); Expendio De Comidas Preparadas En Cafeterías (I5613)</t>
  </si>
  <si>
    <t>Cr 7 A No. 69 59 Ap 601</t>
  </si>
  <si>
    <t>contable.cafeina@gmail.com</t>
  </si>
  <si>
    <t>Juleidys Paola Herrera Medina (Representante Legal)</t>
  </si>
  <si>
    <t>Café Villa-Real A S.A.S.</t>
  </si>
  <si>
    <t>Cl 172 No. 55 75</t>
  </si>
  <si>
    <t>jaelita2711@gmail.com</t>
  </si>
  <si>
    <t>Jael Osmani Villarreal Aguilar (Representante Legal)</t>
  </si>
  <si>
    <t>Cafe Sin Fin S.A.S</t>
  </si>
  <si>
    <t>Fabricación de Alimentos Preparados Perecederos(311991); Restaurantes y Otros Lugares para Comer(72251); Servicios Especiales de Comida(7223); Panaderías y Producción de Tortillas(3118)</t>
  </si>
  <si>
    <t>Elaboración De Productos De Panadería (C1081); Elaboración De Comidas Y Platos Preparados (C1084); Expendio A La Mesa De Comidas Preparadas (I5611); Expendio Por Autoservicio De Comidas Preparadas (I5612)</t>
  </si>
  <si>
    <t>Cr 18 A # 182 59 To</t>
  </si>
  <si>
    <t>jonathansaliba@hotmail.com</t>
  </si>
  <si>
    <t>Jonathan Daniel Saliba (Representante Legal)</t>
  </si>
  <si>
    <t>Café Semilla Sas Bic</t>
  </si>
  <si>
    <t>Cr 19 63 33</t>
  </si>
  <si>
    <t>ventascafesemilla@gmail.com</t>
  </si>
  <si>
    <t>Daliz Kinuba Chinchilla (Representante Legal)</t>
  </si>
  <si>
    <t>Café San Moritz Centro Bogotá Sas</t>
  </si>
  <si>
    <t>Cl 17 No. 4 80</t>
  </si>
  <si>
    <t>avaluos@tecniavaluos.com.co</t>
  </si>
  <si>
    <t>Café Radio Estrella Sas</t>
  </si>
  <si>
    <t>Cl 70A 5 44 P1</t>
  </si>
  <si>
    <t>contabilidadcaferadio@gmail.com</t>
  </si>
  <si>
    <t>Daniel Felipe Brando Botero (Representante Legal)</t>
  </si>
  <si>
    <t>Cafe Planet Soluciones De Gourmet S A S</t>
  </si>
  <si>
    <t>Calle 79A Bis # 63 39</t>
  </si>
  <si>
    <t>gerenciaplanetgourmet@outlook.com</t>
  </si>
  <si>
    <t>Laura Yesenia Ospina Quintero (Representante Legal)</t>
  </si>
  <si>
    <t>Cafe P&amp;G Sas</t>
  </si>
  <si>
    <t>Cr 26 No. 71 B 30</t>
  </si>
  <si>
    <t>caro30pimo@gmail.com</t>
  </si>
  <si>
    <t>Franci Carolina Pineda Mora (Representante Legal)</t>
  </si>
  <si>
    <t>Cafe Nossa Pastel S.A.S</t>
  </si>
  <si>
    <t>Cl 12 B No. 6 58 Lc 111</t>
  </si>
  <si>
    <t>NOSSACAFEPASTEL@GMAIL.COM</t>
  </si>
  <si>
    <t>Johan Sebastian Saray Bello (Representante Legal)</t>
  </si>
  <si>
    <t>Cafe Nacion S A S</t>
  </si>
  <si>
    <t>Cl 10 No. 2 96</t>
  </si>
  <si>
    <t>social@cafenacion.com</t>
  </si>
  <si>
    <t>Juan Sebastian Chavez Rojas (Representante Legal)</t>
  </si>
  <si>
    <t>Café Moreno Tostadora De Colombia Sas</t>
  </si>
  <si>
    <t>Cl 161 A No. 16 A 57</t>
  </si>
  <si>
    <t>paezvillamil@icloud.com</t>
  </si>
  <si>
    <t>Alexandra Moreno Piraquive (Representante Legal)</t>
  </si>
  <si>
    <t>Café Mínimo S.A.S</t>
  </si>
  <si>
    <t>Carrera 17 A 106 A 07 Apartamento 404</t>
  </si>
  <si>
    <t>efepuntoeme@gmail.com</t>
  </si>
  <si>
    <t>Freddy Alexander Mendez Gaitan (Representante Legal)</t>
  </si>
  <si>
    <t>Cafe Marron Export Sas</t>
  </si>
  <si>
    <t>Carrera 19 # 45 - 19</t>
  </si>
  <si>
    <t>cafemarron45@gmail.com</t>
  </si>
  <si>
    <t>Jesus Ricardo Gomez Puerto (Representante Legal)</t>
  </si>
  <si>
    <t>Café La Mata Sas</t>
  </si>
  <si>
    <t>Cr 13 # 93 72 Lc 7</t>
  </si>
  <si>
    <t>lamatacafe@gmail.com</t>
  </si>
  <si>
    <t>Juan Pablo Peña Moreno (Representante Legal)</t>
  </si>
  <si>
    <t>Cafe Kauil S.A.S</t>
  </si>
  <si>
    <t>Cafeterías y Bares para Bebidas sin Alcohol(722515); Fabricación de Alimentos Preparados Perecederos(311991); Fabricación de Café y Té(31192)</t>
  </si>
  <si>
    <t>Otros Derivados Del Café (C1063); Elaboración De Comidas Y Platos Preparados (C1084); Expendio De Comidas Preparadas En Cafeterías (I5613)</t>
  </si>
  <si>
    <t>Carrera 63 22A41</t>
  </si>
  <si>
    <t>ricardojv50@gmail.com</t>
  </si>
  <si>
    <t>Ricardo Junco Valero (Representante Legal)</t>
  </si>
  <si>
    <t>Cafe Ibañez S.A.S.</t>
  </si>
  <si>
    <t>Cl 12 B No. 7 12</t>
  </si>
  <si>
    <t>cafeibanez@gmail.com</t>
  </si>
  <si>
    <t>Gustavo Ibañez Carreño (Representante Legal)</t>
  </si>
  <si>
    <t>Cafe Hecho En Casa</t>
  </si>
  <si>
    <t>Cr 29 C No. 1 A 62</t>
  </si>
  <si>
    <t>cafehechoencasa@gmail.com</t>
  </si>
  <si>
    <t>Acevedo Ortegon Diaz (Representante Legal)</t>
  </si>
  <si>
    <t>Café Expresso Vc Sas</t>
  </si>
  <si>
    <t>Cl 76 # 22 99</t>
  </si>
  <si>
    <t>victorcasas@hotmail.com</t>
  </si>
  <si>
    <t>Victor Raul Casas Casas (Representante Legal)</t>
  </si>
  <si>
    <t>Café Entre Nos Sas</t>
  </si>
  <si>
    <t>Cl 46 No. 66 B 40 P 1</t>
  </si>
  <si>
    <t>cafe.entrenos1@gmail.com</t>
  </si>
  <si>
    <t>Gonzalo Mogollon Abril (Representante Legal)</t>
  </si>
  <si>
    <t>Café Ensamble Sas</t>
  </si>
  <si>
    <t>Expendio Por Autoservicio De Comidas Preparadas (I5612); Expendio De Comidas Preparadas En Cafeterías (I5613); Catering Para Eventos (I5621); Expendio De Bebidas Alcohólicas Para El Consumo Dentro Del Establecimiento (I5630)</t>
  </si>
  <si>
    <t>Cr 6 # 8 07</t>
  </si>
  <si>
    <t>cafensamble@gmail.com</t>
  </si>
  <si>
    <t>Yeimy Liceth Merchan Solaque (Representante Legal)</t>
  </si>
  <si>
    <t>Cafe Del Monte Pasteleria S A S</t>
  </si>
  <si>
    <t>Cr 14 A No. 68 75</t>
  </si>
  <si>
    <t>admoncafedelmonte@gmail.com</t>
  </si>
  <si>
    <t>Fernando Mojica Rios (Representante Legal)</t>
  </si>
  <si>
    <t>Café Del Caribe Sas</t>
  </si>
  <si>
    <t>Descafeinado, Tostión Y Molienda Del Café (C1062); Otros Derivados Del Café (C1063); Expendio De Comidas Preparadas En Cafeterías (I5613)</t>
  </si>
  <si>
    <t>Cr 16 No 54 - 39 Ap 203</t>
  </si>
  <si>
    <t>cafedelcaribesas@gmail.com</t>
  </si>
  <si>
    <t>Melissa Jannine Anibal Lopez (Representante Legal)</t>
  </si>
  <si>
    <t>Café Con Afetto Sas</t>
  </si>
  <si>
    <t>Calle 11 13 26</t>
  </si>
  <si>
    <t>info@unioncontable.com</t>
  </si>
  <si>
    <t>Wilson Giovanni Aranda Pinilla (Representante Legal)</t>
  </si>
  <si>
    <t>Cafe Colombia Express Vending Sas</t>
  </si>
  <si>
    <t>Cafeterías y Bares para Bebidas sin Alcohol(722515); Alquiler y Arrendamiento de Maquinaría y Equipo Comercial e Industrial(5324); Tiendas de Venta Directa(4543)</t>
  </si>
  <si>
    <t>Otros Tipos De Comercio Al Por Menor No Realizado En Establecimientos, Puestos De Venta O Mercados. (G4799); Expendio Por Autoservicio De Comidas Preparadas (I5612); Expendio De Comidas Preparadas En Cafeterías (I5613); Alquiler Y Arrendamiento De Otros Tipos De Maquinaria, Equipo Y Bienes Tangibles N.C.P. (N7730)</t>
  </si>
  <si>
    <t>Avenida Calle 24 95 12 Local 2</t>
  </si>
  <si>
    <t>cafecolombiavending@gmail.com</t>
  </si>
  <si>
    <t>Hugo Enrique Quintero Tequita (Representante Legal)</t>
  </si>
  <si>
    <t>Café Bar La Ubicación Sas</t>
  </si>
  <si>
    <t>Cl 12 B No. 3 95</t>
  </si>
  <si>
    <t>cafebarlaubicacion@gmail.com</t>
  </si>
  <si>
    <t>Nuri Cristina Tuberquia Moscoso (Representante Legal)</t>
  </si>
  <si>
    <t>Café Bar Jake Sas</t>
  </si>
  <si>
    <t>Cl 69 F Sur No. 17 D 46</t>
  </si>
  <si>
    <t>cafebarjake@gmail.com</t>
  </si>
  <si>
    <t>Eliveth Farvelly Puentes Mora (Representante Legal)</t>
  </si>
  <si>
    <t>Cafe Bar D-Kafe S.A.S</t>
  </si>
  <si>
    <t>Carrera 69 11 16</t>
  </si>
  <si>
    <t>dkafecol@gmail.com</t>
  </si>
  <si>
    <t>Omaira Del Pilar Torres Cruz (Representante Legal)</t>
  </si>
  <si>
    <t>Café Artesanal D' La Peña Sas</t>
  </si>
  <si>
    <t>Cr 73 D No. 59 B 27 Sur</t>
  </si>
  <si>
    <t>yquiceno.castano@gmail.com</t>
  </si>
  <si>
    <t>Yudi Maryeli Quiceno Castaño (Representante Legal)</t>
  </si>
  <si>
    <t>Cafe A Ciegas Sas</t>
  </si>
  <si>
    <t>Restaurantes y Otros Lugares para Comer(72251); Otras Compañías de Artes Escénicas(71119); Tiendas de Electrónica y de Venta por Correo(4541); Supermercados(4451)</t>
  </si>
  <si>
    <t>Comercio Al Por Menor En Establecimientos No Especializados Con Surtido Compuesto Principalmente Por Alimentos, Bebidas O Tabaco (G4711); Comercio Al Por Menor Realizado A Través De Internet (G4791); Expendio Por Autoservicio De Comidas Preparadas (I5612); Otras Actividades De Espectáculos En Vivo N.C.P. (R9008)</t>
  </si>
  <si>
    <t>Cr 100 B No. 73 69 Villas Del Madrigal</t>
  </si>
  <si>
    <t>cafeaciegas@gmail.com</t>
  </si>
  <si>
    <t>Jose David Diaz Huertas (Representante Legal)</t>
  </si>
  <si>
    <t>Café &amp; Sport Bar Fontibon Sas</t>
  </si>
  <si>
    <t>Cr 100 # 18 87</t>
  </si>
  <si>
    <t>cafebarfontibon@gmail.com</t>
  </si>
  <si>
    <t>Nuvia Carolina Pineda Orozco (Representante Legal)</t>
  </si>
  <si>
    <t>Cafe &amp; Sport Bar Chapinero Sas</t>
  </si>
  <si>
    <t>Cr 13 No. 52 A 08 Lc No. 5</t>
  </si>
  <si>
    <t>cafebarchapinero@gmail.com</t>
  </si>
  <si>
    <t>Claudio Daniel Mendez (Representante Legal)</t>
  </si>
  <si>
    <t>Cadenar Food Services Sas</t>
  </si>
  <si>
    <t>Kr 19 N. 8 A - 32</t>
  </si>
  <si>
    <t>cadenarfs@gmail.com</t>
  </si>
  <si>
    <t>Santiago Arias Espinosa (Representante Legal)</t>
  </si>
  <si>
    <t>Cacaote Sas</t>
  </si>
  <si>
    <t>Restaurantes y Otros Lugares para Comer(72251); Operadores Turísticos(56152); Otras Escuelas e Instituciones Instructivas(6116)</t>
  </si>
  <si>
    <t>Expendio Por Autoservicio De Comidas Preparadas (I5612); Actividades De Operadores Turísticos (N7912); Otros Tipos De Educación N.C.P. (P8559)</t>
  </si>
  <si>
    <t>Cr 4 # 12 B 13</t>
  </si>
  <si>
    <t>atencionalclientecacaote@gmail.com</t>
  </si>
  <si>
    <t>Maria Lizeth Caro Parra (Representante Legal)</t>
  </si>
  <si>
    <t>Cabaret Entertainment S.A.S</t>
  </si>
  <si>
    <t>Cl 109 No. 17 55</t>
  </si>
  <si>
    <t>info@cabaret.com.co</t>
  </si>
  <si>
    <t>Andres Felipe Guzman Patiño (Representante Legal)</t>
  </si>
  <si>
    <t>Cábalas Panadería Y Pastelería Sas</t>
  </si>
  <si>
    <t>Cr 83 No. 72 B 21</t>
  </si>
  <si>
    <t>cabalas.panaderia@gmail.com</t>
  </si>
  <si>
    <t>Ivan Camilo Matamoros Avila (Representante Legal)</t>
  </si>
  <si>
    <t>Caalma Café Sas</t>
  </si>
  <si>
    <t>Cl 119 No. 14 A - 26</t>
  </si>
  <si>
    <t>ANDRESLATORRE@HOTMAIL.COM</t>
  </si>
  <si>
    <t>Andres Francisco La Torre Taylor (Representante Legal)</t>
  </si>
  <si>
    <t>C.G Global Sas</t>
  </si>
  <si>
    <t>Restaurantes y Otros Lugares para Comer(72251); Servicios Especiales de Comida(7223); Oficinas de Agentes Inmobiliarios y Corredores(5312); Tiendas de Ropa(4481)</t>
  </si>
  <si>
    <t>Comercio Al Por Menor De Prendas De Vestir Y Sus Accesorios (Incluye Artículos De Piel) En Establecimientos Especializados (G4771); Expendio A La Mesa De Comidas Preparadas (I5611); Expendio Por Autoservicio De Comidas Preparadas (I5612); Actividades Inmobiliarias Realizadas A Cambio De Una Retribución O Por Contrata (L6820)</t>
  </si>
  <si>
    <t>Cl 156 No. 8 52</t>
  </si>
  <si>
    <t>grupogobla@gmail.com</t>
  </si>
  <si>
    <t>Camilo Andres Gonzalez Blanco (Representante Legal)</t>
  </si>
  <si>
    <t>C Royale Sas</t>
  </si>
  <si>
    <t>Calle 70 A 10 46</t>
  </si>
  <si>
    <t>c.royalesas@gmail.com</t>
  </si>
  <si>
    <t>Mario Alejandro Agostinelli Lombardo (Representante Legal)</t>
  </si>
  <si>
    <t>C I Mabia Sas</t>
  </si>
  <si>
    <t>Demás Diversas Escuelas y Enseñanza(611699); Bares y Otros Lugares para Beber(7224); Industrias Cinematográficas y de Vídeo(5121)</t>
  </si>
  <si>
    <t>Expendio De Bebidas Alcohólicas Para El Consumo Dentro Del Establecimiento (I5630); Actividades De Producción De Películas Cinematográficas, Videos, Programas, Anuncios Y Comerciales De Televisión (J5911); Formación Para El Trabajo (P8551)</t>
  </si>
  <si>
    <t>Otras actividades empresariales.comercio al por mayor de productos diversos ncp.</t>
  </si>
  <si>
    <t>Cr 15 B # 112 - 58 Apto 405</t>
  </si>
  <si>
    <t>miguelangelbaquero@gmail.com</t>
  </si>
  <si>
    <t>Miguel Angel Baquero Escobar (Representante Legal)</t>
  </si>
  <si>
    <t>C Cocina Sas</t>
  </si>
  <si>
    <t>Av Caracas No. 58 74</t>
  </si>
  <si>
    <t>arq.lopezcarlos@outlook.com</t>
  </si>
  <si>
    <t>Lopez Roa Carlos Mario (Representante Legal)</t>
  </si>
  <si>
    <t>Bytaste S.A.S.</t>
  </si>
  <si>
    <t>Cafeterías y Bares para Bebidas sin Alcohol(722515); Fabricación de Refrescos(312111); Servicios Especiales de Comida(7223)</t>
  </si>
  <si>
    <t>Elaboración De Bebidas No Alcohólicas, Producción De Aguas Minerales Y De Otras Aguas Embotelladas (C1104); Expendio A La Mesa De Comidas Preparadas (I5611); Expendio De Comidas Preparadas En Cafeterías (I5613); Otros Tipos De Expendio De Comidas Preparadas N.C.P. (I5619)</t>
  </si>
  <si>
    <t>Cl 80 No. 24 - 59 P 2</t>
  </si>
  <si>
    <t>calderon.ernesto94@gmail.com</t>
  </si>
  <si>
    <t>Ernesto Calderon Cajamarca (Representante Legal)</t>
  </si>
  <si>
    <t>Bysmet Saludable Sas</t>
  </si>
  <si>
    <t>Cr 9 No. 70 55</t>
  </si>
  <si>
    <t>bysmet.saludable.coffee@gmail.com</t>
  </si>
  <si>
    <t>Natalia Brigitte Devia Garcia (Representante Legal)</t>
  </si>
  <si>
    <t>Byc &amp; Co Proyectos E Inversiones S.A.S</t>
  </si>
  <si>
    <t>Cl 138 55 53 In 47</t>
  </si>
  <si>
    <t>agaveswy@gmail.com</t>
  </si>
  <si>
    <t>Wilmar Alfonso Cifuentes Chacon (Representante Legal)</t>
  </si>
  <si>
    <t>Business Food Sas</t>
  </si>
  <si>
    <t>Cafeterías y Bares para Bebidas sin Alcohol(722515); Fabricación de Chocolate y Pastelería(31135)</t>
  </si>
  <si>
    <t>Elaboración De Cacao, Chocolate Y Productos De Confitería (C1082); Expendio De Comidas Preparadas En Cafeterías (I5613)</t>
  </si>
  <si>
    <t>Ak 45 No. 102 10 P 9</t>
  </si>
  <si>
    <t>gerencialataza@gmail.com</t>
  </si>
  <si>
    <t>Claudia Marcela Medina Garcia (Representante Legal)</t>
  </si>
  <si>
    <t>Burguer Pig &amp; Grill S.A.S</t>
  </si>
  <si>
    <t>Carrera 72 67 15</t>
  </si>
  <si>
    <t>karlos_aros17@hotmail.com</t>
  </si>
  <si>
    <t>Carlos Andrés Aros Gil (Representante Legal)</t>
  </si>
  <si>
    <t>Burgos Inversiones &amp; Asociados Sas</t>
  </si>
  <si>
    <t>Tiendas de Medicamentos y Farmacias(44611); Bares y Otros Lugares para Beber(7224); Industrias de Juego(7132); Arrendadores de Bienes Inmuebles(5311)</t>
  </si>
  <si>
    <t>Comercio Al Por Menor De Productos Farmacéuticos Y Medicinales, Cosméticos Y Artículos De Tocador En Establecimientos Especializados (G4773); Expendio De Bebidas Alcohólicas Para El Consumo Dentro Del Establecimiento (I5630); Actividades Inmobiliarias Realizadas Con Bienes Propios O Arrendados (L6810); Actividades De Juegos De Azar Y Apuestas (R9200)</t>
  </si>
  <si>
    <t>Avenida La Esperanza # 58 - 87 Local 1</t>
  </si>
  <si>
    <t>burgosinversionesasociados@gmail.com</t>
  </si>
  <si>
    <t>Sandra Maria Gonzalez Vera (Representante Legal)</t>
  </si>
  <si>
    <t>Burgerbites S.A.S.</t>
  </si>
  <si>
    <t>Calle 140 # 12 09</t>
  </si>
  <si>
    <t>bregobog@gmail.com</t>
  </si>
  <si>
    <t>Urrea Amaya Nicolas (Representante Legal)</t>
  </si>
  <si>
    <t>Bures Sas</t>
  </si>
  <si>
    <t>Cafeterías y Bares para Bebidas sin Alcohol(722515); Tiendas de Electrodomésticos(443141); Fabricación de Todos los Demás Tipos de Alimentos Diversos(311999); Producción de Todos los Demás Tipos de Cultivos Diversos(111998)</t>
  </si>
  <si>
    <t>Explotación Mixta (Agrícola Y Pecuaria) (A0150); Elaboración De Otros Productos Alimenticios N.C.P. (C1089); Comercio Al Por Menor De Otros Artículos Domésticos En Establecimientos Especializados (G4759); Expendio De Comidas Preparadas En Cafeterías (I5613)</t>
  </si>
  <si>
    <t>Cr 57 No. 188 Ca 51</t>
  </si>
  <si>
    <t>bures.sas@outlook.com</t>
  </si>
  <si>
    <t>Andres Felipe Fajardo Bustos (Representante Legal)</t>
  </si>
  <si>
    <t>Buitrago &amp; Acevedo S En C</t>
  </si>
  <si>
    <t>Corretaje de Valores(52312); Bares y Otros Lugares para Beber(7224); Servicios Especiales de Comida(7223)</t>
  </si>
  <si>
    <t>Expendio A La Mesa De Comidas Preparadas (I5611); Expendio De Bebidas Alcohólicas Para El Consumo Dentro Del Establecimiento (I5630); Otras Actividades Relacionadas Con El Mercado De Valores (K6613)</t>
  </si>
  <si>
    <t>Cr 12 No. 11 - 50 St</t>
  </si>
  <si>
    <t>buitragogon@gmail.com</t>
  </si>
  <si>
    <t>Alberto Buitrago Gonzalez (Representante Legal)</t>
  </si>
  <si>
    <t>Buenos Vientos S.A.S</t>
  </si>
  <si>
    <t>Cr 21 No. 39A - 58</t>
  </si>
  <si>
    <t>buenos.vientos@mondonedo.co</t>
  </si>
  <si>
    <t>Ignacio De La Inmaculada Concepcion Sanz De Santamaria Jaramillo (Representante Legal)</t>
  </si>
  <si>
    <t>Buenasvistas Sas</t>
  </si>
  <si>
    <t>Cr 14 No. 98 51 Of 603</t>
  </si>
  <si>
    <t>contabilidad.buenasvistas@gmail.com</t>
  </si>
  <si>
    <t>Andres Felipe Prieto Arjona (Representante Legal)</t>
  </si>
  <si>
    <t>Budapest Group Sas</t>
  </si>
  <si>
    <t>Cl 85 No. 14 05</t>
  </si>
  <si>
    <t>administracion@budapestgroup.com.co</t>
  </si>
  <si>
    <t>Harold Arturo Chica Mendoza (Representante Legal)</t>
  </si>
  <si>
    <t>Buda Inversiones Sas</t>
  </si>
  <si>
    <t>Oficinas de Convenciones y Visitantes(561591); Otras Compañías de Artes Escénicas(71119); Bares y Otros Lugares para Beber(7224); Arrendadores de Bienes Inmuebles(5311)</t>
  </si>
  <si>
    <t>Expendio De Bebidas Alcohólicas Para El Consumo Dentro Del Establecimiento (I5630); Actividades Inmobiliarias Realizadas Con Bienes Propios O Arrendados (L6810); Organización De Convenciones Y Eventos Comerciales (N8230); Otras Actividades De Espectáculos En Vivo N.C.P. (R9008)</t>
  </si>
  <si>
    <t>Cra 45 59 29</t>
  </si>
  <si>
    <t>controljuridico2018@gmail.com</t>
  </si>
  <si>
    <t>Alberto Antonio Gutierrez Castro (Representante Legal)</t>
  </si>
  <si>
    <t>Bubu Burger S.A.S</t>
  </si>
  <si>
    <t>Cr 5 # 65 - 20</t>
  </si>
  <si>
    <t>facturas@bububurger.co</t>
  </si>
  <si>
    <t>Samuel Santiago Hoyos Aristizabal (Representante Legal)</t>
  </si>
  <si>
    <t>Bsh Group Sas</t>
  </si>
  <si>
    <t>Cl 140 # 12 - 9</t>
  </si>
  <si>
    <t>bogotasteakhouse@gmail.com</t>
  </si>
  <si>
    <t>Ivan Dario Varon Contreras (Representante Legal)</t>
  </si>
  <si>
    <t>Bruna Comercializadora De Cafe S.A.S</t>
  </si>
  <si>
    <t>Cafeterías y Bares para Bebidas sin Alcohol(722515); Institutos Técnicos y de Negocios(61151); Otros Servicios de Apoyo de Negocios(56149); Fabricación de Café y Té(31192)</t>
  </si>
  <si>
    <t>Descafeinado, Tostión Y Molienda Del Café (C1062); Expendio De Comidas Preparadas En Cafeterías (I5613); Otras Actividades De Servicio De Apoyo A Las Empresas N.C.P. (N8299); Educación Media Académica (P8522)</t>
  </si>
  <si>
    <t>Cr 9 # 16 - 20 Of 209</t>
  </si>
  <si>
    <t>limonjacobo@hotmail.com</t>
  </si>
  <si>
    <t>Leonardo Jacobo Rendon (Representante Legal)</t>
  </si>
  <si>
    <t>Brun Boulangerie Sas</t>
  </si>
  <si>
    <t>Calle 127 # 45 - 51</t>
  </si>
  <si>
    <t>BRUNBOGOTA@GMAIL.COM</t>
  </si>
  <si>
    <t>Daniela Ramirez Perez (Representante Legal)</t>
  </si>
  <si>
    <t>Brothers Mr S.A.S.</t>
  </si>
  <si>
    <t>Cafeterías y Bares para Bebidas sin Alcohol(722515); Arrendadores de Bienes Inmuebles(5311); Panaderías y Producción de Tortillas(3118)</t>
  </si>
  <si>
    <t>Elaboración De Productos De Panadería (C1081); Expendio De Comidas Preparadas En Cafeterías (I5613); Actividades Inmobiliarias Realizadas Con Bienes Propios O Arrendados (L6810)</t>
  </si>
  <si>
    <t>Cl 100 No. 19 - 61 Of 305</t>
  </si>
  <si>
    <t>jamr1408@hotmail.com</t>
  </si>
  <si>
    <t>Francy Lorena Mora Rincon (Representante Legal)</t>
  </si>
  <si>
    <t>Brothers Group Sas</t>
  </si>
  <si>
    <t>Cl 120 A 6 A 04</t>
  </si>
  <si>
    <t>jalzate31@hotmail.com</t>
  </si>
  <si>
    <t>Brooklyn Beer House Sas</t>
  </si>
  <si>
    <t>Cl 57 B No. 69 A 04</t>
  </si>
  <si>
    <t>fernandopr8324@gmail.com</t>
  </si>
  <si>
    <t>Fernando Peña Romero (Representante Legal)</t>
  </si>
  <si>
    <t>Brontisandwichs S.A.S</t>
  </si>
  <si>
    <t>Cafeterías y Bares para Bebidas sin Alcohol(722515); Otras Tiendas de Comidas Artesanales(44529); Carnicerías(44521)</t>
  </si>
  <si>
    <t>Comercio Al Por Menor De Leche, Productos Lácteos Y Huevos, En Establecimientos Especializados (G4722); Comercio Al Por Menor De Carnes (Incluye Aves De Corral), Productos Cárnicos, Pescados Y Productos De Mar, En Establecimientos Especializados (G4723); Comercio Al Por Menor De Otros Productos Alimenticios N.C.P., En Establecimientos Especializados (G4729); Expendio De Comidas Preparadas En Cafeterías (I5613)</t>
  </si>
  <si>
    <t>Diagonal 46 Sur 52 A 01</t>
  </si>
  <si>
    <t>brontisandwichssas@gmail.com</t>
  </si>
  <si>
    <t>Nelson Fernando Hurtado Florez (Representante Legal)</t>
  </si>
  <si>
    <t>Brionte Bar S.A.S</t>
  </si>
  <si>
    <t>Producción De Malta, Elaboración De Cervezas Y Otras Bebidas Malteadas (C1103); Expendio A La Mesa De Comidas Preparadas (I5611); Otros Tipos De Expendio De Comidas Preparadas N.C.P. (I5619); Expendio De Bebidas Alcohólicas Para El Consumo Dentro Del Establecimiento (I5630)</t>
  </si>
  <si>
    <t>Cl 135 No. 58 A 47 Bl 6 Ap 401</t>
  </si>
  <si>
    <t>davidvama0508@gmail.com</t>
  </si>
  <si>
    <t>David Alberto Valencia Martinez (Representante Legal)</t>
  </si>
  <si>
    <t>Briones Olvera Espectaculos Internacionales de Mexico S.A. V C</t>
  </si>
  <si>
    <t>Expendio de bebidas alcoholicas para el consumo dentro del establecimi.</t>
  </si>
  <si>
    <t>Cl 67 No 12-33</t>
  </si>
  <si>
    <t>laplaza@laplaza.bz</t>
  </si>
  <si>
    <t>Hernandez Nope Carlos Humbertoc (Representante Legal), Barrera Moreno Juan Carlos (Representante Legal Suplente), Heiner Garcia Ocampo (Revisor Fiscal), Hernandez Nope Carlos Humberto (Revisor Fiscal Suplente), Rodriguez Riaño Jose Henriy (Contador)</t>
  </si>
  <si>
    <t>Brigadeiria Bogota Sas</t>
  </si>
  <si>
    <t>Cafeterías y Bares para Bebidas sin Alcohol(722515); Fabricación de Chocolate y Pastelería(31135); Panaderías y Producción de Tortillas(3118)</t>
  </si>
  <si>
    <t>Elaboración De Productos De Panadería (C1081); Elaboración De Cacao, Chocolate Y Productos De Confitería (C1082); Expendio De Comidas Preparadas En Cafeterías (I5613); Actividades De Otros Servicios De Comidas (I5629)</t>
  </si>
  <si>
    <t>Cr 17 # 141 - 05 Loc</t>
  </si>
  <si>
    <t>brigadeiriabogota@gmail.com</t>
  </si>
  <si>
    <t>Natalia Amado Araujo (Representante Legal)</t>
  </si>
  <si>
    <t>Brezza Cocktails Sas</t>
  </si>
  <si>
    <t>Cl 131 No. 58 A 19</t>
  </si>
  <si>
    <t>brezza.cocktails.bog@gmail.com</t>
  </si>
  <si>
    <t>Mariana Forero Gutierrez (Representante Legal)</t>
  </si>
  <si>
    <t>Brekol Sas</t>
  </si>
  <si>
    <t>Expendio De Comidas Preparadas En Cafeterías (I5613); Otros Tipos De Expendio De Comidas Preparadas N.C.P. (I5619); Actividades De Otros Servicios De Comidas (I5629)</t>
  </si>
  <si>
    <t>Calle 90 No 12 - 45 Piso 6</t>
  </si>
  <si>
    <t>info@elbreak.co</t>
  </si>
  <si>
    <t>Marisabel Montenegro Jaramillo (Representante Legal)</t>
  </si>
  <si>
    <t>Braten S.A.S.</t>
  </si>
  <si>
    <t>Cl 24 No. 7 43 Lo 104</t>
  </si>
  <si>
    <t>ANDRESMATEUS728@GMAIL.COM</t>
  </si>
  <si>
    <t>Andres Parra Mateus (Representante Legal)</t>
  </si>
  <si>
    <t>Brasas Broaster La 24 Sas</t>
  </si>
  <si>
    <t>Cr 24 No. 68 12</t>
  </si>
  <si>
    <t>abj87339@gmail.com</t>
  </si>
  <si>
    <t>Carlos Fernando Ramirez Cruz (Representante Legal)</t>
  </si>
  <si>
    <t>Brasa Y Sazon 1 Sas</t>
  </si>
  <si>
    <t>Cl 9 No. 61 21</t>
  </si>
  <si>
    <t>brasaysazonsas@gmail.com</t>
  </si>
  <si>
    <t>David Colorado Rodriguez (Representante Legal)</t>
  </si>
  <si>
    <t>Bra Kaffe Sas</t>
  </si>
  <si>
    <t>Cafeterías y Bares para Bebidas sin Alcohol(722515); Otros Alojamientos para Viajeros(72119); Hoteles (excepto Hoteles Casino) y Moteles(72111)</t>
  </si>
  <si>
    <t>Alojamiento En Hoteles (I5511); Alojamiento En Apartahoteles (I5512); Alojamiento Rural (I5514); Expendio De Comidas Preparadas En Cafeterías (I5613)</t>
  </si>
  <si>
    <t>Cr 69 No. 98 A 11 Cc Floresta Outlet Lc</t>
  </si>
  <si>
    <t>brakaffe10@gmail.com</t>
  </si>
  <si>
    <t>Juan Carlos Garcia Niño (Representante Legal)</t>
  </si>
  <si>
    <t>Botanico Hostel S A S</t>
  </si>
  <si>
    <t>Demás Tipos de Alojamiento para Viajeros(721199); Empresas de Catering(72232); Bares y Otros Lugares para Beber(7224); Transporte Interurbano y Rural(4852)</t>
  </si>
  <si>
    <t>Transporte De Pasajeros (H4921); Otros Tipos De Alojamientos Para Visitantes (I5519); Catering Para Eventos (I5621); Expendio De Bebidas Alcohólicas Para El Consumo Dentro Del Establecimiento (I5630)</t>
  </si>
  <si>
    <t>Cr 2 No. 9 87</t>
  </si>
  <si>
    <t>botanicohostel@gmail.com</t>
  </si>
  <si>
    <t>Oscar Gabriel Payan Castellanos (Representante Legal)</t>
  </si>
  <si>
    <t>Boscoso Sas</t>
  </si>
  <si>
    <t>Cl 67 No. 4 A 41</t>
  </si>
  <si>
    <t>kpalaciomadrid@gmail.com</t>
  </si>
  <si>
    <t>Karla Mariana Palacio Madrid (Representante Legal)</t>
  </si>
  <si>
    <t>Borguers Sas</t>
  </si>
  <si>
    <t>Cr 53 No. 52 B 06 Sur</t>
  </si>
  <si>
    <t>JEISONOTAVO@GMAIL.COM</t>
  </si>
  <si>
    <t>Jeisson Leonardo Otavo Rojas (Representante Legal)</t>
  </si>
  <si>
    <t>Boox New York Pizza S.A.S</t>
  </si>
  <si>
    <t>Fabricación de Todos los Demás Tipos de Alimentos Diversos(311999); Restaurantes y Otros Lugares para Comer(72251); Otras Tiendas de Comidas Artesanales(44529); Servicios Especiales de Comida(7223)</t>
  </si>
  <si>
    <t>Elaboración De Otros Productos Alimenticios N.C.P. (C1089); Comercio Al Por Menor De Otros Productos Alimenticios N.C.P., En Establecimientos Especializados (G4729); Expendio Por Autoservicio De Comidas Preparadas (I5612); Otros Tipos De Expendio De Comidas Preparadas N.C.P. (I5619)</t>
  </si>
  <si>
    <t>Cr 13 No. 60 67</t>
  </si>
  <si>
    <t>BOOXNEWYORKPIZZA6@GMAIL.COM</t>
  </si>
  <si>
    <t>Lina Paola Torrado Ballesteros (Representante Legal)</t>
  </si>
  <si>
    <t>Bongosto Sas</t>
  </si>
  <si>
    <t>Cl 147 No. 12 41</t>
  </si>
  <si>
    <t>juanisco24@gmail.com</t>
  </si>
  <si>
    <t>Juanita Cortes Osorio (Representante Legal)</t>
  </si>
  <si>
    <t>Bongoos Sas</t>
  </si>
  <si>
    <t>Cl 53 No. 70 36</t>
  </si>
  <si>
    <t>bongoosas@gmail.com</t>
  </si>
  <si>
    <t>Luis Alejandro Rios Pacheco (Representante Legal)</t>
  </si>
  <si>
    <t>Bonggo Sas</t>
  </si>
  <si>
    <t>Calle 66 # 11 - 15</t>
  </si>
  <si>
    <t>bonggocolectivobc@gmail.com</t>
  </si>
  <si>
    <t>Johanna Paola Moreno Cobos (Representante Legal)</t>
  </si>
  <si>
    <t>Bolu Licores Sas</t>
  </si>
  <si>
    <t>Cafeterías y Bares para Bebidas sin Alcohol(722515); Carne Procesada de Canales(311612); Bares y Otros Lugares para Beber(7224); Cervecerías, Vinaterías y Tiendas de Licores(4453)</t>
  </si>
  <si>
    <t>Procesamiento Y Conservación De Carne Y Productos Cárnicos (C1011); Comercio Al Por Menor De Bebidas Y Productos Del Tabaco, En Establecimientos Especializados (G4724); Expendio De Comidas Preparadas En Cafeterías (I5613); Expendio De Bebidas Alcohólicas Para El Consumo Dentro Del Establecimiento (I5630)</t>
  </si>
  <si>
    <t>Cr 80 A No. 24 D 02</t>
  </si>
  <si>
    <t>bolulicores@gmail.com</t>
  </si>
  <si>
    <t>Silvia Jihovanna Otero Suarez (Representante Legal)</t>
  </si>
  <si>
    <t>Bolos Cedritos 151 Sas</t>
  </si>
  <si>
    <t>Cafeterías y Bares para Bebidas sin Alcohol(722515); Oficinas de Convenciones y Visitantes(561591); Demás Tipos de Industrias de Diversión y Recreativas(71399)</t>
  </si>
  <si>
    <t>Expendio De Comidas Preparadas En Cafeterías (I5613); Organización De Convenciones Y Eventos Comerciales (N8230); Gestión De Instalaciones Deportivas (R9311)</t>
  </si>
  <si>
    <t>Cr 19 No. 150 75</t>
  </si>
  <si>
    <t>enriquezuluagal@hotmail.com</t>
  </si>
  <si>
    <t>Enrique Zuluaga Laserna (Representante Legal)</t>
  </si>
  <si>
    <t>Boliroom S.A.S</t>
  </si>
  <si>
    <t>Calle 53 27 A 41 Piso 2</t>
  </si>
  <si>
    <t>boliroom01@gmail.com</t>
  </si>
  <si>
    <t>Posso Gomez Jonathan (Representante Legal)</t>
  </si>
  <si>
    <t>Bol&amp;Gol Bar S.A.S</t>
  </si>
  <si>
    <t>Calle 72 N. 78 - 53</t>
  </si>
  <si>
    <t>bolygolsas@gmail.com</t>
  </si>
  <si>
    <t>Jairo Enrique Vergara Florez (Representante Legal)</t>
  </si>
  <si>
    <t>Bokaditos Cafe C&amp;Y Sas</t>
  </si>
  <si>
    <t>bokaditoscafesas@gmail.com</t>
  </si>
  <si>
    <t>Cristian Fernando Antivar Pinto (Representante Legal)</t>
  </si>
  <si>
    <t>Bogota Urban Food Sas</t>
  </si>
  <si>
    <t>Cl 11 A 72 B 49</t>
  </si>
  <si>
    <t>urbanfoodrestaurante@gmail.com</t>
  </si>
  <si>
    <t>Maria Isabel Zapata Cano (Representante Legal)</t>
  </si>
  <si>
    <t>Bogati Sabor Adictivo Colombia Sas</t>
  </si>
  <si>
    <t>Cl 185 45 - 03 Lc # 3 - 122 Centro Comerci</t>
  </si>
  <si>
    <t>bogaticolombiasas@gmail.com</t>
  </si>
  <si>
    <t>Santiago René Castro Núñez (Representante Legal)</t>
  </si>
  <si>
    <t>Boga Waffles Sas</t>
  </si>
  <si>
    <t>Crr 86 No. 42B 51Sur Local 2 - 128 Brr Pa</t>
  </si>
  <si>
    <t>BOGACOMERCIAL@GMAIL.COM</t>
  </si>
  <si>
    <t>Kelly Adais Piñerua Salcedo (Representante Legal)</t>
  </si>
  <si>
    <t>Boedo Alimentos Sas</t>
  </si>
  <si>
    <t>Cr 69 J No. 63 - 45</t>
  </si>
  <si>
    <t>luiseduardobermejo1979@gmail.com</t>
  </si>
  <si>
    <t>Luis Eduardo Bermejo Montenegro (Representante Legal)</t>
  </si>
  <si>
    <t>Bodas Y Sociales S.A.S</t>
  </si>
  <si>
    <t>Catering Para Eventos (I5621); Actividades De Otros Servicios De Comidas (I5629); Expendio De Bebidas Alcohólicas Para El Consumo Dentro Del Establecimiento (I5630); Otras Actividades De Espectáculos En Vivo N.C.P. (R9008)</t>
  </si>
  <si>
    <t>Carrera 78 # 7D - 17</t>
  </si>
  <si>
    <t>bodasysociales.df@gmail.com</t>
  </si>
  <si>
    <t>Laura Natalia Torres Silva (Representante Legal)</t>
  </si>
  <si>
    <t>Bocaría D.C. Sas</t>
  </si>
  <si>
    <t>Cr 8 C No. 167 D 05</t>
  </si>
  <si>
    <t>bocariacolombia@gmail.com</t>
  </si>
  <si>
    <t>Carlos Eduardo Sanchez Camacho (Representante Legal)</t>
  </si>
  <si>
    <t>Bocafe Cafe Con Sabor Sas</t>
  </si>
  <si>
    <t>Cl 24 No. 9 29</t>
  </si>
  <si>
    <t>JAIRANDRES87@HOTMAIL.COM</t>
  </si>
  <si>
    <t>Jair Andres Rodriguez Leal (Representante Legal)</t>
  </si>
  <si>
    <t>Bocados Y Bebidas De Boyaca S.A.S</t>
  </si>
  <si>
    <t>Carrera 85 L 63 B 42</t>
  </si>
  <si>
    <t>bocadosybebidas@gmail.com</t>
  </si>
  <si>
    <t>Norberto Jose Rubio Torres (Representante Legal)</t>
  </si>
  <si>
    <t>Bocaboca Club S.A.S</t>
  </si>
  <si>
    <t>Carrera 58 128 A 29 Local 1</t>
  </si>
  <si>
    <t>bocabocabogota@gmail.com</t>
  </si>
  <si>
    <t>Willfran Eduardo Contreras Peraza (Representante Legal)</t>
  </si>
  <si>
    <t>Blue Internacional Sas</t>
  </si>
  <si>
    <t>Restaurantes y Otros Lugares para Comer(72251); Hoteles (excepto Hoteles Casino) y Moteles(72111); Arrendadores de Bienes Inmuebles(5311); Supermercados(4451)</t>
  </si>
  <si>
    <t>Comercio Al Por Menor En Establecimientos No Especializados Con Surtido Compuesto Principalmente Por Alimentos, Bebidas O Tabaco (G4711); Alojamiento En Hoteles (I5511); Expendio Por Autoservicio De Comidas Preparadas (I5612); Actividades Inmobiliarias Realizadas Con Bienes Propios O Arrendados (L6810)</t>
  </si>
  <si>
    <t>Ak 128 No. 17 - 92</t>
  </si>
  <si>
    <t>crcontabilidadelmilagrosas@gmail.com</t>
  </si>
  <si>
    <t>Jose Lider Velandia Linares (Representante Legal)</t>
  </si>
  <si>
    <t>Blue Cocktail Sas</t>
  </si>
  <si>
    <t>Cl 42 No. 7 29</t>
  </si>
  <si>
    <t>speakdalie@gmail.com</t>
  </si>
  <si>
    <t>Andres Felipe Sanchez (Representante Legal)</t>
  </si>
  <si>
    <t>Blue Capital S.A.S</t>
  </si>
  <si>
    <t>Cr 21 No. 128 D 36 Ap 1202</t>
  </si>
  <si>
    <t>blue.capital.alas@gmail.com</t>
  </si>
  <si>
    <t>Edna Margarita Gomez Lopez (Representante Legal)</t>
  </si>
  <si>
    <t>Blackbox Sas</t>
  </si>
  <si>
    <t>Cr 16 No. 96 46</t>
  </si>
  <si>
    <t>perez.felix300@gmail.com</t>
  </si>
  <si>
    <t>Felix Ezequiel Perez Acevedo (Representante Legal)</t>
  </si>
  <si>
    <t>Black Motor Company Sas</t>
  </si>
  <si>
    <t>Cl 146 No. 9 60</t>
  </si>
  <si>
    <t>info@blackmotorcompany.com</t>
  </si>
  <si>
    <t>Juan Sebastian Escobar Guzman (Representante Legal)</t>
  </si>
  <si>
    <t>Black Infinity Coffee Sas</t>
  </si>
  <si>
    <t>Cr 7 A No. 123 - 40</t>
  </si>
  <si>
    <t>blackinfinitycoffee@hotmail.com</t>
  </si>
  <si>
    <t>Black Ball Club Sas</t>
  </si>
  <si>
    <t>Cr 9 C No. 39 G Sur 20</t>
  </si>
  <si>
    <t>ADMIBLACKBALL6233@HOTMAIL.COM</t>
  </si>
  <si>
    <t>Angie Carolina Peña Rubiano (Representante Legal)</t>
  </si>
  <si>
    <t>Black And Molly S.A.S.</t>
  </si>
  <si>
    <t>Cl 97 # 70 89 Ca 15</t>
  </si>
  <si>
    <t>blackymollycraftbeer@gmail.com</t>
  </si>
  <si>
    <t>Andres Fabian Vivas Negret (Representante Legal)</t>
  </si>
  <si>
    <t>Bistrot S.A.S</t>
  </si>
  <si>
    <t>Calle 68 # 5 - 32</t>
  </si>
  <si>
    <t>njaramillo@grupogordo.com</t>
  </si>
  <si>
    <t>Camilo Giraldo Pelaez (Representante Legal)</t>
  </si>
  <si>
    <t>Bistrea Cafe Catering S.A.S</t>
  </si>
  <si>
    <t>Carrera 38 6 44</t>
  </si>
  <si>
    <t>bistreacafeteriasas@gmail.com</t>
  </si>
  <si>
    <t>Samuel Hernan Caro Pabon (Representante Legal)</t>
  </si>
  <si>
    <t>Bisonte Purpura Sas</t>
  </si>
  <si>
    <t>Cl 77 No. 13 32</t>
  </si>
  <si>
    <t>bisonteamericangrill@gmail.com</t>
  </si>
  <si>
    <t>Cristian Camilo Herrera Garcia (Representante Legal)</t>
  </si>
  <si>
    <t>Birra E Divertimento S.A.S.</t>
  </si>
  <si>
    <t>Cl 98 No. 10 56 Lc 101</t>
  </si>
  <si>
    <t>elbirrabogota@gmail.com</t>
  </si>
  <si>
    <t>Cristhian Alejandro Ascencio Urueña (Representante Legal)</t>
  </si>
  <si>
    <t>Birra &amp; Go Enterprise S.A.S</t>
  </si>
  <si>
    <t>Cr 51 No. 183 17 C 3</t>
  </si>
  <si>
    <t>joasanchez1982@gmail.com</t>
  </si>
  <si>
    <t>Lady Johanna Sanchez Cadena (Representante Legal)</t>
  </si>
  <si>
    <t>Bioplaza Sociedad Por Acciones Simplificada</t>
  </si>
  <si>
    <t>La empresa Bioplaza Sociedad Por Acciones Simplificada Sigla Bioplaza Sas se dedica a comercio al por menor de otros productos alimenticios, en establecimientos especializados. Opera en el mercado colombiano desde el año 2002.</t>
  </si>
  <si>
    <t>Tv 17 No. 98 - 13 Lc 105</t>
  </si>
  <si>
    <t>info@bioplaza.org</t>
  </si>
  <si>
    <t>www.bioplaza.org</t>
  </si>
  <si>
    <t>Alexander Helmut Von Loebell Krueger (Representante Legal)</t>
  </si>
  <si>
    <t>Bily Makon Sas</t>
  </si>
  <si>
    <t>Restaurantes y Otros Lugares para Comer(72251); Comerciantes al por Mayor de Calzado(42434); Fabricación de Calzado(3162)</t>
  </si>
  <si>
    <t>Comerciantes al por Mayor de Calzado(42434)</t>
  </si>
  <si>
    <t>Fabricación De Otros Tipos De Calzado, Excepto Calzado De Cuero Y Piel (C1522); Comercio Al Por Mayor De Calzado (G4643); Expendio Por Autoservicio De Comidas Preparadas (I5612)</t>
  </si>
  <si>
    <t>Comercio Al Por Mayor De Calzado (G4643)</t>
  </si>
  <si>
    <t>Dg 47 # 77 A 9 In 6</t>
  </si>
  <si>
    <t>bilymakonsas@gmail.com</t>
  </si>
  <si>
    <t>Yong Ye (Representante Legal)</t>
  </si>
  <si>
    <t>Billabol El Gordo S.A.S.</t>
  </si>
  <si>
    <t>Bares y Otros Lugares para Beber(7224); Industrias de Juego(7132); Supermercados(4451)</t>
  </si>
  <si>
    <t>Comercio Al Por Menor En Establecimientos No Especializados Con Surtido Compuesto Principalmente Por Alimentos, Bebidas O Tabaco (G4711); Expendio De Bebidas Alcohólicas Para El Consumo Dentro Del Establecimiento (I5630); Actividades De Juegos De Azar Y Apuestas (R9200)</t>
  </si>
  <si>
    <t>camiloleon1212@gmail.com</t>
  </si>
  <si>
    <t>Andres Camilo Cortes Leon (Representante Legal)</t>
  </si>
  <si>
    <t>Bikinis Sabrosura Sas</t>
  </si>
  <si>
    <t>Cr 2 A No. 72 12 Ap 402</t>
  </si>
  <si>
    <t>Bikfaiya Sas</t>
  </si>
  <si>
    <t>Comercio Al Por Menor De Carnes (Incluye Aves De Corral), Productos Cárnicos, Pescados Y Productos De Mar, En Establecimientos Especializados (G4723); Expendio A La Mesa De Comidas Preparadas (I5611); Otros Tipos De Expendio De Comidas Preparadas N.C.P. (I5619); Expendio De Bebidas Alcohólicas Para El Consumo Dentro Del Establecimiento (I5630)</t>
  </si>
  <si>
    <t>Cl 86 No. 10 88 Of 503</t>
  </si>
  <si>
    <t>lucilleschicken@gmail.com</t>
  </si>
  <si>
    <t>Camilo Bayter Arango (Representante Legal)</t>
  </si>
  <si>
    <t>Biit.Work Sas</t>
  </si>
  <si>
    <t>Cafeterías y Bares para Bebidas sin Alcohol(722515); Diseño de Sistemas Computacionales y Servicios Relacionados(54151); Demás Servicios de Información(51919)</t>
  </si>
  <si>
    <t>Expendio De Comidas Preparadas En Cafeterías (I5613); Actividades De Desarrollo De Sistemas Informáticos (Planificación, Análisis, Diseño, Programación, Pruebas) (J6201); Actividades De Consultoría Informática Y Actividades De Administración De Instalaciones Informáticas (J6202); Otras Actividades De Tecnologías De Información Y Actividades De Servicios Informáticos (J6209)</t>
  </si>
  <si>
    <t>Calle 134 A # 13 - 40</t>
  </si>
  <si>
    <t>administrativo@biit.work</t>
  </si>
  <si>
    <t>Reyes Torneros Edgar Eduardo (Representante Legal)</t>
  </si>
  <si>
    <t>Bigotones D.C. Sas</t>
  </si>
  <si>
    <t>Dg 25 G No. 95 A 85</t>
  </si>
  <si>
    <t>Santiago Salazar Serrano (Representante Legal)</t>
  </si>
  <si>
    <t>Big Brain Sas</t>
  </si>
  <si>
    <t>Cl 11 A No. 78 D 56 Ap 524</t>
  </si>
  <si>
    <t>andrea.sanchezl@yahoo.es</t>
  </si>
  <si>
    <t>Andrea Sanchez Lozano (Representante Legal)</t>
  </si>
  <si>
    <t>Big Bang Food Sas</t>
  </si>
  <si>
    <t>Cl 98 # 70 91 Ed Vardi</t>
  </si>
  <si>
    <t>bigbangfoody@gmail.com</t>
  </si>
  <si>
    <t>Natalia Velez Rodriguez (Representante Legal)</t>
  </si>
  <si>
    <t>Bienhecho Sas</t>
  </si>
  <si>
    <t>Cr 21 No. 128 D 45 Ca 20</t>
  </si>
  <si>
    <t>andrea@retailsolutions.com.co</t>
  </si>
  <si>
    <t>Giovanni Arturo Peñuela Rodriguez (Representante Legal)</t>
  </si>
  <si>
    <t>Bienestar Alimentos Sas</t>
  </si>
  <si>
    <t>Cl 95 No. 11 A - 51</t>
  </si>
  <si>
    <t>contacto@capitalbagels.com</t>
  </si>
  <si>
    <t>Victor Augusto Duque Redondo (Representante Legal)</t>
  </si>
  <si>
    <t>Bgm Group S.A.S</t>
  </si>
  <si>
    <t>Cl 154 No. 7 74</t>
  </si>
  <si>
    <t>bgm3sas@gmail.com</t>
  </si>
  <si>
    <t>Lina Yaneth Mieles Gonzalez (Representante Legal)</t>
  </si>
  <si>
    <t>Bf Company Group Sas</t>
  </si>
  <si>
    <t>Fabricación de Alimentos Preparados Perecederos(311991); Restaurantes y Otros Lugares para Comer(72251); Supermercados(4451)</t>
  </si>
  <si>
    <t>Elaboración De Comidas Y Platos Preparados (C1084); Comercio Al Por Menor En Establecimientos No Especializados Con Surtido Compuesto Principalmente Por Alimentos, Bebidas O Tabaco (G4711); Expendio Por Autoservicio De Comidas Preparadas (I5612)</t>
  </si>
  <si>
    <t>Cr 8 No. 189 A - 24 To 11 Ap 505</t>
  </si>
  <si>
    <t>bfcompanygroupsas@gmail.com</t>
  </si>
  <si>
    <t>Luz Marina Aponte Aldana (Representante Legal)</t>
  </si>
  <si>
    <t>Bervelpla S.A.S.</t>
  </si>
  <si>
    <t>Fabricación de Alimentos Preparados Perecederos(311991); Otro Tipo de Servicios de Preparación de Viajes y Reservaciones(56159); Bares y Otros Lugares para Beber(7224); Supermercados(4451)</t>
  </si>
  <si>
    <t>Elaboración De Comidas Y Platos Preparados (C1084); Comercio Al Por Menor En Establecimientos No Especializados Con Surtido Compuesto Principalmente Por Alimentos, Bebidas O Tabaco (G4711); Expendio De Bebidas Alcohólicas Para El Consumo Dentro Del Establecimiento (I5630); Otros Servicios De Reserva Y Actividades Relacionadas (N7990)</t>
  </si>
  <si>
    <t>Cl 213 # 114 10</t>
  </si>
  <si>
    <t>diegobervel68@gmail.com</t>
  </si>
  <si>
    <t>Diego Bernal Velez (Representante Legal)</t>
  </si>
  <si>
    <t>Berith Group Sas</t>
  </si>
  <si>
    <t>Cl 85 No 13 16</t>
  </si>
  <si>
    <t>samagastrobar@gmail.com</t>
  </si>
  <si>
    <t>Cindy Natalia Zarate Giraldo (Representante Legal)</t>
  </si>
  <si>
    <t>Berajá S.A.S</t>
  </si>
  <si>
    <t>Carrera 51 96 22</t>
  </si>
  <si>
    <t>berajacontable@gmail.com</t>
  </si>
  <si>
    <t>Marcado Peralta Mingyar (Representante Legal)</t>
  </si>
  <si>
    <t>Benítez Bernal Group Sas</t>
  </si>
  <si>
    <t>Cr 7 No. 51 A 18</t>
  </si>
  <si>
    <t>angela.bernal.bran@gmail.com</t>
  </si>
  <si>
    <t>Angela Patricia Bernal Bran (Representante Legal)</t>
  </si>
  <si>
    <t>Bendito Tejo Sas</t>
  </si>
  <si>
    <t>Cl 138 No. 47 28 P2</t>
  </si>
  <si>
    <t>benditotejo@gmail.com</t>
  </si>
  <si>
    <t>José Miguel Ruiz Morales (Representante Legal)</t>
  </si>
  <si>
    <t>Bendito Hostels Sas</t>
  </si>
  <si>
    <t>Otros Tipos De Alojamientos Para Visitantes (I5519); Expendio De Bebidas Alcohólicas Para El Consumo Dentro Del Establecimiento (I5630)</t>
  </si>
  <si>
    <t>Cr 16 No. 40 A 36</t>
  </si>
  <si>
    <t>rd@reinharddienes.com</t>
  </si>
  <si>
    <t>Heinrich Reinhart Dienes Diaz (Representante Legal)</t>
  </si>
  <si>
    <t>Bendito Elixir Sas</t>
  </si>
  <si>
    <t>Cr 17 70 A 56</t>
  </si>
  <si>
    <t>info@madriguera.com.co</t>
  </si>
  <si>
    <t>Sixto Acuña Acevedo (Representante Legal)</t>
  </si>
  <si>
    <t>Bendito D&amp;J S.A.S</t>
  </si>
  <si>
    <t>Otras Compañías de Artes Escénicas(71119); Grupos Musicales y Artistas(71113); Otros Servicios de Apoyo de Negocios(56149); Bares y Otros Lugares para Beber(7224)</t>
  </si>
  <si>
    <t>Expendio De Bebidas Alcohólicas Para El Consumo Dentro Del Establecimiento (I5630); Otras Actividades De Servicio De Apoyo A Las Empresas N.C.P. (N8299); Actividades De Espectáculos Musicales En Vivo (R9007); Otras Actividades De Espectáculos En Vivo N.C.P. (R9008)</t>
  </si>
  <si>
    <t>Cl 18 # 8 62 P 6</t>
  </si>
  <si>
    <t>contabilidadcrediopticas@gmail.com</t>
  </si>
  <si>
    <t>Jerson Stivens Gomez Romero (Representante Legal)</t>
  </si>
  <si>
    <t>Benditas Alas Sas</t>
  </si>
  <si>
    <t>Cl 8 Sur No 40 78</t>
  </si>
  <si>
    <t>benditasalasoficial@gmail.com</t>
  </si>
  <si>
    <t>Carlos Andres Castro Pineda (Representante Legal)</t>
  </si>
  <si>
    <t>Bendita Fabrica De Sueños S A S</t>
  </si>
  <si>
    <t>Cl 80 No. 12 A - 05</t>
  </si>
  <si>
    <t>delostres3@gmail.com</t>
  </si>
  <si>
    <t>Carolina Elizabeth Sifuentes Leigh (Representante Legal)</t>
  </si>
  <si>
    <t>Bendita Cocina Y Servicios Sas</t>
  </si>
  <si>
    <t>Cr 2 No. 92 - 24</t>
  </si>
  <si>
    <t>davidcaitos@hotmail.com</t>
  </si>
  <si>
    <t>Juan Andres Ruiz Rodriguez (Representante Legal)</t>
  </si>
  <si>
    <t>Beltfor S En C</t>
  </si>
  <si>
    <t>Cafeterías y Bares para Bebidas sin Alcohol(722515); Oficinas de Administrción Corporativas, Subsidiarias y Regionales(551114); Fabricación de Alimentos Preparados Perecederos(311991); Panaderías y Producción de Tortillas(3118)</t>
  </si>
  <si>
    <t>Elaboración De Productos De Panadería (C1081); Elaboración De Comidas Y Platos Preparados (C1084); Expendio De Comidas Preparadas En Cafeterías (I5613); Actividades De Administración Empresarial (M7010)</t>
  </si>
  <si>
    <t>Cr 80 No. 71 B 03</t>
  </si>
  <si>
    <t>beltforsenc@gmail.com</t>
  </si>
  <si>
    <t>Rosa Cecilia Beltran Beltran (Representante Legal)</t>
  </si>
  <si>
    <t>Belsegan &amp; Parrilla Sas</t>
  </si>
  <si>
    <t>Carrera 72 K No 36 - 99</t>
  </si>
  <si>
    <t>belseganparilla@gmail.com</t>
  </si>
  <si>
    <t>Segundo Angelico Beltran Pinilla (Representante Legal)</t>
  </si>
  <si>
    <t>Before Club Sas</t>
  </si>
  <si>
    <t>Oficinas de Convenciones y Visitantes(561591); Fabricación de Alimentos Preparados Perecederos(311991); Comerciantes al por Mayor de Otros Productos No Duraderos Diversos(42499); Bares y Otros Lugares para Beber(7224)</t>
  </si>
  <si>
    <t>Elaboración De Comidas Y Platos Preparados (C1084); Comercio Al Por Mayor De Otros Productos N.C.P. (G4669); Expendio De Bebidas Alcohólicas Para El Consumo Dentro Del Establecimiento (I5630); Organización De Convenciones Y Eventos Comerciales (N8230)</t>
  </si>
  <si>
    <t>Ak 14 No. 63 98</t>
  </si>
  <si>
    <t>beforeclub.2024@gmail.com</t>
  </si>
  <si>
    <t>Andres Adolfo Solano Bautista (Representante Legal)</t>
  </si>
  <si>
    <t>Beer's Place Sas En Liquidacion</t>
  </si>
  <si>
    <t>Cr 74 A Bis No. 23 G</t>
  </si>
  <si>
    <t>andreaalvaradocardenas@gmail.com</t>
  </si>
  <si>
    <t>Camilo Andres Castro Pedraza (Representante Legal)</t>
  </si>
  <si>
    <t>Beer Saloon Pub S.A.S</t>
  </si>
  <si>
    <t>Producción De Malta, Elaboración De Cervezas Y Otras Bebidas Malteadas (C1103); Expendio A La Mesa De Comidas Preparadas (I5611); Actividades De Otros Servicios De Comidas (I5629); Expendio De Bebidas Alcohólicas Para El Consumo Dentro Del Establecimiento (I5630)</t>
  </si>
  <si>
    <t>Cr 13 No. 13 24</t>
  </si>
  <si>
    <t>beersaloonpub@gmail.com</t>
  </si>
  <si>
    <t>Jaime Pacheco Bohorquez (Representante Legal)</t>
  </si>
  <si>
    <t>Beer Pals Sas</t>
  </si>
  <si>
    <t>Calle 94 N 72 A 92 Casa 39</t>
  </si>
  <si>
    <t>beerpals18@gmail.com</t>
  </si>
  <si>
    <t>Bebrand S A S</t>
  </si>
  <si>
    <t>Cafeterías y Bares para Bebidas sin Alcohol(722515); Dirección de Empresas(55111); Investigación del Mercado y Encuestas de Opinión Pública(54191); Agencias de Publicidad(54181)</t>
  </si>
  <si>
    <t>Expendio De Comidas Preparadas En Cafeterías (I5613); Actividades De Consultaría De Gestión (M7020); Publicidad (M7310); Estudios De Mercado Y Realización De Encuestas De Opinión Pública (M7320)</t>
  </si>
  <si>
    <t>Cra 97 No 22 A - 29</t>
  </si>
  <si>
    <t>info@bebrandco.com</t>
  </si>
  <si>
    <t>Oscar Martinez Gomez (Representante Legal)</t>
  </si>
  <si>
    <t>Bebidas Naturales Sas</t>
  </si>
  <si>
    <t>Cl 74 C No. 69 B 49</t>
  </si>
  <si>
    <t>nativosuniversidadexternado@gmail.com</t>
  </si>
  <si>
    <t>Miguel Angel Ureta Lamprea (Representante Legal)</t>
  </si>
  <si>
    <t>Beaujon Corp S.A.S</t>
  </si>
  <si>
    <t>Cr 8 No. 127 76</t>
  </si>
  <si>
    <t>abrahamjose84@hotmail.com</t>
  </si>
  <si>
    <t>Abraham Jose Camacho Rivas (Representante Legal)</t>
  </si>
  <si>
    <t>Beats Pal Mundo S.A.S</t>
  </si>
  <si>
    <t>Expendio De Bebidas Alcohólicas Para El Consumo Dentro Del Establecimiento (I5630); Alquiler Y Arrendamiento De Equipo Recreativo Y Deportivo (N7721); Gestión De Instalaciones Deportivas (R9311); Otras Actividades Deportivas (R9319)</t>
  </si>
  <si>
    <t>Vda Paso Ancho Zipa Fca San Gabriel</t>
  </si>
  <si>
    <t>cgalvisc@gmail.com</t>
  </si>
  <si>
    <t>Bears And Beers S.A.S</t>
  </si>
  <si>
    <t>Carrera 19 A 53 58</t>
  </si>
  <si>
    <t>carjuva@hotmail.com</t>
  </si>
  <si>
    <t>Lopez Poveda Cristian Guillermo (Representante Legal)</t>
  </si>
  <si>
    <t>Bearlove Sas</t>
  </si>
  <si>
    <t>Cr 9 A No. 60 37</t>
  </si>
  <si>
    <t>bearlovefacturas@gmail.com</t>
  </si>
  <si>
    <t>Jorge Andres Bolivar Herrera (Representante Legal)</t>
  </si>
  <si>
    <t>Beale Services S.A.S</t>
  </si>
  <si>
    <t>Calle 58 Bis 10 - 07 Local 107</t>
  </si>
  <si>
    <t>bealeservices@gmail.com</t>
  </si>
  <si>
    <t>Alessio Ciardini (Representante Legal)</t>
  </si>
  <si>
    <t>Beacon M &amp; H S.A.S</t>
  </si>
  <si>
    <t>Cafeterías y Bares para Bebidas sin Alcohol(722515); Servicios de Apoyo de Instalaciones(5612)</t>
  </si>
  <si>
    <t>Servicios de Apoyo de Instalaciones(5612)</t>
  </si>
  <si>
    <t>Expendio De Comidas Preparadas En Cafeterías (I5613); Actividades Combinadas De Apoyo A Instalaciones (N8110)</t>
  </si>
  <si>
    <t>Actividades Combinadas De Apoyo A Instalaciones (N8110)</t>
  </si>
  <si>
    <t>Cl 147 D No. 95 80</t>
  </si>
  <si>
    <t>beaconmhsas@gmail.com</t>
  </si>
  <si>
    <t>Mendez Caballero Jefferson Alberto (Representante Legal)</t>
  </si>
  <si>
    <t>Beachcoffee S.A.S</t>
  </si>
  <si>
    <t>Calle 63 F 80 A 81</t>
  </si>
  <si>
    <t>beachcoffee23@gmail.com</t>
  </si>
  <si>
    <t>Nelson Andres Castro Avila (Representante Legal)</t>
  </si>
  <si>
    <t>Bcdd Inversiones S.A.S</t>
  </si>
  <si>
    <t>Cl 84 No. 14 19</t>
  </si>
  <si>
    <t>el.zatiro.bar@gmail.com</t>
  </si>
  <si>
    <t>Bbt Todo La 97 Sas</t>
  </si>
  <si>
    <t>Tiendas de Mercancía General, incluyendo Grandes Almacenes(45231); Comerciantes al por Mayor de Tabaco y Productos de Tabaco(42494); Bares y Otros Lugares para Beber(7224); Cervecerías, Vinaterías y Tiendas de Licores(4453); Comerciantes al por Mayor de Cerveza, Vino y Bebidas Alcohólicas(4248)</t>
  </si>
  <si>
    <t>Comercio Al Por Mayor De Bebidas Y Tabaco (G4632); Comercio Al Por Menor En Establecimientos No Especializados, Con Surtido Compuesto Principalmente Por Productos Diferentes De Alimentos (Víveres En General), Bebidas Y Tabaco (G4719); Comercio Al Por Menor De Bebidas Y Productos Del Tabaco, En Establecimientos Especializados (G4724); Expendio De Bebidas Alcohólicas Para El Consumo Dentro Del Establecimiento (I5630)</t>
  </si>
  <si>
    <t>Cr 9 A Este No. 97 48 Km 5 Via La Caler</t>
  </si>
  <si>
    <t>bbt.todola97@gmail.com</t>
  </si>
  <si>
    <t>Rodrigo Estiven Paladinez Garzon (Representante Legal)</t>
  </si>
  <si>
    <t>Bbbien Sas</t>
  </si>
  <si>
    <t>Calle 81 8 60</t>
  </si>
  <si>
    <t>felipe.santander@mac.com</t>
  </si>
  <si>
    <t>Camilo Felipe Evan Santander Endell (Representante Legal)</t>
  </si>
  <si>
    <t>Baum 100 S A S</t>
  </si>
  <si>
    <t>Carrera 14 No. 82</t>
  </si>
  <si>
    <t>cheo@baumclub.com</t>
  </si>
  <si>
    <t>Nelson Albeiro Cubillos Cifuentes (Representante Legal)</t>
  </si>
  <si>
    <t>Batidos Express Sas</t>
  </si>
  <si>
    <t>Carrera 14 A 12 12</t>
  </si>
  <si>
    <t>batidosexpress.sas@gmail.com</t>
  </si>
  <si>
    <t>Juan David Rodriguez Mahecha (Representante Legal)</t>
  </si>
  <si>
    <t>Bastille Sas</t>
  </si>
  <si>
    <t>Cl 12 B # 6 58 Lc 112</t>
  </si>
  <si>
    <t>e.bonnefon@gmail.com</t>
  </si>
  <si>
    <t>Edouard Jacques Guillaume Bonnefon (Representante Legal)</t>
  </si>
  <si>
    <t>Basilico Gourmet Empresarial Sas</t>
  </si>
  <si>
    <t>Cr 42 Bis No. 17 A 59</t>
  </si>
  <si>
    <t>jorfogali@gmail.com</t>
  </si>
  <si>
    <t>Jorge Enrique Forero Galindo (Representante Legal)</t>
  </si>
  <si>
    <t>Basan Art Sas</t>
  </si>
  <si>
    <t>Restaurantes y Otros Lugares para Comer(72251); Compañías de Teatro y Cena Teatros(71111); Demás Servicios Profesionales, Científicos y Técnicos(54199)</t>
  </si>
  <si>
    <t>Expendio Por Autoservicio De Comidas Preparadas (I5612); Otras Actividades Profesionales, Científicas Y Técnicas N.C.P. (M7490); Actividades Teatrales (R9006)</t>
  </si>
  <si>
    <t>Cl 40 C Sur No. 72 M 75 Of 108</t>
  </si>
  <si>
    <t>vivianasanchezprada@outlook.com</t>
  </si>
  <si>
    <t>Astrid Viviana Sanchez Prada (Representante Legal)</t>
  </si>
  <si>
    <t>Baruch Heru Sas</t>
  </si>
  <si>
    <t>Cr 24 63 31</t>
  </si>
  <si>
    <t>heru.baruch@gmail.com</t>
  </si>
  <si>
    <t>Ruth Evelia Casas Montaño (Representante Legal)</t>
  </si>
  <si>
    <t>Baristro Cafe S.A.S</t>
  </si>
  <si>
    <t>Cafeterías y Bares para Bebidas sin Alcohol(722515); Cervecerías, Vinaterías y Tiendas de Licores(4453); Supermercados(4451)</t>
  </si>
  <si>
    <t>Comercio Al Por Menor En Establecimientos No Especializados Con Surtido Compuesto Principalmente Por Alimentos, Bebidas O Tabaco (G4711); Comercio Al Por Menor De Bebidas Y Productos Del Tabaco, En Establecimientos Especializados (G4724); Expendio De Comidas Preparadas En Cafeterías (I5613)</t>
  </si>
  <si>
    <t>Ak 70 # 99 55</t>
  </si>
  <si>
    <t>baristrocafe@hotmail.com</t>
  </si>
  <si>
    <t>German Gutierrez Hurtado (Representante Legal)</t>
  </si>
  <si>
    <t>Bares Colombianos S.A.S</t>
  </si>
  <si>
    <t>Cl 99 No. 9 A - 29 L</t>
  </si>
  <si>
    <t>danielmollerberdugo@yahoo.es</t>
  </si>
  <si>
    <t>Daniel Moller Berdugo (Representante Legal)</t>
  </si>
  <si>
    <t>Barcaders Sas</t>
  </si>
  <si>
    <t>Cl 7 D 81 B 03</t>
  </si>
  <si>
    <t>rafael.martinez@barcaders.com</t>
  </si>
  <si>
    <t>Laura Viviana Caceres (Representante Legal)</t>
  </si>
  <si>
    <t>Barberlot S.A.S.</t>
  </si>
  <si>
    <t>Cl 138 No. 56 A 29 P 2</t>
  </si>
  <si>
    <t>sandraortegon@gmail.com</t>
  </si>
  <si>
    <t>Sandra Liliana Ortegon Garcia (Representante Legal)</t>
  </si>
  <si>
    <t>Barbaros Brewing Co. Sas</t>
  </si>
  <si>
    <t>barbarosbrewingco@hotmail.com</t>
  </si>
  <si>
    <t>Rommel Andres Fernandez Mora (Representante Legal)</t>
  </si>
  <si>
    <t>Barbados Club S.A.S</t>
  </si>
  <si>
    <t>Servicios de Cuidado de Uñas, Pelo y Piel(81211); Otros Servicios Personales(8129); Bares y Otros Lugares para Beber(7224)</t>
  </si>
  <si>
    <t>Expendio De Bebidas Alcohólicas Para El Consumo Dentro Del Establecimiento (I5630); Peluquería Y Otros Tratamientos De Belleza (S9602); Otras Actividades De Servicios Personales N.C.P. (S9609)</t>
  </si>
  <si>
    <t>Cl 26 Sur No. 73 B 30</t>
  </si>
  <si>
    <t>marketing@barbadosclub.com.co</t>
  </si>
  <si>
    <t>Joan Sebastian Juanias Pulido (Representante Legal)</t>
  </si>
  <si>
    <t>Barbacoa Eventos &amp; Parrilla S A S</t>
  </si>
  <si>
    <t>Cr 50 B No. 64 43 To</t>
  </si>
  <si>
    <t>barbacoaeventos@outlook.com</t>
  </si>
  <si>
    <t>Maritza Yolanda Peña Florez (Representante Legal)</t>
  </si>
  <si>
    <t>Bar Y Licorera El Dolar Sas</t>
  </si>
  <si>
    <t>Cr 16 No. 23 51</t>
  </si>
  <si>
    <t>arismedivale2815@gmail.com</t>
  </si>
  <si>
    <t>Aurora Linares (Representante Legal)</t>
  </si>
  <si>
    <t>Bar Proyecto X Sas</t>
  </si>
  <si>
    <t>Cr 16 No. 33 A 22</t>
  </si>
  <si>
    <t>proyecto889@gmail.com</t>
  </si>
  <si>
    <t>Laura Valentina Rodriguez Lourido (Representante Legal)</t>
  </si>
  <si>
    <t>Bar Los Reyes Del Ajedrez Sas</t>
  </si>
  <si>
    <t>Av Jimenez No. 9 68 78</t>
  </si>
  <si>
    <t>Bar El Rincon De Los Compadres Sas</t>
  </si>
  <si>
    <t>Cl 132 # 48 15</t>
  </si>
  <si>
    <t>barelrincondeloscompadres@gmail.com</t>
  </si>
  <si>
    <t>Carolina Zipa Borda (Representante Legal)</t>
  </si>
  <si>
    <t>Bar Boli Club La Rana Dorada Sas</t>
  </si>
  <si>
    <t>Cr 24 No. 78 11</t>
  </si>
  <si>
    <t>alejoviera@gmail.com</t>
  </si>
  <si>
    <t>Sanchez Briñez John Alejandro (Representante Legal)</t>
  </si>
  <si>
    <t>Baptista Café Sas</t>
  </si>
  <si>
    <t>Cr 13 A No. 28 48 Mz 2 Lc 147 162</t>
  </si>
  <si>
    <t>baptistacafe.sas@gmail.com</t>
  </si>
  <si>
    <t>Diana Carolina Baptista Gonzalez (Representante Legal)</t>
  </si>
  <si>
    <t>Bandoleros Sas</t>
  </si>
  <si>
    <t>Cr 77 J No. 69 B Sur</t>
  </si>
  <si>
    <t>dabg5296@gmail.com</t>
  </si>
  <si>
    <t>Diego Alexander Bonilla Guzman (Representante Legal)</t>
  </si>
  <si>
    <t>Bamboulo Sas</t>
  </si>
  <si>
    <t>Cl 66 A No. 96 06</t>
  </si>
  <si>
    <t>bambouloco@gmail.com</t>
  </si>
  <si>
    <t>Nelson Ricardo Jorge Buitrago (Representante Legal)</t>
  </si>
  <si>
    <t>Balv Sas</t>
  </si>
  <si>
    <t>Carrera 13 A # 38 - 35 Local 1 Ed. Catal</t>
  </si>
  <si>
    <t>gerencia@lavagabundabistro.com</t>
  </si>
  <si>
    <t>Fredy Leonar Rivera Villabon (Representante Legal)</t>
  </si>
  <si>
    <t>Balrod S A S</t>
  </si>
  <si>
    <t>Cafeterías y Bares para Bebidas sin Alcohol(722515); Hoteles (excepto Hoteles Casino) y Moteles(72111); Construcción de Edificios Residenciales(23611); Construcción de Edificios No Residenciales(2362)</t>
  </si>
  <si>
    <t>Construcción De Edificios Residenciales (F4111); Construcción De Edificios No Residenciales (F4112); Alojamiento En Hoteles (I5511); Expendio De Comidas Preparadas En Cafeterías (I5613)</t>
  </si>
  <si>
    <t>Tv 80 No. 215 30</t>
  </si>
  <si>
    <t>balrod.hbhp@gmail.com</t>
  </si>
  <si>
    <t>Luis Hernando Rodriguez Gutierrez (Representante Legal)</t>
  </si>
  <si>
    <t>Balkon 80 Sas</t>
  </si>
  <si>
    <t>Cr 68 C No. 79 93 P</t>
  </si>
  <si>
    <t>wilmer.garzon@hotmail.com</t>
  </si>
  <si>
    <t>Wilmer Edilson Garzon Herrera (Representante Legal)</t>
  </si>
  <si>
    <t>Bakery &amp; Flavors Colombia Sas</t>
  </si>
  <si>
    <t>Cl 165 No. 8 H 40 Lc 1</t>
  </si>
  <si>
    <t>byfcolombia@gmail.com</t>
  </si>
  <si>
    <t>Poveda Cruz Diego Luis (Representante Legal)</t>
  </si>
  <si>
    <t>Bakeds Delicias Horneadas S.A.S</t>
  </si>
  <si>
    <t>Elaboración De Otros Productos Alimenticios N.C.P. (C1089); Expendio Por Autoservicio De Comidas Preparadas (I5612); Expendio De Comidas Preparadas En Cafeterías (I5613); Actividades De Otros Servicios De Comidas (I5629)</t>
  </si>
  <si>
    <t>Calle 3 No. 63 G - 22</t>
  </si>
  <si>
    <t>deliciahorneada@gmail.com</t>
  </si>
  <si>
    <t>Ingrid Consuelo Alarcon (Representante Legal)</t>
  </si>
  <si>
    <t>Bakedlunch Sas</t>
  </si>
  <si>
    <t>Cr 13 No. 32 08 12</t>
  </si>
  <si>
    <t>pandeyukitos1@hotmail.com</t>
  </si>
  <si>
    <t>Oscar Emiro Baquero Hernandez (Representante Legal)</t>
  </si>
  <si>
    <t>Bahia Y Licores Sas</t>
  </si>
  <si>
    <t>Cl 24C No 80A 06</t>
  </si>
  <si>
    <t>carlitos24sep@gmail.com</t>
  </si>
  <si>
    <t>Carlos Eduardo Angarita Herrera (Representante Legal)</t>
  </si>
  <si>
    <t>Bacomidas Sas</t>
  </si>
  <si>
    <t>Cl 97 No. 23 60 Of 205</t>
  </si>
  <si>
    <t>jumajadsa@hotmail.com</t>
  </si>
  <si>
    <t>Juan Carlos Ruiz Estupiñan (Representante Legal)</t>
  </si>
  <si>
    <t>Baco Pizzería Sas</t>
  </si>
  <si>
    <t>Cr 14 No. 78 40</t>
  </si>
  <si>
    <t>lausurg@gmail.com</t>
  </si>
  <si>
    <t>Laura Cristina Herrera Bermudez (Representante Legal)</t>
  </si>
  <si>
    <t>Babilonia Club S.A.S</t>
  </si>
  <si>
    <t>Cr 91 # 145A - 12</t>
  </si>
  <si>
    <t>Babará Sas</t>
  </si>
  <si>
    <t>Cl 104 No. 14 A 44</t>
  </si>
  <si>
    <t>carlos.mesa@yahoo.com</t>
  </si>
  <si>
    <t>Jimena Mesa Acevedo (Representante Legal)</t>
  </si>
  <si>
    <t>B. Gourmet Sas</t>
  </si>
  <si>
    <t>Cl 138 No. 57 38 In</t>
  </si>
  <si>
    <t>blancach_1@hotmail.com</t>
  </si>
  <si>
    <t>Blanca Ruth Chaparro Roberto (Representante Legal)</t>
  </si>
  <si>
    <t>B&amp;T Associates Sas</t>
  </si>
  <si>
    <t>Carrera20 # 70 - 15</t>
  </si>
  <si>
    <t>sebasleonel01031998@gmail.com</t>
  </si>
  <si>
    <t>Johan Sebastian Miranda Leonel (Representante Legal)</t>
  </si>
  <si>
    <t>B&amp;M Mtajes Y Asesorias Sas</t>
  </si>
  <si>
    <t>Dirección de Empresas(55111); Bares y Otros Lugares para Beber(7224); Servicios Especiales de Comida(7223); Otras Construcciones Pesadas y de Ingeniería Civil(2379)</t>
  </si>
  <si>
    <t>Construcción De Otras Obras De Ingeniería Civil (F4290); Expendio A La Mesa De Comidas Preparadas (I5611); Expendio De Bebidas Alcohólicas Para El Consumo Dentro Del Establecimiento (I5630); Actividades De Consultaría De Gestión (M7020)</t>
  </si>
  <si>
    <t>Cl 63 C No. 69 32</t>
  </si>
  <si>
    <t>a_blancoa@hotmail.com</t>
  </si>
  <si>
    <t>Alexander Manuel Blanco Arrieta (Representante Legal)</t>
  </si>
  <si>
    <t>B&amp;C Artcol Sas</t>
  </si>
  <si>
    <t>Tiendas de Electrodomésticos(443141); Restaurantes y Otros Lugares para Comer(72251); Tiendas de Mercancía General, incluyendo Grandes Almacenes(45231); Servicios Especiales de Comida(7223)</t>
  </si>
  <si>
    <t>Comercio Al Por Menor En Establecimientos No Especializados, Con Surtido Compuesto Principalmente Por Productos Diferentes De Alimentos (Víveres En General), Bebidas Y Tabaco (G4719); Comercio Al Por Menor De Artículos Y Utensilios De Uso Doméstico (G4755); Expendio A La Mesa De Comidas Preparadas (I5611); Expendio Por Autoservicio De Comidas Preparadas (I5612)</t>
  </si>
  <si>
    <t>Calle 10 9 A 02</t>
  </si>
  <si>
    <t>sales@bcartcol.com</t>
  </si>
  <si>
    <t>Luisa Fernanda Bohorquez Ceron (Representante Legal)</t>
  </si>
  <si>
    <t>B&amp;B Wafles S.A.S.</t>
  </si>
  <si>
    <t>Cr 12 No. 119 21</t>
  </si>
  <si>
    <t>chaconclau@gmail.com</t>
  </si>
  <si>
    <t>Claudia Viviana Chacon Rico (Representante Legal)</t>
  </si>
  <si>
    <t>Azul Celeste Soluciones S.A.S.</t>
  </si>
  <si>
    <t>Cafeterías y Bares para Bebidas sin Alcohol(722515); Empresas de Catering(72232); Comercio de Artículos Electrónicos y Electrodomésticos(44314); Otras Construcciones Pesadas y de Ingeniería Civil(2379)</t>
  </si>
  <si>
    <t>Construcción De Otras Obras De Ingeniería Civil (F4290); Comercio Al Por Menor De Computadores, Equipos Periféricos, Programas De Informática Y Equipos De Telecomunicaciones En Establecimientos Especializados (G4741); Expendio De Comidas Preparadas En Cafeterías (I5613); Catering Para Eventos (I5621)</t>
  </si>
  <si>
    <t>Cl 123 47 56</t>
  </si>
  <si>
    <t>azulcelestesoluciones@gmail.com</t>
  </si>
  <si>
    <t>Edilberto Rojas Rojas (Representante Legal)</t>
  </si>
  <si>
    <t>Azai Servicios Profesionales De Alimentacion Sas</t>
  </si>
  <si>
    <t>Comercio Al Por Menor En Establecimientos No Especializados Con Surtido Compuesto Principalmente Por Alimentos, Bebidas O Tabaco (G4711); Expendio Por Autoservicio De Comidas Preparadas (I5612); Expendio De Comidas Preparadas En Cafeterías (I5613)</t>
  </si>
  <si>
    <t>Cll 19 No. 105 - 20 1 Piso</t>
  </si>
  <si>
    <t>azaideli@gmail.com</t>
  </si>
  <si>
    <t>Edgar Ramon Peña Valenzuela (Representante Legal)</t>
  </si>
  <si>
    <t>Aydrus S.A.S</t>
  </si>
  <si>
    <t>Comercio Al Por Mayor De Productos Alimenticios (G4631); Expendio De Comidas Preparadas En Cafeterías (I5613); Otros Tipos De Expendio De Comidas Preparadas N.C.P. (I5619)</t>
  </si>
  <si>
    <t>Calle 165 A 62 88</t>
  </si>
  <si>
    <t>aydruscafe@gmail.com</t>
  </si>
  <si>
    <t>Karen Dayanna Bermudez Cuenca (Representante Legal)</t>
  </si>
  <si>
    <t>Ax1 Gourmet S A S</t>
  </si>
  <si>
    <t>Cra 18 # 88 17 Of 602</t>
  </si>
  <si>
    <t>admincol@lalucha.com.pe</t>
  </si>
  <si>
    <t>Juan David Carrillo Gavanzo (Representante Legal)</t>
  </si>
  <si>
    <t>Awkbogota Sas</t>
  </si>
  <si>
    <t>Calle 139 # 103 D</t>
  </si>
  <si>
    <t>fernandosepulveda280@gmail.com</t>
  </si>
  <si>
    <t>Eli Fernando Sepulveda Corzo (Representante Legal)</t>
  </si>
  <si>
    <t>Awake Club S.A.S</t>
  </si>
  <si>
    <t>Carrera 19 150 24</t>
  </si>
  <si>
    <t>awakeclub150@gmail.com</t>
  </si>
  <si>
    <t>Gloria Ines Arevalo De Saenz (Representante Legal)</t>
  </si>
  <si>
    <t>Awake Afterhours S.A.S.</t>
  </si>
  <si>
    <t>Cr 19 No. 150 24 P 2</t>
  </si>
  <si>
    <t>awkafterhours@gmail.com</t>
  </si>
  <si>
    <t>Claudia Marcela Saldaña Jimenez (Representante Legal)</t>
  </si>
  <si>
    <t>Avmaria Café S.A.S</t>
  </si>
  <si>
    <t>Cafeterías y Bares para Bebidas sin Alcohol(722515); Fabricación de Café y Té(31192); Supermercados(4451); Panaderías y Producción de Tortillas(3118)</t>
  </si>
  <si>
    <t>Descafeinado, Tostión Y Molienda Del Café (C1062); Elaboración De Productos De Panadería (C1081); Comercio Al Por Menor En Establecimientos No Especializados Con Surtido Compuesto Principalmente Por Alimentos, Bebidas O Tabaco (G4711); Expendio De Comidas Preparadas En Cafeterías (I5613)</t>
  </si>
  <si>
    <t>Cc Sabana Plaza Cl 13 No. 19 71</t>
  </si>
  <si>
    <t>avmariacafe@gmail.com</t>
  </si>
  <si>
    <t>Alejandro Angel Londoño (Representante Legal)</t>
  </si>
  <si>
    <t>Avena El Buen Sabor Sas</t>
  </si>
  <si>
    <t>Cafeterías y Bares para Bebidas sin Alcohol(722515); Oficinas de Convenciones y Visitantes(561591); Fabricación de Productos Lácteos(3115); Molinos de Granos y Semillas de Aceite(3112)</t>
  </si>
  <si>
    <t>Molinos de Granos y Semillas de Aceite(3112)</t>
  </si>
  <si>
    <t>Elaboración De Productos Lácteos (C1040); Elaboración De Productos De Molinería (C1051); Expendio De Comidas Preparadas En Cafeterías (I5613); Organización De Convenciones Y Eventos Comerciales (N8230)</t>
  </si>
  <si>
    <t>Elaboración De Productos De Molinería (C1051)</t>
  </si>
  <si>
    <t>Dg 52 B No. 27 60 Sur</t>
  </si>
  <si>
    <t>avenaelbuensabor@gmail.com</t>
  </si>
  <si>
    <t>Bairon Julian Forero Ruiz (Representante Legal)</t>
  </si>
  <si>
    <t>Ave María Purísima De Las Flores S.A.S</t>
  </si>
  <si>
    <t>Cl 109 No. 14 20 Ap</t>
  </si>
  <si>
    <t>avemariapurisimacol@gmail.com</t>
  </si>
  <si>
    <t>Camilo Gomez Barajas (Representante Legal)</t>
  </si>
  <si>
    <t>Av Consultoria E Inversiones Sas</t>
  </si>
  <si>
    <t>Cl 182 No. 45 85 Ca</t>
  </si>
  <si>
    <t>gerencia.av@outlook.com</t>
  </si>
  <si>
    <t>Josman Augusto Vasquez Leon (Representante Legal)</t>
  </si>
  <si>
    <t>Autoservicios Y Surtiviveres Sas</t>
  </si>
  <si>
    <t>Restaurantes y Otros Lugares para Comer(72251); Tiendas de Venta Directa(4543); Supermercados(4451)</t>
  </si>
  <si>
    <t>Comercio Al Por Menor En Establecimientos No Especializados Con Surtido Compuesto Principalmente Por Alimentos, Bebidas O Tabaco (G4711); Otros Tipos De Comercio Al Por Menor No Realizado En Establecimientos, Puestos De Venta O Mercados. (G4799); Expendio Por Autoservicio De Comidas Preparadas (I5612)</t>
  </si>
  <si>
    <t>Cr 75 No. 24 D 06</t>
  </si>
  <si>
    <t>autoservicios66@gmail.com</t>
  </si>
  <si>
    <t>Yeny Marcela Cardenas Gil (Representante Legal)</t>
  </si>
  <si>
    <t>Auto Servicio Uganda Rubio Y Ayala S.A.S</t>
  </si>
  <si>
    <t>Cl 49 No. 13 - 06</t>
  </si>
  <si>
    <t>Authentic German Kebab S.A.S</t>
  </si>
  <si>
    <t>Cr 28 No 86 - 55 Torre 2 Ap 304</t>
  </si>
  <si>
    <t>facturas@kebista.com</t>
  </si>
  <si>
    <t>Christoph Andreas Herholz (Representante Legal)</t>
  </si>
  <si>
    <t>Aurora Cafe Y Pasteleria Sas</t>
  </si>
  <si>
    <t>Cr 45 A No. 103 95</t>
  </si>
  <si>
    <t>AURORA.COFFEE.PASTRY@GMAIL.COM</t>
  </si>
  <si>
    <t>Juan Camilo Tabares Torres (Representante Legal)</t>
  </si>
  <si>
    <t>Auditorio Zona 16 Sas</t>
  </si>
  <si>
    <t>Dirección de Empresas(55111); Bares y Otros Lugares para Beber(7224); Servicios Especiales de Comida(7223); Supermercados(4451)</t>
  </si>
  <si>
    <t>Comercio Al Por Menor En Establecimientos No Especializados Con Surtido Compuesto Principalmente Por Alimentos, Bebidas O Tabaco (G4711); Expendio A La Mesa De Comidas Preparadas (I5611); Expendio De Bebidas Alcohólicas Para El Consumo Dentro Del Establecimiento (I5630); Actividades De Consultaría De Gestión (M7020)</t>
  </si>
  <si>
    <t>Cl 12 No. 33 27</t>
  </si>
  <si>
    <t>inmigrantrecords@gmail.com</t>
  </si>
  <si>
    <t>William Alberto Rubio Clavijo (Representante Legal)</t>
  </si>
  <si>
    <t>Atlas Chapinero S.A.S</t>
  </si>
  <si>
    <t>Cl 57 No. 4 17</t>
  </si>
  <si>
    <t>atlaschapinero@gmail.com</t>
  </si>
  <si>
    <t>Ana Maria Jaramillo Arango (Representante Legal)</t>
  </si>
  <si>
    <t>Atlantisinka S.A.S</t>
  </si>
  <si>
    <t>Tv 4 Este No. 61 05</t>
  </si>
  <si>
    <t>recursohumano.inka@gmail.com</t>
  </si>
  <si>
    <t>Atlantes Soluciones S.A.S</t>
  </si>
  <si>
    <t>Restaurantes y Otros Lugares para Comer(72251); Demás Tipos de Industrias de Diversión y Recreativas(71399); Servicios de Consejería(56172)</t>
  </si>
  <si>
    <t>Expendio Por Autoservicio De Comidas Preparadas (I5612); Limpieza General Interior De Edificios (N8121); Gestión De Instalaciones Deportivas (R9311)</t>
  </si>
  <si>
    <t>Cra 89 No. 22 - 86</t>
  </si>
  <si>
    <t>atlantes_sas@hotmail.com</t>
  </si>
  <si>
    <t>Marcos Uriel Gutierrez Robles (Representante Legal)</t>
  </si>
  <si>
    <t>Atenea Box S A S</t>
  </si>
  <si>
    <t>Cafeterías y Bares para Bebidas sin Alcohol(722515); Demás Tipos de Industrias de Diversión y Recreativas(71399); Enseñanza de Deporte y Recreación(61162); Escuelas de Bellas Artes(61161)</t>
  </si>
  <si>
    <t>Expendio De Comidas Preparadas En Cafeterías (I5613); Enseñanza Deportiva Y Recreativa (P8552); Enseñanza Cultural (P8553); Gestión De Instalaciones Deportivas (R9311)</t>
  </si>
  <si>
    <t>Cra 8 # 1A - 52 Sur</t>
  </si>
  <si>
    <t>ateneaboxclub20@gmail.com</t>
  </si>
  <si>
    <t>Luz Eliana Ariza Suarez (Representante Legal)</t>
  </si>
  <si>
    <t>Astrolove Sas</t>
  </si>
  <si>
    <t>Cl 27 No. 6 73 Lc</t>
  </si>
  <si>
    <t>facturacionbocadelobo@gmail.com</t>
  </si>
  <si>
    <t>Juan Guillermo Garavito Gutierrez (Representante Legal)</t>
  </si>
  <si>
    <t>Asovenco Sas En Liquidacion</t>
  </si>
  <si>
    <t>Cl 39 No. 26 A - 22 Lc 3</t>
  </si>
  <si>
    <t>dpaez5@hotmail.com</t>
  </si>
  <si>
    <t>Daniel Eduardo Paez Zerpa (Representante Legal)</t>
  </si>
  <si>
    <t>Asociados En Inversiones Gastronomicas Sas</t>
  </si>
  <si>
    <t>Otras Compañías de Artes Escénicas(71119); Producción Cinematográfica y de Video(51211); Bares y Otros Lugares para Beber(7224); Servicios Especiales de Comida(7223)</t>
  </si>
  <si>
    <t>Expendio A La Mesa De Comidas Preparadas (I5611); Expendio De Bebidas Alcohólicas Para El Consumo Dentro Del Establecimiento (I5630); Actividades De Posproducción De Películas Cinematográficas, Videos, Programas, Anuncios Y Comerciales De Televisión (J5912); Creación Audiovisual (R9004)</t>
  </si>
  <si>
    <t>Dg 13 A Sur No. 6 26</t>
  </si>
  <si>
    <t>andreavivas2008@gmail.com</t>
  </si>
  <si>
    <t>William Stiven Velasquez Fonseca (Representante Legal)</t>
  </si>
  <si>
    <t>Asher Productos Alimenticios S.A.S</t>
  </si>
  <si>
    <t>Cl 22 B No. 65 28 To 4 Ap 512</t>
  </si>
  <si>
    <t>ASHERPRODUCTOSALIMENTICIOS@GMAIL.COM</t>
  </si>
  <si>
    <t>Maribel Nohemi Rodas Aguayo (Representante Legal)</t>
  </si>
  <si>
    <t>Asesoria Y Logistica Empresarial S A S</t>
  </si>
  <si>
    <t>Oficinas de Administrción Corporativas, Subsidiarias y Regionales(551114); Bares y Otros Lugares para Beber(7224); Servicios Especiales de Comida(7223); Industrias de Juego(7132)</t>
  </si>
  <si>
    <t>Otros Tipos De Expendio De Comidas Preparadas N.C.P. (I5619); Expendio De Bebidas Alcohólicas Para El Consumo Dentro Del Establecimiento (I5630); Actividades De Administración Empresarial (M7010); Actividades De Juegos De Azar Y Apuestas (R9200)</t>
  </si>
  <si>
    <t>Cl 23 No. 97 61</t>
  </si>
  <si>
    <t>giulianomora75@gmail.com</t>
  </si>
  <si>
    <t>Giuliano Alberto Mora Parra (Representante Legal)</t>
  </si>
  <si>
    <t>Ascanio Restaurantes Y Bares Sas</t>
  </si>
  <si>
    <t>Ac 19 No. 28 80 Lc C12</t>
  </si>
  <si>
    <t>gerencia@ascanio.com.co</t>
  </si>
  <si>
    <t>Alvaro Fernando Ascanio Romero (Representante Legal)</t>
  </si>
  <si>
    <t>Asados Express Sas</t>
  </si>
  <si>
    <t>Cl 44 No. 54 58</t>
  </si>
  <si>
    <t>asadosexpresscorporativosas@gmail.com</t>
  </si>
  <si>
    <t>Yeisson Steven Benavides Obando (Representante Legal)</t>
  </si>
  <si>
    <t>Asadero Cimarron Del Llano S.A.S</t>
  </si>
  <si>
    <t>Av El Dorado No. 73 06</t>
  </si>
  <si>
    <t>asaderocimarron@gmail.com</t>
  </si>
  <si>
    <t>Hugo Humberto Romero Roa (Representante Legal)</t>
  </si>
  <si>
    <t>Arttaller Sas</t>
  </si>
  <si>
    <t>Cafeterías y Bares para Bebidas sin Alcohol(722515); Servicios de Arquitectura(54131); Fabricación de Muebles y Productos Relacionados(337)</t>
  </si>
  <si>
    <t>Fabricación De Muebles (C3110); Expendio De Comidas Preparadas En Cafeterías (I5613); Actividades De Arquitectura (M7111)</t>
  </si>
  <si>
    <t>Carrera 17 68 30</t>
  </si>
  <si>
    <t>arttaller.bogota@gmail.com</t>
  </si>
  <si>
    <t>Ana Maria Cristina Gomez Bernal (Representante Legal)</t>
  </si>
  <si>
    <t>Artesana Cocina Familiar Sas</t>
  </si>
  <si>
    <t>Cl 119 No. 12 28</t>
  </si>
  <si>
    <t>anabuenahora1@hotmail.com</t>
  </si>
  <si>
    <t>Ana Buenahora Acevedo (Representante Legal)</t>
  </si>
  <si>
    <t>Arte Y Cocina F&amp;J Sas En Liquidacion</t>
  </si>
  <si>
    <t>Cl 119 No. 50 50 In</t>
  </si>
  <si>
    <t>arteycocina@outlook.com</t>
  </si>
  <si>
    <t>Art De Rue Collective Sas.</t>
  </si>
  <si>
    <t>Servicios de Cuidado de Uñas, Pelo y Piel(81211); Bares y Otros Lugares para Beber(7224); Servicios de Diseño Especializado(5414); Tiendas de Ropa(4481)</t>
  </si>
  <si>
    <t>Comercio Al Por Menor De Prendas De Vestir Y Sus Accesorios (Incluye Artículos De Piel) En Establecimientos Especializados (G4771); Expendio De Bebidas Alcohólicas Para El Consumo Dentro Del Establecimiento (I5630); Actividades Especializadas De Diseño (M7410); Peluquería Y Otros Tratamientos De Belleza (S9602)</t>
  </si>
  <si>
    <t>Cr 8 A 42 25</t>
  </si>
  <si>
    <t>artderuegroup@gmail.com</t>
  </si>
  <si>
    <t>Nicolas Diaz Arias (Representante Legal)</t>
  </si>
  <si>
    <t>Arrecifé Pescadería Parrilla Bar Sas</t>
  </si>
  <si>
    <t>Expendio A La Mesa De Comidas Preparadas (I5611); Actividades De Otros Servicios De Comidas (I5629); Expendio De Bebidas Alcohólicas Para El Consumo Dentro Del Establecimiento (I5630); Otras Actividades Recreativas Y De Esparcimiento N.C.P. (R9329)</t>
  </si>
  <si>
    <t>Calle 75 # 94 - 34</t>
  </si>
  <si>
    <t>distribuidorarrecife14@gmail.com</t>
  </si>
  <si>
    <t>Lina Marcela Castillo Maestre (Representante Legal)</t>
  </si>
  <si>
    <t>Arrayanes S A S</t>
  </si>
  <si>
    <t>Cafeterías y Bares para Bebidas sin Alcohol(722515); Demás Tipos de Industrias de Diversión y Recreativas(71399); Servicios de Paisajismo(56173)</t>
  </si>
  <si>
    <t>Expendio De Comidas Preparadas En Cafeterías (I5613); Actividades De Paisajismo Y Servicios De Mantenimiento Conexos (N8130); Gestión De Instalaciones Deportivas (R9311); Actividades De Clubes Deportivos (R9312)</t>
  </si>
  <si>
    <t>Calle 209 # 104 - 14</t>
  </si>
  <si>
    <t>campodeportivoarrayanes@gmail.com</t>
  </si>
  <si>
    <t>Mario Alexander Benavides Camargo (Representante Legal)</t>
  </si>
  <si>
    <t>Arquitectura Y Café Sas</t>
  </si>
  <si>
    <t>Cafeterías y Bares para Bebidas sin Alcohol(722515); Dirección de Empresas(55111); Servicios de Arquitectura(54131); Otras Tiendas de Comidas Artesanales(44529)</t>
  </si>
  <si>
    <t>Servicios de Arquitectura(54131)</t>
  </si>
  <si>
    <t>Comercio Al Por Menor De Otros Productos Alimenticios N.C.P., En Establecimientos Especializados (G4729); Expendio De Comidas Preparadas En Cafeterías (I5613); Actividades De Consultaría De Gestión (M7020); Actividades De Arquitectura (M7111)</t>
  </si>
  <si>
    <t>Actividades De Arquitectura (M7111)</t>
  </si>
  <si>
    <t>Cr 8 A No. 15 66 Sur</t>
  </si>
  <si>
    <t>jcjuanca91@gmail.com</t>
  </si>
  <si>
    <t>Juan Carlos Triana (Representante Legal)</t>
  </si>
  <si>
    <t>Aroma Café &amp; Parrilla Sas</t>
  </si>
  <si>
    <t>Cl 43 Sur No. 52 A 21</t>
  </si>
  <si>
    <t>epcconsultorias.sas@hotmail.com</t>
  </si>
  <si>
    <t>Amparo Vega Camacho (Representante Legal)</t>
  </si>
  <si>
    <t>Aroma &amp; Bocado Sas</t>
  </si>
  <si>
    <t>Cr 13 No. 11 96 Lc 4</t>
  </si>
  <si>
    <t>aromaybocadosas@gmail.com</t>
  </si>
  <si>
    <t>Luz Myrian Gomez Sierra (Representante Legal)</t>
  </si>
  <si>
    <t>Armónico Café Sas</t>
  </si>
  <si>
    <t>Cr 27 B No. 68 22</t>
  </si>
  <si>
    <t>armonicocafe@gmail.com</t>
  </si>
  <si>
    <t>Valeryt Dayhanna Valencia Rengifo (Representante Legal)</t>
  </si>
  <si>
    <t>Ares Pub Sas</t>
  </si>
  <si>
    <t>Cr 14 A No. 83 30 Lc P 1</t>
  </si>
  <si>
    <t>arespubbog@gmail.com</t>
  </si>
  <si>
    <t>Nestor Hernando Guerra Rivera (Representante Legal)</t>
  </si>
  <si>
    <t>Arepas Gourmet Fd S.A.S</t>
  </si>
  <si>
    <t>Cl 45 A Sur No. 88 C 98</t>
  </si>
  <si>
    <t>arepasgourmetfd@gmail.com</t>
  </si>
  <si>
    <t>David Felipe Giraldo Restrepo (Representante Legal)</t>
  </si>
  <si>
    <t>Arena Mx S.A.S.</t>
  </si>
  <si>
    <t>infoarenamx@grupomx.co</t>
  </si>
  <si>
    <t>Arena Food Market Sas</t>
  </si>
  <si>
    <t>Cl 16 No. 4 40 Ap 1603</t>
  </si>
  <si>
    <t>cayerbe@gmail.com</t>
  </si>
  <si>
    <t>Julian Rene Romero (Representante Legal)</t>
  </si>
  <si>
    <t>Aredulce Sas</t>
  </si>
  <si>
    <t>Cr 67 No. 11 06</t>
  </si>
  <si>
    <t>d.olma.r@hotmail.com</t>
  </si>
  <si>
    <t>Dolly Maribel Malagon Lozano (Representante Legal)</t>
  </si>
  <si>
    <t>Arco Iris Spa Ltda</t>
  </si>
  <si>
    <t>Cr 34 25 - 63</t>
  </si>
  <si>
    <t>marasa3000@hotmail.com</t>
  </si>
  <si>
    <t>Ramos Sanchez Mario (Representante Legal)</t>
  </si>
  <si>
    <t>Arcangel San Miguel Sas</t>
  </si>
  <si>
    <t>Cr 22 No. 71 69</t>
  </si>
  <si>
    <t>elviama75@hotmail.com</t>
  </si>
  <si>
    <t>Elvia Maria Gonzalez Lozano (Representante Legal)</t>
  </si>
  <si>
    <t>Arcana Cerveceria Artesanal Sas</t>
  </si>
  <si>
    <t>Cl 31 A No. 16 23</t>
  </si>
  <si>
    <t>arcanacerveceriaartesanal@gmail.com</t>
  </si>
  <si>
    <t>Juan Camilo Pinzon Torres (Representante Legal)</t>
  </si>
  <si>
    <t>Arbol De Mil Ramas Sas</t>
  </si>
  <si>
    <t>Cra 15 No. 85 61</t>
  </si>
  <si>
    <t>Margarita Rosa Cantillo Martinez (Representante Legal)</t>
  </si>
  <si>
    <t>Arbeto Colombia S.A.S.</t>
  </si>
  <si>
    <t>Oficinas de Administrción Corporativas, Subsidiarias y Regionales(551114); Bares y Otros Lugares para Beber(7224); Comerciantes al por Mayor de Prendas de Vestir, Bienes que se Venden por Yarda y Accesorios(4243)</t>
  </si>
  <si>
    <t>Comercio Al Por Mayor De Productos Textiles, Productos Confeccionados Para Uso Doméstico (G4641); Comercio Al Por Mayor De Prendas De Vestir (G4642); Expendio De Bebidas Alcohólicas Para El Consumo Dentro Del Establecimiento (I5630); Actividades De Administración Empresarial (M7010)</t>
  </si>
  <si>
    <t>Comercio Al Por Mayor De Prendas De Vestir (G4642)</t>
  </si>
  <si>
    <t>Cr 11 No. 146 22 P 2</t>
  </si>
  <si>
    <t>arbetocolombia@gmail.com</t>
  </si>
  <si>
    <t>Mauricio Arias (Representante Legal)</t>
  </si>
  <si>
    <t>Aramitas Restaurant S.A.S</t>
  </si>
  <si>
    <t>Calle 19 Bis 1 07</t>
  </si>
  <si>
    <t>lacocinadearamita@gmail.com</t>
  </si>
  <si>
    <t>Leidy Katherine Segura Muñoz (Representante Legal)</t>
  </si>
  <si>
    <t>Arab Bros Entertainment Coffee Sas</t>
  </si>
  <si>
    <t>Cl 146 No. 21 54 In 401</t>
  </si>
  <si>
    <t>assistant@inshavo.consulting</t>
  </si>
  <si>
    <t>Osama Basha (Representante Legal)</t>
  </si>
  <si>
    <t>Arab Bros Entertainment Co Sas</t>
  </si>
  <si>
    <t>Cl 146 No. 21 - 54 In 401</t>
  </si>
  <si>
    <t>colombia@insharo.consulting</t>
  </si>
  <si>
    <t>Jiryis Faruk Jalilie Alvarez (Representante Legal)</t>
  </si>
  <si>
    <t>Ar Natural Sas</t>
  </si>
  <si>
    <t>Cr 13 A No. 106 A - 33 Ap 404</t>
  </si>
  <si>
    <t>derrom@yahoo.com</t>
  </si>
  <si>
    <t>Desiree Roselia Romero Payares (Representante Legal)</t>
  </si>
  <si>
    <t>Ar Catering S.A.S</t>
  </si>
  <si>
    <t>Cr 70 C No. 1 72 In</t>
  </si>
  <si>
    <t>arcateringsas@gmail.com</t>
  </si>
  <si>
    <t>Andres Ricardo Vasquez Cabarique (Representante Legal)</t>
  </si>
  <si>
    <t>Ar &amp; Cm Sas</t>
  </si>
  <si>
    <t>Reparación y Mantenimiento de Vehículos(8111); Bares y Otros Lugares para Beber(7224); Servicios Especiales de Comida(7223); Supermercados(4451)</t>
  </si>
  <si>
    <t>Mantenimiento Y Reparación De Vehículos Automotores (G4520); Comercio Al Por Menor En Establecimientos No Especializados Con Surtido Compuesto Principalmente Por Alimentos, Bebidas O Tabaco (G4711); Expendio A La Mesa De Comidas Preparadas (I5611); Expendio De Bebidas Alcohólicas Para El Consumo Dentro Del Establecimiento (I5630)</t>
  </si>
  <si>
    <t>Cr 50 No. 17 50 Sur</t>
  </si>
  <si>
    <t>fkarolmarti@hotmail.com</t>
  </si>
  <si>
    <t>Sandra Carolina Martinez Rodriguez (Representante Legal)</t>
  </si>
  <si>
    <t>Aquí Y Ahora Café Sas</t>
  </si>
  <si>
    <t>Cl 39 G No. 68 I 89 Sur</t>
  </si>
  <si>
    <t>cafeaquiyahora@hotmail.com</t>
  </si>
  <si>
    <t>Paola Andrea Villalobos Riaño (Representante Legal)</t>
  </si>
  <si>
    <t>Aqua Company Producciones Sas</t>
  </si>
  <si>
    <t>Cafeterías y Bares para Bebidas sin Alcohol(722515); Otras Compañías de Artes Escénicas(71119); Otros Servicios de Apoyo de Negocios(56149)</t>
  </si>
  <si>
    <t>Expendio De Comidas Preparadas En Cafeterías (I5613); Otras Actividades De Servicio De Apoyo A Las Empresas N.C.P. (N8299); Otras Actividades De Espectáculos En Vivo N.C.P. (R9008)</t>
  </si>
  <si>
    <t>Cr 103 D No 82 - 55</t>
  </si>
  <si>
    <t>caritto.canta@gmail.com</t>
  </si>
  <si>
    <t>Abigail Viña Serna (Representante Legal)</t>
  </si>
  <si>
    <t>Aprissa Pizza P.S Sas</t>
  </si>
  <si>
    <t>Cll 39 B Sur No. 73 A 54</t>
  </si>
  <si>
    <t>aprisapizza@gmail.com</t>
  </si>
  <si>
    <t>Pedro Enrique Sanchez Pinzon (Representante Legal)</t>
  </si>
  <si>
    <t>Apptender Group Sas</t>
  </si>
  <si>
    <t>Diseño de Sistemas Computacionales y Servicios Relacionados(54151); Demás Servicios de Información(51919); Bares y Otros Lugares para Beber(7224)</t>
  </si>
  <si>
    <t>Expendio De Bebidas Alcohólicas Para El Consumo Dentro Del Establecimiento (I5630); Actividades De Desarrollo De Sistemas Informáticos (Planificación, Análisis, Diseño, Programación, Pruebas) (J6201); Actividades De Consultoría Informática Y Actividades De Administración De Instalaciones Informáticas (J6202); Otras Actividades De Tecnologías De Información Y Actividades De Servicios Informáticos (J6209)</t>
  </si>
  <si>
    <t>Cl 80 No. 73 A 21 Bl 2 Ap 224</t>
  </si>
  <si>
    <t>apptender2020@gmail.com</t>
  </si>
  <si>
    <t>William Vargas Aguilar (Representante Legal)</t>
  </si>
  <si>
    <t>Apolo Licores S.A.S</t>
  </si>
  <si>
    <t>Fabricación de Refrescos(312111); Comerciantes al por Mayor de Tabaco y Productos de Tabaco(42494); Bares y Otros Lugares para Beber(7224); Comerciantes al por Mayor de Cerveza, Vino y Bebidas Alcohólicas(4248)</t>
  </si>
  <si>
    <t>Elaboración De Bebidas No Alcohólicas, Producción De Aguas Minerales Y De Otras Aguas Embotelladas (C1104); Comercio Al Por Mayor De Bebidas Y Tabaco (G4632); Expendio De Bebidas Alcohólicas Para El Consumo Dentro Del Establecimiento (I5630)</t>
  </si>
  <si>
    <t>Cl 181 D No. 15 02</t>
  </si>
  <si>
    <t>apololicures@gmail.com</t>
  </si>
  <si>
    <t>Jose Javier Polo Delgado (Representante Legal)</t>
  </si>
  <si>
    <t>Aplicaciones Integrales S A S</t>
  </si>
  <si>
    <t>Cafeterías y Bares para Bebidas sin Alcohol(722515); Agencias de Publicidad(54181); Servicios Especiales de Comida(7223); Supermercados(4451)</t>
  </si>
  <si>
    <t>Comercio Al Por Menor En Establecimientos No Especializados Con Surtido Compuesto Principalmente Por Alimentos, Bebidas O Tabaco (G4711); Expendio A La Mesa De Comidas Preparadas (I5611); Expendio De Comidas Preparadas En Cafeterías (I5613); Publicidad (M7310)</t>
  </si>
  <si>
    <t>Carrera 69 M No. 70 - 64</t>
  </si>
  <si>
    <t>aplicacionesintegrales@hotmail.com</t>
  </si>
  <si>
    <t>Napoleon Rojas Caicedo (Representante Legal)</t>
  </si>
  <si>
    <t>Aparrado Sas En Liquidacion</t>
  </si>
  <si>
    <t>Cl 70 No. 1 50 Este Ap 403</t>
  </si>
  <si>
    <t>ale.1022@hotmail.com</t>
  </si>
  <si>
    <t>Claudia Alejandra Parrado Farfan (Representante Legal)</t>
  </si>
  <si>
    <t>Ap Production Sas</t>
  </si>
  <si>
    <t>Cr 13 # 153 - 80</t>
  </si>
  <si>
    <t>FRODRIGUEZ@APERTHURA.COM</t>
  </si>
  <si>
    <t>Edgar Felipe Rodriguez Rangel (Representante Legal)</t>
  </si>
  <si>
    <t>Antro Cantina Sas</t>
  </si>
  <si>
    <t>Cl 81 No. 11 - 94 P 5</t>
  </si>
  <si>
    <t>mau@eltecho.in</t>
  </si>
  <si>
    <t>Mauricio Kassin Nasser (Representante Legal)</t>
  </si>
  <si>
    <t>Antojo Casero S.A.S</t>
  </si>
  <si>
    <t>Carrera 5 N 49 A 62</t>
  </si>
  <si>
    <t>danielmg0419@gmail.com</t>
  </si>
  <si>
    <t>Daniel Giovanny Mora Gonzalez (Representante Legal)</t>
  </si>
  <si>
    <t>Antojate Dulce-Mente Sas</t>
  </si>
  <si>
    <t>Cl 61 Sur No. 64 98</t>
  </si>
  <si>
    <t>pahola1010@hotmail.com</t>
  </si>
  <si>
    <t>Ruiz Solis Julyet Pahola (Representante Legal)</t>
  </si>
  <si>
    <t>Antipoda Bogota Sas</t>
  </si>
  <si>
    <t>Demás Tipos de Industrias de Diversión y Recreativas(71399); Bares y Otros Lugares para Beber(7224); Tiendas de Artículos Deportivos, Hobbies e Instrumentos Musicales(4511)</t>
  </si>
  <si>
    <t>Comercio Al Por Menor De Otros Artículos Culturales Y De Entretenimiento N.C.P. En Establecimientos Especializados (G4769); Expendio De Bebidas Alcohólicas Para El Consumo Dentro Del Establecimiento (I5630); Otras Actividades Recreativas Y De Esparcimiento N.C.P. (R9329)</t>
  </si>
  <si>
    <t>Calle 6 Sur # 19 - 35</t>
  </si>
  <si>
    <t>pasajero.tv@gmail.com</t>
  </si>
  <si>
    <t>Henry Alonso Muñoz Olaya (Representante Legal)</t>
  </si>
  <si>
    <t>Anpaz Sas</t>
  </si>
  <si>
    <t>Cl 3 No. 26 A 16</t>
  </si>
  <si>
    <t>burguersanisidro@gmail.com</t>
  </si>
  <si>
    <t>Pedro Alejandro Suarez Rondon (Representante Legal)</t>
  </si>
  <si>
    <t>Angulo Infante Sas</t>
  </si>
  <si>
    <t>Cr 16 No. 140 23</t>
  </si>
  <si>
    <t>spsantaparrilla@gmail.com</t>
  </si>
  <si>
    <t>Rodrigo Angulo Santamaria (Representante Legal)</t>
  </si>
  <si>
    <t>Angil Inversiones Sas</t>
  </si>
  <si>
    <t>Cafeterías y Bares para Bebidas sin Alcohol(722515); Diseño de Sistemas Computacionales y Servicios Relacionados(54151)</t>
  </si>
  <si>
    <t>Expendio De Comidas Preparadas En Cafeterías (I5613); Actividades De Desarrollo De Sistemas Informáticos (Planificación, Análisis, Diseño, Programación, Pruebas) (J6201)</t>
  </si>
  <si>
    <t>Cr 84 A No. 145 91</t>
  </si>
  <si>
    <t>aisucoffeeangil@gmail.com</t>
  </si>
  <si>
    <t>Maria De Los Angeles Reinoso Benavides (Representante Legal)</t>
  </si>
  <si>
    <t>Angeles M.C. Sas</t>
  </si>
  <si>
    <t>Cr 67 No. 175 80 In 3</t>
  </si>
  <si>
    <t>mangemoca@hotmail.com</t>
  </si>
  <si>
    <t>Maria De Los Angeles Moreno Calavia (Representante Legal)</t>
  </si>
  <si>
    <t>Anduma Sas</t>
  </si>
  <si>
    <t>Cr 16 A No. 85 46 Ap 702</t>
  </si>
  <si>
    <t>anduma.sas@gmail.com</t>
  </si>
  <si>
    <t>Andres Eduardo Sorgi (Representante Legal)</t>
  </si>
  <si>
    <t>Andrada S.A.S</t>
  </si>
  <si>
    <t>Av 82 No. 12 A 35</t>
  </si>
  <si>
    <t>Andes Brewing Sas</t>
  </si>
  <si>
    <t>Dirección de Empresas(55111); Comerciantes al por Mayor de Tabaco y Productos de Tabaco(42494); Cerveceras(31212); Bares y Otros Lugares para Beber(7224); Comerciantes al por Mayor de Cerveza, Vino y Bebidas Alcohólicas(4248)</t>
  </si>
  <si>
    <t>Producción De Malta, Elaboración De Cervezas Y Otras Bebidas Malteadas (C1103); Comercio Al Por Mayor De Bebidas Y Tabaco (G4632); Expendio De Bebidas Alcohólicas Para El Consumo Dentro Del Establecimiento (I5630); Actividades De Consultaría De Gestión (M7020)</t>
  </si>
  <si>
    <t>Cr 16 No. 165 B - 13 Br El Toberin</t>
  </si>
  <si>
    <t>adm.colombia@andesbrew.com</t>
  </si>
  <si>
    <t>Julio Javier Espinosa Vacas (Representante Legal)</t>
  </si>
  <si>
    <t>Andariegate Sas</t>
  </si>
  <si>
    <t>Cafeterías y Bares para Bebidas sin Alcohol(722515); Fabricación de Todos los Demás Tipos de Alimentos Diversos(311999); Enseñanza de Deporte y Recreación(61162)</t>
  </si>
  <si>
    <t>Elaboración De Otros Productos Alimenticios N.C.P. (C1089); Expendio De Comidas Preparadas En Cafeterías (I5613); Enseñanza Deportiva Y Recreativa (P8552)</t>
  </si>
  <si>
    <t>Cra 13 # 38 - 65 Ap 504</t>
  </si>
  <si>
    <t>gonmalee@gmail.com</t>
  </si>
  <si>
    <t>Maira Alejandra Gonzalez (Representante Legal)</t>
  </si>
  <si>
    <t>Anatolia Sas</t>
  </si>
  <si>
    <t>mauroinvitro@gmail.com</t>
  </si>
  <si>
    <t>Victor Mauricio Guerrero Moreno (Representante Legal)</t>
  </si>
  <si>
    <t>Amusement Parks Colombia Sas</t>
  </si>
  <si>
    <t>Restaurantes y Otros Lugares para Comer(72251); Demás Tipos de Industrias de Diversión y Recreativas(71399); Parques de Atracciones y Centros de Entretenimiento(7131)</t>
  </si>
  <si>
    <t>Parques de Atracciones y Centros de Entretenimiento(7131)</t>
  </si>
  <si>
    <t>Expendio Por Autoservicio De Comidas Preparadas (I5612); Actividades De Parques De Atracciones Y Parques Temáticos (R9321); Otras Actividades Recreativas Y De Esparcimiento N.C.P. (R9329)</t>
  </si>
  <si>
    <t>Actividades De Parques De Atracciones Y Parques Temáticos (R9321)</t>
  </si>
  <si>
    <t>Cr 1 No. 83 62</t>
  </si>
  <si>
    <t>PEDRO.PENDOLA@FUNJUNGLE.CO</t>
  </si>
  <si>
    <t>Pedro Cesar Pendola Montero (Representante Legal)</t>
  </si>
  <si>
    <t>Amusement Parks Colombia 2 S.A.S.</t>
  </si>
  <si>
    <t>pedro.pendola@funjungle.co</t>
  </si>
  <si>
    <t>Amsterdam Gastrobar Sas</t>
  </si>
  <si>
    <t>Cr 69 No. 25 - 2 C 5</t>
  </si>
  <si>
    <t>amsterdamgastrobar@gmail.com</t>
  </si>
  <si>
    <t>Castro Ruiz Luisa Fernanda (Representante Legal)</t>
  </si>
  <si>
    <t>Amor Por Mi Tierrita Sas</t>
  </si>
  <si>
    <t>Cr 8 H No. 173 48</t>
  </si>
  <si>
    <t>nelmoya28@gmail.com</t>
  </si>
  <si>
    <t>Valery Melissa Mora Garcia (Representante Legal)</t>
  </si>
  <si>
    <t>Amor Inversiones Turisticas Sas</t>
  </si>
  <si>
    <t>Av 9 117 A 15</t>
  </si>
  <si>
    <t>yanira@live.com.co</t>
  </si>
  <si>
    <t>Paulo Cesar Lozano Duque (Representante Legal)</t>
  </si>
  <si>
    <t>Ammuva Sas</t>
  </si>
  <si>
    <t>Alojamiento En Hoteles (I5511); Actividades De Otros Servicios De Comidas (I5629); Expendio De Bebidas Alcohólicas Para El Consumo Dentro Del Establecimiento (I5630)</t>
  </si>
  <si>
    <t>Cl 94 No. 13 28 In 8</t>
  </si>
  <si>
    <t>huanamaya@gmail.com</t>
  </si>
  <si>
    <t>Alejandro Valenzuela Vallejo (Representante Legal)</t>
  </si>
  <si>
    <t>Amigos Del Mozo Sas</t>
  </si>
  <si>
    <t>Cl 71 No. 23 - 18 Piso 2</t>
  </si>
  <si>
    <t>davidcartos@gmail.com</t>
  </si>
  <si>
    <t>Nestor Elberto Hurtado Caballero (Representante Legal)</t>
  </si>
  <si>
    <t>American Sub S A S</t>
  </si>
  <si>
    <t>La empresa American Sub S A S se dedica a expendio por autoservicio de comidas preparadas. Opera en el mercado colombiano desde el año 2011.</t>
  </si>
  <si>
    <t>Carrera 77 # 236 - 81 Casa 1 Conjunto El</t>
  </si>
  <si>
    <t>www.colsub.com.co</t>
  </si>
  <si>
    <t>Jorge Aurelio Sanchez Cortes (Representante Legal)</t>
  </si>
  <si>
    <t>19 (2012)</t>
  </si>
  <si>
    <t>American Drinks Sas</t>
  </si>
  <si>
    <t>Cl 79 A No.18 41</t>
  </si>
  <si>
    <t>aheraldica@gmail.com</t>
  </si>
  <si>
    <t>Juliana Gomez Urbina (Representante Legal)</t>
  </si>
  <si>
    <t>Amaranto Cocina Familiar Sas</t>
  </si>
  <si>
    <t>Cr 54 C No. 167 26</t>
  </si>
  <si>
    <t>luzhelenaleon92@gmail.com</t>
  </si>
  <si>
    <t>Luz Helena Leon Leon (Representante Legal)</t>
  </si>
  <si>
    <t>Amar Cafe Global Sas</t>
  </si>
  <si>
    <t>Cafeterías y Bares para Bebidas sin Alcohol(722515); Comerciantes al por Mayor de Productos Agrícolas de Materias Primas(4245); Comerciantes al por Mayor de Comestibles y Productos Relacionados(4244)</t>
  </si>
  <si>
    <t>Comercio Al Por Mayor De Materias Primas Agropecuarias; Animales Vivos (G4620); Comercio Al Por Mayor De Productos Alimenticios (G4631); Expendio De Comidas Preparadas En Cafeterías (I5613)</t>
  </si>
  <si>
    <t>Cr 102 No. 154 30 Ap 1303 To 2</t>
  </si>
  <si>
    <t>amarcafeglobal@gmail.com</t>
  </si>
  <si>
    <t>Leidy Laura Mejia Hernandez (Representante Legal)</t>
  </si>
  <si>
    <t>Amado Restrepo S.A.S</t>
  </si>
  <si>
    <t>Diagonal 46 A Sur 52 C 21</t>
  </si>
  <si>
    <t>amadorestreposas@hotmail.com</t>
  </si>
  <si>
    <t>Luis Felipe Amado Mejia (Representante Legal)</t>
  </si>
  <si>
    <t>Amado Garcia Sas</t>
  </si>
  <si>
    <t>Dg 47 A Sur No. 52 C 58</t>
  </si>
  <si>
    <t>amadogarcia4752@gmail.com</t>
  </si>
  <si>
    <t>Gonzalo Antonio Amado Rodriguez (Representante Legal)</t>
  </si>
  <si>
    <t>Amada Empanada S.A.S</t>
  </si>
  <si>
    <t>Cl 17 Sur No. 18 - 40</t>
  </si>
  <si>
    <t>amadaempanada@gmail.com</t>
  </si>
  <si>
    <t>Yara Esperanza Aristizabal Hurtado (Representante Legal)</t>
  </si>
  <si>
    <t>Alvatours Y Cia Ltda</t>
  </si>
  <si>
    <t>Comercio Al Por Menor De Productos Agrícolas Para El Consumo En Establecimientos Especializados (G4721); Alojamiento Rural (I5514); Expendio A La Mesa De Comidas Preparadas (I5611); Expendio De Bebidas Alcohólicas Para El Consumo Dentro Del Establecimiento (I5630)</t>
  </si>
  <si>
    <t>Cl 62 # 35A - 25 Ap 105</t>
  </si>
  <si>
    <t>lareliquiaecoturismo@gmail.com</t>
  </si>
  <si>
    <t>Jose Luis Barrera Pineda (Representante Legal)</t>
  </si>
  <si>
    <t>Alto Cafe El Anonimo Sas</t>
  </si>
  <si>
    <t>Tv 59 No. 106 21 In 17 19</t>
  </si>
  <si>
    <t>santiagogardeazabal@gmail.com</t>
  </si>
  <si>
    <t>Santiago Gardeazabal Romero (Representante Legal)</t>
  </si>
  <si>
    <t>Alta Frecuencia Productora Cultural S.A.S.</t>
  </si>
  <si>
    <t>Cafeterías y Bares para Bebidas sin Alcohol(722515); Otras Compañías de Artes Escénicas(71119); Escuelas de Bellas Artes(61161)</t>
  </si>
  <si>
    <t>Expendio De Comidas Preparadas En Cafeterías (I5613); Enseñanza Cultural (P8553); Creación Audiovisual (R9004)</t>
  </si>
  <si>
    <t>Dg 115 A No. 70 B 33</t>
  </si>
  <si>
    <t>altafrecuenciaaa@gmail.com</t>
  </si>
  <si>
    <t>Andres Felipe Franco Gallego (Representante Legal)</t>
  </si>
  <si>
    <t>Alsavi Sas</t>
  </si>
  <si>
    <t>Restaurantes y Otros Lugares para Comer(72251); Carnicerías(44521); Acuicultura(11251)</t>
  </si>
  <si>
    <t>Acuicultura De Agua Dulce (A0322); Comercio Al Por Menor De Carnes (Incluye Aves De Corral), Productos Cárnicos, Pescados Y Productos De Mar, En Establecimientos Especializados (G4723); Expendio Por Autoservicio De Comidas Preparadas (I5612)</t>
  </si>
  <si>
    <t>Cl 65 Sur 78 H 51 Lc 322</t>
  </si>
  <si>
    <t>alsavi.alimentos@gmail.com</t>
  </si>
  <si>
    <t>Monica Muñoz Zuluaga (Representante Legal)</t>
  </si>
  <si>
    <t>Alpha Disco Bar S.A.S</t>
  </si>
  <si>
    <t>Carrera 9 58 21</t>
  </si>
  <si>
    <t>alphadiscobar@gmail.com</t>
  </si>
  <si>
    <t>Juan Sebastian Camacho Sierra (Representante Legal)</t>
  </si>
  <si>
    <t>Almodobar A2A S.A.S En Liquidacion</t>
  </si>
  <si>
    <t>Cra 14 # 85 - 37</t>
  </si>
  <si>
    <t>Almas Group S.A.S</t>
  </si>
  <si>
    <t>Cr 3 No. 22 01 To 6 Ap 501</t>
  </si>
  <si>
    <t>almasgroupsas@gmail.com</t>
  </si>
  <si>
    <t>Rosa Maria Carvajal (Representante Legal)</t>
  </si>
  <si>
    <t>Almahu Sas</t>
  </si>
  <si>
    <t>Comerciantes al por Mayor de Tabaco y Productos de Tabaco(42494); Bares y Otros Lugares para Beber(7224); Comerciantes al por Mayor de Cerveza, Vino y Bebidas Alcohólicas(4248); Comerciantes al por Mayor de Comestibles y Productos Relacionados(4244)</t>
  </si>
  <si>
    <t>Comercio Al Por Mayor De Productos Alimenticios (G4631); Comercio Al Por Mayor De Bebidas Y Tabaco (G4632); Expendio De Bebidas Alcohólicas Para El Consumo Dentro Del Establecimiento (I5630)</t>
  </si>
  <si>
    <t>Carmen Yaneth Burgos Castro (Representante Legal)</t>
  </si>
  <si>
    <t>Almacen El Retiro S.A.S.</t>
  </si>
  <si>
    <t>Cll 85 No. 9 - 96</t>
  </si>
  <si>
    <t>Alma Silvestre Café Sas</t>
  </si>
  <si>
    <t>Plantaciones de Café(1113392); Cafeterías y Bares para Bebidas sin Alcohol(722515); Fabricación de Café y Té(31192); Comerciantes al por Mayor de Comestibles y Productos Relacionados(4244)</t>
  </si>
  <si>
    <t>Cultivo De Café (A0123); Descafeinado, Tostión Y Molienda Del Café (C1062); Comercio Al Por Mayor De Productos Alimenticios (G4631); Expendio De Comidas Preparadas En Cafeterías (I5613)</t>
  </si>
  <si>
    <t>Carrera 5 119 B 15</t>
  </si>
  <si>
    <t>almasilvestrec@gmail.com</t>
  </si>
  <si>
    <t>Santiago Quiroga Forero (Representante Legal)</t>
  </si>
  <si>
    <t>Alma Magna S.A.S</t>
  </si>
  <si>
    <t>Cafeterías y Bares para Bebidas sin Alcohol(722515); Tiendas de Electrodomésticos(443141); Tiendas de Medicamentos y Farmacias(44611); Otras Tiendas de Comidas Artesanales(44529)</t>
  </si>
  <si>
    <t>Comercio Al Por Menor De Otros Productos Alimenticios N.C.P., En Establecimientos Especializados (G4729); Comercio Al Por Menor De Otros Artículos Domésticos En Establecimientos Especializados (G4759); Comercio Al Por Menor De Productos Farmacéuticos Y Medicinales, Cosméticos Y Artículos De Tocador En Establecimientos Especializados (G4773); Expendio De Comidas Preparadas En Cafeterías (I5613)</t>
  </si>
  <si>
    <t>Cr 68 A No. 23 47</t>
  </si>
  <si>
    <t>bias20032004@gmail.com</t>
  </si>
  <si>
    <t>Blanca Ines Ariza Santoyo (Representante Legal)</t>
  </si>
  <si>
    <t>Alma Gourmet Sas</t>
  </si>
  <si>
    <t>Elaboración De Comidas Y Platos Preparados (C1084); Expendio De Comidas Preparadas En Cafeterías (I5613); Catering Para Eventos (I5621); Actividades De Otros Servicios De Comidas (I5629)</t>
  </si>
  <si>
    <t>Cl 127 B Bis No. 20 66</t>
  </si>
  <si>
    <t>mariafcabana@gmail.com</t>
  </si>
  <si>
    <t>Cabana Bayona Maria Fernanda (Representante Legal)</t>
  </si>
  <si>
    <t>Alkaiser Sas</t>
  </si>
  <si>
    <t>Elaboración De Comidas Y Platos Preparados (C1084); Expendio A La Mesa De Comidas Preparadas (I5611); Expendio De Comidas Preparadas En Cafeterías (I5613); Actividades De Otros Servicios De Comidas (I5629)</t>
  </si>
  <si>
    <t>Cra. 11 # 81 - 71 Local 4 - 16</t>
  </si>
  <si>
    <t>alkaiser.sas@gmail.com</t>
  </si>
  <si>
    <t>Riad Abusaleh (Representante Legal)</t>
  </si>
  <si>
    <t>Aljurin S.A.S</t>
  </si>
  <si>
    <t>Calle 128 B 19 55</t>
  </si>
  <si>
    <t>mafediazb@yahoo.com</t>
  </si>
  <si>
    <t>Maria Fernanda Diaz Ballen (Representante Legal)</t>
  </si>
  <si>
    <t>Aljasas S.A.S</t>
  </si>
  <si>
    <t>Elaboración De Comidas Y Platos Preparados (C1084); Expendio A La Mesa De Comidas Preparadas (I5611); Expendio Por Autoservicio De Comidas Preparadas (I5612); Expendio De Comidas Preparadas En Cafeterías (I5613)</t>
  </si>
  <si>
    <t>Cr 53 D No. 2 B - 26</t>
  </si>
  <si>
    <t>jesusadelmo@aljasas.com</t>
  </si>
  <si>
    <t>Jesus Adelmo Espinosa Molano (Representante Legal)</t>
  </si>
  <si>
    <t>Alitas A.O. S.A.S</t>
  </si>
  <si>
    <t>Cr 8 G 165 A 61 Lc</t>
  </si>
  <si>
    <t>albaniojedab@gmail.com</t>
  </si>
  <si>
    <t>Albani Ojeda Bernal (Representante Legal)</t>
  </si>
  <si>
    <t>Alimentos Y Tendencias Sas</t>
  </si>
  <si>
    <t>Carrera 53 106 79 Apartamento 401</t>
  </si>
  <si>
    <t>alimentosytendencias.sas@gmail.com</t>
  </si>
  <si>
    <t>Andres Felipe Tellez Garzon (Representante Legal)</t>
  </si>
  <si>
    <t>Alimentos Y Preparaciones Colombianas S.A.S</t>
  </si>
  <si>
    <t>Calle 74 15 96</t>
  </si>
  <si>
    <t>omarbelt04@hotmail.com</t>
  </si>
  <si>
    <t>Omar Beltran Hidalgo (Representante Legal)</t>
  </si>
  <si>
    <t>Alimentos Y Franquicias Premium S.A.S.</t>
  </si>
  <si>
    <t>Cl 142 13 83 To 2 Of 706</t>
  </si>
  <si>
    <t>jcorrguzm@hotmail.com</t>
  </si>
  <si>
    <t>Juan Carlos Corral Guzman (Representante Legal)</t>
  </si>
  <si>
    <t>Alimentos Y Bebidas La Heredera S A S</t>
  </si>
  <si>
    <t>Cr 14 A No. 101 31</t>
  </si>
  <si>
    <t>c1mc2@hotmail.com</t>
  </si>
  <si>
    <t>Carlos Mario Gonzalez Mcmahon (Representante Legal)</t>
  </si>
  <si>
    <t>Alimentos Sc Cedritos Sas</t>
  </si>
  <si>
    <t>Carrera 12B # 137 - 88</t>
  </si>
  <si>
    <t>saloncantonbogota@gmail.com</t>
  </si>
  <si>
    <t>Emiles Valeska Perez Valera (Representante Legal)</t>
  </si>
  <si>
    <t>Alimentos Sanos Y Deliciosos Sas</t>
  </si>
  <si>
    <t>Cafeterías y Bares para Bebidas sin Alcohol(722515); Fabricación de Alimentos Preparados Perecederos(311991); Servicios Especiales de Comida(7223); Comerciantes al por Mayor de Comestibles y Productos Relacionados(4244)</t>
  </si>
  <si>
    <t>Elaboración De Comidas Y Platos Preparados (C1084); Comercio Al Por Mayor De Productos Alimenticios (G4631); Expendio A La Mesa De Comidas Preparadas (I5611); Expendio De Comidas Preparadas En Cafeterías (I5613)</t>
  </si>
  <si>
    <t>Cll 70 A # 9 - 51</t>
  </si>
  <si>
    <t>francisco.lonsar@gmail.com</t>
  </si>
  <si>
    <t>Francisco Alberto Londoño Saravia (Representante Legal)</t>
  </si>
  <si>
    <t>Alimentos Sabores Autenticos Del Tolima Sas</t>
  </si>
  <si>
    <t>Cl 59 Sur No. 74 G 28</t>
  </si>
  <si>
    <t>ALIMENTOSSAT21@GMAIL.COM</t>
  </si>
  <si>
    <t>Andres Camilo Uriza Prada (Representante Legal)</t>
  </si>
  <si>
    <t>Alimentos Milton Sas</t>
  </si>
  <si>
    <t>Cl 64 A No. 52 53</t>
  </si>
  <si>
    <t>milfro0694@gmail.com</t>
  </si>
  <si>
    <t>Casas Avila Milton Froilan (Representante Legal)</t>
  </si>
  <si>
    <t>Alimentos Lo Nuestro Sas</t>
  </si>
  <si>
    <t>Cafeterías y Bares para Bebidas sin Alcohol(722515); Servicios Especiales de Comida(7223); Comerciantes al por Mayor de Comestibles y Productos Relacionados(4244); Conservación de Frutas, Verduras y Fabricación de Alimentos Especializados(3114)</t>
  </si>
  <si>
    <t>Procesamiento Y Conservación De Frutas, Legumbres, Hortalizas Y Tubérculos (C1020); Comercio Al Por Mayor De Productos Alimenticios (G4631); Expendio De Comidas Preparadas En Cafeterías (I5613); Otros Tipos De Expendio De Comidas Preparadas N.C.P. (I5619)</t>
  </si>
  <si>
    <t>Avenida Calle 147 19 79 Torre A Apartame</t>
  </si>
  <si>
    <t>jpsaenz86@hotmail.com</t>
  </si>
  <si>
    <t>Juan Pablo Saenz Ferreira (Representante Legal)</t>
  </si>
  <si>
    <t>Alimentos Jpc S.A.S</t>
  </si>
  <si>
    <t>Cl 146 No. 13 51 Ap</t>
  </si>
  <si>
    <t>cantor46@hotmail.com</t>
  </si>
  <si>
    <t>Camilo Andres Pacheco Zambrano (Representante Legal)</t>
  </si>
  <si>
    <t>Alimentos Castellani Sas</t>
  </si>
  <si>
    <t>Elaboración De Otros Productos Alimenticios N.C.P. (C1089); Expendio A La Mesa De Comidas Preparadas (I5611); Expendio De Comidas Preparadas En Cafeterías (I5613); Actividades De Otros Servicios De Comidas (I5629)</t>
  </si>
  <si>
    <t>Cl 24 No. 58 - 07</t>
  </si>
  <si>
    <t>henryantocaste@hotmail.com</t>
  </si>
  <si>
    <t>Henry Alejandro Castellanos Niño (Representante Legal)</t>
  </si>
  <si>
    <t>Alimentos Carmelo Cafe Sas</t>
  </si>
  <si>
    <t>Cr 13 N. 35 - 43 Piso 10</t>
  </si>
  <si>
    <t>luisaefe12@hotmail.com</t>
  </si>
  <si>
    <t>Luisa Fernanda Bohorquez Morales (Representante Legal)</t>
  </si>
  <si>
    <t>Alimentos Anzea Sas</t>
  </si>
  <si>
    <t>Cr 13 27 00 Lc 11</t>
  </si>
  <si>
    <t>Alvarez Reinosa Luis Felipe (Representante Legal)</t>
  </si>
  <si>
    <t>Alimentos &amp; Proverbios Sas</t>
  </si>
  <si>
    <t>Cr 57 A No. 127 61</t>
  </si>
  <si>
    <t>alimentosyproverbios@gmail.com</t>
  </si>
  <si>
    <t>Alvaro Morales Tafur (Representante Legal)</t>
  </si>
  <si>
    <t>Alimentarte Tripulante S.A.S.</t>
  </si>
  <si>
    <t>Cl 52 No. 21 39</t>
  </si>
  <si>
    <t>tributario@beplusgroupla.com</t>
  </si>
  <si>
    <t>Paula Margarita Rodriguez Barrero (Representante Legal)</t>
  </si>
  <si>
    <t>Alimentarte Sas</t>
  </si>
  <si>
    <t>Calle 153 45 53 Local 1</t>
  </si>
  <si>
    <t>soportealimentarte@gmail.com</t>
  </si>
  <si>
    <t>Sandra Patricia Muñoz Cano (Representante Legal)</t>
  </si>
  <si>
    <t>Alimentar Mk Services Sas</t>
  </si>
  <si>
    <t>Cl 22 J No. 108 43</t>
  </si>
  <si>
    <t>mariangeles.alarcon@hotmail.com</t>
  </si>
  <si>
    <t>Marina De Los Angeles Alarcon Rodriguez (Representante Legal)</t>
  </si>
  <si>
    <t>Alimentamos 1A S A S</t>
  </si>
  <si>
    <t>Cr 13 27 86</t>
  </si>
  <si>
    <t>zmilenatabarescalderon@gmail.com</t>
  </si>
  <si>
    <t>Zandra Zandra Tabares (Representante Legal)</t>
  </si>
  <si>
    <t>Aliarte Sas</t>
  </si>
  <si>
    <t>Cr 69 M No. 70 - 75</t>
  </si>
  <si>
    <t>diegomoralespulido2016@hotmail.com</t>
  </si>
  <si>
    <t>Mauricio Andres Salazar Cuartas (Representante Legal)</t>
  </si>
  <si>
    <t>Alianza Jimenez Sas</t>
  </si>
  <si>
    <t>Cr 5 No. 12 C 85</t>
  </si>
  <si>
    <t>jimenezbistro@gmail.com</t>
  </si>
  <si>
    <t>Darwin Steve Cevallos Rodriguez (Representante Legal)</t>
  </si>
  <si>
    <t>Algusto Sas</t>
  </si>
  <si>
    <t>Cr 111 A No. 148 75 In 2 Ap 604</t>
  </si>
  <si>
    <t>todoalgusto1@gmail.com</t>
  </si>
  <si>
    <t>Martha Lisseth Santos Moreno (Representante Legal)</t>
  </si>
  <si>
    <t>Algo Tranqui Gastro Pub S.A.S</t>
  </si>
  <si>
    <t>Cl 8 74 19 Esq Brr Castilla</t>
  </si>
  <si>
    <t>algotranquipub@gmail.com</t>
  </si>
  <si>
    <t>Daniel Fernando Rubio Tinoco (Representante Legal)</t>
  </si>
  <si>
    <t>Algo Diferente Comidas Rapidas Sas</t>
  </si>
  <si>
    <t>Cl 156 No. 7 H 59</t>
  </si>
  <si>
    <t>rodriguezcesar247.cr@gmail.com</t>
  </si>
  <si>
    <t>Elisa Inmaculada Porras Jacobo (Representante Legal)</t>
  </si>
  <si>
    <t>Alfara Inversiones S.A.S</t>
  </si>
  <si>
    <t>Cra 71D No. 6 - 94 Sur Local 2922 Cc Plaza</t>
  </si>
  <si>
    <t>rocampoabello@gmail.com</t>
  </si>
  <si>
    <t>Rafael Alberto Moreno Sanchez (Representante Legal)</t>
  </si>
  <si>
    <t>Alfa Y Omega Gourmet Ltda</t>
  </si>
  <si>
    <t>Zn Aviacion General Aeropuerto El Dorado</t>
  </si>
  <si>
    <t>alfayomegagourmet@gmail.com</t>
  </si>
  <si>
    <t>Orfa Liliana Castro Garcia (Representante Legal)</t>
  </si>
  <si>
    <t>Alfa Distribuciones Dc Sas</t>
  </si>
  <si>
    <t>Cafeterías y Bares para Bebidas sin Alcohol(722515); Comerciantes al por Mayor de Bienes No Duraderos Diversos(4249); Comerciantes al por Mayor de Comestibles y Productos Relacionados(4244); Comerciantes al por Mayor de Medicamentos y Productos Relacionados(4242)</t>
  </si>
  <si>
    <t>Comercio Al Por Mayor De Productos Alimenticios (G4631); Comercio Al Por Mayor De Productos Farmacéuticos, Medicinales, Cosméticos Y De Tocador (G4645); Comercio Al Por Mayor No Especializado (G4690); Expendio De Comidas Preparadas En Cafeterías (I5613)</t>
  </si>
  <si>
    <t>Calle 11B Bis No 72A - 40 Local 2</t>
  </si>
  <si>
    <t>yennye2008@hotmail.com</t>
  </si>
  <si>
    <t>Yeny Andrea Estrada Bernal (Representante Legal)</t>
  </si>
  <si>
    <t>Aleyo Sas</t>
  </si>
  <si>
    <t>Cr 14 No. 82 79 Primer Piso</t>
  </si>
  <si>
    <t>Paula Andrea Torres Rodriguez (Representante Legal)</t>
  </si>
  <si>
    <t>Aleña Sas</t>
  </si>
  <si>
    <t>Cl 8 Sur No. 38 B 25</t>
  </si>
  <si>
    <t>ale.garciaml@hotmail.com</t>
  </si>
  <si>
    <t>Lady Alejandra Garcia Muñoz (Representante Legal)</t>
  </si>
  <si>
    <t>Alemania Faster Food Sas</t>
  </si>
  <si>
    <t>Cl 168 A No. 54 D 61 To 2 Ap 404</t>
  </si>
  <si>
    <t>alemaniafasterfood@gmail.com</t>
  </si>
  <si>
    <t>Juan Pablo Pernett Clavijo (Representante Legal)</t>
  </si>
  <si>
    <t>Alejandr@ Sas</t>
  </si>
  <si>
    <t>Unidades de Engorde de Ganado Vacuno(112112); Empresas de Catering(72232); Comerciantes al por Mayor de Tabaco y Productos de Tabaco(42494); Bares y Otros Lugares para Beber(7224); Comerciantes al por Mayor de Cerveza, Vino y Bebidas Alcohólicas(4248)</t>
  </si>
  <si>
    <t>Cría De Ganado Bovino Y Bufalino (A0141); Comercio Al Por Mayor De Bebidas Y Tabaco (G4632); Catering Para Eventos (I5621); Expendio De Bebidas Alcohólicas Para El Consumo Dentro Del Establecimiento (I5630)</t>
  </si>
  <si>
    <t>Cl 152 B No. 72 91 O</t>
  </si>
  <si>
    <t>gloriaalexandrarincon@gmail.com</t>
  </si>
  <si>
    <t>Miguel Javier Garavito Rincon (Representante Legal)</t>
  </si>
  <si>
    <t>Alebrije Antojitos Mexicanos S.A.S</t>
  </si>
  <si>
    <t>Cra 58 D # 131 A - 01</t>
  </si>
  <si>
    <t>alebrije.antojitos.mexicanos@gmail.com</t>
  </si>
  <si>
    <t>Arturo Rifenburg Aparicio (Representante Legal)</t>
  </si>
  <si>
    <t>Aldisa Gourmet S A S</t>
  </si>
  <si>
    <t>Cl 4 A 4 Este 20 Bl 16 Of 204 Cajica</t>
  </si>
  <si>
    <t>aldisagourmet@gmail.com</t>
  </si>
  <si>
    <t>Diana Milena Alfonso Diaz (Representante Legal)</t>
  </si>
  <si>
    <t>Aldana Group Sas</t>
  </si>
  <si>
    <t>Cr 96 F No. 22 30</t>
  </si>
  <si>
    <t>group.aldana@gmail.com</t>
  </si>
  <si>
    <t>Gina Marcela Carrillo Aldana (Representante Legal)</t>
  </si>
  <si>
    <t>Alcamur Drink &amp; Taste Sas</t>
  </si>
  <si>
    <t>Cr 8 # 12 B 26</t>
  </si>
  <si>
    <t>alcamurdt@gmail.com</t>
  </si>
  <si>
    <t>Alexander Muñoz Molano (Representante Legal)</t>
  </si>
  <si>
    <t>Ala Burguer Sas</t>
  </si>
  <si>
    <t>Cl 3 No. 71 18 Brr Nueva Marsella</t>
  </si>
  <si>
    <t>marisol.8220@hotmail.com</t>
  </si>
  <si>
    <t>Marisol Castiblanco Camacho (Representante Legal)</t>
  </si>
  <si>
    <t>Al Panpan Sas</t>
  </si>
  <si>
    <t>Diagonal 25 G 95 A 85 Local 109</t>
  </si>
  <si>
    <t>Al Frente Comidas Rapidas Sas</t>
  </si>
  <si>
    <t>Cl 58 Bis No. 10 43</t>
  </si>
  <si>
    <t>neokike@yahoo.com</t>
  </si>
  <si>
    <t>Nelson Enrique Alvarado Castillo (Representante Legal)</t>
  </si>
  <si>
    <t>Akami Sushi S A S</t>
  </si>
  <si>
    <t>Carrera 7 No.120 - 20 3 Piso</t>
  </si>
  <si>
    <t>jairohito38@hotmail.com</t>
  </si>
  <si>
    <t>Jairo Caviedes Roldan (Representante Legal)</t>
  </si>
  <si>
    <t>Ajega Sas</t>
  </si>
  <si>
    <t>Cafeterías y Bares para Bebidas sin Alcohol(722515); Servicios de Consejería(56172); Tiendas de Libros y Periódicos(45121); Servicios Especiales de Comida(7223)</t>
  </si>
  <si>
    <t>Comercio Al Por Menor De Libros, Periódicos, Materiales Y Artículos De Papelería Y Escritorio, En Establecimientos Especializados (G4761); Expendio De Comidas Preparadas En Cafeterías (I5613); Otros Tipos De Expendio De Comidas Preparadas N.C.P. (I5619); Limpieza General Interior De Edificios (N8121)</t>
  </si>
  <si>
    <t>Transversal 75 82 C 58</t>
  </si>
  <si>
    <t>ajegaservicios@gmail.com</t>
  </si>
  <si>
    <t>Jose Dario Rojas Hernandez (Representante Legal)</t>
  </si>
  <si>
    <t>Aika Gourmet S.A.S En Liquidacion</t>
  </si>
  <si>
    <t>Cll 162 # 20 21</t>
  </si>
  <si>
    <t>aika.gourmet@hotmail.com</t>
  </si>
  <si>
    <t>Julian Ricardo Arboleda Pineda (Representante Legal)</t>
  </si>
  <si>
    <t>Agrupacion Jv Sas</t>
  </si>
  <si>
    <t>Cl 61 No. 7 87</t>
  </si>
  <si>
    <t>dasamomu@gmail.com</t>
  </si>
  <si>
    <t>Daniel Santiago Montaña Murillo (Representante Legal)</t>
  </si>
  <si>
    <t>Agora Business S A S</t>
  </si>
  <si>
    <t>Cafeterías y Bares para Bebidas sin Alcohol(722515); Demás Tipos de Alojamiento para Viajeros(721199); Dirección de Empresas(55111)</t>
  </si>
  <si>
    <t>Otros Tipos De Alojamientos Para Visitantes (I5519); Expendio De Comidas Preparadas En Cafeterías (I5613); Actividades De Consultaría De Gestión (M7020)</t>
  </si>
  <si>
    <t>Calle 67 B 60 - 67</t>
  </si>
  <si>
    <t>gustavoaldanar@hotmail.com</t>
  </si>
  <si>
    <t>Gustavo Aldana Rodriguez (Representante Legal)</t>
  </si>
  <si>
    <t>Agjr Inversiones S.A.S</t>
  </si>
  <si>
    <t>Cl 140 No. 15 31 Lc 00 Sotano</t>
  </si>
  <si>
    <t>coffeeandbeer140@gmail.com</t>
  </si>
  <si>
    <t>Arley Alfonso Garcia Prieto (Representante Legal)</t>
  </si>
  <si>
    <t>Agh Alimentos S.A.S.</t>
  </si>
  <si>
    <t>Ak 15 No. 110 87</t>
  </si>
  <si>
    <t>hugocarmona03@hotmail.com</t>
  </si>
  <si>
    <t>Hugo Fernando Carmona Romero (Representante Legal)</t>
  </si>
  <si>
    <t>Aftermath Sas</t>
  </si>
  <si>
    <t>Otros Tipos De Expendio De Comidas Preparadas N.C.P. (I5619); Expendio De Bebidas Alcohólicas Para El Consumo Dentro Del Establecimiento (I5630); Actividades Teatrales (R9006); Actividades De Espectáculos Musicales En Vivo (R9007)</t>
  </si>
  <si>
    <t>Carrera 7 # 235 46</t>
  </si>
  <si>
    <t>gabrielforero@aftermath.com.co</t>
  </si>
  <si>
    <t>Gabriel Eduardo Forero Diaz (Representante Legal)</t>
  </si>
  <si>
    <t>Afterlife Sunset Producciones S.A.S</t>
  </si>
  <si>
    <t>Carrera 56 161 40 Apartamento 902</t>
  </si>
  <si>
    <t>ing.luiscarlos.su@gmail.com</t>
  </si>
  <si>
    <t>Luis Carlos Soto Ulloa (Representante Legal)</t>
  </si>
  <si>
    <t>Africapub Sas</t>
  </si>
  <si>
    <t>Cl 37 No. 13 A 26</t>
  </si>
  <si>
    <t>tatianagomezzabala@gmail.com</t>
  </si>
  <si>
    <t>Yuly Tatiana Zabala Gomez (Representante Legal)</t>
  </si>
  <si>
    <t>Afc Company Sas</t>
  </si>
  <si>
    <t>Cl 83 B No. 94 05 P</t>
  </si>
  <si>
    <t>afccompanysas@gmail.com</t>
  </si>
  <si>
    <t>Juan Camilo Cifuentes Ramirez (Representante Legal)</t>
  </si>
  <si>
    <t>Aeca Food Sas</t>
  </si>
  <si>
    <t>Calle 116 # 17A - 54</t>
  </si>
  <si>
    <t>camiloblanco.c@gmail.com</t>
  </si>
  <si>
    <t>Camilo Alberto Blanco Chaparro (Representante Legal)</t>
  </si>
  <si>
    <t>Adulkarin Y Uriel Sas</t>
  </si>
  <si>
    <t>Av Cl 26 No 85 D - 55 Of A 2 - 12</t>
  </si>
  <si>
    <t>Ronald Adulkarin Salazar Serrano (Representante Legal)</t>
  </si>
  <si>
    <t>Ads Invergroup Sas</t>
  </si>
  <si>
    <t>Cr 7 No. 17 - 01 Of 1047</t>
  </si>
  <si>
    <t>Adriana Catering S.A.S.</t>
  </si>
  <si>
    <t>Cl 109 No 15 - 48</t>
  </si>
  <si>
    <t>adricatering57@gmail.com</t>
  </si>
  <si>
    <t>Adriana Yidios Abirached (Representante Legal)</t>
  </si>
  <si>
    <t>Adonai Group 7 Sas</t>
  </si>
  <si>
    <t>Cr 27 No. 52 13</t>
  </si>
  <si>
    <t>lacatedralbogota@gmail.com</t>
  </si>
  <si>
    <t>Danny Stiver Bobadilla Motta (Representante Legal)</t>
  </si>
  <si>
    <t>Administradora Silver Limitada</t>
  </si>
  <si>
    <t>Cafeterías y Bares para Bebidas sin Alcohol(722515); Servicios de Consejería(56172); Oficinas de Agentes Inmobiliarios y Corredores(5312)</t>
  </si>
  <si>
    <t>Expendio De Comidas Preparadas En Cafeterías (I5613); Actividades Inmobiliarias Realizadas A Cambio De Una Retribución O Por Contrata (L6820); Limpieza General Interior De Edificios (N8121); Otras Actividades De Limpieza De Edificios E Instalaciones Industriales (N8129)</t>
  </si>
  <si>
    <t>Calle 74A No. 80 - 82</t>
  </si>
  <si>
    <t>admonsilver05@gmail.com</t>
  </si>
  <si>
    <t>Manuel Henry Prieto Herrera (Representante Legal)</t>
  </si>
  <si>
    <t>Administracion Institucional De Casinos Y Cafeterias S.A.S.</t>
  </si>
  <si>
    <t>Calle 143 A No 141 D 15 Casa 137</t>
  </si>
  <si>
    <t>operacionadinca@gmail.com</t>
  </si>
  <si>
    <t>Adangu Sas</t>
  </si>
  <si>
    <t>Cr 13 A No. 18 61</t>
  </si>
  <si>
    <t>rcmbogotadc@gmail.com</t>
  </si>
  <si>
    <t>Adriano . Angulo Guiza (Representante Legal)</t>
  </si>
  <si>
    <t>Adami Sas</t>
  </si>
  <si>
    <t>Cll 72 72 10 34 Piso 4</t>
  </si>
  <si>
    <t>jc_gordillo@hotmail.com</t>
  </si>
  <si>
    <t>Juan Camilo Gordillo Holguin (Representante Legal)</t>
  </si>
  <si>
    <t>Activa Group Comercializadora S A S</t>
  </si>
  <si>
    <t>Cafeterías y Bares para Bebidas sin Alcohol(722515); Tiendas de Medicamentos y Farmacias(44611); Reparación y Mantenimiento de Vehículos(8111); Estaciones de Gasolina(4471)</t>
  </si>
  <si>
    <t>Mantenimiento Y Reparación De Vehículos Automotores (G4520); Comercio Al Por Menor De Lubricantes (Aceites, Grasas), Aditivos Y Productos De Limpieza Para Vehículos Automotores (G4732); Comercio Al Por Menor De Productos Farmacéuticos Y Medicinales, Cosméticos Y Artículos De Tocador En Establecimientos Especializados (G4773); Expendio De Comidas Preparadas En Cafeterías (I5613)</t>
  </si>
  <si>
    <t>Cr 77 I 59 - 04 Sur</t>
  </si>
  <si>
    <t>activacorporativo@gmail.com</t>
  </si>
  <si>
    <t>Rene Castiblanco Lozano (Representante Legal)</t>
  </si>
  <si>
    <t>Acendrados Sas</t>
  </si>
  <si>
    <t>Procesamiento Y Conservación De Frutas, Legumbres, Hortalizas Y Tubérculos (C1020); Expendio A La Mesa De Comidas Preparadas (I5611); Expendio Por Autoservicio De Comidas Preparadas (I5612); Otros Tipos De Expendio De Comidas Preparadas N.C.P. (I5619)</t>
  </si>
  <si>
    <t>Cl 67 65 28</t>
  </si>
  <si>
    <t>acendrados.adm@gmail.com</t>
  </si>
  <si>
    <t>Olga Lucia Gomez Reina (Representante Legal)</t>
  </si>
  <si>
    <t>Academia Y Club Social Crono Sas</t>
  </si>
  <si>
    <t>Expendio De Bebidas Alcohólicas Para El Consumo Dentro Del Establecimiento (I5630); Enseñanza Deportiva Y Recreativa (P8552); Gestión De Instalaciones Deportivas (R9311)</t>
  </si>
  <si>
    <t>Cr 27 A # 68 53 P 3</t>
  </si>
  <si>
    <t>omabeltran@hotmail.com</t>
  </si>
  <si>
    <t>Rey Gomez Gina Margarita (Representante Legal)</t>
  </si>
  <si>
    <t>Academia Deportiva Crono Sas</t>
  </si>
  <si>
    <t>Cr 27 A No. 68 49 Piso 2 Y 3</t>
  </si>
  <si>
    <t>Academia De Baile Son De Cali Sas</t>
  </si>
  <si>
    <t>Demás Tipos de Industrias de Diversión y Recreativas(71399); Otras Compañías de Artes Escénicas(71119); Escuelas de Bellas Artes(61161); Bares y Otros Lugares para Beber(7224)</t>
  </si>
  <si>
    <t>Expendio De Bebidas Alcohólicas Para El Consumo Dentro Del Establecimiento (I5630); Enseñanza Cultural (P8553); Otras Actividades De Espectáculos En Vivo N.C.P. (R9008); Otras Actividades Deportivas (R9319)</t>
  </si>
  <si>
    <t>Cra 79 No. 46 A 38</t>
  </si>
  <si>
    <t>academiadebailesondecali@gmail.com</t>
  </si>
  <si>
    <t>Andres Felipe Castillo Cortes (Representante Legal)</t>
  </si>
  <si>
    <t>Abs Grupo S.A.S.</t>
  </si>
  <si>
    <t>Cl 119 No. 14 B - 41</t>
  </si>
  <si>
    <t>fueradelologico@gmail.com</t>
  </si>
  <si>
    <t>Alejandro De Brigard Garnica (Representante Legal)</t>
  </si>
  <si>
    <t>Abrevadero Sas</t>
  </si>
  <si>
    <t>Diagonal 45B # 52C 1</t>
  </si>
  <si>
    <t>abrevaderos@gmail.com</t>
  </si>
  <si>
    <t>Andrea Leandra Santamaria Romero (Representante Legal)</t>
  </si>
  <si>
    <t>Abogados Cafe S.A.S</t>
  </si>
  <si>
    <t>Cafeterías y Bares para Bebidas sin Alcohol(722515); Otros Alojamientos para Viajeros(72119); Servicios de Preparación de Documentos(56141); Oficinas de Abogados(54111)</t>
  </si>
  <si>
    <t>Alojamiento Rural (I5514); Expendio De Comidas Preparadas En Cafeterías (I5613); Actividades Jurídicas (M6910); Fotocopiado, Preparación De Documentos Y Otras Actividades Especializadas De Apoyo A Oficina (N8219)</t>
  </si>
  <si>
    <t>Cl 25 G No. 73 A 59</t>
  </si>
  <si>
    <t>abogadoscafe@gmail.com</t>
  </si>
  <si>
    <t>Saturia Reyes Rojas (Representante Legal)</t>
  </si>
  <si>
    <t>Abm Domicilios S.A.S</t>
  </si>
  <si>
    <t>Tiendas de Electrodomésticos(443141); Restaurantes y Otros Lugares para Comer(72251); Comerciantes al por Mayor de Otros Productos No Duraderos Diversos(42499); Servicios Especiales de Comida(7223)</t>
  </si>
  <si>
    <t>Comercio Al Por Mayor De Otros Productos N.C.P. (G4669); Comercio Al Por Menor De Otros Artículos Domésticos En Establecimientos Especializados (G4759); Expendio Por Autoservicio De Comidas Preparadas (I5612); Otros Tipos De Expendio De Comidas Preparadas N.C.P. (I5619)</t>
  </si>
  <si>
    <t>Carrera 61 70 C 58</t>
  </si>
  <si>
    <t>abmdomiciliossas@gmail.com</t>
  </si>
  <si>
    <t>John James Jimenez Carrascal (Representante Legal)</t>
  </si>
  <si>
    <t>Abismal Cocina Y Catering S.A.S</t>
  </si>
  <si>
    <t>Calle 79 B 69 R 78</t>
  </si>
  <si>
    <t>abismal.co@gmail.com</t>
  </si>
  <si>
    <t>Edwin Ferney Medina Acosta (Representante Legal)</t>
  </si>
  <si>
    <t>Aarz Inversiones S.A.S</t>
  </si>
  <si>
    <t>Cl 119 B No. 6 A 05</t>
  </si>
  <si>
    <t>pawansrivastava2@gmail.com</t>
  </si>
  <si>
    <t>Pawan Kumar Srivastava (Representante Legal)</t>
  </si>
  <si>
    <t>Aa International Barber Sas</t>
  </si>
  <si>
    <t>Actividades De Otros Servicios De Comidas (I5629); Expendio De Bebidas Alcohólicas Para El Consumo Dentro Del Establecimiento (I5630); Peluquería Y Otros Tratamientos De Belleza (S9602); Otras Actividades De Servicios Personales N.C.P. (S9609)</t>
  </si>
  <si>
    <t>Cr 13 A No. 107 A 31</t>
  </si>
  <si>
    <t>anyel-franco@hotmail.com</t>
  </si>
  <si>
    <t>Anyel Marin Franco (Representante Legal)</t>
  </si>
  <si>
    <t>A.M.F.H Sas En Liquidacion</t>
  </si>
  <si>
    <t>amarcocinaperuana@hotmail.com</t>
  </si>
  <si>
    <t>Adriana Orjuela Daniel (Representante Legal)</t>
  </si>
  <si>
    <t>A&amp;J Inversionistas Sas</t>
  </si>
  <si>
    <t>Carrera 4A D 26 90</t>
  </si>
  <si>
    <t>operaciones.chibchombia@gmail.com</t>
  </si>
  <si>
    <t>Julieth Liliana Ramirez Gongora (Representante Legal)</t>
  </si>
  <si>
    <t>A&amp;E Consultores S.A.S.</t>
  </si>
  <si>
    <t>Cafeterías y Bares para Bebidas sin Alcohol(722515); Reparación y Mantenimiento de Equipos Electrónicos y de Precisión(81121)</t>
  </si>
  <si>
    <t>Reparación y Mantenimiento de Equipos Electrónicos y de Precisión(81121)</t>
  </si>
  <si>
    <t>Mantenimiento Y Reparación Especializado De Maquinaria Y Equipo (C3312); Expendio De Comidas Preparadas En Cafeterías (I5613)</t>
  </si>
  <si>
    <t>Mantenimiento Y Reparación Especializado De Maquinaria Y Equipo (C3312)</t>
  </si>
  <si>
    <t>Cr 73 H No. 62 G 27 Sur</t>
  </si>
  <si>
    <t>ayeconsultoressas@gmail.com</t>
  </si>
  <si>
    <t>Adriana Maria Chavez Caviedes (Representante Legal)</t>
  </si>
  <si>
    <t>A&amp;D Grupo Empresarial Sas</t>
  </si>
  <si>
    <t>Bodegas(31213); Bares y Otros Lugares para Beber(7224); Cervecerías, Vinaterías y Tiendas de Licores(4453); Tiendas de Artículos Diversos(453)</t>
  </si>
  <si>
    <t>Elaboración De Bebidas Fermentadas No Destiladas (C1102); Comercio Al Por Menor De Bebidas Y Productos Del Tabaco, En Establecimientos Especializados (G4724); Comercio Al Por Menor De Otros Productos Nuevos En Establecimientos Especializados (G4774); Expendio De Bebidas Alcohólicas Para El Consumo Dentro Del Establecimiento (I5630)</t>
  </si>
  <si>
    <t>Cr 40 B No. 18 41 Su</t>
  </si>
  <si>
    <t>carr56@hotmail.com</t>
  </si>
  <si>
    <t>Carlos Andres Rodriguez Rodriguez (Representante Legal)</t>
  </si>
  <si>
    <t>A Y D Market Sas</t>
  </si>
  <si>
    <t>Cr 73 # 57 R 15 Sur</t>
  </si>
  <si>
    <t>dadiaz498@gmail.com</t>
  </si>
  <si>
    <t>David Enrique Diaz Vera (Representante Legal)</t>
  </si>
  <si>
    <t>A Seis Manos Ltda</t>
  </si>
  <si>
    <t>Cl 22 No. 8 - 62</t>
  </si>
  <si>
    <t>manos.seis@gmail.com</t>
  </si>
  <si>
    <t>Jean Christophe Isidore Vandekerckhove . (Representante Legal)</t>
  </si>
  <si>
    <t>A Dúo Sas</t>
  </si>
  <si>
    <t>Cl 90 No. 14 45</t>
  </si>
  <si>
    <t>aduosociedad@gmail.com</t>
  </si>
  <si>
    <t>Andres Humberto Umbarila Parra (Representante Legal)</t>
  </si>
  <si>
    <t>A &amp; Z Beer Sas</t>
  </si>
  <si>
    <t>Cra 19 A # 12 B - 13</t>
  </si>
  <si>
    <t>jeimmy.2009@gmail.com</t>
  </si>
  <si>
    <t>Jeimmy Julieth Urdaneta Acevedo (Representante Legal)</t>
  </si>
  <si>
    <t>A &amp; D Inversiones Sas</t>
  </si>
  <si>
    <t>Bares y Otros Lugares para Beber(7224); Servicios Especiales de Comida(7223); Oficinas de Agentes Inmobiliarios y Corredores(5312); Arrendadores de Bienes Inmuebles(5311)</t>
  </si>
  <si>
    <t>Expendio A La Mesa De Comidas Preparadas (I5611); Expendio De Bebidas Alcohólicas Para El Consumo Dentro Del Establecimiento (I5630); Actividades Inmobiliarias Realizadas Con Bienes Propios O Arrendados (L6810); Actividades Inmobiliarias Realizadas A Cambio De Una Retribución O Por Contrata (L6820)</t>
  </si>
  <si>
    <t>Cl 77 C No. 106 63</t>
  </si>
  <si>
    <t>HASSONAC@AOL.COM</t>
  </si>
  <si>
    <t>Angelica Estupiñan Muñoz (Representante Legal)</t>
  </si>
  <si>
    <t>A &amp; B Inversiones Sas</t>
  </si>
  <si>
    <t>Fabricación de Metales Estructurales Fabricados(332312); Organizaciones Empresariales Profesionales(56133); Bares y Otros Lugares para Beber(7224); Contratistas de Trabajos de Acabado de Edificios(2383)</t>
  </si>
  <si>
    <t>Fabricación De Productos Metálicos Para Uso Estructural (C2511); Terminación Y Acabado De Edificios Y Obras De Ingeniería Civil (F4330); Expendio De Bebidas Alcohólicas Para El Consumo Dentro Del Establecimiento (I5630); Otras Actividades De Provisión De Talento Humano (N7830)</t>
  </si>
  <si>
    <t>Calle 68 # 21 - 19</t>
  </si>
  <si>
    <t>aybinversiones2014@gmail.com</t>
  </si>
  <si>
    <t>Fredy Baquero Peña (Representante Legal)</t>
  </si>
  <si>
    <t>99 Franquicias Sas</t>
  </si>
  <si>
    <t>Cl 77 No. 20 B 19</t>
  </si>
  <si>
    <t>99franquicias.col@gmail.com</t>
  </si>
  <si>
    <t>Jorge Eliecer Pelaez Londoño (Representante Legal)</t>
  </si>
  <si>
    <t>8 Y 48 Sas</t>
  </si>
  <si>
    <t>Cr 6 10 27</t>
  </si>
  <si>
    <t>miviejo.bogota@gmail.com</t>
  </si>
  <si>
    <t>Maria Patricia Guzman Leon (Representante Legal)</t>
  </si>
  <si>
    <t>8 Caminos Glamping Sas</t>
  </si>
  <si>
    <t>Cr 8 Este No. 98 81 P 3</t>
  </si>
  <si>
    <t>8caminosglamping@gmail.com</t>
  </si>
  <si>
    <t>Jorge Orlando Romero Diaz (Representante Legal)</t>
  </si>
  <si>
    <t>7/55 Gastrobar Sas</t>
  </si>
  <si>
    <t>Cl 146 # 58 12 Bl 9</t>
  </si>
  <si>
    <t>wendy_palacio@outlook.es</t>
  </si>
  <si>
    <t>Wendy Vanessa Palacio Severiche (Representante Legal)</t>
  </si>
  <si>
    <t>7-24 Express Sas</t>
  </si>
  <si>
    <t>Carrera 56 9 09</t>
  </si>
  <si>
    <t>localamericasfe7.24@gmail.com</t>
  </si>
  <si>
    <t>Manuel Alberto Rodriguez Torres (Representante Legal)</t>
  </si>
  <si>
    <t>7 Albahacas Sas</t>
  </si>
  <si>
    <t>Cl 65 No. 9 69</t>
  </si>
  <si>
    <t>7ALBAHACAS@GMAIL.COM</t>
  </si>
  <si>
    <t>Mosquera Hinestroza Gabriel Romario (Representante Legal)</t>
  </si>
  <si>
    <t>62.8 Inversiones S.A.S</t>
  </si>
  <si>
    <t>Carrera 55 # 153 15 A</t>
  </si>
  <si>
    <t>parrilla628dom@gmail.com</t>
  </si>
  <si>
    <t>Jaime Arango Zambrano (Representante Legal)</t>
  </si>
  <si>
    <t>6-11 Group S.A.S</t>
  </si>
  <si>
    <t>Cafeterías y Bares para Bebidas sin Alcohol(722515); Otros Servicios de Apoyo de Negocios(56149); Otras Tiendas de Comidas Artesanales(44529)</t>
  </si>
  <si>
    <t>Comercio Al Por Menor De Otros Productos Alimenticios N.C.P., En Establecimientos Especializados (G4729); Expendio De Comidas Preparadas En Cafeterías (I5613); Otras Actividades De Servicio De Apoyo A Las Empresas N.C.P. (N8299)</t>
  </si>
  <si>
    <t>Cr 74 No. 160 83 To 2 Of 307</t>
  </si>
  <si>
    <t>gerencia@6-11cafe.com</t>
  </si>
  <si>
    <t>Claudia Alexandra Gutierrez Jaramillo (Representante Legal)</t>
  </si>
  <si>
    <t>59Café S.A.S.</t>
  </si>
  <si>
    <t>Cr 11 No. 82 01 Of 901</t>
  </si>
  <si>
    <t>jvelasco@canalesdesarrolladores.com</t>
  </si>
  <si>
    <t>Af Proyectos S A S (Representante Legal)</t>
  </si>
  <si>
    <t>416 Wings Sas</t>
  </si>
  <si>
    <t>Cl 65 No. 4 07</t>
  </si>
  <si>
    <t>416wings@gmail.com</t>
  </si>
  <si>
    <t>Joshua Francis Charlton Charlton (Representante Legal)</t>
  </si>
  <si>
    <t>4/4 Gourmet Sas</t>
  </si>
  <si>
    <t>Cr 56B 128C 12</t>
  </si>
  <si>
    <t>cuatrocuartosgourmet@gmail.com</t>
  </si>
  <si>
    <t>Janneth Sanabria Caballero (Representante Legal)</t>
  </si>
  <si>
    <t>2Hcd Sas</t>
  </si>
  <si>
    <t>Calle 140 # 13 - 62 Local 101</t>
  </si>
  <si>
    <t>heracliobustamante@gmail.com</t>
  </si>
  <si>
    <t>Luis Heraclio Bustamante Henao (Representante Legal)</t>
  </si>
  <si>
    <t>297 International Business S.A.S</t>
  </si>
  <si>
    <t>Cl 74 No. 5 55 Ap 101</t>
  </si>
  <si>
    <t>info@intaxwise.com</t>
  </si>
  <si>
    <t>Ruthilda Russette Rajan Rodriguez (Representante Legal)</t>
  </si>
  <si>
    <t>1958 Cerveceria S.A.S</t>
  </si>
  <si>
    <t>Calle 75A # 20C 09</t>
  </si>
  <si>
    <t>grupasesores@gmail.com</t>
  </si>
  <si>
    <t>Julio Alejandro Muñeton Gonzalez (Representante Legal)</t>
  </si>
  <si>
    <t>1800 Gastro Bar S.A.S</t>
  </si>
  <si>
    <t>Cl 60 No. 9 39</t>
  </si>
  <si>
    <t>1800restaurantebar@gmail.com</t>
  </si>
  <si>
    <t>William Devia Londoño (Representante Legal)</t>
  </si>
  <si>
    <t>18 Lumi S.A.S</t>
  </si>
  <si>
    <t>Calle 6 D 2 A 04</t>
  </si>
  <si>
    <t>miguelangelr2@hotmail.com</t>
  </si>
  <si>
    <t>Luisa María Murillo Loreo (Representante Legal)</t>
  </si>
  <si>
    <t>11:11 Urban Grill Sas</t>
  </si>
  <si>
    <t>Cr 19 A No. 103 80</t>
  </si>
  <si>
    <t>jose_luisacosta@hotmail.com</t>
  </si>
  <si>
    <t>Yessica Julieth Ramirez Diaz (Representante Legal)</t>
  </si>
  <si>
    <t>1177 Sas</t>
  </si>
  <si>
    <t>Alojamiento En Hoteles (I5511); Otros Tipos De Alojamientos Para Visitantes (I5519); Expendio De Bebidas Alcohólicas Para El Consumo Dentro Del Establecimiento (I5630)</t>
  </si>
  <si>
    <t>Calle 150 C 103 F 22</t>
  </si>
  <si>
    <t>h1177sas@gmail.com</t>
  </si>
  <si>
    <t>10 Pecados J&amp;S Sas</t>
  </si>
  <si>
    <t>Cr 136 A No. 152 C - 33</t>
  </si>
  <si>
    <t>juan.escobartv@gmail.com</t>
  </si>
  <si>
    <t>Juan David Escobar Tovar (Representante Legal)</t>
  </si>
  <si>
    <t>0Es3 Mercadeo Y Publicidad S.A.S</t>
  </si>
  <si>
    <t>Empresas de Catering(72232); Agencias de Publicidad(54181); Bares y Otros Lugares para Beber(7224); Fabricación de Muebles y Productos Relacionados(337)</t>
  </si>
  <si>
    <t>Fabricación De Muebles (C3110); Catering Para Eventos (I5621); Expendio De Bebidas Alcohólicas Para El Consumo Dentro Del Establecimiento (I5630); Publicidad (M7310)</t>
  </si>
  <si>
    <t>Cr 57 A No. 127 33</t>
  </si>
  <si>
    <t>0es3agenciamyp@gmail.com</t>
  </si>
  <si>
    <t>Jhonatan Andres Suarez Colmenares (Representante Legal)</t>
  </si>
  <si>
    <t>08 Catorce Sas</t>
  </si>
  <si>
    <t>Cr 1 No. 84 C 50 Ap</t>
  </si>
  <si>
    <t>08catorce@gmail.com</t>
  </si>
  <si>
    <t>Nicolas Velez Angulo (Representante Legal)</t>
  </si>
  <si>
    <t>+58 Alimentos Y Bebidas Sas</t>
  </si>
  <si>
    <t>Cl 183 No. 7 A 41 Ap</t>
  </si>
  <si>
    <t>franquicia.acbogota@gmail.com</t>
  </si>
  <si>
    <t>Adriana Polanco Mendez (Representante 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</si>
</sst>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4" fontId="0" fillId="0" borderId="0" xfId="0" applyNumberFormat="1"/>
  </cellXfs>
  <cellStyles count="2">
    <cellStyle name="Normal" xfId="0" builtinId="0"/>
    <cellStyle name="Normal 2" xfId="1" xr:uid="{CCFB80E0-E958-4115-B222-5A15D5D9FE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2339-B21B-470B-92F7-C0812E78C6B4}">
  <dimension ref="A1:AD3065"/>
  <sheetViews>
    <sheetView tabSelected="1" topLeftCell="A211" workbookViewId="0">
      <selection activeCell="W6" sqref="W6"/>
    </sheetView>
  </sheetViews>
  <sheetFormatPr baseColWidth="10"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v>1</v>
      </c>
      <c r="B2" t="s">
        <v>30</v>
      </c>
      <c r="C2" t="s">
        <v>31</v>
      </c>
      <c r="D2" t="s">
        <v>32</v>
      </c>
      <c r="E2" t="s">
        <v>33</v>
      </c>
      <c r="F2" t="s">
        <v>34</v>
      </c>
      <c r="G2" t="s">
        <v>35</v>
      </c>
      <c r="H2" t="s">
        <v>36</v>
      </c>
      <c r="I2" t="s">
        <v>37</v>
      </c>
      <c r="J2">
        <f>57-60-1-326-9222</f>
        <v>-9552</v>
      </c>
      <c r="K2" t="s">
        <v>38</v>
      </c>
      <c r="L2" t="s">
        <v>39</v>
      </c>
      <c r="M2" t="s">
        <v>40</v>
      </c>
      <c r="N2" t="s">
        <v>41</v>
      </c>
      <c r="O2" t="s">
        <v>42</v>
      </c>
      <c r="P2" s="1">
        <v>32205.58</v>
      </c>
      <c r="Q2" s="1">
        <v>753547.58</v>
      </c>
      <c r="R2" s="1">
        <v>-8517.08</v>
      </c>
      <c r="S2" s="1">
        <v>333468.02</v>
      </c>
      <c r="T2" s="1">
        <v>139029.71</v>
      </c>
      <c r="U2" s="1">
        <v>22232.05</v>
      </c>
      <c r="X2" s="1">
        <v>-18144.78</v>
      </c>
      <c r="Y2" s="1">
        <v>311235.96999999997</v>
      </c>
      <c r="Z2" t="s">
        <v>43</v>
      </c>
      <c r="AA2">
        <v>2023</v>
      </c>
      <c r="AB2" t="s">
        <v>27</v>
      </c>
      <c r="AC2" t="s">
        <v>28</v>
      </c>
      <c r="AD2" t="s">
        <v>44</v>
      </c>
    </row>
    <row r="3" spans="1:30" x14ac:dyDescent="0.25">
      <c r="A3">
        <v>2</v>
      </c>
      <c r="B3" t="s">
        <v>30</v>
      </c>
      <c r="C3" t="s">
        <v>45</v>
      </c>
      <c r="D3" t="s">
        <v>46</v>
      </c>
      <c r="E3" t="s">
        <v>46</v>
      </c>
      <c r="F3" t="s">
        <v>47</v>
      </c>
      <c r="G3" t="s">
        <v>47</v>
      </c>
      <c r="H3" t="s">
        <v>48</v>
      </c>
      <c r="I3" t="s">
        <v>49</v>
      </c>
      <c r="J3">
        <f>57-60-1-668-4545</f>
        <v>-5217</v>
      </c>
      <c r="K3" t="s">
        <v>50</v>
      </c>
      <c r="N3" t="s">
        <v>51</v>
      </c>
      <c r="O3" t="s">
        <v>52</v>
      </c>
      <c r="P3" s="1">
        <v>72822.84</v>
      </c>
      <c r="Q3" s="1">
        <v>691472.31</v>
      </c>
      <c r="R3" s="1">
        <v>15277.94</v>
      </c>
      <c r="S3" s="1">
        <v>531937.21</v>
      </c>
      <c r="T3" s="1">
        <v>77726.679999999993</v>
      </c>
      <c r="U3" s="1">
        <v>59447.81</v>
      </c>
      <c r="X3">
        <v>0</v>
      </c>
      <c r="Y3" s="1">
        <v>472489.4</v>
      </c>
      <c r="Z3" t="s">
        <v>43</v>
      </c>
      <c r="AA3">
        <v>2023</v>
      </c>
      <c r="AB3" t="s">
        <v>27</v>
      </c>
      <c r="AC3" t="s">
        <v>53</v>
      </c>
      <c r="AD3" t="s">
        <v>54</v>
      </c>
    </row>
    <row r="4" spans="1:30" x14ac:dyDescent="0.25">
      <c r="A4">
        <v>3</v>
      </c>
      <c r="B4" t="s">
        <v>30</v>
      </c>
      <c r="C4" t="s">
        <v>55</v>
      </c>
      <c r="D4" t="s">
        <v>56</v>
      </c>
      <c r="E4" t="s">
        <v>56</v>
      </c>
      <c r="F4" t="s">
        <v>57</v>
      </c>
      <c r="G4" t="s">
        <v>57</v>
      </c>
      <c r="H4" t="s">
        <v>58</v>
      </c>
      <c r="I4" t="s">
        <v>59</v>
      </c>
      <c r="J4">
        <f>57-60-1-745-3333</f>
        <v>-4082</v>
      </c>
      <c r="K4" t="s">
        <v>60</v>
      </c>
      <c r="N4" t="s">
        <v>61</v>
      </c>
      <c r="O4" t="s">
        <v>62</v>
      </c>
      <c r="P4" s="1">
        <v>-29792.49</v>
      </c>
      <c r="Q4" s="1">
        <v>239076.64</v>
      </c>
      <c r="R4" s="1">
        <v>-41598.78</v>
      </c>
      <c r="S4" s="1">
        <v>177691.68</v>
      </c>
      <c r="T4" s="1">
        <v>17015.93</v>
      </c>
      <c r="U4" s="1">
        <v>-8077.81</v>
      </c>
      <c r="X4">
        <v>0</v>
      </c>
      <c r="Y4" s="1">
        <v>185769.49</v>
      </c>
      <c r="Z4" t="s">
        <v>43</v>
      </c>
      <c r="AA4">
        <v>2023</v>
      </c>
      <c r="AB4" t="s">
        <v>27</v>
      </c>
      <c r="AC4" t="s">
        <v>53</v>
      </c>
      <c r="AD4" t="s">
        <v>54</v>
      </c>
    </row>
    <row r="5" spans="1:30" x14ac:dyDescent="0.25">
      <c r="A5">
        <v>4</v>
      </c>
      <c r="B5" t="s">
        <v>30</v>
      </c>
      <c r="C5" t="s">
        <v>63</v>
      </c>
      <c r="D5" t="s">
        <v>64</v>
      </c>
      <c r="E5" t="s">
        <v>64</v>
      </c>
      <c r="F5" t="s">
        <v>65</v>
      </c>
      <c r="G5" t="s">
        <v>65</v>
      </c>
      <c r="H5" t="s">
        <v>66</v>
      </c>
      <c r="I5" t="s">
        <v>67</v>
      </c>
      <c r="J5">
        <f>57-60-1-746-45</f>
        <v>-795</v>
      </c>
      <c r="K5" t="s">
        <v>68</v>
      </c>
      <c r="N5" t="s">
        <v>69</v>
      </c>
      <c r="O5" t="s">
        <v>70</v>
      </c>
      <c r="P5" s="1">
        <v>10460.94</v>
      </c>
      <c r="Q5" s="1">
        <v>150397.04999999999</v>
      </c>
      <c r="R5" s="1">
        <v>2620.5</v>
      </c>
      <c r="S5" s="1">
        <v>171159.55</v>
      </c>
      <c r="T5" s="1">
        <v>71884.23</v>
      </c>
      <c r="U5" s="1">
        <v>70122.66</v>
      </c>
      <c r="X5">
        <v>0</v>
      </c>
      <c r="Y5" s="1">
        <v>101036.89</v>
      </c>
      <c r="Z5" t="s">
        <v>43</v>
      </c>
      <c r="AA5">
        <v>2023</v>
      </c>
      <c r="AB5" t="s">
        <v>27</v>
      </c>
      <c r="AC5" t="s">
        <v>53</v>
      </c>
      <c r="AD5" t="s">
        <v>54</v>
      </c>
    </row>
    <row r="6" spans="1:30" x14ac:dyDescent="0.25">
      <c r="A6">
        <v>5</v>
      </c>
      <c r="B6" t="s">
        <v>30</v>
      </c>
      <c r="C6" t="s">
        <v>71</v>
      </c>
      <c r="D6" t="s">
        <v>72</v>
      </c>
      <c r="E6" t="s">
        <v>72</v>
      </c>
      <c r="F6" t="s">
        <v>73</v>
      </c>
      <c r="G6" t="s">
        <v>73</v>
      </c>
      <c r="I6" t="s">
        <v>74</v>
      </c>
      <c r="J6">
        <f>57-60-1-555-4390</f>
        <v>-4949</v>
      </c>
      <c r="K6" t="s">
        <v>75</v>
      </c>
      <c r="N6" t="s">
        <v>76</v>
      </c>
      <c r="O6" t="s">
        <v>77</v>
      </c>
      <c r="P6" s="1">
        <v>3288.83</v>
      </c>
      <c r="Q6" s="1">
        <v>82758.75</v>
      </c>
      <c r="R6">
        <v>345.9</v>
      </c>
      <c r="S6" s="1">
        <v>23537.33</v>
      </c>
      <c r="T6" s="1">
        <v>12127.23</v>
      </c>
      <c r="U6" s="1">
        <v>2818.56</v>
      </c>
      <c r="X6">
        <v>0</v>
      </c>
      <c r="Y6" s="1">
        <v>20718.77</v>
      </c>
      <c r="Z6" t="s">
        <v>43</v>
      </c>
      <c r="AA6">
        <v>2023</v>
      </c>
      <c r="AB6" t="s">
        <v>27</v>
      </c>
      <c r="AC6" t="s">
        <v>53</v>
      </c>
      <c r="AD6" t="s">
        <v>54</v>
      </c>
    </row>
    <row r="7" spans="1:30" x14ac:dyDescent="0.25">
      <c r="A7">
        <v>6</v>
      </c>
      <c r="B7" t="s">
        <v>30</v>
      </c>
      <c r="C7" t="s">
        <v>78</v>
      </c>
      <c r="D7" t="s">
        <v>56</v>
      </c>
      <c r="E7" t="s">
        <v>56</v>
      </c>
      <c r="F7" t="s">
        <v>57</v>
      </c>
      <c r="G7" t="s">
        <v>57</v>
      </c>
      <c r="H7" t="s">
        <v>79</v>
      </c>
      <c r="I7" t="s">
        <v>80</v>
      </c>
      <c r="J7">
        <f>57-60-1-743-3440</f>
        <v>-4187</v>
      </c>
      <c r="K7" t="s">
        <v>81</v>
      </c>
      <c r="N7" t="s">
        <v>82</v>
      </c>
      <c r="O7" t="s">
        <v>83</v>
      </c>
      <c r="P7" s="1">
        <v>9651.26</v>
      </c>
      <c r="Q7" s="1">
        <v>60121.39</v>
      </c>
      <c r="R7" s="1">
        <v>6361.98</v>
      </c>
      <c r="S7" s="1">
        <v>29803.39</v>
      </c>
      <c r="T7" s="1">
        <v>7523.85</v>
      </c>
      <c r="U7" s="1">
        <v>9404.85</v>
      </c>
      <c r="X7">
        <v>0</v>
      </c>
      <c r="Y7" s="1">
        <v>20398.53</v>
      </c>
      <c r="Z7" t="s">
        <v>43</v>
      </c>
      <c r="AA7">
        <v>2023</v>
      </c>
      <c r="AB7" t="s">
        <v>27</v>
      </c>
      <c r="AC7" t="s">
        <v>53</v>
      </c>
      <c r="AD7" t="s">
        <v>54</v>
      </c>
    </row>
    <row r="8" spans="1:30" x14ac:dyDescent="0.25">
      <c r="A8">
        <v>7</v>
      </c>
      <c r="B8" t="s">
        <v>30</v>
      </c>
      <c r="C8" t="s">
        <v>84</v>
      </c>
      <c r="D8" t="s">
        <v>72</v>
      </c>
      <c r="E8" t="s">
        <v>72</v>
      </c>
      <c r="F8" t="s">
        <v>73</v>
      </c>
      <c r="G8" t="s">
        <v>73</v>
      </c>
      <c r="H8" t="s">
        <v>85</v>
      </c>
      <c r="I8" t="s">
        <v>86</v>
      </c>
      <c r="J8">
        <f>57-60-1-369-5000</f>
        <v>-5373</v>
      </c>
      <c r="K8" t="s">
        <v>87</v>
      </c>
      <c r="N8" t="s">
        <v>88</v>
      </c>
      <c r="O8" t="s">
        <v>89</v>
      </c>
      <c r="P8" s="1">
        <v>3980.15</v>
      </c>
      <c r="Q8" s="1">
        <v>40954.39</v>
      </c>
      <c r="R8" s="1">
        <v>1039.32</v>
      </c>
      <c r="S8" s="1">
        <v>21054.57</v>
      </c>
      <c r="T8" s="1">
        <v>5775.85</v>
      </c>
      <c r="U8" s="1">
        <v>5294.75</v>
      </c>
      <c r="X8">
        <v>0</v>
      </c>
      <c r="Y8" s="1">
        <v>15759.82</v>
      </c>
      <c r="Z8" t="s">
        <v>43</v>
      </c>
      <c r="AA8">
        <v>2023</v>
      </c>
      <c r="AB8" t="s">
        <v>27</v>
      </c>
      <c r="AC8" t="s">
        <v>53</v>
      </c>
      <c r="AD8" t="s">
        <v>54</v>
      </c>
    </row>
    <row r="9" spans="1:30" x14ac:dyDescent="0.25">
      <c r="A9">
        <v>8</v>
      </c>
      <c r="B9" t="s">
        <v>30</v>
      </c>
      <c r="C9" t="s">
        <v>90</v>
      </c>
      <c r="D9" t="s">
        <v>72</v>
      </c>
      <c r="E9" t="s">
        <v>72</v>
      </c>
      <c r="F9" t="s">
        <v>73</v>
      </c>
      <c r="G9" t="s">
        <v>73</v>
      </c>
      <c r="I9" t="s">
        <v>91</v>
      </c>
      <c r="J9">
        <f>57-315-247-654</f>
        <v>-1159</v>
      </c>
      <c r="K9" t="s">
        <v>92</v>
      </c>
      <c r="N9" t="s">
        <v>93</v>
      </c>
      <c r="O9" t="s">
        <v>94</v>
      </c>
      <c r="P9" s="1">
        <v>-22484.18</v>
      </c>
      <c r="Q9" s="1">
        <v>36982.879999999997</v>
      </c>
      <c r="R9" s="1">
        <v>-25066.05</v>
      </c>
      <c r="S9" s="1">
        <v>24024.74</v>
      </c>
      <c r="T9" s="1">
        <v>14527.92</v>
      </c>
      <c r="U9" s="1">
        <v>1922.15</v>
      </c>
      <c r="X9">
        <v>0</v>
      </c>
      <c r="Y9" s="1">
        <v>22102.59</v>
      </c>
      <c r="Z9" t="s">
        <v>43</v>
      </c>
      <c r="AA9">
        <v>2023</v>
      </c>
      <c r="AB9" t="s">
        <v>27</v>
      </c>
      <c r="AC9" t="s">
        <v>53</v>
      </c>
      <c r="AD9" t="s">
        <v>54</v>
      </c>
    </row>
    <row r="10" spans="1:30" x14ac:dyDescent="0.25">
      <c r="A10">
        <v>9</v>
      </c>
      <c r="B10" t="s">
        <v>30</v>
      </c>
      <c r="C10" t="s">
        <v>95</v>
      </c>
      <c r="D10" t="s">
        <v>72</v>
      </c>
      <c r="E10" t="s">
        <v>72</v>
      </c>
      <c r="F10" t="s">
        <v>73</v>
      </c>
      <c r="G10" t="s">
        <v>73</v>
      </c>
      <c r="I10" t="s">
        <v>96</v>
      </c>
      <c r="J10">
        <f>57-60-1-927-9335</f>
        <v>-10266</v>
      </c>
      <c r="K10" t="s">
        <v>97</v>
      </c>
      <c r="N10" t="s">
        <v>98</v>
      </c>
      <c r="O10" t="s">
        <v>99</v>
      </c>
      <c r="P10" s="1">
        <v>1563.71</v>
      </c>
      <c r="Q10" s="1">
        <v>33646.75</v>
      </c>
      <c r="R10">
        <v>336.87</v>
      </c>
      <c r="S10" s="1">
        <v>6448.16</v>
      </c>
      <c r="T10">
        <v>0</v>
      </c>
      <c r="U10">
        <v>687.68</v>
      </c>
      <c r="Y10" s="1">
        <v>5760.48</v>
      </c>
      <c r="Z10" t="s">
        <v>43</v>
      </c>
      <c r="AA10">
        <v>2023</v>
      </c>
      <c r="AB10" t="s">
        <v>100</v>
      </c>
      <c r="AC10" t="s">
        <v>53</v>
      </c>
      <c r="AD10" t="s">
        <v>101</v>
      </c>
    </row>
    <row r="11" spans="1:30" x14ac:dyDescent="0.25">
      <c r="A11">
        <v>10</v>
      </c>
      <c r="B11" t="s">
        <v>30</v>
      </c>
      <c r="C11" t="s">
        <v>102</v>
      </c>
      <c r="D11" t="s">
        <v>72</v>
      </c>
      <c r="E11" t="s">
        <v>72</v>
      </c>
      <c r="F11" t="s">
        <v>73</v>
      </c>
      <c r="G11" t="s">
        <v>73</v>
      </c>
      <c r="H11" t="s">
        <v>103</v>
      </c>
      <c r="I11" t="s">
        <v>104</v>
      </c>
      <c r="J11">
        <f>57-60-1-236-3488</f>
        <v>-3728</v>
      </c>
      <c r="K11" t="s">
        <v>105</v>
      </c>
      <c r="N11" t="s">
        <v>106</v>
      </c>
      <c r="O11" t="s">
        <v>107</v>
      </c>
      <c r="P11" s="1">
        <v>1482.01</v>
      </c>
      <c r="Q11" s="1">
        <v>30720.639999999999</v>
      </c>
      <c r="R11" s="1">
        <v>1826.16</v>
      </c>
      <c r="S11" s="1">
        <v>11202.14</v>
      </c>
      <c r="T11" s="1">
        <v>1462.61</v>
      </c>
      <c r="U11" s="1">
        <v>5970.41</v>
      </c>
      <c r="X11">
        <v>0</v>
      </c>
      <c r="Y11" s="1">
        <v>5231.74</v>
      </c>
      <c r="Z11" t="s">
        <v>43</v>
      </c>
      <c r="AA11">
        <v>2023</v>
      </c>
      <c r="AB11" t="s">
        <v>27</v>
      </c>
      <c r="AC11" t="s">
        <v>53</v>
      </c>
      <c r="AD11" t="s">
        <v>54</v>
      </c>
    </row>
    <row r="12" spans="1:30" x14ac:dyDescent="0.25">
      <c r="A12">
        <v>11</v>
      </c>
      <c r="B12" t="s">
        <v>30</v>
      </c>
      <c r="C12" t="s">
        <v>108</v>
      </c>
      <c r="D12" t="s">
        <v>64</v>
      </c>
      <c r="E12" t="s">
        <v>64</v>
      </c>
      <c r="F12" t="s">
        <v>65</v>
      </c>
      <c r="G12" t="s">
        <v>65</v>
      </c>
      <c r="H12" t="s">
        <v>109</v>
      </c>
      <c r="I12" t="s">
        <v>110</v>
      </c>
      <c r="J12">
        <f>57-60-1-630-6006</f>
        <v>-6640</v>
      </c>
      <c r="K12" t="s">
        <v>111</v>
      </c>
      <c r="N12" t="s">
        <v>112</v>
      </c>
      <c r="O12" t="s">
        <v>113</v>
      </c>
      <c r="P12" s="1">
        <v>1507.27</v>
      </c>
      <c r="Q12" s="1">
        <v>28318.65</v>
      </c>
      <c r="R12">
        <v>657.59</v>
      </c>
      <c r="S12" s="1">
        <v>8810.35</v>
      </c>
      <c r="T12" s="1">
        <v>2683.54</v>
      </c>
      <c r="U12" s="1">
        <v>4946.1899999999996</v>
      </c>
      <c r="X12">
        <v>0</v>
      </c>
      <c r="Y12" s="1">
        <v>3864.16</v>
      </c>
      <c r="Z12" t="s">
        <v>43</v>
      </c>
      <c r="AA12">
        <v>2023</v>
      </c>
      <c r="AB12" t="s">
        <v>27</v>
      </c>
      <c r="AC12" t="s">
        <v>53</v>
      </c>
      <c r="AD12" t="s">
        <v>54</v>
      </c>
    </row>
    <row r="13" spans="1:30" x14ac:dyDescent="0.25">
      <c r="A13">
        <v>12</v>
      </c>
      <c r="B13" t="s">
        <v>30</v>
      </c>
      <c r="C13" t="s">
        <v>114</v>
      </c>
      <c r="D13" t="s">
        <v>56</v>
      </c>
      <c r="E13" t="s">
        <v>56</v>
      </c>
      <c r="F13" t="s">
        <v>57</v>
      </c>
      <c r="G13" t="s">
        <v>57</v>
      </c>
      <c r="I13" t="s">
        <v>115</v>
      </c>
      <c r="J13">
        <f>57-60-1-742-3</f>
        <v>-749</v>
      </c>
      <c r="K13" t="s">
        <v>116</v>
      </c>
      <c r="N13" t="s">
        <v>117</v>
      </c>
      <c r="O13" t="s">
        <v>118</v>
      </c>
      <c r="P13" s="1">
        <v>6009.28</v>
      </c>
      <c r="Q13" s="1">
        <v>26957.4</v>
      </c>
      <c r="R13" s="1">
        <v>4147.7700000000004</v>
      </c>
      <c r="S13" s="1">
        <v>13267.52</v>
      </c>
      <c r="T13">
        <v>0</v>
      </c>
      <c r="U13" s="1">
        <v>9649.42</v>
      </c>
      <c r="Y13" s="1">
        <v>3618.1</v>
      </c>
      <c r="Z13" t="s">
        <v>43</v>
      </c>
      <c r="AA13">
        <v>2023</v>
      </c>
      <c r="AB13" t="s">
        <v>100</v>
      </c>
      <c r="AC13" t="s">
        <v>53</v>
      </c>
      <c r="AD13" t="s">
        <v>101</v>
      </c>
    </row>
    <row r="14" spans="1:30" x14ac:dyDescent="0.25">
      <c r="A14">
        <v>13</v>
      </c>
      <c r="B14" t="s">
        <v>30</v>
      </c>
      <c r="C14" t="s">
        <v>119</v>
      </c>
      <c r="D14" t="s">
        <v>64</v>
      </c>
      <c r="E14" t="s">
        <v>64</v>
      </c>
      <c r="F14" t="s">
        <v>65</v>
      </c>
      <c r="G14" t="s">
        <v>65</v>
      </c>
      <c r="H14" t="s">
        <v>120</v>
      </c>
      <c r="I14" t="s">
        <v>121</v>
      </c>
      <c r="J14">
        <f>57-60-1-593-2727</f>
        <v>-3324</v>
      </c>
      <c r="K14" t="s">
        <v>122</v>
      </c>
      <c r="N14" t="s">
        <v>123</v>
      </c>
      <c r="O14" t="s">
        <v>124</v>
      </c>
      <c r="P14">
        <v>-2.76</v>
      </c>
      <c r="Q14" s="1">
        <v>20054.759999999998</v>
      </c>
      <c r="R14">
        <v>-3.83</v>
      </c>
      <c r="S14" s="1">
        <v>24090.86</v>
      </c>
      <c r="T14">
        <v>0</v>
      </c>
      <c r="U14" s="1">
        <v>5262.01</v>
      </c>
      <c r="Y14" s="1">
        <v>18828.849999999999</v>
      </c>
      <c r="Z14" t="s">
        <v>43</v>
      </c>
      <c r="AA14">
        <v>2018</v>
      </c>
      <c r="AB14" t="s">
        <v>100</v>
      </c>
      <c r="AC14" t="s">
        <v>53</v>
      </c>
      <c r="AD14" t="s">
        <v>101</v>
      </c>
    </row>
    <row r="15" spans="1:30" x14ac:dyDescent="0.25">
      <c r="A15">
        <v>14</v>
      </c>
      <c r="B15" t="s">
        <v>30</v>
      </c>
      <c r="C15" t="s">
        <v>125</v>
      </c>
      <c r="D15" t="s">
        <v>72</v>
      </c>
      <c r="E15" t="s">
        <v>72</v>
      </c>
      <c r="F15" t="s">
        <v>73</v>
      </c>
      <c r="G15" t="s">
        <v>73</v>
      </c>
      <c r="H15" t="s">
        <v>126</v>
      </c>
      <c r="I15" t="s">
        <v>127</v>
      </c>
      <c r="J15">
        <f>57-60-1-745-2160</f>
        <v>-2909</v>
      </c>
      <c r="K15" t="s">
        <v>128</v>
      </c>
      <c r="N15" t="s">
        <v>129</v>
      </c>
      <c r="O15" t="s">
        <v>130</v>
      </c>
      <c r="P15">
        <v>209.1</v>
      </c>
      <c r="Q15" s="1">
        <v>18103.88</v>
      </c>
      <c r="R15">
        <v>325.64</v>
      </c>
      <c r="S15" s="1">
        <v>12840.75</v>
      </c>
      <c r="T15" s="1">
        <v>6709.08</v>
      </c>
      <c r="U15" s="1">
        <v>9580.74</v>
      </c>
      <c r="X15">
        <v>0</v>
      </c>
      <c r="Y15" s="1">
        <v>3260.01</v>
      </c>
      <c r="Z15" t="s">
        <v>43</v>
      </c>
      <c r="AA15">
        <v>2023</v>
      </c>
      <c r="AB15" t="s">
        <v>27</v>
      </c>
      <c r="AC15" t="s">
        <v>53</v>
      </c>
      <c r="AD15" t="s">
        <v>54</v>
      </c>
    </row>
    <row r="16" spans="1:30" x14ac:dyDescent="0.25">
      <c r="A16">
        <v>15</v>
      </c>
      <c r="B16" t="s">
        <v>30</v>
      </c>
      <c r="C16" t="s">
        <v>131</v>
      </c>
      <c r="D16" t="s">
        <v>64</v>
      </c>
      <c r="E16" t="s">
        <v>64</v>
      </c>
      <c r="F16" t="s">
        <v>65</v>
      </c>
      <c r="G16" t="s">
        <v>65</v>
      </c>
      <c r="I16" t="s">
        <v>132</v>
      </c>
      <c r="J16">
        <f>57-312-307-9509</f>
        <v>-10071</v>
      </c>
      <c r="K16" t="s">
        <v>133</v>
      </c>
      <c r="N16" t="s">
        <v>134</v>
      </c>
      <c r="O16" t="s">
        <v>135</v>
      </c>
      <c r="P16">
        <v>2</v>
      </c>
      <c r="Q16" s="1">
        <v>18000</v>
      </c>
      <c r="R16">
        <v>0</v>
      </c>
      <c r="S16">
        <v>2</v>
      </c>
      <c r="T16">
        <v>0</v>
      </c>
      <c r="U16">
        <v>2</v>
      </c>
      <c r="Y16">
        <v>0</v>
      </c>
      <c r="Z16" t="s">
        <v>43</v>
      </c>
      <c r="AA16">
        <v>2023</v>
      </c>
      <c r="AB16" t="s">
        <v>100</v>
      </c>
      <c r="AC16" t="s">
        <v>53</v>
      </c>
      <c r="AD16" t="s">
        <v>101</v>
      </c>
    </row>
    <row r="17" spans="1:30" x14ac:dyDescent="0.25">
      <c r="A17">
        <v>16</v>
      </c>
      <c r="B17" t="s">
        <v>30</v>
      </c>
      <c r="C17" t="s">
        <v>136</v>
      </c>
      <c r="D17" t="s">
        <v>56</v>
      </c>
      <c r="E17" t="s">
        <v>56</v>
      </c>
      <c r="F17" t="s">
        <v>57</v>
      </c>
      <c r="G17" t="s">
        <v>57</v>
      </c>
      <c r="I17" t="s">
        <v>137</v>
      </c>
      <c r="J17">
        <f>57-350-537-426</f>
        <v>-1256</v>
      </c>
      <c r="K17" t="s">
        <v>138</v>
      </c>
      <c r="N17" t="s">
        <v>139</v>
      </c>
      <c r="O17" t="s">
        <v>140</v>
      </c>
      <c r="P17">
        <v>694.12</v>
      </c>
      <c r="Q17" s="1">
        <v>12762.68</v>
      </c>
      <c r="R17">
        <v>304.52999999999997</v>
      </c>
      <c r="S17" s="1">
        <v>5830.22</v>
      </c>
      <c r="T17">
        <v>0</v>
      </c>
      <c r="U17" s="1">
        <v>1504.53</v>
      </c>
      <c r="Y17" s="1">
        <v>4325.6899999999996</v>
      </c>
      <c r="Z17" t="s">
        <v>43</v>
      </c>
      <c r="AA17">
        <v>2023</v>
      </c>
      <c r="AB17" t="s">
        <v>100</v>
      </c>
      <c r="AC17" t="s">
        <v>53</v>
      </c>
      <c r="AD17" t="s">
        <v>101</v>
      </c>
    </row>
    <row r="18" spans="1:30" x14ac:dyDescent="0.25">
      <c r="A18">
        <v>17</v>
      </c>
      <c r="B18" t="s">
        <v>30</v>
      </c>
      <c r="C18" t="s">
        <v>141</v>
      </c>
      <c r="D18" t="s">
        <v>72</v>
      </c>
      <c r="E18" t="s">
        <v>72</v>
      </c>
      <c r="F18" t="s">
        <v>73</v>
      </c>
      <c r="G18" t="s">
        <v>73</v>
      </c>
      <c r="H18" t="s">
        <v>142</v>
      </c>
      <c r="I18" t="s">
        <v>143</v>
      </c>
      <c r="J18">
        <f>57-60-1-519-888</f>
        <v>-1411</v>
      </c>
      <c r="K18" t="s">
        <v>144</v>
      </c>
      <c r="N18" t="s">
        <v>145</v>
      </c>
      <c r="O18" t="s">
        <v>146</v>
      </c>
      <c r="P18">
        <v>-632.16999999999996</v>
      </c>
      <c r="Q18" s="1">
        <v>11868.36</v>
      </c>
      <c r="R18" s="1">
        <v>-1628.14</v>
      </c>
      <c r="S18" s="1">
        <v>31435.15</v>
      </c>
      <c r="T18" s="1">
        <v>28899.55</v>
      </c>
      <c r="U18" s="1">
        <v>27106.83</v>
      </c>
      <c r="X18">
        <v>0</v>
      </c>
      <c r="Y18" s="1">
        <v>4328.32</v>
      </c>
      <c r="Z18" t="s">
        <v>43</v>
      </c>
      <c r="AA18">
        <v>2023</v>
      </c>
      <c r="AB18" t="s">
        <v>27</v>
      </c>
      <c r="AC18" t="s">
        <v>53</v>
      </c>
      <c r="AD18" t="s">
        <v>54</v>
      </c>
    </row>
    <row r="19" spans="1:30" x14ac:dyDescent="0.25">
      <c r="A19">
        <v>18</v>
      </c>
      <c r="B19" t="s">
        <v>30</v>
      </c>
      <c r="C19" t="s">
        <v>147</v>
      </c>
      <c r="D19" t="s">
        <v>72</v>
      </c>
      <c r="E19" t="s">
        <v>72</v>
      </c>
      <c r="F19" t="s">
        <v>73</v>
      </c>
      <c r="G19" t="s">
        <v>73</v>
      </c>
      <c r="I19" t="s">
        <v>148</v>
      </c>
      <c r="J19">
        <f>57-314-352-9491</f>
        <v>-10100</v>
      </c>
      <c r="K19" t="s">
        <v>149</v>
      </c>
      <c r="N19" t="s">
        <v>150</v>
      </c>
      <c r="O19" t="s">
        <v>151</v>
      </c>
      <c r="P19" s="1">
        <v>-1943.38</v>
      </c>
      <c r="Q19" s="1">
        <v>11308.86</v>
      </c>
      <c r="R19" s="1">
        <v>-2536.73</v>
      </c>
      <c r="S19" s="1">
        <v>5533.38</v>
      </c>
      <c r="T19" s="1">
        <v>1915.52</v>
      </c>
      <c r="U19" s="1">
        <v>-5148.07</v>
      </c>
      <c r="X19">
        <v>0</v>
      </c>
      <c r="Y19" s="1">
        <v>10681.45</v>
      </c>
      <c r="Z19" t="s">
        <v>43</v>
      </c>
      <c r="AA19">
        <v>2023</v>
      </c>
      <c r="AB19" t="s">
        <v>27</v>
      </c>
      <c r="AC19" t="s">
        <v>53</v>
      </c>
      <c r="AD19" t="s">
        <v>54</v>
      </c>
    </row>
    <row r="20" spans="1:30" x14ac:dyDescent="0.25">
      <c r="A20">
        <v>19</v>
      </c>
      <c r="B20" t="s">
        <v>30</v>
      </c>
      <c r="C20" t="s">
        <v>152</v>
      </c>
      <c r="D20" t="s">
        <v>56</v>
      </c>
      <c r="E20" t="s">
        <v>56</v>
      </c>
      <c r="F20" t="s">
        <v>57</v>
      </c>
      <c r="G20" t="s">
        <v>57</v>
      </c>
      <c r="I20" t="s">
        <v>153</v>
      </c>
      <c r="J20">
        <f>57-312-341-9393</f>
        <v>-9989</v>
      </c>
      <c r="K20" t="s">
        <v>154</v>
      </c>
      <c r="N20" t="s">
        <v>155</v>
      </c>
      <c r="O20" t="s">
        <v>156</v>
      </c>
      <c r="P20" s="1">
        <v>2829</v>
      </c>
      <c r="Q20" s="1">
        <v>11190.56</v>
      </c>
      <c r="R20">
        <v>699.98</v>
      </c>
      <c r="S20" s="1">
        <v>6077.81</v>
      </c>
      <c r="T20">
        <v>0</v>
      </c>
      <c r="U20" s="1">
        <v>4342.75</v>
      </c>
      <c r="Y20" s="1">
        <v>1735.06</v>
      </c>
      <c r="Z20" t="s">
        <v>43</v>
      </c>
      <c r="AA20">
        <v>2023</v>
      </c>
      <c r="AB20" t="s">
        <v>100</v>
      </c>
      <c r="AC20" t="s">
        <v>53</v>
      </c>
      <c r="AD20" t="s">
        <v>101</v>
      </c>
    </row>
    <row r="21" spans="1:30" x14ac:dyDescent="0.25">
      <c r="A21">
        <v>20</v>
      </c>
      <c r="B21" t="s">
        <v>30</v>
      </c>
      <c r="C21" t="s">
        <v>157</v>
      </c>
      <c r="D21" t="s">
        <v>56</v>
      </c>
      <c r="E21" t="s">
        <v>56</v>
      </c>
      <c r="F21" t="s">
        <v>57</v>
      </c>
      <c r="G21" t="s">
        <v>57</v>
      </c>
      <c r="I21" t="s">
        <v>158</v>
      </c>
      <c r="J21">
        <f>57-320-211-3239</f>
        <v>-3713</v>
      </c>
      <c r="K21" t="s">
        <v>159</v>
      </c>
      <c r="N21" t="s">
        <v>160</v>
      </c>
      <c r="O21" t="s">
        <v>161</v>
      </c>
      <c r="P21">
        <v>219.23</v>
      </c>
      <c r="Q21" s="1">
        <v>10376.379999999999</v>
      </c>
      <c r="R21">
        <v>459.94</v>
      </c>
      <c r="S21" s="1">
        <v>2060.1</v>
      </c>
      <c r="T21">
        <v>0</v>
      </c>
      <c r="U21" s="1">
        <v>1049.07</v>
      </c>
      <c r="Y21" s="1">
        <v>1011.02</v>
      </c>
      <c r="Z21" t="s">
        <v>43</v>
      </c>
      <c r="AA21">
        <v>2023</v>
      </c>
      <c r="AB21" t="s">
        <v>100</v>
      </c>
      <c r="AC21" t="s">
        <v>53</v>
      </c>
      <c r="AD21" t="s">
        <v>101</v>
      </c>
    </row>
    <row r="22" spans="1:30" x14ac:dyDescent="0.25">
      <c r="A22">
        <v>21</v>
      </c>
      <c r="B22" t="s">
        <v>30</v>
      </c>
      <c r="C22" t="s">
        <v>162</v>
      </c>
      <c r="D22" t="s">
        <v>72</v>
      </c>
      <c r="E22" t="s">
        <v>72</v>
      </c>
      <c r="F22" t="s">
        <v>73</v>
      </c>
      <c r="G22" t="s">
        <v>73</v>
      </c>
      <c r="H22" t="s">
        <v>163</v>
      </c>
      <c r="I22" t="s">
        <v>164</v>
      </c>
      <c r="J22">
        <f>57-60-1-746-7753</f>
        <v>-8503</v>
      </c>
      <c r="K22" t="s">
        <v>165</v>
      </c>
      <c r="N22" t="s">
        <v>166</v>
      </c>
      <c r="O22" t="s">
        <v>167</v>
      </c>
      <c r="P22">
        <v>-28.57</v>
      </c>
      <c r="Q22" s="1">
        <v>9852.01</v>
      </c>
      <c r="R22">
        <v>991.53</v>
      </c>
      <c r="S22" s="1">
        <v>9882.75</v>
      </c>
      <c r="T22" s="1">
        <v>6866.83</v>
      </c>
      <c r="U22" s="1">
        <v>5045.07</v>
      </c>
      <c r="X22">
        <v>0</v>
      </c>
      <c r="Y22" s="1">
        <v>4837.68</v>
      </c>
      <c r="Z22" t="s">
        <v>43</v>
      </c>
      <c r="AA22">
        <v>2021</v>
      </c>
      <c r="AB22" t="s">
        <v>27</v>
      </c>
      <c r="AC22" t="s">
        <v>53</v>
      </c>
      <c r="AD22" t="s">
        <v>54</v>
      </c>
    </row>
    <row r="23" spans="1:30" x14ac:dyDescent="0.25">
      <c r="A23">
        <v>22</v>
      </c>
      <c r="B23" t="s">
        <v>30</v>
      </c>
      <c r="C23" t="s">
        <v>168</v>
      </c>
      <c r="D23" t="s">
        <v>64</v>
      </c>
      <c r="E23" t="s">
        <v>64</v>
      </c>
      <c r="F23" t="s">
        <v>65</v>
      </c>
      <c r="G23" t="s">
        <v>65</v>
      </c>
      <c r="H23" t="s">
        <v>169</v>
      </c>
      <c r="I23" t="s">
        <v>170</v>
      </c>
      <c r="J23">
        <f>57-60-1-478-2675</f>
        <v>-3157</v>
      </c>
      <c r="K23" t="s">
        <v>171</v>
      </c>
      <c r="N23" t="s">
        <v>172</v>
      </c>
      <c r="O23" t="s">
        <v>173</v>
      </c>
      <c r="P23">
        <v>183.3</v>
      </c>
      <c r="Q23" s="1">
        <v>9618.67</v>
      </c>
      <c r="R23">
        <v>-6.04</v>
      </c>
      <c r="S23" s="1">
        <v>3302.9</v>
      </c>
      <c r="T23" s="1">
        <v>1918.78</v>
      </c>
      <c r="U23" s="1">
        <v>1162.56</v>
      </c>
      <c r="X23">
        <v>0</v>
      </c>
      <c r="Y23" s="1">
        <v>2140.34</v>
      </c>
      <c r="Z23" t="s">
        <v>43</v>
      </c>
      <c r="AA23">
        <v>2023</v>
      </c>
      <c r="AB23" t="s">
        <v>27</v>
      </c>
      <c r="AC23" t="s">
        <v>53</v>
      </c>
      <c r="AD23" t="s">
        <v>54</v>
      </c>
    </row>
    <row r="24" spans="1:30" x14ac:dyDescent="0.25">
      <c r="A24">
        <v>23</v>
      </c>
      <c r="B24" t="s">
        <v>30</v>
      </c>
      <c r="C24" t="s">
        <v>174</v>
      </c>
      <c r="D24" t="s">
        <v>72</v>
      </c>
      <c r="E24" t="s">
        <v>72</v>
      </c>
      <c r="F24" t="s">
        <v>73</v>
      </c>
      <c r="G24" t="s">
        <v>73</v>
      </c>
      <c r="H24" t="s">
        <v>175</v>
      </c>
      <c r="I24" t="s">
        <v>176</v>
      </c>
      <c r="J24">
        <f>57-60-1-311-1481</f>
        <v>-1796</v>
      </c>
      <c r="K24" t="s">
        <v>177</v>
      </c>
      <c r="N24" t="s">
        <v>178</v>
      </c>
      <c r="O24" t="s">
        <v>179</v>
      </c>
      <c r="P24" s="1">
        <v>-1003.3</v>
      </c>
      <c r="Q24" s="1">
        <v>9418.15</v>
      </c>
      <c r="R24" s="1">
        <v>-1012.32</v>
      </c>
      <c r="S24" s="1">
        <v>2888.32</v>
      </c>
      <c r="T24">
        <v>382.65</v>
      </c>
      <c r="U24">
        <v>-403.7</v>
      </c>
      <c r="X24">
        <v>0</v>
      </c>
      <c r="Y24" s="1">
        <v>3292.01</v>
      </c>
      <c r="Z24" t="s">
        <v>43</v>
      </c>
      <c r="AA24">
        <v>2018</v>
      </c>
      <c r="AB24" t="s">
        <v>27</v>
      </c>
      <c r="AC24" t="s">
        <v>53</v>
      </c>
      <c r="AD24" t="s">
        <v>54</v>
      </c>
    </row>
    <row r="25" spans="1:30" x14ac:dyDescent="0.25">
      <c r="A25">
        <v>24</v>
      </c>
      <c r="B25" t="s">
        <v>30</v>
      </c>
      <c r="C25" t="s">
        <v>180</v>
      </c>
      <c r="D25" t="s">
        <v>64</v>
      </c>
      <c r="E25" t="s">
        <v>64</v>
      </c>
      <c r="F25" t="s">
        <v>65</v>
      </c>
      <c r="G25" t="s">
        <v>65</v>
      </c>
      <c r="H25" t="s">
        <v>181</v>
      </c>
      <c r="I25" t="s">
        <v>182</v>
      </c>
      <c r="J25">
        <f>57-60-1-347-4558</f>
        <v>-4909</v>
      </c>
      <c r="K25" t="s">
        <v>183</v>
      </c>
      <c r="N25" t="s">
        <v>184</v>
      </c>
      <c r="O25" t="s">
        <v>185</v>
      </c>
      <c r="P25">
        <v>724.33</v>
      </c>
      <c r="Q25" s="1">
        <v>9306.91</v>
      </c>
      <c r="R25">
        <v>724.33</v>
      </c>
      <c r="S25" s="1">
        <v>6732.22</v>
      </c>
      <c r="T25">
        <v>0</v>
      </c>
      <c r="U25">
        <v>914.75</v>
      </c>
      <c r="Y25" s="1">
        <v>5817.47</v>
      </c>
      <c r="Z25" t="s">
        <v>43</v>
      </c>
      <c r="AA25">
        <v>2023</v>
      </c>
      <c r="AB25" t="s">
        <v>100</v>
      </c>
      <c r="AC25" t="s">
        <v>53</v>
      </c>
      <c r="AD25" t="s">
        <v>101</v>
      </c>
    </row>
    <row r="26" spans="1:30" x14ac:dyDescent="0.25">
      <c r="A26">
        <v>25</v>
      </c>
      <c r="B26" t="s">
        <v>30</v>
      </c>
      <c r="C26" t="s">
        <v>186</v>
      </c>
      <c r="D26" t="s">
        <v>64</v>
      </c>
      <c r="E26" t="s">
        <v>64</v>
      </c>
      <c r="F26" t="s">
        <v>65</v>
      </c>
      <c r="G26" t="s">
        <v>65</v>
      </c>
      <c r="I26" t="s">
        <v>187</v>
      </c>
      <c r="J26">
        <f>57-320-449-2829</f>
        <v>-3541</v>
      </c>
      <c r="K26" t="s">
        <v>188</v>
      </c>
      <c r="N26" t="s">
        <v>189</v>
      </c>
      <c r="O26" t="s">
        <v>190</v>
      </c>
      <c r="P26" s="1">
        <v>-5655.33</v>
      </c>
      <c r="Q26" s="1">
        <v>9056.58</v>
      </c>
      <c r="R26" s="1">
        <v>-12167.89</v>
      </c>
      <c r="S26" s="1">
        <v>28865.52</v>
      </c>
      <c r="T26">
        <v>0</v>
      </c>
      <c r="U26">
        <v>194.01</v>
      </c>
      <c r="Y26" s="1">
        <v>28671.51</v>
      </c>
      <c r="Z26" t="s">
        <v>43</v>
      </c>
      <c r="AA26">
        <v>2018</v>
      </c>
      <c r="AB26" t="s">
        <v>100</v>
      </c>
      <c r="AC26" t="s">
        <v>53</v>
      </c>
      <c r="AD26" t="s">
        <v>101</v>
      </c>
    </row>
    <row r="27" spans="1:30" x14ac:dyDescent="0.25">
      <c r="A27">
        <v>26</v>
      </c>
      <c r="B27" t="s">
        <v>30</v>
      </c>
      <c r="C27" t="s">
        <v>191</v>
      </c>
      <c r="D27" t="s">
        <v>72</v>
      </c>
      <c r="E27" t="s">
        <v>72</v>
      </c>
      <c r="F27" t="s">
        <v>73</v>
      </c>
      <c r="G27" t="s">
        <v>73</v>
      </c>
      <c r="I27" t="s">
        <v>192</v>
      </c>
      <c r="J27">
        <f>57-317-646-5200</f>
        <v>-6106</v>
      </c>
      <c r="K27" t="s">
        <v>193</v>
      </c>
      <c r="N27" t="s">
        <v>194</v>
      </c>
      <c r="O27" t="s">
        <v>195</v>
      </c>
      <c r="P27">
        <v>-29.56</v>
      </c>
      <c r="Q27" s="1">
        <v>8272.5</v>
      </c>
      <c r="R27">
        <v>-212.02</v>
      </c>
      <c r="S27" s="1">
        <v>4764.95</v>
      </c>
      <c r="T27" s="1">
        <v>2574.02</v>
      </c>
      <c r="U27" s="1">
        <v>3791.21</v>
      </c>
      <c r="X27">
        <v>0</v>
      </c>
      <c r="Y27">
        <v>973.74</v>
      </c>
      <c r="Z27" t="s">
        <v>43</v>
      </c>
      <c r="AA27">
        <v>2023</v>
      </c>
      <c r="AB27" t="s">
        <v>27</v>
      </c>
      <c r="AC27" t="s">
        <v>53</v>
      </c>
      <c r="AD27" t="s">
        <v>54</v>
      </c>
    </row>
    <row r="28" spans="1:30" x14ac:dyDescent="0.25">
      <c r="A28">
        <v>27</v>
      </c>
      <c r="B28" t="s">
        <v>30</v>
      </c>
      <c r="C28" t="s">
        <v>196</v>
      </c>
      <c r="D28" t="s">
        <v>72</v>
      </c>
      <c r="E28" t="s">
        <v>72</v>
      </c>
      <c r="F28" t="s">
        <v>73</v>
      </c>
      <c r="G28" t="s">
        <v>73</v>
      </c>
      <c r="H28" t="s">
        <v>197</v>
      </c>
      <c r="I28" t="s">
        <v>198</v>
      </c>
      <c r="J28">
        <f>57-60-1-271-4277</f>
        <v>-4552</v>
      </c>
      <c r="K28" t="s">
        <v>199</v>
      </c>
      <c r="N28" t="s">
        <v>200</v>
      </c>
      <c r="O28" t="s">
        <v>201</v>
      </c>
      <c r="P28">
        <v>356.21</v>
      </c>
      <c r="Q28" s="1">
        <v>8160.96</v>
      </c>
      <c r="R28">
        <v>90.95</v>
      </c>
      <c r="S28" s="1">
        <v>2310.87</v>
      </c>
      <c r="T28">
        <v>0</v>
      </c>
      <c r="U28">
        <v>519.54</v>
      </c>
      <c r="Y28" s="1">
        <v>1791.33</v>
      </c>
      <c r="Z28" t="s">
        <v>43</v>
      </c>
      <c r="AA28">
        <v>2023</v>
      </c>
      <c r="AB28" t="s">
        <v>100</v>
      </c>
      <c r="AC28" t="s">
        <v>53</v>
      </c>
      <c r="AD28" t="s">
        <v>101</v>
      </c>
    </row>
    <row r="29" spans="1:30" x14ac:dyDescent="0.25">
      <c r="A29">
        <v>28</v>
      </c>
      <c r="B29" t="s">
        <v>30</v>
      </c>
      <c r="C29" t="s">
        <v>202</v>
      </c>
      <c r="D29" t="s">
        <v>72</v>
      </c>
      <c r="E29" t="s">
        <v>72</v>
      </c>
      <c r="F29" t="s">
        <v>73</v>
      </c>
      <c r="G29" t="s">
        <v>73</v>
      </c>
      <c r="I29" t="s">
        <v>203</v>
      </c>
      <c r="J29">
        <f>57-310-819-6736</f>
        <v>-7808</v>
      </c>
      <c r="K29" t="s">
        <v>204</v>
      </c>
      <c r="N29" t="s">
        <v>205</v>
      </c>
      <c r="O29" t="s">
        <v>201</v>
      </c>
      <c r="P29">
        <v>119.48</v>
      </c>
      <c r="Q29" s="1">
        <v>7507.35</v>
      </c>
      <c r="R29">
        <v>385.36</v>
      </c>
      <c r="S29" s="1">
        <v>1330.31</v>
      </c>
      <c r="T29">
        <v>0</v>
      </c>
      <c r="U29">
        <v>157.88999999999999</v>
      </c>
      <c r="Y29" s="1">
        <v>1172.42</v>
      </c>
      <c r="Z29" t="s">
        <v>43</v>
      </c>
      <c r="AA29">
        <v>2023</v>
      </c>
      <c r="AB29" t="s">
        <v>100</v>
      </c>
      <c r="AC29" t="s">
        <v>53</v>
      </c>
      <c r="AD29" t="s">
        <v>101</v>
      </c>
    </row>
    <row r="30" spans="1:30" x14ac:dyDescent="0.25">
      <c r="A30">
        <v>29</v>
      </c>
      <c r="B30" t="s">
        <v>30</v>
      </c>
      <c r="C30" t="s">
        <v>206</v>
      </c>
      <c r="D30" t="s">
        <v>72</v>
      </c>
      <c r="E30" t="s">
        <v>72</v>
      </c>
      <c r="F30" t="s">
        <v>73</v>
      </c>
      <c r="G30" t="s">
        <v>73</v>
      </c>
      <c r="H30" t="s">
        <v>207</v>
      </c>
      <c r="I30" t="s">
        <v>208</v>
      </c>
      <c r="J30">
        <f>57-60-1-323-55</f>
        <v>-382</v>
      </c>
      <c r="K30" t="s">
        <v>209</v>
      </c>
      <c r="N30" t="s">
        <v>210</v>
      </c>
      <c r="O30" t="s">
        <v>211</v>
      </c>
      <c r="P30">
        <v>55.44</v>
      </c>
      <c r="Q30" s="1">
        <v>6944.26</v>
      </c>
      <c r="R30">
        <v>16.510000000000002</v>
      </c>
      <c r="S30" s="1">
        <v>1690.62</v>
      </c>
      <c r="T30">
        <v>238.4</v>
      </c>
      <c r="U30">
        <v>578.85</v>
      </c>
      <c r="X30">
        <v>0</v>
      </c>
      <c r="Y30" s="1">
        <v>1111.77</v>
      </c>
      <c r="Z30" t="s">
        <v>43</v>
      </c>
      <c r="AA30">
        <v>2023</v>
      </c>
      <c r="AB30" t="s">
        <v>27</v>
      </c>
      <c r="AC30" t="s">
        <v>53</v>
      </c>
      <c r="AD30" t="s">
        <v>54</v>
      </c>
    </row>
    <row r="31" spans="1:30" x14ac:dyDescent="0.25">
      <c r="A31">
        <v>30</v>
      </c>
      <c r="B31" t="s">
        <v>30</v>
      </c>
      <c r="C31" t="s">
        <v>212</v>
      </c>
      <c r="D31" t="s">
        <v>56</v>
      </c>
      <c r="E31" t="s">
        <v>56</v>
      </c>
      <c r="F31" t="s">
        <v>57</v>
      </c>
      <c r="G31" t="s">
        <v>57</v>
      </c>
      <c r="H31" t="s">
        <v>213</v>
      </c>
      <c r="I31" t="s">
        <v>214</v>
      </c>
      <c r="J31">
        <f>57-60-1-623-2081</f>
        <v>-2708</v>
      </c>
      <c r="K31" t="s">
        <v>215</v>
      </c>
      <c r="N31" t="s">
        <v>216</v>
      </c>
      <c r="O31" t="s">
        <v>217</v>
      </c>
      <c r="P31">
        <v>427.94</v>
      </c>
      <c r="Q31" s="1">
        <v>6652.05</v>
      </c>
      <c r="R31">
        <v>427.94</v>
      </c>
      <c r="S31" s="1">
        <v>1543.18</v>
      </c>
      <c r="T31">
        <v>0</v>
      </c>
      <c r="U31">
        <v>607.94000000000005</v>
      </c>
      <c r="Y31">
        <v>935.24</v>
      </c>
      <c r="Z31" t="s">
        <v>43</v>
      </c>
      <c r="AA31">
        <v>2023</v>
      </c>
      <c r="AB31" t="s">
        <v>100</v>
      </c>
      <c r="AC31" t="s">
        <v>53</v>
      </c>
      <c r="AD31" t="s">
        <v>101</v>
      </c>
    </row>
    <row r="32" spans="1:30" x14ac:dyDescent="0.25">
      <c r="A32">
        <v>31</v>
      </c>
      <c r="B32" t="s">
        <v>30</v>
      </c>
      <c r="C32" t="s">
        <v>218</v>
      </c>
      <c r="D32" t="s">
        <v>64</v>
      </c>
      <c r="E32" t="s">
        <v>64</v>
      </c>
      <c r="F32" t="s">
        <v>65</v>
      </c>
      <c r="G32" t="s">
        <v>65</v>
      </c>
      <c r="I32" t="s">
        <v>219</v>
      </c>
      <c r="J32">
        <f>57-60-1-745-6000</f>
        <v>-6749</v>
      </c>
      <c r="K32" t="s">
        <v>220</v>
      </c>
      <c r="N32" t="s">
        <v>221</v>
      </c>
      <c r="O32" t="s">
        <v>222</v>
      </c>
      <c r="P32" s="1">
        <v>4103.4399999999996</v>
      </c>
      <c r="Q32" s="1">
        <v>6586.82</v>
      </c>
      <c r="R32">
        <v>698.82</v>
      </c>
      <c r="S32" s="1">
        <v>3476.04</v>
      </c>
      <c r="T32">
        <v>0</v>
      </c>
      <c r="U32" s="1">
        <v>2972</v>
      </c>
      <c r="Y32">
        <v>504.04</v>
      </c>
      <c r="Z32" t="s">
        <v>43</v>
      </c>
      <c r="AA32">
        <v>2023</v>
      </c>
      <c r="AB32" t="s">
        <v>100</v>
      </c>
      <c r="AC32" t="s">
        <v>53</v>
      </c>
      <c r="AD32" t="s">
        <v>101</v>
      </c>
    </row>
    <row r="33" spans="1:30" x14ac:dyDescent="0.25">
      <c r="A33">
        <v>32</v>
      </c>
      <c r="B33" t="s">
        <v>30</v>
      </c>
      <c r="C33" t="s">
        <v>223</v>
      </c>
      <c r="D33" t="s">
        <v>72</v>
      </c>
      <c r="E33" t="s">
        <v>72</v>
      </c>
      <c r="F33" t="s">
        <v>73</v>
      </c>
      <c r="G33" t="s">
        <v>73</v>
      </c>
      <c r="H33" t="s">
        <v>224</v>
      </c>
      <c r="I33" t="s">
        <v>225</v>
      </c>
      <c r="J33">
        <f>57-60-1-416-5616</f>
        <v>-6036</v>
      </c>
      <c r="K33" t="s">
        <v>226</v>
      </c>
      <c r="N33" t="s">
        <v>227</v>
      </c>
      <c r="O33" t="s">
        <v>228</v>
      </c>
      <c r="P33">
        <v>-82.17</v>
      </c>
      <c r="Q33" s="1">
        <v>6031.84</v>
      </c>
      <c r="R33">
        <v>220.59</v>
      </c>
      <c r="S33" s="1">
        <v>2348.67</v>
      </c>
      <c r="T33">
        <v>0</v>
      </c>
      <c r="U33">
        <v>234.21</v>
      </c>
      <c r="Y33" s="1">
        <v>2114.46</v>
      </c>
      <c r="Z33" t="s">
        <v>43</v>
      </c>
      <c r="AA33">
        <v>2018</v>
      </c>
      <c r="AB33" t="s">
        <v>100</v>
      </c>
      <c r="AC33" t="s">
        <v>53</v>
      </c>
      <c r="AD33" t="s">
        <v>101</v>
      </c>
    </row>
    <row r="34" spans="1:30" x14ac:dyDescent="0.25">
      <c r="A34">
        <v>33</v>
      </c>
      <c r="B34" t="s">
        <v>30</v>
      </c>
      <c r="C34" t="s">
        <v>229</v>
      </c>
      <c r="D34" t="s">
        <v>64</v>
      </c>
      <c r="E34" t="s">
        <v>64</v>
      </c>
      <c r="F34" t="s">
        <v>65</v>
      </c>
      <c r="G34" t="s">
        <v>65</v>
      </c>
      <c r="H34" t="s">
        <v>230</v>
      </c>
      <c r="I34" t="s">
        <v>231</v>
      </c>
      <c r="J34">
        <f>57-60-1-611-109</f>
        <v>-724</v>
      </c>
      <c r="K34" t="s">
        <v>232</v>
      </c>
      <c r="N34" t="s">
        <v>233</v>
      </c>
      <c r="O34" t="s">
        <v>234</v>
      </c>
      <c r="P34">
        <v>378.74</v>
      </c>
      <c r="Q34" s="1">
        <v>5899.59</v>
      </c>
      <c r="R34">
        <v>227.63</v>
      </c>
      <c r="S34" s="1">
        <v>1843.32</v>
      </c>
      <c r="T34">
        <v>0</v>
      </c>
      <c r="U34" s="1">
        <v>1090.74</v>
      </c>
      <c r="Y34">
        <v>752.58</v>
      </c>
      <c r="Z34" t="s">
        <v>43</v>
      </c>
      <c r="AA34">
        <v>2023</v>
      </c>
      <c r="AB34" t="s">
        <v>100</v>
      </c>
      <c r="AC34" t="s">
        <v>53</v>
      </c>
      <c r="AD34" t="s">
        <v>101</v>
      </c>
    </row>
    <row r="35" spans="1:30" x14ac:dyDescent="0.25">
      <c r="A35">
        <v>34</v>
      </c>
      <c r="B35" t="s">
        <v>30</v>
      </c>
      <c r="C35" t="s">
        <v>235</v>
      </c>
      <c r="D35" t="s">
        <v>56</v>
      </c>
      <c r="E35" t="s">
        <v>56</v>
      </c>
      <c r="F35" t="s">
        <v>57</v>
      </c>
      <c r="G35" t="s">
        <v>57</v>
      </c>
      <c r="I35" t="s">
        <v>236</v>
      </c>
      <c r="J35">
        <f>57-311-449-8014</f>
        <v>-8717</v>
      </c>
      <c r="K35" t="s">
        <v>237</v>
      </c>
      <c r="N35" t="s">
        <v>238</v>
      </c>
      <c r="O35" t="s">
        <v>239</v>
      </c>
      <c r="P35">
        <v>228</v>
      </c>
      <c r="Q35" s="1">
        <v>5672.16</v>
      </c>
      <c r="R35">
        <v>351.23</v>
      </c>
      <c r="S35" s="1">
        <v>1498.66</v>
      </c>
      <c r="T35">
        <v>0</v>
      </c>
      <c r="U35">
        <v>684.32</v>
      </c>
      <c r="Y35">
        <v>814.35</v>
      </c>
      <c r="Z35" t="s">
        <v>43</v>
      </c>
      <c r="AA35">
        <v>2023</v>
      </c>
      <c r="AB35" t="s">
        <v>100</v>
      </c>
      <c r="AC35" t="s">
        <v>53</v>
      </c>
      <c r="AD35" t="s">
        <v>101</v>
      </c>
    </row>
    <row r="36" spans="1:30" x14ac:dyDescent="0.25">
      <c r="A36">
        <v>35</v>
      </c>
      <c r="B36" t="s">
        <v>30</v>
      </c>
      <c r="C36" t="s">
        <v>240</v>
      </c>
      <c r="D36" t="s">
        <v>56</v>
      </c>
      <c r="E36" t="s">
        <v>56</v>
      </c>
      <c r="F36" t="s">
        <v>57</v>
      </c>
      <c r="G36" t="s">
        <v>57</v>
      </c>
      <c r="H36" t="s">
        <v>241</v>
      </c>
      <c r="I36" t="s">
        <v>242</v>
      </c>
      <c r="J36">
        <f>57-60-1-285-1794</f>
        <v>-2083</v>
      </c>
      <c r="K36" t="s">
        <v>243</v>
      </c>
      <c r="N36" t="s">
        <v>244</v>
      </c>
      <c r="O36" t="s">
        <v>245</v>
      </c>
      <c r="P36">
        <v>552.4</v>
      </c>
      <c r="Q36" s="1">
        <v>5461.2</v>
      </c>
      <c r="R36">
        <v>354.14</v>
      </c>
      <c r="S36" s="1">
        <v>2102.0700000000002</v>
      </c>
      <c r="T36">
        <v>0</v>
      </c>
      <c r="U36" s="1">
        <v>1135.8599999999999</v>
      </c>
      <c r="Y36">
        <v>966.21</v>
      </c>
      <c r="Z36" t="s">
        <v>43</v>
      </c>
      <c r="AA36">
        <v>2023</v>
      </c>
      <c r="AB36" t="s">
        <v>100</v>
      </c>
      <c r="AC36" t="s">
        <v>53</v>
      </c>
      <c r="AD36" t="s">
        <v>101</v>
      </c>
    </row>
    <row r="37" spans="1:30" x14ac:dyDescent="0.25">
      <c r="A37">
        <v>36</v>
      </c>
      <c r="B37" t="s">
        <v>30</v>
      </c>
      <c r="C37" t="s">
        <v>246</v>
      </c>
      <c r="D37" t="s">
        <v>72</v>
      </c>
      <c r="E37" t="s">
        <v>72</v>
      </c>
      <c r="F37" t="s">
        <v>73</v>
      </c>
      <c r="G37" t="s">
        <v>73</v>
      </c>
      <c r="I37" t="s">
        <v>247</v>
      </c>
      <c r="J37">
        <f>57-60-1-805-634</f>
        <v>-1443</v>
      </c>
      <c r="K37" t="s">
        <v>248</v>
      </c>
      <c r="N37" t="s">
        <v>249</v>
      </c>
      <c r="O37" t="s">
        <v>250</v>
      </c>
      <c r="P37">
        <v>-170.85</v>
      </c>
      <c r="Q37" s="1">
        <v>5226.9399999999996</v>
      </c>
      <c r="R37">
        <v>-170.85</v>
      </c>
      <c r="S37">
        <v>447.71</v>
      </c>
      <c r="T37">
        <v>0</v>
      </c>
      <c r="U37">
        <v>345.06</v>
      </c>
      <c r="Y37">
        <v>102.65</v>
      </c>
      <c r="Z37" t="s">
        <v>43</v>
      </c>
      <c r="AA37">
        <v>2018</v>
      </c>
      <c r="AB37" t="s">
        <v>100</v>
      </c>
      <c r="AC37" t="s">
        <v>53</v>
      </c>
      <c r="AD37" t="s">
        <v>101</v>
      </c>
    </row>
    <row r="38" spans="1:30" x14ac:dyDescent="0.25">
      <c r="A38">
        <v>37</v>
      </c>
      <c r="B38" t="s">
        <v>30</v>
      </c>
      <c r="C38" t="s">
        <v>251</v>
      </c>
      <c r="D38" t="s">
        <v>72</v>
      </c>
      <c r="E38" t="s">
        <v>72</v>
      </c>
      <c r="F38" t="s">
        <v>73</v>
      </c>
      <c r="G38" t="s">
        <v>73</v>
      </c>
      <c r="I38" t="s">
        <v>252</v>
      </c>
      <c r="J38">
        <f>57-60-1-350-5143</f>
        <v>-5497</v>
      </c>
      <c r="K38" t="s">
        <v>253</v>
      </c>
      <c r="N38" t="s">
        <v>254</v>
      </c>
      <c r="O38" t="s">
        <v>255</v>
      </c>
      <c r="P38">
        <v>-50.98</v>
      </c>
      <c r="Q38" s="1">
        <v>5143.29</v>
      </c>
      <c r="R38">
        <v>-66.39</v>
      </c>
      <c r="S38" s="1">
        <v>1525.81</v>
      </c>
      <c r="T38">
        <v>0</v>
      </c>
      <c r="U38" s="1">
        <v>1099.3399999999999</v>
      </c>
      <c r="Y38">
        <v>426.47</v>
      </c>
      <c r="Z38" t="s">
        <v>43</v>
      </c>
      <c r="AA38">
        <v>2023</v>
      </c>
      <c r="AB38" t="s">
        <v>100</v>
      </c>
      <c r="AC38" t="s">
        <v>53</v>
      </c>
      <c r="AD38" t="s">
        <v>101</v>
      </c>
    </row>
    <row r="39" spans="1:30" x14ac:dyDescent="0.25">
      <c r="A39">
        <v>38</v>
      </c>
      <c r="B39" t="s">
        <v>30</v>
      </c>
      <c r="C39" t="s">
        <v>256</v>
      </c>
      <c r="D39" t="s">
        <v>72</v>
      </c>
      <c r="E39" t="s">
        <v>72</v>
      </c>
      <c r="F39" t="s">
        <v>73</v>
      </c>
      <c r="G39" t="s">
        <v>73</v>
      </c>
      <c r="I39" t="s">
        <v>257</v>
      </c>
      <c r="J39">
        <f>57-60-1-218-3824</f>
        <v>-4046</v>
      </c>
      <c r="K39" t="s">
        <v>258</v>
      </c>
      <c r="N39" t="s">
        <v>259</v>
      </c>
      <c r="O39" t="s">
        <v>260</v>
      </c>
      <c r="P39">
        <v>254.75</v>
      </c>
      <c r="Q39" s="1">
        <v>5059.9799999999996</v>
      </c>
      <c r="R39">
        <v>95.26</v>
      </c>
      <c r="S39">
        <v>800.08</v>
      </c>
      <c r="T39">
        <v>0</v>
      </c>
      <c r="U39">
        <v>354.9</v>
      </c>
      <c r="Y39">
        <v>445.18</v>
      </c>
      <c r="Z39" t="s">
        <v>43</v>
      </c>
      <c r="AA39">
        <v>2023</v>
      </c>
      <c r="AB39" t="s">
        <v>100</v>
      </c>
      <c r="AC39" t="s">
        <v>53</v>
      </c>
      <c r="AD39" t="s">
        <v>101</v>
      </c>
    </row>
    <row r="40" spans="1:30" x14ac:dyDescent="0.25">
      <c r="A40">
        <v>39</v>
      </c>
      <c r="B40" t="s">
        <v>30</v>
      </c>
      <c r="C40" t="s">
        <v>261</v>
      </c>
      <c r="D40" t="s">
        <v>56</v>
      </c>
      <c r="E40" t="s">
        <v>56</v>
      </c>
      <c r="F40" t="s">
        <v>57</v>
      </c>
      <c r="G40" t="s">
        <v>57</v>
      </c>
      <c r="I40" t="s">
        <v>262</v>
      </c>
      <c r="J40">
        <f>57-60-1-807-8957</f>
        <v>-9768</v>
      </c>
      <c r="K40" t="s">
        <v>263</v>
      </c>
      <c r="N40" t="s">
        <v>264</v>
      </c>
      <c r="O40" t="s">
        <v>265</v>
      </c>
      <c r="P40">
        <v>471.16</v>
      </c>
      <c r="Q40" s="1">
        <v>4919.01</v>
      </c>
      <c r="R40">
        <v>471.16</v>
      </c>
      <c r="S40" s="1">
        <v>2218.02</v>
      </c>
      <c r="T40">
        <v>0</v>
      </c>
      <c r="U40">
        <v>888.29</v>
      </c>
      <c r="Y40" s="1">
        <v>1329.73</v>
      </c>
      <c r="Z40" t="s">
        <v>43</v>
      </c>
      <c r="AA40">
        <v>2023</v>
      </c>
      <c r="AB40" t="s">
        <v>100</v>
      </c>
      <c r="AC40" t="s">
        <v>53</v>
      </c>
      <c r="AD40" t="s">
        <v>101</v>
      </c>
    </row>
    <row r="41" spans="1:30" x14ac:dyDescent="0.25">
      <c r="A41">
        <v>40</v>
      </c>
      <c r="B41" t="s">
        <v>30</v>
      </c>
      <c r="C41" t="s">
        <v>266</v>
      </c>
      <c r="D41" t="s">
        <v>72</v>
      </c>
      <c r="E41" t="s">
        <v>72</v>
      </c>
      <c r="F41" t="s">
        <v>73</v>
      </c>
      <c r="G41" t="s">
        <v>73</v>
      </c>
      <c r="I41" t="s">
        <v>267</v>
      </c>
      <c r="J41">
        <f>57-310-311-9117</f>
        <v>-9681</v>
      </c>
      <c r="K41" t="s">
        <v>268</v>
      </c>
      <c r="N41" t="s">
        <v>269</v>
      </c>
      <c r="O41" t="s">
        <v>270</v>
      </c>
      <c r="P41">
        <v>112.64</v>
      </c>
      <c r="Q41" s="1">
        <v>4865.79</v>
      </c>
      <c r="R41">
        <v>112.64</v>
      </c>
      <c r="S41">
        <v>911.23</v>
      </c>
      <c r="T41">
        <v>0</v>
      </c>
      <c r="U41">
        <v>255.7</v>
      </c>
      <c r="Y41">
        <v>655.54</v>
      </c>
      <c r="Z41" t="s">
        <v>43</v>
      </c>
      <c r="AA41">
        <v>2023</v>
      </c>
      <c r="AB41" t="s">
        <v>100</v>
      </c>
      <c r="AC41" t="s">
        <v>53</v>
      </c>
      <c r="AD41" t="s">
        <v>101</v>
      </c>
    </row>
    <row r="42" spans="1:30" x14ac:dyDescent="0.25">
      <c r="A42">
        <v>41</v>
      </c>
      <c r="B42" t="s">
        <v>30</v>
      </c>
      <c r="C42" t="s">
        <v>271</v>
      </c>
      <c r="D42" t="s">
        <v>56</v>
      </c>
      <c r="E42" t="s">
        <v>56</v>
      </c>
      <c r="F42" t="s">
        <v>57</v>
      </c>
      <c r="G42" t="s">
        <v>57</v>
      </c>
      <c r="I42" t="s">
        <v>272</v>
      </c>
      <c r="J42">
        <f>57-60-1-390-9811</f>
        <v>-10205</v>
      </c>
      <c r="K42" t="s">
        <v>273</v>
      </c>
      <c r="N42" t="s">
        <v>274</v>
      </c>
      <c r="O42" t="s">
        <v>275</v>
      </c>
      <c r="P42">
        <v>339.21</v>
      </c>
      <c r="Q42" s="1">
        <v>4829.58</v>
      </c>
      <c r="R42">
        <v>154.56</v>
      </c>
      <c r="S42" s="1">
        <v>1885.01</v>
      </c>
      <c r="T42">
        <v>0</v>
      </c>
      <c r="U42">
        <v>534.55999999999995</v>
      </c>
      <c r="Y42" s="1">
        <v>1350.44</v>
      </c>
      <c r="Z42" t="s">
        <v>43</v>
      </c>
      <c r="AA42">
        <v>2023</v>
      </c>
      <c r="AB42" t="s">
        <v>100</v>
      </c>
      <c r="AC42" t="s">
        <v>53</v>
      </c>
      <c r="AD42" t="s">
        <v>101</v>
      </c>
    </row>
    <row r="43" spans="1:30" x14ac:dyDescent="0.25">
      <c r="A43">
        <v>42</v>
      </c>
      <c r="B43" t="s">
        <v>30</v>
      </c>
      <c r="C43" t="s">
        <v>276</v>
      </c>
      <c r="D43" t="s">
        <v>56</v>
      </c>
      <c r="E43" t="s">
        <v>56</v>
      </c>
      <c r="F43" t="s">
        <v>57</v>
      </c>
      <c r="G43" t="s">
        <v>57</v>
      </c>
      <c r="I43" t="s">
        <v>277</v>
      </c>
      <c r="J43">
        <f>57-319-560-1473</f>
        <v>-2295</v>
      </c>
      <c r="K43" t="s">
        <v>278</v>
      </c>
      <c r="N43" t="s">
        <v>279</v>
      </c>
      <c r="O43" t="s">
        <v>270</v>
      </c>
      <c r="P43">
        <v>104.92</v>
      </c>
      <c r="Q43" s="1">
        <v>4829.2700000000004</v>
      </c>
      <c r="R43">
        <v>-3.16</v>
      </c>
      <c r="S43" s="1">
        <v>3679.98</v>
      </c>
      <c r="T43">
        <v>0</v>
      </c>
      <c r="U43">
        <v>-269.64999999999998</v>
      </c>
      <c r="Y43" s="1">
        <v>3949.62</v>
      </c>
      <c r="Z43" t="s">
        <v>43</v>
      </c>
      <c r="AA43">
        <v>2023</v>
      </c>
      <c r="AB43" t="s">
        <v>100</v>
      </c>
      <c r="AC43" t="s">
        <v>53</v>
      </c>
      <c r="AD43" t="s">
        <v>101</v>
      </c>
    </row>
    <row r="44" spans="1:30" x14ac:dyDescent="0.25">
      <c r="A44">
        <v>43</v>
      </c>
      <c r="B44" t="s">
        <v>30</v>
      </c>
      <c r="C44" t="s">
        <v>280</v>
      </c>
      <c r="D44" t="s">
        <v>72</v>
      </c>
      <c r="E44" t="s">
        <v>72</v>
      </c>
      <c r="F44" t="s">
        <v>73</v>
      </c>
      <c r="G44" t="s">
        <v>73</v>
      </c>
      <c r="H44" t="s">
        <v>281</v>
      </c>
      <c r="I44" t="s">
        <v>282</v>
      </c>
      <c r="J44">
        <f>57-60-1-424-8888</f>
        <v>-9316</v>
      </c>
      <c r="K44" t="s">
        <v>283</v>
      </c>
      <c r="N44" t="s">
        <v>284</v>
      </c>
      <c r="O44" t="s">
        <v>285</v>
      </c>
      <c r="P44">
        <v>395.15</v>
      </c>
      <c r="Q44" s="1">
        <v>4818.51</v>
      </c>
      <c r="R44">
        <v>107.41</v>
      </c>
      <c r="S44" s="1">
        <v>3166.31</v>
      </c>
      <c r="T44">
        <v>136.55000000000001</v>
      </c>
      <c r="U44" s="1">
        <v>2628.87</v>
      </c>
      <c r="X44">
        <v>0</v>
      </c>
      <c r="Y44">
        <v>537.45000000000005</v>
      </c>
      <c r="Z44" t="s">
        <v>43</v>
      </c>
      <c r="AA44">
        <v>2023</v>
      </c>
      <c r="AB44" t="s">
        <v>27</v>
      </c>
      <c r="AC44" t="s">
        <v>53</v>
      </c>
      <c r="AD44" t="s">
        <v>54</v>
      </c>
    </row>
    <row r="45" spans="1:30" x14ac:dyDescent="0.25">
      <c r="A45">
        <v>44</v>
      </c>
      <c r="B45" t="s">
        <v>30</v>
      </c>
      <c r="C45" t="s">
        <v>286</v>
      </c>
      <c r="D45" t="s">
        <v>56</v>
      </c>
      <c r="E45" t="s">
        <v>56</v>
      </c>
      <c r="F45" t="s">
        <v>57</v>
      </c>
      <c r="G45" t="s">
        <v>57</v>
      </c>
      <c r="I45" t="s">
        <v>272</v>
      </c>
      <c r="J45">
        <f>57-60-1-390-9811</f>
        <v>-10205</v>
      </c>
      <c r="K45" t="s">
        <v>287</v>
      </c>
      <c r="N45" t="s">
        <v>274</v>
      </c>
      <c r="O45" t="s">
        <v>288</v>
      </c>
      <c r="P45">
        <v>435.84</v>
      </c>
      <c r="Q45" s="1">
        <v>4753.03</v>
      </c>
      <c r="R45">
        <v>213.91</v>
      </c>
      <c r="S45" s="1">
        <v>1501.87</v>
      </c>
      <c r="T45">
        <v>0</v>
      </c>
      <c r="U45">
        <v>593.91</v>
      </c>
      <c r="Y45">
        <v>907.96</v>
      </c>
      <c r="Z45" t="s">
        <v>43</v>
      </c>
      <c r="AA45">
        <v>2023</v>
      </c>
      <c r="AB45" t="s">
        <v>100</v>
      </c>
      <c r="AC45" t="s">
        <v>53</v>
      </c>
      <c r="AD45" t="s">
        <v>101</v>
      </c>
    </row>
    <row r="46" spans="1:30" x14ac:dyDescent="0.25">
      <c r="A46">
        <v>45</v>
      </c>
      <c r="B46" t="s">
        <v>30</v>
      </c>
      <c r="C46" t="s">
        <v>289</v>
      </c>
      <c r="D46" t="s">
        <v>72</v>
      </c>
      <c r="E46" t="s">
        <v>72</v>
      </c>
      <c r="F46" t="s">
        <v>73</v>
      </c>
      <c r="G46" t="s">
        <v>73</v>
      </c>
      <c r="I46" t="s">
        <v>290</v>
      </c>
      <c r="J46">
        <f>57-315-254-5558</f>
        <v>-6070</v>
      </c>
      <c r="K46" t="s">
        <v>291</v>
      </c>
      <c r="N46" t="s">
        <v>292</v>
      </c>
      <c r="O46" t="s">
        <v>270</v>
      </c>
      <c r="P46">
        <v>234.05</v>
      </c>
      <c r="Q46" s="1">
        <v>4467.67</v>
      </c>
      <c r="R46">
        <v>46.37</v>
      </c>
      <c r="S46" s="1">
        <v>1590.14</v>
      </c>
      <c r="T46">
        <v>0</v>
      </c>
      <c r="U46">
        <v>518.16</v>
      </c>
      <c r="Y46" s="1">
        <v>1071.98</v>
      </c>
      <c r="Z46" t="s">
        <v>43</v>
      </c>
      <c r="AA46">
        <v>2023</v>
      </c>
      <c r="AB46" t="s">
        <v>100</v>
      </c>
      <c r="AC46" t="s">
        <v>53</v>
      </c>
      <c r="AD46" t="s">
        <v>101</v>
      </c>
    </row>
    <row r="47" spans="1:30" x14ac:dyDescent="0.25">
      <c r="A47">
        <v>46</v>
      </c>
      <c r="B47" t="s">
        <v>30</v>
      </c>
      <c r="C47" t="s">
        <v>293</v>
      </c>
      <c r="D47" t="s">
        <v>64</v>
      </c>
      <c r="E47" t="s">
        <v>64</v>
      </c>
      <c r="F47" t="s">
        <v>65</v>
      </c>
      <c r="G47" t="s">
        <v>65</v>
      </c>
      <c r="I47" t="s">
        <v>294</v>
      </c>
      <c r="J47">
        <f>57-312-862-6857</f>
        <v>-7974</v>
      </c>
      <c r="K47" t="s">
        <v>295</v>
      </c>
      <c r="O47" t="s">
        <v>296</v>
      </c>
      <c r="P47">
        <v>41.32</v>
      </c>
      <c r="Q47" s="1">
        <v>4465.95</v>
      </c>
      <c r="R47">
        <v>33.96</v>
      </c>
      <c r="S47" s="1">
        <v>3189.51</v>
      </c>
      <c r="T47">
        <v>0</v>
      </c>
      <c r="U47" s="1">
        <v>1144.6600000000001</v>
      </c>
      <c r="Y47" s="1">
        <v>2044.85</v>
      </c>
      <c r="Z47" t="s">
        <v>43</v>
      </c>
      <c r="AA47">
        <v>2018</v>
      </c>
      <c r="AB47" t="s">
        <v>100</v>
      </c>
      <c r="AC47" t="s">
        <v>53</v>
      </c>
      <c r="AD47" t="s">
        <v>101</v>
      </c>
    </row>
    <row r="48" spans="1:30" x14ac:dyDescent="0.25">
      <c r="A48">
        <v>47</v>
      </c>
      <c r="B48" t="s">
        <v>30</v>
      </c>
      <c r="C48" t="s">
        <v>297</v>
      </c>
      <c r="D48" t="s">
        <v>56</v>
      </c>
      <c r="E48" t="s">
        <v>56</v>
      </c>
      <c r="F48" t="s">
        <v>57</v>
      </c>
      <c r="G48" t="s">
        <v>57</v>
      </c>
      <c r="I48" t="s">
        <v>298</v>
      </c>
      <c r="J48">
        <f>57-313-453-7567</f>
        <v>-8276</v>
      </c>
      <c r="K48" t="s">
        <v>299</v>
      </c>
      <c r="N48" t="s">
        <v>300</v>
      </c>
      <c r="O48" t="s">
        <v>301</v>
      </c>
      <c r="P48">
        <v>921.96</v>
      </c>
      <c r="Q48" s="1">
        <v>4401.6499999999996</v>
      </c>
      <c r="R48">
        <v>477.33</v>
      </c>
      <c r="S48" s="1">
        <v>1754.51</v>
      </c>
      <c r="T48">
        <v>0</v>
      </c>
      <c r="U48" s="1">
        <v>1000.97</v>
      </c>
      <c r="Y48">
        <v>753.54</v>
      </c>
      <c r="Z48" t="s">
        <v>43</v>
      </c>
      <c r="AA48">
        <v>2023</v>
      </c>
      <c r="AB48" t="s">
        <v>100</v>
      </c>
      <c r="AC48" t="s">
        <v>53</v>
      </c>
      <c r="AD48" t="s">
        <v>101</v>
      </c>
    </row>
    <row r="49" spans="1:30" x14ac:dyDescent="0.25">
      <c r="A49">
        <v>48</v>
      </c>
      <c r="B49" t="s">
        <v>30</v>
      </c>
      <c r="C49" t="s">
        <v>302</v>
      </c>
      <c r="D49" t="s">
        <v>72</v>
      </c>
      <c r="E49" t="s">
        <v>72</v>
      </c>
      <c r="F49" t="s">
        <v>73</v>
      </c>
      <c r="G49" t="s">
        <v>73</v>
      </c>
      <c r="I49" t="s">
        <v>303</v>
      </c>
      <c r="J49">
        <f>57-314-386-6952</f>
        <v>-7595</v>
      </c>
      <c r="K49" t="s">
        <v>304</v>
      </c>
      <c r="N49" t="s">
        <v>305</v>
      </c>
      <c r="O49" t="s">
        <v>306</v>
      </c>
      <c r="P49">
        <v>-270.07</v>
      </c>
      <c r="Q49" s="1">
        <v>4227.38</v>
      </c>
      <c r="R49">
        <v>-270.07</v>
      </c>
      <c r="S49" s="1">
        <v>1259.26</v>
      </c>
      <c r="T49">
        <v>0</v>
      </c>
      <c r="U49">
        <v>221.33</v>
      </c>
      <c r="Y49" s="1">
        <v>1037.93</v>
      </c>
      <c r="Z49" t="s">
        <v>43</v>
      </c>
      <c r="AA49">
        <v>2023</v>
      </c>
      <c r="AB49" t="s">
        <v>100</v>
      </c>
      <c r="AC49" t="s">
        <v>53</v>
      </c>
      <c r="AD49" t="s">
        <v>101</v>
      </c>
    </row>
    <row r="50" spans="1:30" x14ac:dyDescent="0.25">
      <c r="A50">
        <v>49</v>
      </c>
      <c r="B50" t="s">
        <v>30</v>
      </c>
      <c r="C50" t="s">
        <v>307</v>
      </c>
      <c r="D50" t="s">
        <v>56</v>
      </c>
      <c r="E50" t="s">
        <v>56</v>
      </c>
      <c r="F50" t="s">
        <v>57</v>
      </c>
      <c r="G50" t="s">
        <v>57</v>
      </c>
      <c r="I50" t="s">
        <v>308</v>
      </c>
      <c r="J50">
        <f>57-316-823-6237</f>
        <v>-7319</v>
      </c>
      <c r="K50" t="s">
        <v>309</v>
      </c>
      <c r="N50" t="s">
        <v>310</v>
      </c>
      <c r="O50" t="s">
        <v>311</v>
      </c>
      <c r="P50">
        <v>319.3</v>
      </c>
      <c r="Q50" s="1">
        <v>4188.8900000000003</v>
      </c>
      <c r="R50">
        <v>188.61</v>
      </c>
      <c r="S50">
        <v>814.46</v>
      </c>
      <c r="T50">
        <v>0</v>
      </c>
      <c r="U50">
        <v>488.89</v>
      </c>
      <c r="Y50">
        <v>325.57</v>
      </c>
      <c r="Z50" t="s">
        <v>43</v>
      </c>
      <c r="AA50">
        <v>2023</v>
      </c>
      <c r="AB50" t="s">
        <v>100</v>
      </c>
      <c r="AC50" t="s">
        <v>53</v>
      </c>
      <c r="AD50" t="s">
        <v>101</v>
      </c>
    </row>
    <row r="51" spans="1:30" x14ac:dyDescent="0.25">
      <c r="A51">
        <v>50</v>
      </c>
      <c r="B51" t="s">
        <v>30</v>
      </c>
      <c r="C51" t="s">
        <v>312</v>
      </c>
      <c r="D51" t="s">
        <v>56</v>
      </c>
      <c r="E51" t="s">
        <v>56</v>
      </c>
      <c r="F51" t="s">
        <v>57</v>
      </c>
      <c r="G51" t="s">
        <v>57</v>
      </c>
      <c r="I51" t="s">
        <v>313</v>
      </c>
      <c r="J51">
        <f>57-316-823-6237</f>
        <v>-7319</v>
      </c>
      <c r="K51" t="s">
        <v>309</v>
      </c>
      <c r="N51" t="s">
        <v>310</v>
      </c>
      <c r="O51" t="s">
        <v>314</v>
      </c>
      <c r="P51">
        <v>515.02</v>
      </c>
      <c r="Q51" s="1">
        <v>4155.0600000000004</v>
      </c>
      <c r="R51">
        <v>217.53</v>
      </c>
      <c r="S51" s="1">
        <v>1076.32</v>
      </c>
      <c r="T51">
        <v>0</v>
      </c>
      <c r="U51">
        <v>834.69</v>
      </c>
      <c r="Y51">
        <v>241.64</v>
      </c>
      <c r="Z51" t="s">
        <v>43</v>
      </c>
      <c r="AA51">
        <v>2023</v>
      </c>
      <c r="AB51" t="s">
        <v>100</v>
      </c>
      <c r="AC51" t="s">
        <v>53</v>
      </c>
      <c r="AD51" t="s">
        <v>101</v>
      </c>
    </row>
    <row r="52" spans="1:30" x14ac:dyDescent="0.25">
      <c r="A52">
        <v>51</v>
      </c>
      <c r="B52" t="s">
        <v>30</v>
      </c>
      <c r="C52" t="s">
        <v>315</v>
      </c>
      <c r="D52" t="s">
        <v>56</v>
      </c>
      <c r="E52" t="s">
        <v>56</v>
      </c>
      <c r="F52" t="s">
        <v>57</v>
      </c>
      <c r="G52" t="s">
        <v>57</v>
      </c>
      <c r="I52" t="s">
        <v>316</v>
      </c>
      <c r="J52">
        <f>57-301-218-157</f>
        <v>-619</v>
      </c>
      <c r="K52" t="s">
        <v>317</v>
      </c>
      <c r="N52" t="s">
        <v>318</v>
      </c>
      <c r="O52" t="s">
        <v>245</v>
      </c>
      <c r="P52">
        <v>505.56</v>
      </c>
      <c r="Q52" s="1">
        <v>4047.31</v>
      </c>
      <c r="R52">
        <v>206.54</v>
      </c>
      <c r="S52" s="1">
        <v>1532.04</v>
      </c>
      <c r="T52">
        <v>0</v>
      </c>
      <c r="U52" s="1">
        <v>1024.96</v>
      </c>
      <c r="Y52">
        <v>507.08</v>
      </c>
      <c r="Z52" t="s">
        <v>43</v>
      </c>
      <c r="AA52">
        <v>2023</v>
      </c>
      <c r="AB52" t="s">
        <v>100</v>
      </c>
      <c r="AC52" t="s">
        <v>53</v>
      </c>
      <c r="AD52" t="s">
        <v>101</v>
      </c>
    </row>
    <row r="53" spans="1:30" x14ac:dyDescent="0.25">
      <c r="A53">
        <v>52</v>
      </c>
      <c r="B53" t="s">
        <v>30</v>
      </c>
      <c r="C53" t="s">
        <v>319</v>
      </c>
      <c r="D53" t="s">
        <v>72</v>
      </c>
      <c r="E53" t="s">
        <v>72</v>
      </c>
      <c r="F53" t="s">
        <v>73</v>
      </c>
      <c r="G53" t="s">
        <v>73</v>
      </c>
      <c r="I53" t="s">
        <v>320</v>
      </c>
      <c r="J53">
        <f>57-60-1-572-3182</f>
        <v>-3758</v>
      </c>
      <c r="K53" t="s">
        <v>321</v>
      </c>
      <c r="N53" t="s">
        <v>322</v>
      </c>
      <c r="O53" t="s">
        <v>323</v>
      </c>
      <c r="P53">
        <v>768.63</v>
      </c>
      <c r="Q53" s="1">
        <v>4040.37</v>
      </c>
      <c r="R53">
        <v>545.45000000000005</v>
      </c>
      <c r="S53" s="1">
        <v>2864.32</v>
      </c>
      <c r="T53">
        <v>630.22</v>
      </c>
      <c r="U53" s="1">
        <v>1215.8</v>
      </c>
      <c r="X53">
        <v>0</v>
      </c>
      <c r="Y53" s="1">
        <v>1648.53</v>
      </c>
      <c r="Z53" t="s">
        <v>43</v>
      </c>
      <c r="AA53">
        <v>2023</v>
      </c>
      <c r="AB53" t="s">
        <v>27</v>
      </c>
      <c r="AC53" t="s">
        <v>53</v>
      </c>
      <c r="AD53" t="s">
        <v>54</v>
      </c>
    </row>
    <row r="54" spans="1:30" x14ac:dyDescent="0.25">
      <c r="A54">
        <v>53</v>
      </c>
      <c r="B54" t="s">
        <v>30</v>
      </c>
      <c r="C54" t="s">
        <v>324</v>
      </c>
      <c r="D54" t="s">
        <v>56</v>
      </c>
      <c r="E54" t="s">
        <v>56</v>
      </c>
      <c r="F54" t="s">
        <v>57</v>
      </c>
      <c r="G54" t="s">
        <v>57</v>
      </c>
      <c r="I54" t="s">
        <v>325</v>
      </c>
      <c r="J54">
        <f>57-60-1-694-3435</f>
        <v>-4133</v>
      </c>
      <c r="K54" t="s">
        <v>326</v>
      </c>
      <c r="N54" t="s">
        <v>160</v>
      </c>
      <c r="O54" t="s">
        <v>327</v>
      </c>
      <c r="P54">
        <v>429.32</v>
      </c>
      <c r="Q54" s="1">
        <v>3837.7</v>
      </c>
      <c r="R54">
        <v>292.47000000000003</v>
      </c>
      <c r="S54" s="1">
        <v>1113.5</v>
      </c>
      <c r="T54">
        <v>15.21</v>
      </c>
      <c r="U54">
        <v>378.32</v>
      </c>
      <c r="X54">
        <v>0</v>
      </c>
      <c r="Y54">
        <v>735.18</v>
      </c>
      <c r="Z54" t="s">
        <v>43</v>
      </c>
      <c r="AA54">
        <v>2023</v>
      </c>
      <c r="AB54" t="s">
        <v>27</v>
      </c>
      <c r="AC54" t="s">
        <v>53</v>
      </c>
      <c r="AD54" t="s">
        <v>54</v>
      </c>
    </row>
    <row r="55" spans="1:30" x14ac:dyDescent="0.25">
      <c r="A55">
        <v>54</v>
      </c>
      <c r="B55" t="s">
        <v>30</v>
      </c>
      <c r="C55" t="s">
        <v>328</v>
      </c>
      <c r="D55" t="s">
        <v>72</v>
      </c>
      <c r="E55" t="s">
        <v>72</v>
      </c>
      <c r="F55" t="s">
        <v>73</v>
      </c>
      <c r="G55" t="s">
        <v>73</v>
      </c>
      <c r="I55" t="s">
        <v>329</v>
      </c>
      <c r="J55">
        <f>57-350-702-6718</f>
        <v>-7713</v>
      </c>
      <c r="K55" t="s">
        <v>330</v>
      </c>
      <c r="N55" t="s">
        <v>331</v>
      </c>
      <c r="O55" t="s">
        <v>301</v>
      </c>
      <c r="P55">
        <v>650.45000000000005</v>
      </c>
      <c r="Q55" s="1">
        <v>3491.44</v>
      </c>
      <c r="R55">
        <v>-418.03</v>
      </c>
      <c r="S55">
        <v>106.25</v>
      </c>
      <c r="T55">
        <v>0</v>
      </c>
      <c r="U55">
        <v>-359.46</v>
      </c>
      <c r="Y55">
        <v>465.71</v>
      </c>
      <c r="Z55" t="s">
        <v>43</v>
      </c>
      <c r="AA55">
        <v>2023</v>
      </c>
      <c r="AB55" t="s">
        <v>100</v>
      </c>
      <c r="AC55" t="s">
        <v>53</v>
      </c>
      <c r="AD55" t="s">
        <v>101</v>
      </c>
    </row>
    <row r="56" spans="1:30" x14ac:dyDescent="0.25">
      <c r="A56">
        <v>55</v>
      </c>
      <c r="B56" t="s">
        <v>30</v>
      </c>
      <c r="C56" t="s">
        <v>332</v>
      </c>
      <c r="D56" t="s">
        <v>56</v>
      </c>
      <c r="E56" t="s">
        <v>56</v>
      </c>
      <c r="F56" t="s">
        <v>57</v>
      </c>
      <c r="G56" t="s">
        <v>57</v>
      </c>
      <c r="H56" t="s">
        <v>333</v>
      </c>
      <c r="I56" t="s">
        <v>334</v>
      </c>
      <c r="J56">
        <f>57-60-1-648-6592</f>
        <v>-7244</v>
      </c>
      <c r="K56" t="s">
        <v>335</v>
      </c>
      <c r="N56" t="s">
        <v>336</v>
      </c>
      <c r="O56" t="s">
        <v>161</v>
      </c>
      <c r="P56">
        <v>674.3</v>
      </c>
      <c r="Q56" s="1">
        <v>3328.83</v>
      </c>
      <c r="R56">
        <v>260.77</v>
      </c>
      <c r="S56" s="1">
        <v>1830.2</v>
      </c>
      <c r="T56">
        <v>0</v>
      </c>
      <c r="U56">
        <v>809.25</v>
      </c>
      <c r="Y56" s="1">
        <v>1020.95</v>
      </c>
      <c r="Z56" t="s">
        <v>43</v>
      </c>
      <c r="AA56">
        <v>2023</v>
      </c>
      <c r="AB56" t="s">
        <v>100</v>
      </c>
      <c r="AC56" t="s">
        <v>53</v>
      </c>
      <c r="AD56" t="s">
        <v>101</v>
      </c>
    </row>
    <row r="57" spans="1:30" x14ac:dyDescent="0.25">
      <c r="A57">
        <v>56</v>
      </c>
      <c r="B57" t="s">
        <v>30</v>
      </c>
      <c r="C57" t="s">
        <v>337</v>
      </c>
      <c r="D57" t="s">
        <v>338</v>
      </c>
      <c r="E57" t="s">
        <v>72</v>
      </c>
      <c r="F57" t="s">
        <v>339</v>
      </c>
      <c r="G57" t="s">
        <v>73</v>
      </c>
      <c r="I57" t="s">
        <v>340</v>
      </c>
      <c r="J57">
        <f>57-60-1-300-339</f>
        <v>-643</v>
      </c>
      <c r="K57" t="s">
        <v>341</v>
      </c>
      <c r="N57" t="s">
        <v>342</v>
      </c>
      <c r="O57" t="s">
        <v>343</v>
      </c>
      <c r="P57" s="1">
        <v>-1481.41</v>
      </c>
      <c r="Q57" s="1">
        <v>3326.1</v>
      </c>
      <c r="R57" s="1">
        <v>-1481.41</v>
      </c>
      <c r="S57" s="1">
        <v>2005.92</v>
      </c>
      <c r="T57">
        <v>0</v>
      </c>
      <c r="U57">
        <v>301.18</v>
      </c>
      <c r="Y57" s="1">
        <v>1704.74</v>
      </c>
      <c r="Z57" t="s">
        <v>43</v>
      </c>
      <c r="AA57">
        <v>2018</v>
      </c>
      <c r="AB57" t="s">
        <v>100</v>
      </c>
      <c r="AC57" t="s">
        <v>53</v>
      </c>
      <c r="AD57" t="s">
        <v>101</v>
      </c>
    </row>
    <row r="58" spans="1:30" x14ac:dyDescent="0.25">
      <c r="A58">
        <v>57</v>
      </c>
      <c r="B58" t="s">
        <v>30</v>
      </c>
      <c r="C58" t="s">
        <v>344</v>
      </c>
      <c r="D58" t="s">
        <v>56</v>
      </c>
      <c r="E58" t="s">
        <v>56</v>
      </c>
      <c r="F58" t="s">
        <v>57</v>
      </c>
      <c r="G58" t="s">
        <v>57</v>
      </c>
      <c r="I58" t="s">
        <v>345</v>
      </c>
      <c r="J58">
        <f>57-311-615-8585</f>
        <v>-9454</v>
      </c>
      <c r="K58" t="s">
        <v>346</v>
      </c>
      <c r="O58" t="s">
        <v>347</v>
      </c>
      <c r="P58">
        <v>396.19</v>
      </c>
      <c r="Q58" s="1">
        <v>3302.78</v>
      </c>
      <c r="R58">
        <v>0</v>
      </c>
      <c r="S58" s="1">
        <v>3031.66</v>
      </c>
      <c r="T58">
        <v>0</v>
      </c>
      <c r="U58">
        <v>0</v>
      </c>
      <c r="Y58" s="1">
        <v>1931.01</v>
      </c>
      <c r="Z58" t="s">
        <v>43</v>
      </c>
      <c r="AA58">
        <v>2018</v>
      </c>
      <c r="AB58" t="s">
        <v>100</v>
      </c>
      <c r="AC58" t="s">
        <v>53</v>
      </c>
      <c r="AD58" t="s">
        <v>101</v>
      </c>
    </row>
    <row r="59" spans="1:30" x14ac:dyDescent="0.25">
      <c r="A59">
        <v>58</v>
      </c>
      <c r="B59" t="s">
        <v>30</v>
      </c>
      <c r="C59" t="s">
        <v>348</v>
      </c>
      <c r="D59" t="s">
        <v>72</v>
      </c>
      <c r="E59" t="s">
        <v>72</v>
      </c>
      <c r="F59" t="s">
        <v>73</v>
      </c>
      <c r="G59" t="s">
        <v>73</v>
      </c>
      <c r="H59" t="s">
        <v>349</v>
      </c>
      <c r="I59" t="s">
        <v>350</v>
      </c>
      <c r="J59">
        <f>57-60-1-828-3947</f>
        <v>-4779</v>
      </c>
      <c r="K59" t="s">
        <v>351</v>
      </c>
      <c r="N59" t="s">
        <v>352</v>
      </c>
      <c r="O59" t="s">
        <v>353</v>
      </c>
      <c r="P59">
        <v>450.12</v>
      </c>
      <c r="Q59" s="1">
        <v>3289.38</v>
      </c>
      <c r="R59">
        <v>0</v>
      </c>
      <c r="S59" s="1">
        <v>2202.17</v>
      </c>
      <c r="T59">
        <v>0</v>
      </c>
      <c r="U59">
        <v>457.01</v>
      </c>
      <c r="Y59" s="1">
        <v>1745.17</v>
      </c>
      <c r="Z59" t="s">
        <v>43</v>
      </c>
      <c r="AA59">
        <v>2021</v>
      </c>
      <c r="AB59" t="s">
        <v>100</v>
      </c>
      <c r="AC59" t="s">
        <v>53</v>
      </c>
      <c r="AD59" t="s">
        <v>101</v>
      </c>
    </row>
    <row r="60" spans="1:30" x14ac:dyDescent="0.25">
      <c r="A60">
        <v>59</v>
      </c>
      <c r="B60" t="s">
        <v>30</v>
      </c>
      <c r="C60" t="s">
        <v>354</v>
      </c>
      <c r="D60" t="s">
        <v>72</v>
      </c>
      <c r="E60" t="s">
        <v>72</v>
      </c>
      <c r="F60" t="s">
        <v>73</v>
      </c>
      <c r="G60" t="s">
        <v>73</v>
      </c>
      <c r="I60" t="s">
        <v>355</v>
      </c>
      <c r="J60">
        <f>57-60-1-460-112</f>
        <v>-576</v>
      </c>
      <c r="K60" t="s">
        <v>356</v>
      </c>
      <c r="N60" t="s">
        <v>357</v>
      </c>
      <c r="O60" t="s">
        <v>358</v>
      </c>
      <c r="P60">
        <v>-284.08999999999997</v>
      </c>
      <c r="Q60" s="1">
        <v>3278.8</v>
      </c>
      <c r="R60">
        <v>-330.45</v>
      </c>
      <c r="S60">
        <v>388.53</v>
      </c>
      <c r="T60">
        <v>0</v>
      </c>
      <c r="U60">
        <v>-643.64</v>
      </c>
      <c r="Y60" s="1">
        <v>1032.17</v>
      </c>
      <c r="Z60" t="s">
        <v>43</v>
      </c>
      <c r="AA60">
        <v>2023</v>
      </c>
      <c r="AB60" t="s">
        <v>100</v>
      </c>
      <c r="AC60" t="s">
        <v>53</v>
      </c>
      <c r="AD60" t="s">
        <v>101</v>
      </c>
    </row>
    <row r="61" spans="1:30" x14ac:dyDescent="0.25">
      <c r="A61">
        <v>60</v>
      </c>
      <c r="B61" t="s">
        <v>30</v>
      </c>
      <c r="C61" t="s">
        <v>359</v>
      </c>
      <c r="D61" t="s">
        <v>72</v>
      </c>
      <c r="E61" t="s">
        <v>72</v>
      </c>
      <c r="F61" t="s">
        <v>73</v>
      </c>
      <c r="G61" t="s">
        <v>73</v>
      </c>
      <c r="H61" t="s">
        <v>360</v>
      </c>
      <c r="I61" t="s">
        <v>361</v>
      </c>
      <c r="J61">
        <f>57-60-1-794-3654</f>
        <v>-4452</v>
      </c>
      <c r="K61" t="s">
        <v>362</v>
      </c>
      <c r="N61" t="s">
        <v>363</v>
      </c>
      <c r="O61" t="s">
        <v>301</v>
      </c>
      <c r="P61">
        <v>9.65</v>
      </c>
      <c r="Q61" s="1">
        <v>3276.28</v>
      </c>
      <c r="R61">
        <v>-38.57</v>
      </c>
      <c r="S61" s="1">
        <v>1477.87</v>
      </c>
      <c r="T61">
        <v>507.67</v>
      </c>
      <c r="U61">
        <v>72.11</v>
      </c>
      <c r="X61">
        <v>0</v>
      </c>
      <c r="Y61" s="1">
        <v>1405.76</v>
      </c>
      <c r="Z61" t="s">
        <v>43</v>
      </c>
      <c r="AA61">
        <v>2023</v>
      </c>
      <c r="AB61" t="s">
        <v>27</v>
      </c>
      <c r="AC61" t="s">
        <v>53</v>
      </c>
      <c r="AD61" t="s">
        <v>54</v>
      </c>
    </row>
    <row r="62" spans="1:30" x14ac:dyDescent="0.25">
      <c r="A62">
        <v>61</v>
      </c>
      <c r="B62" t="s">
        <v>30</v>
      </c>
      <c r="C62" t="s">
        <v>364</v>
      </c>
      <c r="D62" t="s">
        <v>72</v>
      </c>
      <c r="E62" t="s">
        <v>72</v>
      </c>
      <c r="F62" t="s">
        <v>73</v>
      </c>
      <c r="G62" t="s">
        <v>73</v>
      </c>
      <c r="I62" t="s">
        <v>365</v>
      </c>
      <c r="J62">
        <f>57-315-319-80</f>
        <v>-657</v>
      </c>
      <c r="K62" t="s">
        <v>366</v>
      </c>
      <c r="N62" t="s">
        <v>367</v>
      </c>
      <c r="O62" t="s">
        <v>327</v>
      </c>
      <c r="P62">
        <v>308.83</v>
      </c>
      <c r="Q62" s="1">
        <v>3150.28</v>
      </c>
      <c r="R62">
        <v>200.74</v>
      </c>
      <c r="S62">
        <v>777.94</v>
      </c>
      <c r="T62">
        <v>0</v>
      </c>
      <c r="U62">
        <v>300.74</v>
      </c>
      <c r="Y62">
        <v>477.2</v>
      </c>
      <c r="Z62" t="s">
        <v>43</v>
      </c>
      <c r="AA62">
        <v>2023</v>
      </c>
      <c r="AB62" t="s">
        <v>100</v>
      </c>
      <c r="AC62" t="s">
        <v>53</v>
      </c>
      <c r="AD62" t="s">
        <v>101</v>
      </c>
    </row>
    <row r="63" spans="1:30" x14ac:dyDescent="0.25">
      <c r="A63">
        <v>62</v>
      </c>
      <c r="B63" t="s">
        <v>30</v>
      </c>
      <c r="C63" t="s">
        <v>368</v>
      </c>
      <c r="D63" t="s">
        <v>64</v>
      </c>
      <c r="E63" t="s">
        <v>64</v>
      </c>
      <c r="F63" t="s">
        <v>65</v>
      </c>
      <c r="G63" t="s">
        <v>65</v>
      </c>
      <c r="I63" t="s">
        <v>369</v>
      </c>
      <c r="J63">
        <f>57-315-291-4690</f>
        <v>-5239</v>
      </c>
      <c r="K63" t="s">
        <v>370</v>
      </c>
      <c r="N63" t="s">
        <v>371</v>
      </c>
      <c r="O63" t="s">
        <v>372</v>
      </c>
      <c r="P63">
        <v>49.98</v>
      </c>
      <c r="Q63" s="1">
        <v>3141.73</v>
      </c>
      <c r="R63">
        <v>49.98</v>
      </c>
      <c r="S63" s="1">
        <v>2087.1999999999998</v>
      </c>
      <c r="T63">
        <v>0</v>
      </c>
      <c r="U63">
        <v>338.06</v>
      </c>
      <c r="Y63" s="1">
        <v>1749.14</v>
      </c>
      <c r="Z63" t="s">
        <v>43</v>
      </c>
      <c r="AA63">
        <v>2022</v>
      </c>
      <c r="AB63" t="s">
        <v>100</v>
      </c>
      <c r="AC63" t="s">
        <v>53</v>
      </c>
      <c r="AD63" t="s">
        <v>101</v>
      </c>
    </row>
    <row r="64" spans="1:30" x14ac:dyDescent="0.25">
      <c r="A64">
        <v>63</v>
      </c>
      <c r="B64" t="s">
        <v>30</v>
      </c>
      <c r="C64" t="s">
        <v>373</v>
      </c>
      <c r="D64" t="s">
        <v>72</v>
      </c>
      <c r="E64" t="s">
        <v>72</v>
      </c>
      <c r="F64" t="s">
        <v>73</v>
      </c>
      <c r="G64" t="s">
        <v>73</v>
      </c>
      <c r="I64" t="s">
        <v>374</v>
      </c>
      <c r="J64">
        <f>57-60-1-416-9441</f>
        <v>-9861</v>
      </c>
      <c r="K64" t="s">
        <v>375</v>
      </c>
      <c r="N64" t="s">
        <v>322</v>
      </c>
      <c r="O64" t="s">
        <v>376</v>
      </c>
      <c r="P64">
        <v>556.69000000000005</v>
      </c>
      <c r="Q64" s="1">
        <v>3114.29</v>
      </c>
      <c r="R64">
        <v>372.93</v>
      </c>
      <c r="S64" s="1">
        <v>3337.11</v>
      </c>
      <c r="T64" s="1">
        <v>1823.13</v>
      </c>
      <c r="U64" s="1">
        <v>1244.0899999999999</v>
      </c>
      <c r="X64">
        <v>0</v>
      </c>
      <c r="Y64" s="1">
        <v>2093.02</v>
      </c>
      <c r="Z64" t="s">
        <v>43</v>
      </c>
      <c r="AA64">
        <v>2023</v>
      </c>
      <c r="AB64" t="s">
        <v>27</v>
      </c>
      <c r="AC64" t="s">
        <v>53</v>
      </c>
      <c r="AD64" t="s">
        <v>54</v>
      </c>
    </row>
    <row r="65" spans="1:30" x14ac:dyDescent="0.25">
      <c r="A65">
        <v>64</v>
      </c>
      <c r="B65" t="s">
        <v>30</v>
      </c>
      <c r="C65" t="s">
        <v>377</v>
      </c>
      <c r="D65" t="s">
        <v>56</v>
      </c>
      <c r="E65" t="s">
        <v>56</v>
      </c>
      <c r="F65" t="s">
        <v>57</v>
      </c>
      <c r="G65" t="s">
        <v>57</v>
      </c>
      <c r="H65" t="s">
        <v>378</v>
      </c>
      <c r="I65" t="s">
        <v>379</v>
      </c>
      <c r="J65">
        <f>57-60-1-218-4263</f>
        <v>-4485</v>
      </c>
      <c r="K65" t="s">
        <v>380</v>
      </c>
      <c r="N65" t="s">
        <v>381</v>
      </c>
      <c r="O65" t="s">
        <v>382</v>
      </c>
      <c r="P65">
        <v>394.65</v>
      </c>
      <c r="Q65" s="1">
        <v>3101.91</v>
      </c>
      <c r="R65">
        <v>257.88</v>
      </c>
      <c r="S65" s="1">
        <v>2700.46</v>
      </c>
      <c r="T65">
        <v>0</v>
      </c>
      <c r="U65" s="1">
        <v>1342.1</v>
      </c>
      <c r="Y65" s="1">
        <v>1358.36</v>
      </c>
      <c r="Z65" t="s">
        <v>43</v>
      </c>
      <c r="AA65">
        <v>2023</v>
      </c>
      <c r="AB65" t="s">
        <v>100</v>
      </c>
      <c r="AC65" t="s">
        <v>53</v>
      </c>
      <c r="AD65" t="s">
        <v>101</v>
      </c>
    </row>
    <row r="66" spans="1:30" x14ac:dyDescent="0.25">
      <c r="A66">
        <v>65</v>
      </c>
      <c r="B66" t="s">
        <v>30</v>
      </c>
      <c r="C66" t="s">
        <v>383</v>
      </c>
      <c r="D66" t="s">
        <v>384</v>
      </c>
      <c r="E66" t="s">
        <v>385</v>
      </c>
      <c r="F66" t="s">
        <v>386</v>
      </c>
      <c r="G66" t="s">
        <v>387</v>
      </c>
      <c r="I66" t="s">
        <v>388</v>
      </c>
      <c r="J66">
        <f>57-60-1-317-6987</f>
        <v>-7308</v>
      </c>
      <c r="K66" t="s">
        <v>389</v>
      </c>
      <c r="N66" t="s">
        <v>390</v>
      </c>
      <c r="O66" t="s">
        <v>391</v>
      </c>
      <c r="P66">
        <v>172.2</v>
      </c>
      <c r="Q66" s="1">
        <v>3092.27</v>
      </c>
      <c r="R66">
        <v>0</v>
      </c>
      <c r="S66">
        <v>855.37</v>
      </c>
      <c r="T66">
        <v>0</v>
      </c>
      <c r="U66">
        <v>654.95000000000005</v>
      </c>
      <c r="Y66">
        <v>200.42</v>
      </c>
      <c r="Z66" t="s">
        <v>43</v>
      </c>
      <c r="AA66">
        <v>2019</v>
      </c>
      <c r="AB66" t="s">
        <v>100</v>
      </c>
      <c r="AC66" t="s">
        <v>53</v>
      </c>
      <c r="AD66" t="s">
        <v>101</v>
      </c>
    </row>
    <row r="67" spans="1:30" x14ac:dyDescent="0.25">
      <c r="A67">
        <v>66</v>
      </c>
      <c r="B67" t="s">
        <v>30</v>
      </c>
      <c r="C67" t="s">
        <v>392</v>
      </c>
      <c r="D67" t="s">
        <v>64</v>
      </c>
      <c r="E67" t="s">
        <v>64</v>
      </c>
      <c r="F67" t="s">
        <v>65</v>
      </c>
      <c r="G67" t="s">
        <v>65</v>
      </c>
      <c r="I67" t="s">
        <v>393</v>
      </c>
      <c r="J67">
        <f>57-310-337-5501</f>
        <v>-6091</v>
      </c>
      <c r="K67" t="s">
        <v>394</v>
      </c>
      <c r="N67" t="s">
        <v>395</v>
      </c>
      <c r="O67" t="s">
        <v>270</v>
      </c>
      <c r="P67">
        <v>405.49</v>
      </c>
      <c r="Q67" s="1">
        <v>3018.44</v>
      </c>
      <c r="R67">
        <v>405.49</v>
      </c>
      <c r="S67">
        <v>901.17</v>
      </c>
      <c r="T67">
        <v>0</v>
      </c>
      <c r="U67">
        <v>765.84</v>
      </c>
      <c r="Y67">
        <v>135.33000000000001</v>
      </c>
      <c r="Z67" t="s">
        <v>43</v>
      </c>
      <c r="AA67">
        <v>2023</v>
      </c>
      <c r="AB67" t="s">
        <v>100</v>
      </c>
      <c r="AC67" t="s">
        <v>53</v>
      </c>
      <c r="AD67" t="s">
        <v>101</v>
      </c>
    </row>
    <row r="68" spans="1:30" x14ac:dyDescent="0.25">
      <c r="A68">
        <v>67</v>
      </c>
      <c r="B68" t="s">
        <v>30</v>
      </c>
      <c r="C68" t="s">
        <v>396</v>
      </c>
      <c r="D68" t="s">
        <v>72</v>
      </c>
      <c r="E68" t="s">
        <v>72</v>
      </c>
      <c r="F68" t="s">
        <v>73</v>
      </c>
      <c r="G68" t="s">
        <v>73</v>
      </c>
      <c r="H68" t="s">
        <v>397</v>
      </c>
      <c r="I68" t="s">
        <v>398</v>
      </c>
      <c r="J68">
        <f>57-60-1-218-3824</f>
        <v>-4046</v>
      </c>
      <c r="K68" t="s">
        <v>399</v>
      </c>
      <c r="N68" t="s">
        <v>400</v>
      </c>
      <c r="O68" t="s">
        <v>401</v>
      </c>
      <c r="P68">
        <v>290.52999999999997</v>
      </c>
      <c r="Q68" s="1">
        <v>2993.39</v>
      </c>
      <c r="R68">
        <v>177.96</v>
      </c>
      <c r="S68" s="1">
        <v>1435.59</v>
      </c>
      <c r="T68">
        <v>0</v>
      </c>
      <c r="U68" s="1">
        <v>1021.75</v>
      </c>
      <c r="Y68">
        <v>413.84</v>
      </c>
      <c r="Z68" t="s">
        <v>43</v>
      </c>
      <c r="AA68">
        <v>2023</v>
      </c>
      <c r="AB68" t="s">
        <v>100</v>
      </c>
      <c r="AC68" t="s">
        <v>53</v>
      </c>
      <c r="AD68" t="s">
        <v>101</v>
      </c>
    </row>
    <row r="69" spans="1:30" x14ac:dyDescent="0.25">
      <c r="A69">
        <v>68</v>
      </c>
      <c r="B69" t="s">
        <v>30</v>
      </c>
      <c r="C69" t="s">
        <v>402</v>
      </c>
      <c r="D69" t="s">
        <v>56</v>
      </c>
      <c r="E69" t="s">
        <v>56</v>
      </c>
      <c r="F69" t="s">
        <v>57</v>
      </c>
      <c r="G69" t="s">
        <v>57</v>
      </c>
      <c r="I69" t="s">
        <v>403</v>
      </c>
      <c r="J69">
        <f>57-312-562-6272</f>
        <v>-7089</v>
      </c>
      <c r="K69" t="s">
        <v>404</v>
      </c>
      <c r="N69" t="s">
        <v>405</v>
      </c>
      <c r="O69" t="s">
        <v>406</v>
      </c>
      <c r="P69">
        <v>19.8</v>
      </c>
      <c r="Q69" s="1">
        <v>2990</v>
      </c>
      <c r="R69">
        <v>19.8</v>
      </c>
      <c r="S69">
        <v>403.48</v>
      </c>
      <c r="T69">
        <v>0</v>
      </c>
      <c r="U69">
        <v>-560.04999999999995</v>
      </c>
      <c r="Y69">
        <v>963.53</v>
      </c>
      <c r="Z69" t="s">
        <v>43</v>
      </c>
      <c r="AA69">
        <v>2023</v>
      </c>
      <c r="AB69" t="s">
        <v>100</v>
      </c>
      <c r="AC69" t="s">
        <v>53</v>
      </c>
      <c r="AD69" t="s">
        <v>101</v>
      </c>
    </row>
    <row r="70" spans="1:30" x14ac:dyDescent="0.25">
      <c r="A70">
        <v>69</v>
      </c>
      <c r="B70" t="s">
        <v>30</v>
      </c>
      <c r="C70" t="s">
        <v>407</v>
      </c>
      <c r="D70" t="s">
        <v>56</v>
      </c>
      <c r="E70" t="s">
        <v>56</v>
      </c>
      <c r="F70" t="s">
        <v>57</v>
      </c>
      <c r="G70" t="s">
        <v>57</v>
      </c>
      <c r="I70" t="s">
        <v>408</v>
      </c>
      <c r="J70">
        <f>57-311-762-4351</f>
        <v>-5367</v>
      </c>
      <c r="K70" t="s">
        <v>409</v>
      </c>
      <c r="O70" t="s">
        <v>410</v>
      </c>
      <c r="P70">
        <v>195.03</v>
      </c>
      <c r="Q70" s="1">
        <v>2932.82</v>
      </c>
      <c r="R70">
        <v>195.03</v>
      </c>
      <c r="S70" s="1">
        <v>1800.89</v>
      </c>
      <c r="T70">
        <v>0</v>
      </c>
      <c r="U70" s="1">
        <v>1153.58</v>
      </c>
      <c r="Y70">
        <v>647.30999999999995</v>
      </c>
      <c r="Z70" t="s">
        <v>43</v>
      </c>
      <c r="AA70">
        <v>2018</v>
      </c>
      <c r="AB70" t="s">
        <v>100</v>
      </c>
      <c r="AC70" t="s">
        <v>53</v>
      </c>
      <c r="AD70" t="s">
        <v>101</v>
      </c>
    </row>
    <row r="71" spans="1:30" x14ac:dyDescent="0.25">
      <c r="A71">
        <v>70</v>
      </c>
      <c r="B71" t="s">
        <v>30</v>
      </c>
      <c r="C71" t="s">
        <v>411</v>
      </c>
      <c r="D71" t="s">
        <v>56</v>
      </c>
      <c r="E71" t="s">
        <v>56</v>
      </c>
      <c r="F71" t="s">
        <v>57</v>
      </c>
      <c r="G71" t="s">
        <v>57</v>
      </c>
      <c r="H71" t="s">
        <v>412</v>
      </c>
      <c r="I71" t="s">
        <v>413</v>
      </c>
      <c r="J71">
        <f>57-60-1-704-2939</f>
        <v>-3647</v>
      </c>
      <c r="K71" t="s">
        <v>414</v>
      </c>
      <c r="N71" t="s">
        <v>415</v>
      </c>
      <c r="O71" t="s">
        <v>416</v>
      </c>
      <c r="P71">
        <v>172.68</v>
      </c>
      <c r="Q71" s="1">
        <v>2926.38</v>
      </c>
      <c r="R71">
        <v>122.69</v>
      </c>
      <c r="S71" s="1">
        <v>1221.31</v>
      </c>
      <c r="T71">
        <v>0</v>
      </c>
      <c r="U71" s="1">
        <v>1034.74</v>
      </c>
      <c r="X71">
        <v>0</v>
      </c>
      <c r="Y71">
        <v>186.56</v>
      </c>
      <c r="Z71" t="s">
        <v>43</v>
      </c>
      <c r="AA71">
        <v>2023</v>
      </c>
      <c r="AB71" t="s">
        <v>27</v>
      </c>
      <c r="AC71" t="s">
        <v>53</v>
      </c>
      <c r="AD71" t="s">
        <v>54</v>
      </c>
    </row>
    <row r="72" spans="1:30" x14ac:dyDescent="0.25">
      <c r="A72">
        <v>71</v>
      </c>
      <c r="B72" t="s">
        <v>30</v>
      </c>
      <c r="C72" t="s">
        <v>417</v>
      </c>
      <c r="D72" t="s">
        <v>56</v>
      </c>
      <c r="E72" t="s">
        <v>56</v>
      </c>
      <c r="F72" t="s">
        <v>57</v>
      </c>
      <c r="G72" t="s">
        <v>57</v>
      </c>
      <c r="I72" t="s">
        <v>418</v>
      </c>
      <c r="J72">
        <f>57-60-1-755-2925</f>
        <v>-3684</v>
      </c>
      <c r="K72" t="s">
        <v>419</v>
      </c>
      <c r="N72" t="s">
        <v>420</v>
      </c>
      <c r="O72" t="s">
        <v>135</v>
      </c>
      <c r="P72">
        <v>618.95000000000005</v>
      </c>
      <c r="Q72" s="1">
        <v>2912.51</v>
      </c>
      <c r="R72">
        <v>373.71</v>
      </c>
      <c r="S72" s="1">
        <v>1448.89</v>
      </c>
      <c r="T72">
        <v>0</v>
      </c>
      <c r="U72" s="1">
        <v>1093.07</v>
      </c>
      <c r="Y72">
        <v>355.81</v>
      </c>
      <c r="Z72" t="s">
        <v>43</v>
      </c>
      <c r="AA72">
        <v>2023</v>
      </c>
      <c r="AB72" t="s">
        <v>100</v>
      </c>
      <c r="AC72" t="s">
        <v>53</v>
      </c>
      <c r="AD72" t="s">
        <v>101</v>
      </c>
    </row>
    <row r="73" spans="1:30" x14ac:dyDescent="0.25">
      <c r="A73">
        <v>72</v>
      </c>
      <c r="B73" t="s">
        <v>30</v>
      </c>
      <c r="C73" t="s">
        <v>421</v>
      </c>
      <c r="D73" t="s">
        <v>72</v>
      </c>
      <c r="E73" t="s">
        <v>72</v>
      </c>
      <c r="F73" t="s">
        <v>73</v>
      </c>
      <c r="G73" t="s">
        <v>73</v>
      </c>
      <c r="I73" t="s">
        <v>365</v>
      </c>
      <c r="J73">
        <f>57-314-424-7494</f>
        <v>-8175</v>
      </c>
      <c r="K73" t="s">
        <v>366</v>
      </c>
      <c r="N73" t="s">
        <v>422</v>
      </c>
      <c r="O73" t="s">
        <v>423</v>
      </c>
      <c r="P73">
        <v>187.5</v>
      </c>
      <c r="Q73" s="1">
        <v>2880.47</v>
      </c>
      <c r="R73">
        <v>121.88</v>
      </c>
      <c r="S73">
        <v>524.87</v>
      </c>
      <c r="T73">
        <v>0</v>
      </c>
      <c r="U73">
        <v>287.5</v>
      </c>
      <c r="Y73">
        <v>237.37</v>
      </c>
      <c r="Z73" t="s">
        <v>43</v>
      </c>
      <c r="AA73">
        <v>2023</v>
      </c>
      <c r="AB73" t="s">
        <v>100</v>
      </c>
      <c r="AC73" t="s">
        <v>53</v>
      </c>
      <c r="AD73" t="s">
        <v>101</v>
      </c>
    </row>
    <row r="74" spans="1:30" x14ac:dyDescent="0.25">
      <c r="A74">
        <v>73</v>
      </c>
      <c r="B74" t="s">
        <v>30</v>
      </c>
      <c r="C74" t="s">
        <v>424</v>
      </c>
      <c r="D74" t="s">
        <v>56</v>
      </c>
      <c r="E74" t="s">
        <v>56</v>
      </c>
      <c r="F74" t="s">
        <v>57</v>
      </c>
      <c r="G74" t="s">
        <v>57</v>
      </c>
      <c r="I74" t="s">
        <v>425</v>
      </c>
      <c r="J74">
        <f>57-323-233-5337</f>
        <v>-5836</v>
      </c>
      <c r="K74" t="s">
        <v>426</v>
      </c>
      <c r="N74" t="s">
        <v>427</v>
      </c>
      <c r="P74">
        <v>27.5</v>
      </c>
      <c r="Q74" s="1">
        <v>2850.16</v>
      </c>
      <c r="R74">
        <v>0</v>
      </c>
      <c r="S74">
        <v>27.5</v>
      </c>
      <c r="T74">
        <v>0</v>
      </c>
      <c r="U74">
        <v>27.5</v>
      </c>
      <c r="Y74">
        <v>0</v>
      </c>
      <c r="Z74" t="s">
        <v>43</v>
      </c>
      <c r="AA74">
        <v>2023</v>
      </c>
      <c r="AB74" t="s">
        <v>100</v>
      </c>
      <c r="AC74" t="s">
        <v>53</v>
      </c>
      <c r="AD74" t="s">
        <v>101</v>
      </c>
    </row>
    <row r="75" spans="1:30" x14ac:dyDescent="0.25">
      <c r="A75">
        <v>74</v>
      </c>
      <c r="B75" t="s">
        <v>30</v>
      </c>
      <c r="C75" t="s">
        <v>428</v>
      </c>
      <c r="D75" t="s">
        <v>64</v>
      </c>
      <c r="E75" t="s">
        <v>64</v>
      </c>
      <c r="F75" t="s">
        <v>65</v>
      </c>
      <c r="G75" t="s">
        <v>65</v>
      </c>
      <c r="H75" t="s">
        <v>429</v>
      </c>
      <c r="I75" t="s">
        <v>430</v>
      </c>
      <c r="J75">
        <f>57-60-1-264-3513</f>
        <v>-3781</v>
      </c>
      <c r="K75" t="s">
        <v>431</v>
      </c>
      <c r="N75" t="s">
        <v>432</v>
      </c>
      <c r="O75" t="s">
        <v>433</v>
      </c>
      <c r="P75">
        <v>160.35</v>
      </c>
      <c r="Q75" s="1">
        <v>2835.76</v>
      </c>
      <c r="R75">
        <v>40.909999999999997</v>
      </c>
      <c r="S75" s="1">
        <v>4162.22</v>
      </c>
      <c r="T75">
        <v>0</v>
      </c>
      <c r="U75" s="1">
        <v>2568.0700000000002</v>
      </c>
      <c r="Y75" s="1">
        <v>1594.15</v>
      </c>
      <c r="Z75" t="s">
        <v>43</v>
      </c>
      <c r="AA75">
        <v>2023</v>
      </c>
      <c r="AB75" t="s">
        <v>100</v>
      </c>
      <c r="AC75" t="s">
        <v>53</v>
      </c>
      <c r="AD75" t="s">
        <v>101</v>
      </c>
    </row>
    <row r="76" spans="1:30" x14ac:dyDescent="0.25">
      <c r="A76">
        <v>75</v>
      </c>
      <c r="B76" t="s">
        <v>30</v>
      </c>
      <c r="C76" t="s">
        <v>434</v>
      </c>
      <c r="D76" t="s">
        <v>64</v>
      </c>
      <c r="E76" t="s">
        <v>64</v>
      </c>
      <c r="F76" t="s">
        <v>65</v>
      </c>
      <c r="G76" t="s">
        <v>65</v>
      </c>
      <c r="H76" t="s">
        <v>435</v>
      </c>
      <c r="I76" t="s">
        <v>436</v>
      </c>
      <c r="J76">
        <f>57-60-1-347-4558</f>
        <v>-4909</v>
      </c>
      <c r="K76" t="s">
        <v>183</v>
      </c>
      <c r="N76" t="s">
        <v>437</v>
      </c>
      <c r="O76" t="s">
        <v>245</v>
      </c>
      <c r="P76">
        <v>760.92</v>
      </c>
      <c r="Q76" s="1">
        <v>2773.31</v>
      </c>
      <c r="R76">
        <v>494.6</v>
      </c>
      <c r="S76" s="1">
        <v>1574.57</v>
      </c>
      <c r="T76">
        <v>0</v>
      </c>
      <c r="U76">
        <v>733.28</v>
      </c>
      <c r="Y76">
        <v>841.3</v>
      </c>
      <c r="Z76" t="s">
        <v>43</v>
      </c>
      <c r="AA76">
        <v>2023</v>
      </c>
      <c r="AB76" t="s">
        <v>100</v>
      </c>
      <c r="AC76" t="s">
        <v>53</v>
      </c>
      <c r="AD76" t="s">
        <v>101</v>
      </c>
    </row>
    <row r="77" spans="1:30" x14ac:dyDescent="0.25">
      <c r="A77">
        <v>76</v>
      </c>
      <c r="B77" t="s">
        <v>30</v>
      </c>
      <c r="C77" t="s">
        <v>438</v>
      </c>
      <c r="D77" t="s">
        <v>56</v>
      </c>
      <c r="E77" t="s">
        <v>56</v>
      </c>
      <c r="F77" t="s">
        <v>57</v>
      </c>
      <c r="G77" t="s">
        <v>57</v>
      </c>
      <c r="I77" t="s">
        <v>439</v>
      </c>
      <c r="J77">
        <f>57-310-413-1859</f>
        <v>-2525</v>
      </c>
      <c r="K77" t="s">
        <v>440</v>
      </c>
      <c r="N77" t="s">
        <v>441</v>
      </c>
      <c r="O77" t="s">
        <v>201</v>
      </c>
      <c r="P77">
        <v>-905.37</v>
      </c>
      <c r="Q77" s="1">
        <v>2762.13</v>
      </c>
      <c r="R77">
        <v>-928.46</v>
      </c>
      <c r="S77" s="1">
        <v>4052.83</v>
      </c>
      <c r="T77">
        <v>0</v>
      </c>
      <c r="U77" s="1">
        <v>1486.18</v>
      </c>
      <c r="Y77" s="1">
        <v>2566.64</v>
      </c>
      <c r="Z77" t="s">
        <v>43</v>
      </c>
      <c r="AA77">
        <v>2023</v>
      </c>
      <c r="AB77" t="s">
        <v>100</v>
      </c>
      <c r="AC77" t="s">
        <v>53</v>
      </c>
      <c r="AD77" t="s">
        <v>101</v>
      </c>
    </row>
    <row r="78" spans="1:30" x14ac:dyDescent="0.25">
      <c r="A78">
        <v>77</v>
      </c>
      <c r="B78" t="s">
        <v>30</v>
      </c>
      <c r="C78" t="s">
        <v>442</v>
      </c>
      <c r="D78" t="s">
        <v>56</v>
      </c>
      <c r="E78" t="s">
        <v>56</v>
      </c>
      <c r="F78" t="s">
        <v>57</v>
      </c>
      <c r="G78" t="s">
        <v>57</v>
      </c>
      <c r="I78" t="s">
        <v>443</v>
      </c>
      <c r="J78">
        <f>57-319-755-9174</f>
        <v>-10191</v>
      </c>
      <c r="K78" t="s">
        <v>444</v>
      </c>
      <c r="P78">
        <v>298.52</v>
      </c>
      <c r="Q78" s="1">
        <v>2731.09</v>
      </c>
      <c r="R78">
        <v>303.26</v>
      </c>
      <c r="S78">
        <v>943.12</v>
      </c>
      <c r="T78">
        <v>0</v>
      </c>
      <c r="U78">
        <v>832.65</v>
      </c>
      <c r="Y78">
        <v>110.46</v>
      </c>
      <c r="Z78" t="s">
        <v>43</v>
      </c>
      <c r="AA78">
        <v>2018</v>
      </c>
      <c r="AB78" t="s">
        <v>100</v>
      </c>
      <c r="AC78" t="s">
        <v>53</v>
      </c>
      <c r="AD78" t="s">
        <v>101</v>
      </c>
    </row>
    <row r="79" spans="1:30" x14ac:dyDescent="0.25">
      <c r="A79">
        <v>78</v>
      </c>
      <c r="B79" t="s">
        <v>30</v>
      </c>
      <c r="C79" t="s">
        <v>445</v>
      </c>
      <c r="D79" t="s">
        <v>72</v>
      </c>
      <c r="E79" t="s">
        <v>72</v>
      </c>
      <c r="F79" t="s">
        <v>73</v>
      </c>
      <c r="G79" t="s">
        <v>73</v>
      </c>
      <c r="H79" t="s">
        <v>446</v>
      </c>
      <c r="I79" t="s">
        <v>447</v>
      </c>
      <c r="J79">
        <f>57-60-1-744-7790</f>
        <v>-8538</v>
      </c>
      <c r="K79" t="s">
        <v>448</v>
      </c>
      <c r="N79" t="s">
        <v>449</v>
      </c>
      <c r="O79" t="s">
        <v>301</v>
      </c>
      <c r="P79">
        <v>545.46</v>
      </c>
      <c r="Q79" s="1">
        <v>2654.82</v>
      </c>
      <c r="R79">
        <v>300.52</v>
      </c>
      <c r="S79" s="1">
        <v>12471.59</v>
      </c>
      <c r="T79" s="1">
        <v>1336.32</v>
      </c>
      <c r="U79" s="1">
        <v>5433.1</v>
      </c>
      <c r="X79">
        <v>0</v>
      </c>
      <c r="Y79" s="1">
        <v>7038.49</v>
      </c>
      <c r="Z79" t="s">
        <v>43</v>
      </c>
      <c r="AA79">
        <v>2023</v>
      </c>
      <c r="AB79" t="s">
        <v>27</v>
      </c>
      <c r="AC79" t="s">
        <v>53</v>
      </c>
      <c r="AD79" t="s">
        <v>54</v>
      </c>
    </row>
    <row r="80" spans="1:30" x14ac:dyDescent="0.25">
      <c r="A80">
        <v>79</v>
      </c>
      <c r="B80" t="s">
        <v>30</v>
      </c>
      <c r="C80" t="s">
        <v>450</v>
      </c>
      <c r="D80" t="s">
        <v>56</v>
      </c>
      <c r="E80" t="s">
        <v>56</v>
      </c>
      <c r="F80" t="s">
        <v>57</v>
      </c>
      <c r="G80" t="s">
        <v>57</v>
      </c>
      <c r="I80" t="s">
        <v>451</v>
      </c>
      <c r="J80">
        <f>57-60-1-610-4240</f>
        <v>-4854</v>
      </c>
      <c r="K80" t="s">
        <v>452</v>
      </c>
      <c r="N80" t="s">
        <v>453</v>
      </c>
      <c r="O80" t="s">
        <v>454</v>
      </c>
      <c r="P80">
        <v>165.14</v>
      </c>
      <c r="Q80" s="1">
        <v>2615.67</v>
      </c>
      <c r="R80">
        <v>0</v>
      </c>
      <c r="S80" s="1">
        <v>1813.15</v>
      </c>
      <c r="T80">
        <v>0</v>
      </c>
      <c r="U80">
        <v>418.8</v>
      </c>
      <c r="Y80" s="1">
        <v>1394.35</v>
      </c>
      <c r="Z80" t="s">
        <v>43</v>
      </c>
      <c r="AA80">
        <v>2023</v>
      </c>
      <c r="AB80" t="s">
        <v>100</v>
      </c>
      <c r="AC80" t="s">
        <v>53</v>
      </c>
      <c r="AD80" t="s">
        <v>101</v>
      </c>
    </row>
    <row r="81" spans="1:30" x14ac:dyDescent="0.25">
      <c r="A81">
        <v>80</v>
      </c>
      <c r="B81" t="s">
        <v>30</v>
      </c>
      <c r="C81" t="s">
        <v>455</v>
      </c>
      <c r="D81" t="s">
        <v>72</v>
      </c>
      <c r="E81" t="s">
        <v>72</v>
      </c>
      <c r="F81" t="s">
        <v>73</v>
      </c>
      <c r="G81" t="s">
        <v>73</v>
      </c>
      <c r="I81" t="s">
        <v>456</v>
      </c>
      <c r="J81">
        <f>57-304-658-1909</f>
        <v>-2814</v>
      </c>
      <c r="K81" t="s">
        <v>457</v>
      </c>
      <c r="N81" t="s">
        <v>458</v>
      </c>
      <c r="O81" t="s">
        <v>459</v>
      </c>
      <c r="P81">
        <v>216.18</v>
      </c>
      <c r="Q81" s="1">
        <v>2588.94</v>
      </c>
      <c r="R81">
        <v>216.18</v>
      </c>
      <c r="S81">
        <v>628.30999999999995</v>
      </c>
      <c r="T81">
        <v>0</v>
      </c>
      <c r="U81">
        <v>450.89</v>
      </c>
      <c r="Y81">
        <v>177.41</v>
      </c>
      <c r="Z81" t="s">
        <v>43</v>
      </c>
      <c r="AA81">
        <v>2023</v>
      </c>
      <c r="AB81" t="s">
        <v>100</v>
      </c>
      <c r="AC81" t="s">
        <v>53</v>
      </c>
      <c r="AD81" t="s">
        <v>101</v>
      </c>
    </row>
    <row r="82" spans="1:30" x14ac:dyDescent="0.25">
      <c r="A82">
        <v>81</v>
      </c>
      <c r="B82" t="s">
        <v>30</v>
      </c>
      <c r="C82" t="s">
        <v>460</v>
      </c>
      <c r="D82" t="s">
        <v>72</v>
      </c>
      <c r="E82" t="s">
        <v>72</v>
      </c>
      <c r="F82" t="s">
        <v>73</v>
      </c>
      <c r="G82" t="s">
        <v>73</v>
      </c>
      <c r="I82" t="s">
        <v>461</v>
      </c>
      <c r="J82">
        <f>57-321-273-7027</f>
        <v>-7564</v>
      </c>
      <c r="K82" t="s">
        <v>462</v>
      </c>
      <c r="N82" t="s">
        <v>463</v>
      </c>
      <c r="O82" t="s">
        <v>358</v>
      </c>
      <c r="P82">
        <v>181.34</v>
      </c>
      <c r="Q82" s="1">
        <v>2542.86</v>
      </c>
      <c r="R82">
        <v>131.69</v>
      </c>
      <c r="S82">
        <v>400.17</v>
      </c>
      <c r="T82">
        <v>0</v>
      </c>
      <c r="U82">
        <v>313.61</v>
      </c>
      <c r="Y82">
        <v>86.56</v>
      </c>
      <c r="Z82" t="s">
        <v>43</v>
      </c>
      <c r="AA82">
        <v>2023</v>
      </c>
      <c r="AB82" t="s">
        <v>100</v>
      </c>
      <c r="AC82" t="s">
        <v>53</v>
      </c>
      <c r="AD82" t="s">
        <v>101</v>
      </c>
    </row>
    <row r="83" spans="1:30" x14ac:dyDescent="0.25">
      <c r="A83">
        <v>82</v>
      </c>
      <c r="B83" t="s">
        <v>30</v>
      </c>
      <c r="C83" t="s">
        <v>464</v>
      </c>
      <c r="D83" t="s">
        <v>72</v>
      </c>
      <c r="E83" t="s">
        <v>72</v>
      </c>
      <c r="F83" t="s">
        <v>73</v>
      </c>
      <c r="G83" t="s">
        <v>73</v>
      </c>
      <c r="I83" t="s">
        <v>465</v>
      </c>
      <c r="J83">
        <f>57-60-1-702-9465</f>
        <v>-10171</v>
      </c>
      <c r="K83" t="s">
        <v>466</v>
      </c>
      <c r="N83" t="s">
        <v>467</v>
      </c>
      <c r="O83" t="s">
        <v>468</v>
      </c>
      <c r="P83">
        <v>146.27000000000001</v>
      </c>
      <c r="Q83" s="1">
        <v>2526.66</v>
      </c>
      <c r="R83">
        <v>95.07</v>
      </c>
      <c r="S83">
        <v>880.16</v>
      </c>
      <c r="T83">
        <v>0</v>
      </c>
      <c r="U83">
        <v>696</v>
      </c>
      <c r="Y83">
        <v>184.16</v>
      </c>
      <c r="Z83" t="s">
        <v>43</v>
      </c>
      <c r="AA83">
        <v>2023</v>
      </c>
      <c r="AB83" t="s">
        <v>100</v>
      </c>
      <c r="AC83" t="s">
        <v>53</v>
      </c>
      <c r="AD83" t="s">
        <v>101</v>
      </c>
    </row>
    <row r="84" spans="1:30" x14ac:dyDescent="0.25">
      <c r="A84">
        <v>83</v>
      </c>
      <c r="B84" t="s">
        <v>30</v>
      </c>
      <c r="C84" t="s">
        <v>469</v>
      </c>
      <c r="D84" t="s">
        <v>470</v>
      </c>
      <c r="E84" t="s">
        <v>471</v>
      </c>
      <c r="F84" t="s">
        <v>472</v>
      </c>
      <c r="G84" t="s">
        <v>47</v>
      </c>
      <c r="H84" t="s">
        <v>473</v>
      </c>
      <c r="I84" t="s">
        <v>474</v>
      </c>
      <c r="J84">
        <f>57-60-1-744-2311</f>
        <v>-3059</v>
      </c>
      <c r="K84" t="s">
        <v>475</v>
      </c>
      <c r="N84" t="s">
        <v>476</v>
      </c>
      <c r="O84" t="s">
        <v>477</v>
      </c>
      <c r="P84">
        <v>259.87</v>
      </c>
      <c r="Q84" s="1">
        <v>2511.41</v>
      </c>
      <c r="R84">
        <v>202.43</v>
      </c>
      <c r="S84" s="1">
        <v>1720.74</v>
      </c>
      <c r="T84">
        <v>0</v>
      </c>
      <c r="U84">
        <v>799.86</v>
      </c>
      <c r="Y84">
        <v>920.88</v>
      </c>
      <c r="Z84" t="s">
        <v>43</v>
      </c>
      <c r="AA84">
        <v>2019</v>
      </c>
      <c r="AB84" t="s">
        <v>100</v>
      </c>
      <c r="AC84" t="s">
        <v>53</v>
      </c>
      <c r="AD84" t="s">
        <v>101</v>
      </c>
    </row>
    <row r="85" spans="1:30" x14ac:dyDescent="0.25">
      <c r="A85">
        <v>84</v>
      </c>
      <c r="B85" t="s">
        <v>30</v>
      </c>
      <c r="C85" t="s">
        <v>478</v>
      </c>
      <c r="D85" t="s">
        <v>56</v>
      </c>
      <c r="E85" t="s">
        <v>56</v>
      </c>
      <c r="F85" t="s">
        <v>57</v>
      </c>
      <c r="G85" t="s">
        <v>57</v>
      </c>
      <c r="H85" t="s">
        <v>479</v>
      </c>
      <c r="I85" t="s">
        <v>480</v>
      </c>
      <c r="J85">
        <f>57-60-1-691-4125</f>
        <v>-4820</v>
      </c>
      <c r="K85" t="s">
        <v>481</v>
      </c>
      <c r="N85" t="s">
        <v>482</v>
      </c>
      <c r="O85" t="s">
        <v>483</v>
      </c>
      <c r="P85" s="1">
        <v>1105.02</v>
      </c>
      <c r="Q85" s="1">
        <v>2501.79</v>
      </c>
      <c r="R85">
        <v>759.53</v>
      </c>
      <c r="S85" s="1">
        <v>1215.81</v>
      </c>
      <c r="T85">
        <v>0</v>
      </c>
      <c r="U85">
        <v>764.34</v>
      </c>
      <c r="Y85">
        <v>451.47</v>
      </c>
      <c r="Z85" t="s">
        <v>43</v>
      </c>
      <c r="AA85">
        <v>2021</v>
      </c>
      <c r="AB85" t="s">
        <v>100</v>
      </c>
      <c r="AC85" t="s">
        <v>53</v>
      </c>
      <c r="AD85" t="s">
        <v>101</v>
      </c>
    </row>
    <row r="86" spans="1:30" x14ac:dyDescent="0.25">
      <c r="A86">
        <v>85</v>
      </c>
      <c r="B86" t="s">
        <v>30</v>
      </c>
      <c r="C86" t="s">
        <v>484</v>
      </c>
      <c r="D86" t="s">
        <v>56</v>
      </c>
      <c r="E86" t="s">
        <v>56</v>
      </c>
      <c r="F86" t="s">
        <v>57</v>
      </c>
      <c r="G86" t="s">
        <v>57</v>
      </c>
      <c r="I86" t="s">
        <v>485</v>
      </c>
      <c r="J86">
        <f>57-316-278-4833</f>
        <v>-5370</v>
      </c>
      <c r="K86" t="s">
        <v>486</v>
      </c>
      <c r="N86" t="s">
        <v>487</v>
      </c>
      <c r="P86">
        <v>69.22</v>
      </c>
      <c r="Q86" s="1">
        <v>2496.04</v>
      </c>
      <c r="R86">
        <v>-59.93</v>
      </c>
      <c r="S86" s="1">
        <v>1026.48</v>
      </c>
      <c r="T86">
        <v>0</v>
      </c>
      <c r="U86">
        <v>47.6</v>
      </c>
      <c r="Y86">
        <v>978.88</v>
      </c>
      <c r="Z86" t="s">
        <v>43</v>
      </c>
      <c r="AA86">
        <v>2023</v>
      </c>
      <c r="AB86" t="s">
        <v>100</v>
      </c>
      <c r="AC86" t="s">
        <v>53</v>
      </c>
      <c r="AD86" t="s">
        <v>101</v>
      </c>
    </row>
    <row r="87" spans="1:30" x14ac:dyDescent="0.25">
      <c r="A87">
        <v>86</v>
      </c>
      <c r="B87" t="s">
        <v>30</v>
      </c>
      <c r="C87" t="s">
        <v>488</v>
      </c>
      <c r="D87" t="s">
        <v>64</v>
      </c>
      <c r="E87" t="s">
        <v>64</v>
      </c>
      <c r="F87" t="s">
        <v>65</v>
      </c>
      <c r="G87" t="s">
        <v>65</v>
      </c>
      <c r="I87" t="s">
        <v>489</v>
      </c>
      <c r="J87">
        <f>57-60-1-751-3668</f>
        <v>-4423</v>
      </c>
      <c r="K87" t="s">
        <v>490</v>
      </c>
      <c r="N87" t="s">
        <v>491</v>
      </c>
      <c r="O87" t="s">
        <v>492</v>
      </c>
      <c r="P87">
        <v>202.75</v>
      </c>
      <c r="Q87" s="1">
        <v>2451.92</v>
      </c>
      <c r="R87">
        <v>161.49</v>
      </c>
      <c r="S87">
        <v>804.17</v>
      </c>
      <c r="T87">
        <v>0</v>
      </c>
      <c r="U87">
        <v>323.35000000000002</v>
      </c>
      <c r="Y87">
        <v>480.82</v>
      </c>
      <c r="Z87" t="s">
        <v>43</v>
      </c>
      <c r="AA87">
        <v>2023</v>
      </c>
      <c r="AB87" t="s">
        <v>100</v>
      </c>
      <c r="AC87" t="s">
        <v>53</v>
      </c>
      <c r="AD87" t="s">
        <v>101</v>
      </c>
    </row>
    <row r="88" spans="1:30" x14ac:dyDescent="0.25">
      <c r="A88">
        <v>87</v>
      </c>
      <c r="B88" t="s">
        <v>30</v>
      </c>
      <c r="C88" t="s">
        <v>493</v>
      </c>
      <c r="D88" t="s">
        <v>64</v>
      </c>
      <c r="E88" t="s">
        <v>64</v>
      </c>
      <c r="F88" t="s">
        <v>65</v>
      </c>
      <c r="G88" t="s">
        <v>65</v>
      </c>
      <c r="I88" t="s">
        <v>494</v>
      </c>
      <c r="J88">
        <f>57-314-422-4438</f>
        <v>-5117</v>
      </c>
      <c r="K88" t="s">
        <v>495</v>
      </c>
      <c r="O88" t="s">
        <v>496</v>
      </c>
      <c r="P88">
        <v>0</v>
      </c>
      <c r="Q88" s="1">
        <v>2382.96</v>
      </c>
      <c r="R88">
        <v>0</v>
      </c>
      <c r="S88" s="1">
        <v>1096.96</v>
      </c>
      <c r="T88">
        <v>0</v>
      </c>
      <c r="U88">
        <v>786.42</v>
      </c>
      <c r="Y88">
        <v>310.54000000000002</v>
      </c>
      <c r="Z88" t="s">
        <v>43</v>
      </c>
      <c r="AA88">
        <v>2018</v>
      </c>
      <c r="AB88" t="s">
        <v>100</v>
      </c>
      <c r="AC88" t="s">
        <v>53</v>
      </c>
      <c r="AD88" t="s">
        <v>101</v>
      </c>
    </row>
    <row r="89" spans="1:30" x14ac:dyDescent="0.25">
      <c r="A89">
        <v>88</v>
      </c>
      <c r="B89" t="s">
        <v>30</v>
      </c>
      <c r="C89" t="s">
        <v>497</v>
      </c>
      <c r="D89" t="s">
        <v>56</v>
      </c>
      <c r="E89" t="s">
        <v>56</v>
      </c>
      <c r="F89" t="s">
        <v>57</v>
      </c>
      <c r="G89" t="s">
        <v>57</v>
      </c>
      <c r="I89" t="s">
        <v>498</v>
      </c>
      <c r="J89">
        <f>57-320-333-2640</f>
        <v>-3236</v>
      </c>
      <c r="K89" t="s">
        <v>499</v>
      </c>
      <c r="N89" t="s">
        <v>500</v>
      </c>
      <c r="O89" t="s">
        <v>468</v>
      </c>
      <c r="P89">
        <v>390.88</v>
      </c>
      <c r="Q89" s="1">
        <v>2369.58</v>
      </c>
      <c r="R89">
        <v>158.94999999999999</v>
      </c>
      <c r="S89" s="1">
        <v>2613.85</v>
      </c>
      <c r="T89">
        <v>0</v>
      </c>
      <c r="U89" s="1">
        <v>1589.12</v>
      </c>
      <c r="Y89" s="1">
        <v>1024.72</v>
      </c>
      <c r="Z89" t="s">
        <v>43</v>
      </c>
      <c r="AA89">
        <v>2023</v>
      </c>
      <c r="AB89" t="s">
        <v>100</v>
      </c>
      <c r="AC89" t="s">
        <v>53</v>
      </c>
      <c r="AD89" t="s">
        <v>101</v>
      </c>
    </row>
    <row r="90" spans="1:30" x14ac:dyDescent="0.25">
      <c r="A90">
        <v>89</v>
      </c>
      <c r="B90" t="s">
        <v>30</v>
      </c>
      <c r="C90" t="s">
        <v>501</v>
      </c>
      <c r="D90" t="s">
        <v>72</v>
      </c>
      <c r="E90" t="s">
        <v>72</v>
      </c>
      <c r="F90" t="s">
        <v>73</v>
      </c>
      <c r="G90" t="s">
        <v>73</v>
      </c>
      <c r="I90" t="s">
        <v>502</v>
      </c>
      <c r="J90">
        <f>57-310-800-584</f>
        <v>-1637</v>
      </c>
      <c r="K90" t="s">
        <v>503</v>
      </c>
      <c r="N90" t="s">
        <v>504</v>
      </c>
      <c r="O90" t="s">
        <v>505</v>
      </c>
      <c r="P90">
        <v>-0.17</v>
      </c>
      <c r="Q90" s="1">
        <v>2284.75</v>
      </c>
      <c r="R90">
        <v>-12.48</v>
      </c>
      <c r="S90">
        <v>916.44</v>
      </c>
      <c r="T90">
        <v>0</v>
      </c>
      <c r="U90">
        <v>84.52</v>
      </c>
      <c r="Y90">
        <v>831.92</v>
      </c>
      <c r="Z90" t="s">
        <v>43</v>
      </c>
      <c r="AA90">
        <v>2021</v>
      </c>
      <c r="AB90" t="s">
        <v>100</v>
      </c>
      <c r="AC90" t="s">
        <v>53</v>
      </c>
      <c r="AD90" t="s">
        <v>101</v>
      </c>
    </row>
    <row r="91" spans="1:30" x14ac:dyDescent="0.25">
      <c r="A91">
        <v>90</v>
      </c>
      <c r="B91" t="s">
        <v>30</v>
      </c>
      <c r="C91" t="s">
        <v>506</v>
      </c>
      <c r="D91" t="s">
        <v>56</v>
      </c>
      <c r="E91" t="s">
        <v>56</v>
      </c>
      <c r="F91" t="s">
        <v>57</v>
      </c>
      <c r="G91" t="s">
        <v>57</v>
      </c>
      <c r="I91" t="s">
        <v>507</v>
      </c>
      <c r="J91">
        <f>57-60-1-320-637</f>
        <v>-961</v>
      </c>
      <c r="K91" t="s">
        <v>508</v>
      </c>
      <c r="N91" t="s">
        <v>279</v>
      </c>
      <c r="O91" t="s">
        <v>509</v>
      </c>
      <c r="P91">
        <v>74.45</v>
      </c>
      <c r="Q91" s="1">
        <v>2281.5500000000002</v>
      </c>
      <c r="R91">
        <v>18.489999999999998</v>
      </c>
      <c r="S91">
        <v>812.72</v>
      </c>
      <c r="T91">
        <v>0</v>
      </c>
      <c r="U91">
        <v>-153.53</v>
      </c>
      <c r="Y91">
        <v>966.25</v>
      </c>
      <c r="Z91" t="s">
        <v>43</v>
      </c>
      <c r="AA91">
        <v>2019</v>
      </c>
      <c r="AB91" t="s">
        <v>100</v>
      </c>
      <c r="AC91" t="s">
        <v>53</v>
      </c>
      <c r="AD91" t="s">
        <v>101</v>
      </c>
    </row>
    <row r="92" spans="1:30" x14ac:dyDescent="0.25">
      <c r="A92">
        <v>91</v>
      </c>
      <c r="B92" t="s">
        <v>30</v>
      </c>
      <c r="C92" t="s">
        <v>510</v>
      </c>
      <c r="D92" t="s">
        <v>56</v>
      </c>
      <c r="E92" t="s">
        <v>56</v>
      </c>
      <c r="F92" t="s">
        <v>57</v>
      </c>
      <c r="G92" t="s">
        <v>57</v>
      </c>
      <c r="I92" t="s">
        <v>511</v>
      </c>
      <c r="J92">
        <f>57-316-823-6237</f>
        <v>-7319</v>
      </c>
      <c r="K92" t="s">
        <v>309</v>
      </c>
      <c r="N92" t="s">
        <v>310</v>
      </c>
      <c r="O92" t="s">
        <v>468</v>
      </c>
      <c r="P92">
        <v>23.3</v>
      </c>
      <c r="Q92" s="1">
        <v>2276.37</v>
      </c>
      <c r="R92">
        <v>115.57</v>
      </c>
      <c r="S92" s="1">
        <v>1297.1099999999999</v>
      </c>
      <c r="T92">
        <v>0</v>
      </c>
      <c r="U92">
        <v>724.04</v>
      </c>
      <c r="Y92">
        <v>573.07000000000005</v>
      </c>
      <c r="Z92" t="s">
        <v>43</v>
      </c>
      <c r="AA92">
        <v>2023</v>
      </c>
      <c r="AB92" t="s">
        <v>100</v>
      </c>
      <c r="AC92" t="s">
        <v>53</v>
      </c>
      <c r="AD92" t="s">
        <v>101</v>
      </c>
    </row>
    <row r="93" spans="1:30" x14ac:dyDescent="0.25">
      <c r="A93">
        <v>92</v>
      </c>
      <c r="B93" t="s">
        <v>30</v>
      </c>
      <c r="C93" t="s">
        <v>512</v>
      </c>
      <c r="D93" t="s">
        <v>64</v>
      </c>
      <c r="E93" t="s">
        <v>64</v>
      </c>
      <c r="F93" t="s">
        <v>65</v>
      </c>
      <c r="G93" t="s">
        <v>65</v>
      </c>
      <c r="I93" t="s">
        <v>513</v>
      </c>
      <c r="J93">
        <f>57-310-254-9512</f>
        <v>-10019</v>
      </c>
      <c r="K93" t="s">
        <v>514</v>
      </c>
      <c r="N93" t="s">
        <v>515</v>
      </c>
      <c r="O93" t="s">
        <v>516</v>
      </c>
      <c r="P93">
        <v>52.92</v>
      </c>
      <c r="Q93" s="1">
        <v>2253.0100000000002</v>
      </c>
      <c r="R93">
        <v>52.92</v>
      </c>
      <c r="S93">
        <v>864.5</v>
      </c>
      <c r="T93">
        <v>0</v>
      </c>
      <c r="U93">
        <v>-308.08999999999997</v>
      </c>
      <c r="Y93" s="1">
        <v>1172.5899999999999</v>
      </c>
      <c r="Z93" t="s">
        <v>43</v>
      </c>
      <c r="AA93">
        <v>2022</v>
      </c>
      <c r="AB93" t="s">
        <v>100</v>
      </c>
      <c r="AC93" t="s">
        <v>53</v>
      </c>
      <c r="AD93" t="s">
        <v>101</v>
      </c>
    </row>
    <row r="94" spans="1:30" x14ac:dyDescent="0.25">
      <c r="A94">
        <v>93</v>
      </c>
      <c r="B94" t="s">
        <v>30</v>
      </c>
      <c r="C94" t="s">
        <v>517</v>
      </c>
      <c r="D94" t="s">
        <v>56</v>
      </c>
      <c r="E94" t="s">
        <v>56</v>
      </c>
      <c r="F94" t="s">
        <v>57</v>
      </c>
      <c r="G94" t="s">
        <v>57</v>
      </c>
      <c r="I94" t="s">
        <v>518</v>
      </c>
      <c r="J94">
        <f>57-311-360-1695</f>
        <v>-2309</v>
      </c>
      <c r="K94" t="s">
        <v>519</v>
      </c>
      <c r="O94" t="s">
        <v>520</v>
      </c>
      <c r="P94">
        <v>0</v>
      </c>
      <c r="Q94" s="1">
        <v>2242.86</v>
      </c>
      <c r="R94">
        <v>35.79</v>
      </c>
      <c r="S94">
        <v>415.61</v>
      </c>
      <c r="T94">
        <v>0</v>
      </c>
      <c r="U94">
        <v>175.9</v>
      </c>
      <c r="Y94">
        <v>239.7</v>
      </c>
      <c r="Z94" t="s">
        <v>43</v>
      </c>
      <c r="AA94">
        <v>2018</v>
      </c>
      <c r="AB94" t="s">
        <v>100</v>
      </c>
      <c r="AC94" t="s">
        <v>53</v>
      </c>
      <c r="AD94" t="s">
        <v>101</v>
      </c>
    </row>
    <row r="95" spans="1:30" x14ac:dyDescent="0.25">
      <c r="A95">
        <v>94</v>
      </c>
      <c r="B95" t="s">
        <v>30</v>
      </c>
      <c r="C95" t="s">
        <v>521</v>
      </c>
      <c r="D95" t="s">
        <v>72</v>
      </c>
      <c r="E95" t="s">
        <v>72</v>
      </c>
      <c r="F95" t="s">
        <v>73</v>
      </c>
      <c r="G95" t="s">
        <v>73</v>
      </c>
      <c r="I95" t="s">
        <v>522</v>
      </c>
      <c r="J95">
        <f>57-60-1-221-7361</f>
        <v>-7586</v>
      </c>
      <c r="K95" t="s">
        <v>523</v>
      </c>
      <c r="N95" t="s">
        <v>524</v>
      </c>
      <c r="O95" t="s">
        <v>525</v>
      </c>
      <c r="P95">
        <v>-90.92</v>
      </c>
      <c r="Q95" s="1">
        <v>2240.1999999999998</v>
      </c>
      <c r="R95">
        <v>-129.03</v>
      </c>
      <c r="S95">
        <v>699.59</v>
      </c>
      <c r="T95">
        <v>0</v>
      </c>
      <c r="U95">
        <v>73.680000000000007</v>
      </c>
      <c r="Y95">
        <v>625.91</v>
      </c>
      <c r="Z95" t="s">
        <v>43</v>
      </c>
      <c r="AA95">
        <v>2022</v>
      </c>
      <c r="AB95" t="s">
        <v>100</v>
      </c>
      <c r="AC95" t="s">
        <v>53</v>
      </c>
      <c r="AD95" t="s">
        <v>101</v>
      </c>
    </row>
    <row r="96" spans="1:30" x14ac:dyDescent="0.25">
      <c r="A96">
        <v>95</v>
      </c>
      <c r="B96" t="s">
        <v>30</v>
      </c>
      <c r="C96" t="s">
        <v>526</v>
      </c>
      <c r="D96" t="s">
        <v>72</v>
      </c>
      <c r="E96" t="s">
        <v>72</v>
      </c>
      <c r="F96" t="s">
        <v>73</v>
      </c>
      <c r="G96" t="s">
        <v>73</v>
      </c>
      <c r="I96" t="s">
        <v>527</v>
      </c>
      <c r="J96">
        <f>57-60-1-271-1370</f>
        <v>-1645</v>
      </c>
      <c r="K96" t="s">
        <v>366</v>
      </c>
      <c r="N96" t="s">
        <v>422</v>
      </c>
      <c r="O96" t="s">
        <v>459</v>
      </c>
      <c r="P96">
        <v>174.66</v>
      </c>
      <c r="Q96" s="1">
        <v>2235.1999999999998</v>
      </c>
      <c r="R96">
        <v>113.53</v>
      </c>
      <c r="S96">
        <v>983.89</v>
      </c>
      <c r="T96">
        <v>0</v>
      </c>
      <c r="U96">
        <v>0</v>
      </c>
      <c r="Y96">
        <v>983.89</v>
      </c>
      <c r="Z96" t="s">
        <v>43</v>
      </c>
      <c r="AA96">
        <v>2023</v>
      </c>
      <c r="AB96" t="s">
        <v>100</v>
      </c>
      <c r="AC96" t="s">
        <v>53</v>
      </c>
      <c r="AD96" t="s">
        <v>101</v>
      </c>
    </row>
    <row r="97" spans="1:30" x14ac:dyDescent="0.25">
      <c r="A97">
        <v>96</v>
      </c>
      <c r="B97" t="s">
        <v>30</v>
      </c>
      <c r="C97" t="s">
        <v>528</v>
      </c>
      <c r="D97" t="s">
        <v>56</v>
      </c>
      <c r="E97" t="s">
        <v>56</v>
      </c>
      <c r="F97" t="s">
        <v>57</v>
      </c>
      <c r="G97" t="s">
        <v>57</v>
      </c>
      <c r="I97" t="s">
        <v>529</v>
      </c>
      <c r="J97">
        <f>57-310-313-2666</f>
        <v>-3232</v>
      </c>
      <c r="K97" t="s">
        <v>530</v>
      </c>
      <c r="N97" t="s">
        <v>531</v>
      </c>
      <c r="O97" t="s">
        <v>459</v>
      </c>
      <c r="P97">
        <v>135.01</v>
      </c>
      <c r="Q97" s="1">
        <v>2182.9699999999998</v>
      </c>
      <c r="R97">
        <v>15.34</v>
      </c>
      <c r="S97">
        <v>414.54</v>
      </c>
      <c r="T97">
        <v>0</v>
      </c>
      <c r="U97">
        <v>86.21</v>
      </c>
      <c r="Y97">
        <v>328.33</v>
      </c>
      <c r="Z97" t="s">
        <v>43</v>
      </c>
      <c r="AA97">
        <v>2023</v>
      </c>
      <c r="AB97" t="s">
        <v>100</v>
      </c>
      <c r="AC97" t="s">
        <v>53</v>
      </c>
      <c r="AD97" t="s">
        <v>101</v>
      </c>
    </row>
    <row r="98" spans="1:30" x14ac:dyDescent="0.25">
      <c r="A98">
        <v>97</v>
      </c>
      <c r="B98" t="s">
        <v>30</v>
      </c>
      <c r="C98" t="s">
        <v>532</v>
      </c>
      <c r="D98" t="s">
        <v>72</v>
      </c>
      <c r="E98" t="s">
        <v>72</v>
      </c>
      <c r="F98" t="s">
        <v>73</v>
      </c>
      <c r="G98" t="s">
        <v>73</v>
      </c>
      <c r="I98" t="s">
        <v>533</v>
      </c>
      <c r="J98">
        <f>57-318-272-5605</f>
        <v>-6138</v>
      </c>
      <c r="K98" t="s">
        <v>534</v>
      </c>
      <c r="N98" t="s">
        <v>535</v>
      </c>
      <c r="O98" t="s">
        <v>222</v>
      </c>
      <c r="P98">
        <v>71.98</v>
      </c>
      <c r="Q98" s="1">
        <v>2167.4699999999998</v>
      </c>
      <c r="R98">
        <v>71.98</v>
      </c>
      <c r="S98" s="1">
        <v>1455.47</v>
      </c>
      <c r="T98">
        <v>0</v>
      </c>
      <c r="U98">
        <v>742.66</v>
      </c>
      <c r="Y98">
        <v>712.81</v>
      </c>
      <c r="Z98" t="s">
        <v>43</v>
      </c>
      <c r="AA98">
        <v>2023</v>
      </c>
      <c r="AB98" t="s">
        <v>100</v>
      </c>
      <c r="AC98" t="s">
        <v>53</v>
      </c>
      <c r="AD98" t="s">
        <v>101</v>
      </c>
    </row>
    <row r="99" spans="1:30" x14ac:dyDescent="0.25">
      <c r="A99">
        <v>98</v>
      </c>
      <c r="B99" t="s">
        <v>30</v>
      </c>
      <c r="C99" t="s">
        <v>536</v>
      </c>
      <c r="D99" t="s">
        <v>56</v>
      </c>
      <c r="E99" t="s">
        <v>56</v>
      </c>
      <c r="F99" t="s">
        <v>57</v>
      </c>
      <c r="G99" t="s">
        <v>57</v>
      </c>
      <c r="I99" t="s">
        <v>537</v>
      </c>
      <c r="J99">
        <f>57-311-203-2879</f>
        <v>-3336</v>
      </c>
      <c r="K99" t="s">
        <v>538</v>
      </c>
      <c r="N99" t="s">
        <v>539</v>
      </c>
      <c r="O99" t="s">
        <v>239</v>
      </c>
      <c r="P99">
        <v>452.21</v>
      </c>
      <c r="Q99" s="1">
        <v>2148.1</v>
      </c>
      <c r="R99">
        <v>452.21</v>
      </c>
      <c r="S99">
        <v>2.16</v>
      </c>
      <c r="T99">
        <v>0</v>
      </c>
      <c r="U99">
        <v>2.16</v>
      </c>
      <c r="Y99">
        <v>0</v>
      </c>
      <c r="Z99" t="s">
        <v>43</v>
      </c>
      <c r="AA99">
        <v>2023</v>
      </c>
      <c r="AB99" t="s">
        <v>100</v>
      </c>
      <c r="AC99" t="s">
        <v>53</v>
      </c>
      <c r="AD99" t="s">
        <v>101</v>
      </c>
    </row>
    <row r="100" spans="1:30" x14ac:dyDescent="0.25">
      <c r="A100">
        <v>99</v>
      </c>
      <c r="B100" t="s">
        <v>30</v>
      </c>
      <c r="C100" t="s">
        <v>540</v>
      </c>
      <c r="D100" t="s">
        <v>72</v>
      </c>
      <c r="E100" t="s">
        <v>72</v>
      </c>
      <c r="F100" t="s">
        <v>73</v>
      </c>
      <c r="G100" t="s">
        <v>73</v>
      </c>
      <c r="H100" t="s">
        <v>541</v>
      </c>
      <c r="I100" t="s">
        <v>542</v>
      </c>
      <c r="J100">
        <f>57-60-1-533-1166</f>
        <v>-1703</v>
      </c>
      <c r="K100" t="s">
        <v>543</v>
      </c>
      <c r="N100" t="s">
        <v>544</v>
      </c>
      <c r="O100" t="s">
        <v>459</v>
      </c>
      <c r="P100">
        <v>16.02</v>
      </c>
      <c r="Q100" s="1">
        <v>2099.36</v>
      </c>
      <c r="R100">
        <v>5.32</v>
      </c>
      <c r="S100" s="1">
        <v>1964.47</v>
      </c>
      <c r="T100" s="1">
        <v>1048.9100000000001</v>
      </c>
      <c r="U100" s="1">
        <v>1492.34</v>
      </c>
      <c r="X100">
        <v>0</v>
      </c>
      <c r="Y100">
        <v>472.13</v>
      </c>
      <c r="Z100" t="s">
        <v>43</v>
      </c>
      <c r="AA100">
        <v>2023</v>
      </c>
      <c r="AB100" t="s">
        <v>27</v>
      </c>
      <c r="AC100" t="s">
        <v>53</v>
      </c>
      <c r="AD100" t="s">
        <v>54</v>
      </c>
    </row>
    <row r="101" spans="1:30" x14ac:dyDescent="0.25">
      <c r="A101">
        <v>100</v>
      </c>
      <c r="B101" t="s">
        <v>30</v>
      </c>
      <c r="C101" t="s">
        <v>545</v>
      </c>
      <c r="D101" t="s">
        <v>72</v>
      </c>
      <c r="E101" t="s">
        <v>72</v>
      </c>
      <c r="F101" t="s">
        <v>73</v>
      </c>
      <c r="G101" t="s">
        <v>73</v>
      </c>
      <c r="H101" t="s">
        <v>546</v>
      </c>
      <c r="I101" t="s">
        <v>547</v>
      </c>
      <c r="J101">
        <f>57-60-1-630-1610</f>
        <v>-2244</v>
      </c>
      <c r="K101" t="s">
        <v>548</v>
      </c>
      <c r="N101" t="s">
        <v>549</v>
      </c>
      <c r="O101" t="s">
        <v>550</v>
      </c>
      <c r="P101" s="1">
        <v>-1290.75</v>
      </c>
      <c r="Q101" s="1">
        <v>2082.58</v>
      </c>
      <c r="R101" s="1">
        <v>-1290.75</v>
      </c>
      <c r="S101" s="1">
        <v>10140.68</v>
      </c>
      <c r="T101" s="1">
        <v>9183.7000000000007</v>
      </c>
      <c r="U101">
        <v>-17.84</v>
      </c>
      <c r="X101">
        <v>0</v>
      </c>
      <c r="Y101" s="1">
        <v>10158.51</v>
      </c>
      <c r="Z101" t="s">
        <v>43</v>
      </c>
      <c r="AA101">
        <v>2020</v>
      </c>
      <c r="AB101" t="s">
        <v>27</v>
      </c>
      <c r="AC101" t="s">
        <v>53</v>
      </c>
      <c r="AD101" t="s">
        <v>54</v>
      </c>
    </row>
    <row r="102" spans="1:30" x14ac:dyDescent="0.25">
      <c r="A102">
        <v>101</v>
      </c>
      <c r="B102" t="s">
        <v>30</v>
      </c>
      <c r="C102" t="s">
        <v>551</v>
      </c>
      <c r="D102" t="s">
        <v>56</v>
      </c>
      <c r="E102" t="s">
        <v>56</v>
      </c>
      <c r="F102" t="s">
        <v>57</v>
      </c>
      <c r="G102" t="s">
        <v>57</v>
      </c>
      <c r="I102" t="s">
        <v>552</v>
      </c>
      <c r="J102">
        <f>57-316-531-6165</f>
        <v>-6955</v>
      </c>
      <c r="K102" t="s">
        <v>553</v>
      </c>
      <c r="N102" t="s">
        <v>554</v>
      </c>
      <c r="O102" t="s">
        <v>239</v>
      </c>
      <c r="P102">
        <v>139.08000000000001</v>
      </c>
      <c r="Q102" s="1">
        <v>2071.86</v>
      </c>
      <c r="R102">
        <v>90.4</v>
      </c>
      <c r="S102">
        <v>937.83</v>
      </c>
      <c r="T102">
        <v>0</v>
      </c>
      <c r="U102">
        <v>465.13</v>
      </c>
      <c r="Y102">
        <v>472.7</v>
      </c>
      <c r="Z102" t="s">
        <v>43</v>
      </c>
      <c r="AA102">
        <v>2023</v>
      </c>
      <c r="AB102" t="s">
        <v>100</v>
      </c>
      <c r="AC102" t="s">
        <v>53</v>
      </c>
      <c r="AD102" t="s">
        <v>101</v>
      </c>
    </row>
    <row r="103" spans="1:30" x14ac:dyDescent="0.25">
      <c r="A103">
        <v>102</v>
      </c>
      <c r="B103" t="s">
        <v>30</v>
      </c>
      <c r="C103" t="s">
        <v>555</v>
      </c>
      <c r="D103" t="s">
        <v>56</v>
      </c>
      <c r="E103" t="s">
        <v>56</v>
      </c>
      <c r="F103" t="s">
        <v>57</v>
      </c>
      <c r="G103" t="s">
        <v>57</v>
      </c>
      <c r="I103" t="s">
        <v>556</v>
      </c>
      <c r="J103">
        <f>57-310-254-2613</f>
        <v>-3120</v>
      </c>
      <c r="K103" t="s">
        <v>557</v>
      </c>
      <c r="N103" t="s">
        <v>558</v>
      </c>
      <c r="O103" t="s">
        <v>239</v>
      </c>
      <c r="P103">
        <v>161.65</v>
      </c>
      <c r="Q103" s="1">
        <v>2055.75</v>
      </c>
      <c r="R103">
        <v>97.48</v>
      </c>
      <c r="S103" s="1">
        <v>1642.8</v>
      </c>
      <c r="T103">
        <v>0</v>
      </c>
      <c r="U103">
        <v>102.48</v>
      </c>
      <c r="Y103" s="1">
        <v>1540.33</v>
      </c>
      <c r="Z103" t="s">
        <v>43</v>
      </c>
      <c r="AA103">
        <v>2023</v>
      </c>
      <c r="AB103" t="s">
        <v>100</v>
      </c>
      <c r="AC103" t="s">
        <v>53</v>
      </c>
      <c r="AD103" t="s">
        <v>101</v>
      </c>
    </row>
    <row r="104" spans="1:30" x14ac:dyDescent="0.25">
      <c r="A104">
        <v>103</v>
      </c>
      <c r="B104" t="s">
        <v>30</v>
      </c>
      <c r="C104" t="s">
        <v>559</v>
      </c>
      <c r="D104" t="s">
        <v>64</v>
      </c>
      <c r="E104" t="s">
        <v>64</v>
      </c>
      <c r="F104" t="s">
        <v>65</v>
      </c>
      <c r="G104" t="s">
        <v>65</v>
      </c>
      <c r="I104" t="s">
        <v>560</v>
      </c>
      <c r="J104">
        <f>57-317-575-1974</f>
        <v>-2809</v>
      </c>
      <c r="K104" t="s">
        <v>561</v>
      </c>
      <c r="N104" t="s">
        <v>562</v>
      </c>
      <c r="O104" t="s">
        <v>401</v>
      </c>
      <c r="P104">
        <v>158.47999999999999</v>
      </c>
      <c r="Q104" s="1">
        <v>2047.14</v>
      </c>
      <c r="R104">
        <v>76.650000000000006</v>
      </c>
      <c r="S104">
        <v>690.16</v>
      </c>
      <c r="T104">
        <v>0</v>
      </c>
      <c r="U104">
        <v>599.45000000000005</v>
      </c>
      <c r="Y104">
        <v>90.72</v>
      </c>
      <c r="Z104" t="s">
        <v>43</v>
      </c>
      <c r="AA104">
        <v>2023</v>
      </c>
      <c r="AB104" t="s">
        <v>100</v>
      </c>
      <c r="AC104" t="s">
        <v>53</v>
      </c>
      <c r="AD104" t="s">
        <v>101</v>
      </c>
    </row>
    <row r="105" spans="1:30" x14ac:dyDescent="0.25">
      <c r="A105">
        <v>104</v>
      </c>
      <c r="B105" t="s">
        <v>30</v>
      </c>
      <c r="C105" t="s">
        <v>563</v>
      </c>
      <c r="D105" t="s">
        <v>64</v>
      </c>
      <c r="E105" t="s">
        <v>64</v>
      </c>
      <c r="F105" t="s">
        <v>65</v>
      </c>
      <c r="G105" t="s">
        <v>65</v>
      </c>
      <c r="I105" t="s">
        <v>564</v>
      </c>
      <c r="J105">
        <f>57-60-1-752-1660</f>
        <v>-2416</v>
      </c>
      <c r="K105" t="s">
        <v>565</v>
      </c>
      <c r="N105" t="s">
        <v>566</v>
      </c>
      <c r="O105" t="s">
        <v>567</v>
      </c>
      <c r="P105">
        <v>47.14</v>
      </c>
      <c r="Q105" s="1">
        <v>2029.55</v>
      </c>
      <c r="R105">
        <v>9.2200000000000006</v>
      </c>
      <c r="S105">
        <v>616.75</v>
      </c>
      <c r="T105">
        <v>0</v>
      </c>
      <c r="U105">
        <v>438.89</v>
      </c>
      <c r="Y105">
        <v>177.86</v>
      </c>
      <c r="Z105" t="s">
        <v>43</v>
      </c>
      <c r="AA105">
        <v>2018</v>
      </c>
      <c r="AB105" t="s">
        <v>100</v>
      </c>
      <c r="AC105" t="s">
        <v>53</v>
      </c>
      <c r="AD105" t="s">
        <v>101</v>
      </c>
    </row>
    <row r="106" spans="1:30" x14ac:dyDescent="0.25">
      <c r="A106">
        <v>105</v>
      </c>
      <c r="B106" t="s">
        <v>30</v>
      </c>
      <c r="C106" t="s">
        <v>568</v>
      </c>
      <c r="D106" t="s">
        <v>72</v>
      </c>
      <c r="E106" t="s">
        <v>72</v>
      </c>
      <c r="F106" t="s">
        <v>73</v>
      </c>
      <c r="G106" t="s">
        <v>73</v>
      </c>
      <c r="H106" t="s">
        <v>569</v>
      </c>
      <c r="I106" t="s">
        <v>570</v>
      </c>
      <c r="J106">
        <f>57-60-1-427-5002</f>
        <v>-5433</v>
      </c>
      <c r="K106" t="s">
        <v>571</v>
      </c>
      <c r="N106" t="s">
        <v>572</v>
      </c>
      <c r="O106" t="s">
        <v>239</v>
      </c>
      <c r="P106">
        <v>146.24</v>
      </c>
      <c r="Q106" s="1">
        <v>1991.29</v>
      </c>
      <c r="R106">
        <v>95.05</v>
      </c>
      <c r="S106">
        <v>922.87</v>
      </c>
      <c r="T106">
        <v>0</v>
      </c>
      <c r="U106">
        <v>611.25</v>
      </c>
      <c r="Y106">
        <v>311.61</v>
      </c>
      <c r="Z106" t="s">
        <v>43</v>
      </c>
      <c r="AA106">
        <v>2023</v>
      </c>
      <c r="AB106" t="s">
        <v>100</v>
      </c>
      <c r="AC106" t="s">
        <v>53</v>
      </c>
      <c r="AD106" t="s">
        <v>101</v>
      </c>
    </row>
    <row r="107" spans="1:30" x14ac:dyDescent="0.25">
      <c r="A107">
        <v>106</v>
      </c>
      <c r="B107" t="s">
        <v>30</v>
      </c>
      <c r="C107" t="s">
        <v>573</v>
      </c>
      <c r="D107" t="s">
        <v>72</v>
      </c>
      <c r="E107" t="s">
        <v>72</v>
      </c>
      <c r="F107" t="s">
        <v>73</v>
      </c>
      <c r="G107" t="s">
        <v>73</v>
      </c>
      <c r="I107" t="s">
        <v>574</v>
      </c>
      <c r="J107">
        <f>57-301-514-2201</f>
        <v>-2959</v>
      </c>
      <c r="K107" t="s">
        <v>575</v>
      </c>
      <c r="N107" t="s">
        <v>576</v>
      </c>
      <c r="O107" t="s">
        <v>401</v>
      </c>
      <c r="P107">
        <v>96.21</v>
      </c>
      <c r="Q107" s="1">
        <v>1979.56</v>
      </c>
      <c r="R107">
        <v>62.53</v>
      </c>
      <c r="S107">
        <v>794.51</v>
      </c>
      <c r="T107">
        <v>0</v>
      </c>
      <c r="U107">
        <v>613.04999999999995</v>
      </c>
      <c r="Y107">
        <v>181.46</v>
      </c>
      <c r="Z107" t="s">
        <v>43</v>
      </c>
      <c r="AA107">
        <v>2023</v>
      </c>
      <c r="AB107" t="s">
        <v>100</v>
      </c>
      <c r="AC107" t="s">
        <v>53</v>
      </c>
      <c r="AD107" t="s">
        <v>101</v>
      </c>
    </row>
    <row r="108" spans="1:30" x14ac:dyDescent="0.25">
      <c r="A108">
        <v>107</v>
      </c>
      <c r="B108" t="s">
        <v>30</v>
      </c>
      <c r="C108" t="s">
        <v>577</v>
      </c>
      <c r="D108" t="s">
        <v>72</v>
      </c>
      <c r="E108" t="s">
        <v>72</v>
      </c>
      <c r="F108" t="s">
        <v>73</v>
      </c>
      <c r="G108" t="s">
        <v>73</v>
      </c>
      <c r="I108" t="s">
        <v>578</v>
      </c>
      <c r="J108">
        <f>57-310-595-5103</f>
        <v>-5951</v>
      </c>
      <c r="K108" t="s">
        <v>579</v>
      </c>
      <c r="N108" t="s">
        <v>580</v>
      </c>
      <c r="O108" t="s">
        <v>581</v>
      </c>
      <c r="P108">
        <v>-17.829999999999998</v>
      </c>
      <c r="Q108" s="1">
        <v>1965.59</v>
      </c>
      <c r="R108">
        <v>-66.98</v>
      </c>
      <c r="S108">
        <v>64.36</v>
      </c>
      <c r="T108">
        <v>0</v>
      </c>
      <c r="U108">
        <v>14.41</v>
      </c>
      <c r="Y108">
        <v>49.95</v>
      </c>
      <c r="Z108" t="s">
        <v>43</v>
      </c>
      <c r="AA108">
        <v>2023</v>
      </c>
      <c r="AB108" t="s">
        <v>100</v>
      </c>
      <c r="AC108" t="s">
        <v>53</v>
      </c>
      <c r="AD108" t="s">
        <v>101</v>
      </c>
    </row>
    <row r="109" spans="1:30" x14ac:dyDescent="0.25">
      <c r="A109">
        <v>108</v>
      </c>
      <c r="B109" t="s">
        <v>30</v>
      </c>
      <c r="C109" t="s">
        <v>582</v>
      </c>
      <c r="D109" t="s">
        <v>56</v>
      </c>
      <c r="E109" t="s">
        <v>56</v>
      </c>
      <c r="F109" t="s">
        <v>57</v>
      </c>
      <c r="G109" t="s">
        <v>57</v>
      </c>
      <c r="I109" t="s">
        <v>583</v>
      </c>
      <c r="J109">
        <f>57-310-256-3632</f>
        <v>-4141</v>
      </c>
      <c r="K109" t="s">
        <v>584</v>
      </c>
      <c r="N109" t="s">
        <v>585</v>
      </c>
      <c r="O109" t="s">
        <v>567</v>
      </c>
      <c r="P109">
        <v>84.89</v>
      </c>
      <c r="Q109" s="1">
        <v>1964.86</v>
      </c>
      <c r="R109">
        <v>42.18</v>
      </c>
      <c r="S109">
        <v>450.83</v>
      </c>
      <c r="T109">
        <v>0</v>
      </c>
      <c r="U109">
        <v>70.81</v>
      </c>
      <c r="Y109">
        <v>380.02</v>
      </c>
      <c r="Z109" t="s">
        <v>43</v>
      </c>
      <c r="AA109">
        <v>2018</v>
      </c>
      <c r="AB109" t="s">
        <v>100</v>
      </c>
      <c r="AC109" t="s">
        <v>53</v>
      </c>
      <c r="AD109" t="s">
        <v>101</v>
      </c>
    </row>
    <row r="110" spans="1:30" x14ac:dyDescent="0.25">
      <c r="A110">
        <v>109</v>
      </c>
      <c r="B110" t="s">
        <v>30</v>
      </c>
      <c r="C110" t="s">
        <v>586</v>
      </c>
      <c r="D110" t="s">
        <v>72</v>
      </c>
      <c r="E110" t="s">
        <v>72</v>
      </c>
      <c r="F110" t="s">
        <v>73</v>
      </c>
      <c r="G110" t="s">
        <v>73</v>
      </c>
      <c r="I110" t="s">
        <v>587</v>
      </c>
      <c r="J110">
        <f>57-60-1-213-6792</f>
        <v>-7009</v>
      </c>
      <c r="K110" t="s">
        <v>588</v>
      </c>
      <c r="N110" t="s">
        <v>589</v>
      </c>
      <c r="O110" t="s">
        <v>222</v>
      </c>
      <c r="P110">
        <v>42.6</v>
      </c>
      <c r="Q110" s="1">
        <v>1945.94</v>
      </c>
      <c r="R110">
        <v>23.69</v>
      </c>
      <c r="S110">
        <v>123.46</v>
      </c>
      <c r="T110">
        <v>0</v>
      </c>
      <c r="U110">
        <v>67.680000000000007</v>
      </c>
      <c r="Y110">
        <v>55.77</v>
      </c>
      <c r="Z110" t="s">
        <v>43</v>
      </c>
      <c r="AA110">
        <v>2023</v>
      </c>
      <c r="AB110" t="s">
        <v>100</v>
      </c>
      <c r="AC110" t="s">
        <v>53</v>
      </c>
      <c r="AD110" t="s">
        <v>101</v>
      </c>
    </row>
    <row r="111" spans="1:30" x14ac:dyDescent="0.25">
      <c r="A111">
        <v>110</v>
      </c>
      <c r="B111" t="s">
        <v>30</v>
      </c>
      <c r="C111" t="s">
        <v>590</v>
      </c>
      <c r="D111" t="s">
        <v>56</v>
      </c>
      <c r="E111" t="s">
        <v>56</v>
      </c>
      <c r="F111" t="s">
        <v>57</v>
      </c>
      <c r="G111" t="s">
        <v>57</v>
      </c>
      <c r="I111" t="s">
        <v>591</v>
      </c>
      <c r="J111">
        <f>57-311-592-2820</f>
        <v>-3666</v>
      </c>
      <c r="K111" t="s">
        <v>592</v>
      </c>
      <c r="N111" t="s">
        <v>593</v>
      </c>
      <c r="O111" t="s">
        <v>311</v>
      </c>
      <c r="P111">
        <v>56.04</v>
      </c>
      <c r="Q111" s="1">
        <v>1916.61</v>
      </c>
      <c r="R111">
        <v>36.42</v>
      </c>
      <c r="S111">
        <v>649.54999999999995</v>
      </c>
      <c r="T111">
        <v>0</v>
      </c>
      <c r="U111">
        <v>171.03</v>
      </c>
      <c r="Y111">
        <v>478.52</v>
      </c>
      <c r="Z111" t="s">
        <v>43</v>
      </c>
      <c r="AA111">
        <v>2023</v>
      </c>
      <c r="AB111" t="s">
        <v>100</v>
      </c>
      <c r="AC111" t="s">
        <v>53</v>
      </c>
      <c r="AD111" t="s">
        <v>101</v>
      </c>
    </row>
    <row r="112" spans="1:30" x14ac:dyDescent="0.25">
      <c r="A112">
        <v>111</v>
      </c>
      <c r="B112" t="s">
        <v>30</v>
      </c>
      <c r="C112" t="s">
        <v>594</v>
      </c>
      <c r="D112" t="s">
        <v>56</v>
      </c>
      <c r="E112" t="s">
        <v>56</v>
      </c>
      <c r="F112" t="s">
        <v>57</v>
      </c>
      <c r="G112" t="s">
        <v>57</v>
      </c>
      <c r="I112" t="s">
        <v>595</v>
      </c>
      <c r="J112">
        <f>57-60-1-704-2939</f>
        <v>-3647</v>
      </c>
      <c r="K112" t="s">
        <v>596</v>
      </c>
      <c r="N112" t="s">
        <v>597</v>
      </c>
      <c r="O112" t="s">
        <v>260</v>
      </c>
      <c r="P112">
        <v>818.66</v>
      </c>
      <c r="Q112" s="1">
        <v>1903.27</v>
      </c>
      <c r="R112">
        <v>0</v>
      </c>
      <c r="S112" s="1">
        <v>1899.73</v>
      </c>
      <c r="T112">
        <v>0</v>
      </c>
      <c r="U112" s="1">
        <v>1666.16</v>
      </c>
      <c r="Y112">
        <v>233.56</v>
      </c>
      <c r="Z112" t="s">
        <v>43</v>
      </c>
      <c r="AA112">
        <v>2023</v>
      </c>
      <c r="AB112" t="s">
        <v>100</v>
      </c>
      <c r="AC112" t="s">
        <v>53</v>
      </c>
      <c r="AD112" t="s">
        <v>101</v>
      </c>
    </row>
    <row r="113" spans="1:30" x14ac:dyDescent="0.25">
      <c r="A113">
        <v>112</v>
      </c>
      <c r="B113" t="s">
        <v>30</v>
      </c>
      <c r="C113" t="s">
        <v>598</v>
      </c>
      <c r="D113" t="s">
        <v>56</v>
      </c>
      <c r="E113" t="s">
        <v>56</v>
      </c>
      <c r="F113" t="s">
        <v>57</v>
      </c>
      <c r="G113" t="s">
        <v>57</v>
      </c>
      <c r="I113" t="s">
        <v>599</v>
      </c>
      <c r="J113">
        <f>57-350-629-5259</f>
        <v>-6181</v>
      </c>
      <c r="K113" t="s">
        <v>600</v>
      </c>
      <c r="N113" t="s">
        <v>601</v>
      </c>
      <c r="O113" t="s">
        <v>602</v>
      </c>
      <c r="P113">
        <v>469.01</v>
      </c>
      <c r="Q113" s="1">
        <v>1849.98</v>
      </c>
      <c r="R113">
        <v>469.01</v>
      </c>
      <c r="S113" s="1">
        <v>1287.43</v>
      </c>
      <c r="T113">
        <v>0</v>
      </c>
      <c r="U113">
        <v>780.04</v>
      </c>
      <c r="Y113">
        <v>507.39</v>
      </c>
      <c r="Z113" t="s">
        <v>43</v>
      </c>
      <c r="AA113">
        <v>2022</v>
      </c>
      <c r="AB113" t="s">
        <v>100</v>
      </c>
      <c r="AC113" t="s">
        <v>53</v>
      </c>
      <c r="AD113" t="s">
        <v>101</v>
      </c>
    </row>
    <row r="114" spans="1:30" x14ac:dyDescent="0.25">
      <c r="A114">
        <v>113</v>
      </c>
      <c r="B114" t="s">
        <v>30</v>
      </c>
      <c r="C114" t="s">
        <v>603</v>
      </c>
      <c r="D114" t="s">
        <v>56</v>
      </c>
      <c r="E114" t="s">
        <v>56</v>
      </c>
      <c r="F114" t="s">
        <v>57</v>
      </c>
      <c r="G114" t="s">
        <v>57</v>
      </c>
      <c r="I114" t="s">
        <v>604</v>
      </c>
      <c r="J114">
        <f>57-60-1-704-2639</f>
        <v>-3347</v>
      </c>
      <c r="K114" t="s">
        <v>414</v>
      </c>
      <c r="N114" t="s">
        <v>597</v>
      </c>
      <c r="O114" t="s">
        <v>605</v>
      </c>
      <c r="P114">
        <v>698.15</v>
      </c>
      <c r="Q114" s="1">
        <v>1844.68</v>
      </c>
      <c r="R114">
        <v>0</v>
      </c>
      <c r="S114" s="1">
        <v>1379.58</v>
      </c>
      <c r="T114">
        <v>0</v>
      </c>
      <c r="U114" s="1">
        <v>1142.81</v>
      </c>
      <c r="Y114">
        <v>236.77</v>
      </c>
      <c r="Z114" t="s">
        <v>43</v>
      </c>
      <c r="AA114">
        <v>2023</v>
      </c>
      <c r="AB114" t="s">
        <v>100</v>
      </c>
      <c r="AC114" t="s">
        <v>53</v>
      </c>
      <c r="AD114" t="s">
        <v>101</v>
      </c>
    </row>
    <row r="115" spans="1:30" x14ac:dyDescent="0.25">
      <c r="A115">
        <v>114</v>
      </c>
      <c r="B115" t="s">
        <v>30</v>
      </c>
      <c r="C115" t="s">
        <v>606</v>
      </c>
      <c r="D115" t="s">
        <v>56</v>
      </c>
      <c r="E115" t="s">
        <v>56</v>
      </c>
      <c r="F115" t="s">
        <v>57</v>
      </c>
      <c r="G115" t="s">
        <v>57</v>
      </c>
      <c r="I115" t="s">
        <v>607</v>
      </c>
      <c r="J115">
        <f>57-317-657-340</f>
        <v>-1257</v>
      </c>
      <c r="K115" t="s">
        <v>608</v>
      </c>
      <c r="N115" t="s">
        <v>609</v>
      </c>
      <c r="O115" t="s">
        <v>301</v>
      </c>
      <c r="P115">
        <v>82.26</v>
      </c>
      <c r="Q115" s="1">
        <v>1842.08</v>
      </c>
      <c r="R115">
        <v>53.47</v>
      </c>
      <c r="S115">
        <v>933.58</v>
      </c>
      <c r="T115">
        <v>0</v>
      </c>
      <c r="U115">
        <v>332.52</v>
      </c>
      <c r="Y115">
        <v>601.05999999999995</v>
      </c>
      <c r="Z115" t="s">
        <v>43</v>
      </c>
      <c r="AA115">
        <v>2023</v>
      </c>
      <c r="AB115" t="s">
        <v>100</v>
      </c>
      <c r="AC115" t="s">
        <v>53</v>
      </c>
      <c r="AD115" t="s">
        <v>101</v>
      </c>
    </row>
    <row r="116" spans="1:30" x14ac:dyDescent="0.25">
      <c r="A116">
        <v>115</v>
      </c>
      <c r="B116" t="s">
        <v>30</v>
      </c>
      <c r="C116" t="s">
        <v>610</v>
      </c>
      <c r="D116" t="s">
        <v>56</v>
      </c>
      <c r="E116" t="s">
        <v>56</v>
      </c>
      <c r="F116" t="s">
        <v>57</v>
      </c>
      <c r="G116" t="s">
        <v>57</v>
      </c>
      <c r="I116" t="s">
        <v>611</v>
      </c>
      <c r="J116">
        <f>57-311-214-9772</f>
        <v>-10240</v>
      </c>
      <c r="K116" t="s">
        <v>612</v>
      </c>
      <c r="N116" t="s">
        <v>613</v>
      </c>
      <c r="O116" t="s">
        <v>614</v>
      </c>
      <c r="P116">
        <v>148.13999999999999</v>
      </c>
      <c r="Q116" s="1">
        <v>1839.68</v>
      </c>
      <c r="R116">
        <v>0</v>
      </c>
      <c r="S116">
        <v>719.38</v>
      </c>
      <c r="T116">
        <v>0</v>
      </c>
      <c r="U116">
        <v>450.68</v>
      </c>
      <c r="Y116">
        <v>268.7</v>
      </c>
      <c r="Z116" t="s">
        <v>43</v>
      </c>
      <c r="AA116">
        <v>2023</v>
      </c>
      <c r="AB116" t="s">
        <v>100</v>
      </c>
      <c r="AC116" t="s">
        <v>53</v>
      </c>
      <c r="AD116" t="s">
        <v>101</v>
      </c>
    </row>
    <row r="117" spans="1:30" x14ac:dyDescent="0.25">
      <c r="A117">
        <v>116</v>
      </c>
      <c r="B117" t="s">
        <v>30</v>
      </c>
      <c r="C117" t="s">
        <v>615</v>
      </c>
      <c r="D117" t="s">
        <v>72</v>
      </c>
      <c r="E117" t="s">
        <v>72</v>
      </c>
      <c r="F117" t="s">
        <v>73</v>
      </c>
      <c r="G117" t="s">
        <v>73</v>
      </c>
      <c r="I117" t="s">
        <v>616</v>
      </c>
      <c r="J117">
        <f>57-60-1-808-9130</f>
        <v>-9942</v>
      </c>
      <c r="K117" t="s">
        <v>617</v>
      </c>
      <c r="N117" t="s">
        <v>618</v>
      </c>
      <c r="O117" t="s">
        <v>619</v>
      </c>
      <c r="P117">
        <v>97.94</v>
      </c>
      <c r="Q117" s="1">
        <v>1823.99</v>
      </c>
      <c r="R117">
        <v>22.7</v>
      </c>
      <c r="S117">
        <v>927.29</v>
      </c>
      <c r="T117">
        <v>72.599999999999994</v>
      </c>
      <c r="U117">
        <v>129.87</v>
      </c>
      <c r="X117">
        <v>0</v>
      </c>
      <c r="Y117">
        <v>797.42</v>
      </c>
      <c r="Z117" t="s">
        <v>43</v>
      </c>
      <c r="AA117">
        <v>2023</v>
      </c>
      <c r="AB117" t="s">
        <v>27</v>
      </c>
      <c r="AC117" t="s">
        <v>53</v>
      </c>
      <c r="AD117" t="s">
        <v>54</v>
      </c>
    </row>
    <row r="118" spans="1:30" x14ac:dyDescent="0.25">
      <c r="A118">
        <v>117</v>
      </c>
      <c r="B118" t="s">
        <v>30</v>
      </c>
      <c r="C118" t="s">
        <v>620</v>
      </c>
      <c r="D118" t="s">
        <v>72</v>
      </c>
      <c r="E118" t="s">
        <v>72</v>
      </c>
      <c r="F118" t="s">
        <v>73</v>
      </c>
      <c r="G118" t="s">
        <v>73</v>
      </c>
      <c r="I118" t="s">
        <v>621</v>
      </c>
      <c r="J118">
        <f>57-350-555-8555</f>
        <v>-9403</v>
      </c>
      <c r="K118" t="s">
        <v>622</v>
      </c>
      <c r="P118">
        <v>0</v>
      </c>
      <c r="Q118" s="1">
        <v>1822.26</v>
      </c>
      <c r="R118">
        <v>0</v>
      </c>
      <c r="S118" s="1">
        <v>3607.95</v>
      </c>
      <c r="T118">
        <v>0</v>
      </c>
      <c r="U118">
        <v>736.96</v>
      </c>
      <c r="Y118" s="1">
        <v>2870.99</v>
      </c>
      <c r="Z118" t="s">
        <v>43</v>
      </c>
      <c r="AA118">
        <v>2018</v>
      </c>
      <c r="AB118" t="s">
        <v>100</v>
      </c>
      <c r="AC118" t="s">
        <v>53</v>
      </c>
      <c r="AD118" t="s">
        <v>101</v>
      </c>
    </row>
    <row r="119" spans="1:30" x14ac:dyDescent="0.25">
      <c r="A119">
        <v>118</v>
      </c>
      <c r="B119" t="s">
        <v>30</v>
      </c>
      <c r="C119" t="s">
        <v>623</v>
      </c>
      <c r="D119" t="s">
        <v>64</v>
      </c>
      <c r="E119" t="s">
        <v>64</v>
      </c>
      <c r="F119" t="s">
        <v>65</v>
      </c>
      <c r="G119" t="s">
        <v>65</v>
      </c>
      <c r="I119" t="s">
        <v>624</v>
      </c>
      <c r="J119">
        <f>57-60-1-614-4095</f>
        <v>-4713</v>
      </c>
      <c r="K119" t="s">
        <v>625</v>
      </c>
      <c r="N119" t="s">
        <v>626</v>
      </c>
      <c r="O119" t="s">
        <v>627</v>
      </c>
      <c r="P119">
        <v>44.67</v>
      </c>
      <c r="Q119" s="1">
        <v>1819.39</v>
      </c>
      <c r="R119">
        <v>44.67</v>
      </c>
      <c r="S119" s="1">
        <v>1021.08</v>
      </c>
      <c r="T119">
        <v>0</v>
      </c>
      <c r="U119">
        <v>711.15</v>
      </c>
      <c r="Y119">
        <v>309.93</v>
      </c>
      <c r="Z119" t="s">
        <v>43</v>
      </c>
      <c r="AA119">
        <v>2022</v>
      </c>
      <c r="AB119" t="s">
        <v>100</v>
      </c>
      <c r="AC119" t="s">
        <v>53</v>
      </c>
      <c r="AD119" t="s">
        <v>101</v>
      </c>
    </row>
    <row r="120" spans="1:30" x14ac:dyDescent="0.25">
      <c r="A120">
        <v>119</v>
      </c>
      <c r="B120" t="s">
        <v>30</v>
      </c>
      <c r="C120" t="s">
        <v>628</v>
      </c>
      <c r="D120" t="s">
        <v>72</v>
      </c>
      <c r="E120" t="s">
        <v>72</v>
      </c>
      <c r="F120" t="s">
        <v>73</v>
      </c>
      <c r="G120" t="s">
        <v>73</v>
      </c>
      <c r="H120" t="s">
        <v>629</v>
      </c>
      <c r="I120" t="s">
        <v>630</v>
      </c>
      <c r="J120">
        <f>57-60-1-668-4545</f>
        <v>-5217</v>
      </c>
      <c r="K120" t="s">
        <v>631</v>
      </c>
      <c r="N120" t="s">
        <v>632</v>
      </c>
      <c r="O120" t="s">
        <v>410</v>
      </c>
      <c r="P120" s="1">
        <v>-3758.91</v>
      </c>
      <c r="Q120" s="1">
        <v>1813.82</v>
      </c>
      <c r="R120" s="1">
        <v>-3902.18</v>
      </c>
      <c r="S120">
        <v>499.04</v>
      </c>
      <c r="T120">
        <v>0</v>
      </c>
      <c r="U120" s="1">
        <v>-5338.48</v>
      </c>
      <c r="Y120" s="1">
        <v>5837.52</v>
      </c>
      <c r="Z120" t="s">
        <v>43</v>
      </c>
      <c r="AA120">
        <v>2018</v>
      </c>
      <c r="AB120" t="s">
        <v>100</v>
      </c>
      <c r="AC120" t="s">
        <v>53</v>
      </c>
      <c r="AD120" t="s">
        <v>101</v>
      </c>
    </row>
    <row r="121" spans="1:30" x14ac:dyDescent="0.25">
      <c r="A121">
        <v>120</v>
      </c>
      <c r="B121" t="s">
        <v>30</v>
      </c>
      <c r="C121" t="s">
        <v>633</v>
      </c>
      <c r="D121" t="s">
        <v>72</v>
      </c>
      <c r="E121" t="s">
        <v>72</v>
      </c>
      <c r="F121" t="s">
        <v>73</v>
      </c>
      <c r="G121" t="s">
        <v>73</v>
      </c>
      <c r="H121" t="s">
        <v>634</v>
      </c>
      <c r="I121" t="s">
        <v>635</v>
      </c>
      <c r="J121">
        <f>57-60-1-427-5002</f>
        <v>-5433</v>
      </c>
      <c r="K121" t="s">
        <v>636</v>
      </c>
      <c r="N121" t="s">
        <v>637</v>
      </c>
      <c r="O121" t="s">
        <v>638</v>
      </c>
      <c r="P121">
        <v>53.11</v>
      </c>
      <c r="Q121" s="1">
        <v>1768.54</v>
      </c>
      <c r="R121">
        <v>19.75</v>
      </c>
      <c r="S121">
        <v>289.87</v>
      </c>
      <c r="T121">
        <v>146.84</v>
      </c>
      <c r="U121">
        <v>251.32</v>
      </c>
      <c r="Y121">
        <v>38.549999999999997</v>
      </c>
      <c r="Z121" t="s">
        <v>43</v>
      </c>
      <c r="AA121">
        <v>2017</v>
      </c>
      <c r="AB121" t="s">
        <v>100</v>
      </c>
      <c r="AC121" t="s">
        <v>53</v>
      </c>
      <c r="AD121" t="s">
        <v>101</v>
      </c>
    </row>
    <row r="122" spans="1:30" x14ac:dyDescent="0.25">
      <c r="A122">
        <v>121</v>
      </c>
      <c r="B122" t="s">
        <v>30</v>
      </c>
      <c r="C122" t="s">
        <v>639</v>
      </c>
      <c r="D122" t="s">
        <v>72</v>
      </c>
      <c r="E122" t="s">
        <v>72</v>
      </c>
      <c r="F122" t="s">
        <v>73</v>
      </c>
      <c r="G122" t="s">
        <v>73</v>
      </c>
      <c r="I122" t="s">
        <v>640</v>
      </c>
      <c r="J122">
        <f>57-60-1-624-538</f>
        <v>-1166</v>
      </c>
      <c r="K122" t="s">
        <v>641</v>
      </c>
      <c r="N122" t="s">
        <v>642</v>
      </c>
      <c r="O122" t="s">
        <v>423</v>
      </c>
      <c r="P122">
        <v>37.04</v>
      </c>
      <c r="Q122" s="1">
        <v>1767.93</v>
      </c>
      <c r="R122">
        <v>37.04</v>
      </c>
      <c r="S122" s="1">
        <v>1081.71</v>
      </c>
      <c r="T122">
        <v>0</v>
      </c>
      <c r="U122">
        <v>423.98</v>
      </c>
      <c r="Y122">
        <v>657.73</v>
      </c>
      <c r="Z122" t="s">
        <v>43</v>
      </c>
      <c r="AA122">
        <v>2023</v>
      </c>
      <c r="AB122" t="s">
        <v>100</v>
      </c>
      <c r="AC122" t="s">
        <v>53</v>
      </c>
      <c r="AD122" t="s">
        <v>101</v>
      </c>
    </row>
    <row r="123" spans="1:30" x14ac:dyDescent="0.25">
      <c r="A123">
        <v>122</v>
      </c>
      <c r="B123" t="s">
        <v>30</v>
      </c>
      <c r="C123" t="s">
        <v>643</v>
      </c>
      <c r="D123" t="s">
        <v>56</v>
      </c>
      <c r="E123" t="s">
        <v>56</v>
      </c>
      <c r="F123" t="s">
        <v>57</v>
      </c>
      <c r="G123" t="s">
        <v>57</v>
      </c>
      <c r="I123" t="s">
        <v>644</v>
      </c>
      <c r="J123">
        <f>57-316-743-8537</f>
        <v>-9539</v>
      </c>
      <c r="K123" t="s">
        <v>645</v>
      </c>
      <c r="N123" t="s">
        <v>646</v>
      </c>
      <c r="O123" t="s">
        <v>311</v>
      </c>
      <c r="P123">
        <v>218.55</v>
      </c>
      <c r="Q123" s="1">
        <v>1736.21</v>
      </c>
      <c r="R123">
        <v>25.1</v>
      </c>
      <c r="S123">
        <v>657.34</v>
      </c>
      <c r="T123">
        <v>0</v>
      </c>
      <c r="U123">
        <v>99.65</v>
      </c>
      <c r="Y123">
        <v>557.69000000000005</v>
      </c>
      <c r="Z123" t="s">
        <v>43</v>
      </c>
      <c r="AA123">
        <v>2023</v>
      </c>
      <c r="AB123" t="s">
        <v>100</v>
      </c>
      <c r="AC123" t="s">
        <v>53</v>
      </c>
      <c r="AD123" t="s">
        <v>101</v>
      </c>
    </row>
    <row r="124" spans="1:30" x14ac:dyDescent="0.25">
      <c r="A124">
        <v>123</v>
      </c>
      <c r="B124" t="s">
        <v>30</v>
      </c>
      <c r="C124" t="s">
        <v>647</v>
      </c>
      <c r="D124" t="s">
        <v>56</v>
      </c>
      <c r="E124" t="s">
        <v>56</v>
      </c>
      <c r="F124" t="s">
        <v>57</v>
      </c>
      <c r="G124" t="s">
        <v>57</v>
      </c>
      <c r="I124" t="s">
        <v>648</v>
      </c>
      <c r="J124">
        <f>57-60-1-926-1995</f>
        <v>-2925</v>
      </c>
      <c r="K124" t="s">
        <v>649</v>
      </c>
      <c r="N124" t="s">
        <v>650</v>
      </c>
      <c r="O124" t="s">
        <v>459</v>
      </c>
      <c r="P124">
        <v>190.66</v>
      </c>
      <c r="Q124" s="1">
        <v>1719.54</v>
      </c>
      <c r="R124">
        <v>38.74</v>
      </c>
      <c r="S124" s="1">
        <v>1271.8800000000001</v>
      </c>
      <c r="T124">
        <v>0</v>
      </c>
      <c r="U124">
        <v>423.55</v>
      </c>
      <c r="Y124">
        <v>848.33</v>
      </c>
      <c r="Z124" t="s">
        <v>43</v>
      </c>
      <c r="AA124">
        <v>2023</v>
      </c>
      <c r="AB124" t="s">
        <v>100</v>
      </c>
      <c r="AC124" t="s">
        <v>53</v>
      </c>
      <c r="AD124" t="s">
        <v>101</v>
      </c>
    </row>
    <row r="125" spans="1:30" x14ac:dyDescent="0.25">
      <c r="A125">
        <v>124</v>
      </c>
      <c r="B125" t="s">
        <v>30</v>
      </c>
      <c r="C125" t="s">
        <v>651</v>
      </c>
      <c r="D125" t="s">
        <v>64</v>
      </c>
      <c r="E125" t="s">
        <v>64</v>
      </c>
      <c r="F125" t="s">
        <v>65</v>
      </c>
      <c r="G125" t="s">
        <v>65</v>
      </c>
      <c r="I125" t="s">
        <v>652</v>
      </c>
      <c r="J125">
        <f>57-60-1-883-4986</f>
        <v>-5873</v>
      </c>
      <c r="K125" t="s">
        <v>653</v>
      </c>
      <c r="O125" t="s">
        <v>654</v>
      </c>
      <c r="P125">
        <v>35.1</v>
      </c>
      <c r="Q125" s="1">
        <v>1708.47</v>
      </c>
      <c r="R125">
        <v>0</v>
      </c>
      <c r="S125">
        <v>35.1</v>
      </c>
      <c r="T125">
        <v>0</v>
      </c>
      <c r="U125">
        <v>0</v>
      </c>
      <c r="Y125">
        <v>0</v>
      </c>
      <c r="Z125" t="s">
        <v>43</v>
      </c>
      <c r="AA125">
        <v>2018</v>
      </c>
      <c r="AB125" t="s">
        <v>100</v>
      </c>
      <c r="AC125" t="s">
        <v>53</v>
      </c>
      <c r="AD125" t="s">
        <v>101</v>
      </c>
    </row>
    <row r="126" spans="1:30" x14ac:dyDescent="0.25">
      <c r="A126">
        <v>125</v>
      </c>
      <c r="B126" t="s">
        <v>30</v>
      </c>
      <c r="C126" t="s">
        <v>655</v>
      </c>
      <c r="D126" t="s">
        <v>56</v>
      </c>
      <c r="E126" t="s">
        <v>56</v>
      </c>
      <c r="F126" t="s">
        <v>57</v>
      </c>
      <c r="G126" t="s">
        <v>57</v>
      </c>
      <c r="I126" t="s">
        <v>656</v>
      </c>
      <c r="J126">
        <f>57-310-565-6535</f>
        <v>-7353</v>
      </c>
      <c r="K126" t="s">
        <v>657</v>
      </c>
      <c r="P126">
        <v>0</v>
      </c>
      <c r="Q126" s="1">
        <v>1685.12</v>
      </c>
      <c r="R126">
        <v>362.01</v>
      </c>
      <c r="S126" s="1">
        <v>1667.99</v>
      </c>
      <c r="T126">
        <v>0</v>
      </c>
      <c r="U126" s="1">
        <v>1174.5</v>
      </c>
      <c r="Y126">
        <v>493.49</v>
      </c>
      <c r="Z126" t="s">
        <v>43</v>
      </c>
      <c r="AA126">
        <v>2018</v>
      </c>
      <c r="AB126" t="s">
        <v>100</v>
      </c>
      <c r="AC126" t="s">
        <v>53</v>
      </c>
      <c r="AD126" t="s">
        <v>101</v>
      </c>
    </row>
    <row r="127" spans="1:30" x14ac:dyDescent="0.25">
      <c r="A127">
        <v>126</v>
      </c>
      <c r="B127" t="s">
        <v>30</v>
      </c>
      <c r="C127" t="s">
        <v>658</v>
      </c>
      <c r="D127" t="s">
        <v>72</v>
      </c>
      <c r="E127" t="s">
        <v>72</v>
      </c>
      <c r="F127" t="s">
        <v>73</v>
      </c>
      <c r="G127" t="s">
        <v>73</v>
      </c>
      <c r="I127" t="s">
        <v>659</v>
      </c>
      <c r="J127">
        <f>57-60-1-528-4604</f>
        <v>-5136</v>
      </c>
      <c r="K127" t="s">
        <v>660</v>
      </c>
      <c r="N127" t="s">
        <v>661</v>
      </c>
      <c r="O127" t="s">
        <v>459</v>
      </c>
      <c r="P127">
        <v>37.479999999999997</v>
      </c>
      <c r="Q127" s="1">
        <v>1677.74</v>
      </c>
      <c r="R127">
        <v>37.479999999999997</v>
      </c>
      <c r="S127">
        <v>350.24</v>
      </c>
      <c r="T127">
        <v>0</v>
      </c>
      <c r="U127">
        <v>119.56</v>
      </c>
      <c r="Y127">
        <v>230.68</v>
      </c>
      <c r="Z127" t="s">
        <v>43</v>
      </c>
      <c r="AA127">
        <v>2023</v>
      </c>
      <c r="AB127" t="s">
        <v>100</v>
      </c>
      <c r="AC127" t="s">
        <v>53</v>
      </c>
      <c r="AD127" t="s">
        <v>101</v>
      </c>
    </row>
    <row r="128" spans="1:30" x14ac:dyDescent="0.25">
      <c r="A128">
        <v>127</v>
      </c>
      <c r="B128" t="s">
        <v>30</v>
      </c>
      <c r="C128" t="s">
        <v>662</v>
      </c>
      <c r="D128" t="s">
        <v>64</v>
      </c>
      <c r="E128" t="s">
        <v>64</v>
      </c>
      <c r="F128" t="s">
        <v>65</v>
      </c>
      <c r="G128" t="s">
        <v>65</v>
      </c>
      <c r="I128" t="s">
        <v>663</v>
      </c>
      <c r="J128">
        <f>57-305-703-670</f>
        <v>-1621</v>
      </c>
      <c r="K128" t="s">
        <v>664</v>
      </c>
      <c r="N128" t="s">
        <v>665</v>
      </c>
      <c r="O128" t="s">
        <v>401</v>
      </c>
      <c r="P128">
        <v>193.23</v>
      </c>
      <c r="Q128" s="1">
        <v>1657.13</v>
      </c>
      <c r="R128">
        <v>59.71</v>
      </c>
      <c r="S128">
        <v>615.04999999999995</v>
      </c>
      <c r="T128">
        <v>0</v>
      </c>
      <c r="U128">
        <v>276.52</v>
      </c>
      <c r="Y128">
        <v>338.52</v>
      </c>
      <c r="Z128" t="s">
        <v>43</v>
      </c>
      <c r="AA128">
        <v>2023</v>
      </c>
      <c r="AB128" t="s">
        <v>100</v>
      </c>
      <c r="AC128" t="s">
        <v>53</v>
      </c>
      <c r="AD128" t="s">
        <v>101</v>
      </c>
    </row>
    <row r="129" spans="1:30" x14ac:dyDescent="0.25">
      <c r="A129">
        <v>128</v>
      </c>
      <c r="B129" t="s">
        <v>30</v>
      </c>
      <c r="C129" t="s">
        <v>666</v>
      </c>
      <c r="D129" t="s">
        <v>64</v>
      </c>
      <c r="E129" t="s">
        <v>64</v>
      </c>
      <c r="F129" t="s">
        <v>65</v>
      </c>
      <c r="G129" t="s">
        <v>65</v>
      </c>
      <c r="I129" t="s">
        <v>667</v>
      </c>
      <c r="J129">
        <f>57-310-378-41</f>
        <v>-672</v>
      </c>
      <c r="K129" t="s">
        <v>668</v>
      </c>
      <c r="P129">
        <v>354.18</v>
      </c>
      <c r="Q129" s="1">
        <v>1638.78</v>
      </c>
      <c r="R129">
        <v>355.58</v>
      </c>
      <c r="S129" s="1">
        <v>2038.3</v>
      </c>
      <c r="T129">
        <v>0</v>
      </c>
      <c r="U129" s="1">
        <v>1821.62</v>
      </c>
      <c r="Y129">
        <v>216.68</v>
      </c>
      <c r="Z129" t="s">
        <v>43</v>
      </c>
      <c r="AA129">
        <v>2018</v>
      </c>
      <c r="AB129" t="s">
        <v>100</v>
      </c>
      <c r="AC129" t="s">
        <v>53</v>
      </c>
      <c r="AD129" t="s">
        <v>101</v>
      </c>
    </row>
    <row r="130" spans="1:30" x14ac:dyDescent="0.25">
      <c r="A130">
        <v>129</v>
      </c>
      <c r="B130" t="s">
        <v>30</v>
      </c>
      <c r="C130" t="s">
        <v>669</v>
      </c>
      <c r="D130" t="s">
        <v>72</v>
      </c>
      <c r="E130" t="s">
        <v>72</v>
      </c>
      <c r="F130" t="s">
        <v>73</v>
      </c>
      <c r="G130" t="s">
        <v>73</v>
      </c>
      <c r="I130" t="s">
        <v>670</v>
      </c>
      <c r="J130">
        <f>57-60-1-756-5133</f>
        <v>-5893</v>
      </c>
      <c r="K130" t="s">
        <v>671</v>
      </c>
      <c r="N130" t="s">
        <v>672</v>
      </c>
      <c r="O130" t="s">
        <v>239</v>
      </c>
      <c r="P130">
        <v>55.13</v>
      </c>
      <c r="Q130" s="1">
        <v>1626.18</v>
      </c>
      <c r="R130">
        <v>19.489999999999998</v>
      </c>
      <c r="S130" s="1">
        <v>2164.65</v>
      </c>
      <c r="T130">
        <v>0</v>
      </c>
      <c r="U130">
        <v>-76.790000000000006</v>
      </c>
      <c r="Y130" s="1">
        <v>2241.4499999999998</v>
      </c>
      <c r="Z130" t="s">
        <v>43</v>
      </c>
      <c r="AA130">
        <v>2023</v>
      </c>
      <c r="AB130" t="s">
        <v>100</v>
      </c>
      <c r="AC130" t="s">
        <v>53</v>
      </c>
      <c r="AD130" t="s">
        <v>101</v>
      </c>
    </row>
    <row r="131" spans="1:30" x14ac:dyDescent="0.25">
      <c r="A131">
        <v>130</v>
      </c>
      <c r="B131" t="s">
        <v>30</v>
      </c>
      <c r="C131" t="s">
        <v>673</v>
      </c>
      <c r="D131" t="s">
        <v>72</v>
      </c>
      <c r="E131" t="s">
        <v>72</v>
      </c>
      <c r="F131" t="s">
        <v>73</v>
      </c>
      <c r="G131" t="s">
        <v>73</v>
      </c>
      <c r="I131" t="s">
        <v>674</v>
      </c>
      <c r="J131">
        <f>57-60-1-286-1942</f>
        <v>-2232</v>
      </c>
      <c r="K131" t="s">
        <v>675</v>
      </c>
      <c r="N131" t="s">
        <v>676</v>
      </c>
      <c r="O131" t="s">
        <v>677</v>
      </c>
      <c r="P131">
        <v>-27.07</v>
      </c>
      <c r="Q131" s="1">
        <v>1620.97</v>
      </c>
      <c r="R131">
        <v>-112.3</v>
      </c>
      <c r="S131" s="1">
        <v>1076.76</v>
      </c>
      <c r="T131">
        <v>0</v>
      </c>
      <c r="U131">
        <v>282.58</v>
      </c>
      <c r="Y131">
        <v>794.18</v>
      </c>
      <c r="Z131" t="s">
        <v>43</v>
      </c>
      <c r="AA131">
        <v>2023</v>
      </c>
      <c r="AB131" t="s">
        <v>100</v>
      </c>
      <c r="AC131" t="s">
        <v>53</v>
      </c>
      <c r="AD131" t="s">
        <v>101</v>
      </c>
    </row>
    <row r="132" spans="1:30" x14ac:dyDescent="0.25">
      <c r="A132">
        <v>131</v>
      </c>
      <c r="B132" t="s">
        <v>30</v>
      </c>
      <c r="C132" t="s">
        <v>678</v>
      </c>
      <c r="D132" t="s">
        <v>72</v>
      </c>
      <c r="E132" t="s">
        <v>72</v>
      </c>
      <c r="F132" t="s">
        <v>73</v>
      </c>
      <c r="G132" t="s">
        <v>73</v>
      </c>
      <c r="I132" t="s">
        <v>679</v>
      </c>
      <c r="J132">
        <f>57-60-1-732-8165</f>
        <v>-8901</v>
      </c>
      <c r="K132" t="s">
        <v>680</v>
      </c>
      <c r="N132" t="s">
        <v>681</v>
      </c>
      <c r="O132" t="s">
        <v>682</v>
      </c>
      <c r="P132">
        <v>-244.77</v>
      </c>
      <c r="Q132" s="1">
        <v>1619.93</v>
      </c>
      <c r="R132">
        <v>-160.35</v>
      </c>
      <c r="S132" s="1">
        <v>1445.09</v>
      </c>
      <c r="T132">
        <v>0</v>
      </c>
      <c r="U132">
        <v>-98.85</v>
      </c>
      <c r="Y132" s="1">
        <v>1543.94</v>
      </c>
      <c r="Z132" t="s">
        <v>43</v>
      </c>
      <c r="AA132">
        <v>2020</v>
      </c>
      <c r="AB132" t="s">
        <v>100</v>
      </c>
      <c r="AC132" t="s">
        <v>53</v>
      </c>
      <c r="AD132" t="s">
        <v>101</v>
      </c>
    </row>
    <row r="133" spans="1:30" x14ac:dyDescent="0.25">
      <c r="A133">
        <v>132</v>
      </c>
      <c r="B133" t="s">
        <v>30</v>
      </c>
      <c r="C133" t="s">
        <v>683</v>
      </c>
      <c r="D133" t="s">
        <v>72</v>
      </c>
      <c r="E133" t="s">
        <v>72</v>
      </c>
      <c r="F133" t="s">
        <v>73</v>
      </c>
      <c r="G133" t="s">
        <v>73</v>
      </c>
      <c r="I133" t="s">
        <v>684</v>
      </c>
      <c r="J133">
        <f>57-60-1-472-1642</f>
        <v>-2118</v>
      </c>
      <c r="K133" t="s">
        <v>685</v>
      </c>
      <c r="N133" t="s">
        <v>686</v>
      </c>
      <c r="O133" t="s">
        <v>468</v>
      </c>
      <c r="P133">
        <v>68.98</v>
      </c>
      <c r="Q133" s="1">
        <v>1563.61</v>
      </c>
      <c r="R133">
        <v>44.84</v>
      </c>
      <c r="S133">
        <v>421.75</v>
      </c>
      <c r="T133">
        <v>0</v>
      </c>
      <c r="U133">
        <v>-89.11</v>
      </c>
      <c r="Y133">
        <v>510.86</v>
      </c>
      <c r="Z133" t="s">
        <v>43</v>
      </c>
      <c r="AA133">
        <v>2023</v>
      </c>
      <c r="AB133" t="s">
        <v>100</v>
      </c>
      <c r="AC133" t="s">
        <v>53</v>
      </c>
      <c r="AD133" t="s">
        <v>101</v>
      </c>
    </row>
    <row r="134" spans="1:30" x14ac:dyDescent="0.25">
      <c r="A134">
        <v>133</v>
      </c>
      <c r="B134" t="s">
        <v>30</v>
      </c>
      <c r="C134" t="s">
        <v>687</v>
      </c>
      <c r="D134" t="s">
        <v>56</v>
      </c>
      <c r="E134" t="s">
        <v>56</v>
      </c>
      <c r="F134" t="s">
        <v>57</v>
      </c>
      <c r="G134" t="s">
        <v>57</v>
      </c>
      <c r="I134" t="s">
        <v>688</v>
      </c>
      <c r="J134">
        <f>57-60-1-704-7964</f>
        <v>-8672</v>
      </c>
      <c r="K134" t="s">
        <v>689</v>
      </c>
      <c r="N134" t="s">
        <v>690</v>
      </c>
      <c r="O134" t="s">
        <v>691</v>
      </c>
      <c r="P134">
        <v>2.41</v>
      </c>
      <c r="Q134" s="1">
        <v>1562.1</v>
      </c>
      <c r="R134">
        <v>-28.68</v>
      </c>
      <c r="S134">
        <v>519.67999999999995</v>
      </c>
      <c r="T134">
        <v>0</v>
      </c>
      <c r="U134">
        <v>-108.46</v>
      </c>
      <c r="Y134">
        <v>628.14</v>
      </c>
      <c r="Z134" t="s">
        <v>43</v>
      </c>
      <c r="AA134">
        <v>2019</v>
      </c>
      <c r="AB134" t="s">
        <v>100</v>
      </c>
      <c r="AC134" t="s">
        <v>53</v>
      </c>
      <c r="AD134" t="s">
        <v>101</v>
      </c>
    </row>
    <row r="135" spans="1:30" x14ac:dyDescent="0.25">
      <c r="A135">
        <v>134</v>
      </c>
      <c r="B135" t="s">
        <v>30</v>
      </c>
      <c r="C135" t="s">
        <v>692</v>
      </c>
      <c r="D135" t="s">
        <v>72</v>
      </c>
      <c r="E135" t="s">
        <v>72</v>
      </c>
      <c r="F135" t="s">
        <v>73</v>
      </c>
      <c r="G135" t="s">
        <v>73</v>
      </c>
      <c r="I135" t="s">
        <v>693</v>
      </c>
      <c r="J135">
        <f>57-315-627-1701</f>
        <v>-2586</v>
      </c>
      <c r="K135" t="s">
        <v>694</v>
      </c>
      <c r="N135" t="s">
        <v>695</v>
      </c>
      <c r="O135" t="s">
        <v>301</v>
      </c>
      <c r="P135">
        <v>184.88</v>
      </c>
      <c r="Q135" s="1">
        <v>1555.24</v>
      </c>
      <c r="R135">
        <v>77.19</v>
      </c>
      <c r="S135">
        <v>560.95000000000005</v>
      </c>
      <c r="T135">
        <v>0</v>
      </c>
      <c r="U135">
        <v>222.33</v>
      </c>
      <c r="Y135">
        <v>338.62</v>
      </c>
      <c r="Z135" t="s">
        <v>43</v>
      </c>
      <c r="AA135">
        <v>2023</v>
      </c>
      <c r="AB135" t="s">
        <v>100</v>
      </c>
      <c r="AC135" t="s">
        <v>53</v>
      </c>
      <c r="AD135" t="s">
        <v>101</v>
      </c>
    </row>
    <row r="136" spans="1:30" x14ac:dyDescent="0.25">
      <c r="A136">
        <v>135</v>
      </c>
      <c r="B136" t="s">
        <v>30</v>
      </c>
      <c r="C136" t="s">
        <v>696</v>
      </c>
      <c r="D136" t="s">
        <v>56</v>
      </c>
      <c r="E136" t="s">
        <v>56</v>
      </c>
      <c r="F136" t="s">
        <v>57</v>
      </c>
      <c r="G136" t="s">
        <v>57</v>
      </c>
      <c r="I136" t="s">
        <v>697</v>
      </c>
      <c r="J136">
        <f>57-315-308-6875</f>
        <v>-7441</v>
      </c>
      <c r="K136" t="s">
        <v>698</v>
      </c>
      <c r="N136" t="s">
        <v>699</v>
      </c>
      <c r="O136" t="s">
        <v>454</v>
      </c>
      <c r="P136">
        <v>128.91999999999999</v>
      </c>
      <c r="Q136" s="1">
        <v>1543.95</v>
      </c>
      <c r="R136">
        <v>85.56</v>
      </c>
      <c r="S136" s="1">
        <v>1016.94</v>
      </c>
      <c r="T136">
        <v>0</v>
      </c>
      <c r="U136">
        <v>370.44</v>
      </c>
      <c r="Y136">
        <v>646.5</v>
      </c>
      <c r="Z136" t="s">
        <v>43</v>
      </c>
      <c r="AA136">
        <v>2023</v>
      </c>
      <c r="AB136" t="s">
        <v>100</v>
      </c>
      <c r="AC136" t="s">
        <v>53</v>
      </c>
      <c r="AD136" t="s">
        <v>101</v>
      </c>
    </row>
    <row r="137" spans="1:30" x14ac:dyDescent="0.25">
      <c r="A137">
        <v>136</v>
      </c>
      <c r="B137" t="s">
        <v>30</v>
      </c>
      <c r="C137" t="s">
        <v>700</v>
      </c>
      <c r="D137" t="s">
        <v>64</v>
      </c>
      <c r="E137" t="s">
        <v>64</v>
      </c>
      <c r="F137" t="s">
        <v>65</v>
      </c>
      <c r="G137" t="s">
        <v>65</v>
      </c>
      <c r="H137" t="s">
        <v>701</v>
      </c>
      <c r="I137" t="s">
        <v>702</v>
      </c>
      <c r="J137">
        <f>57-310-547-1912</f>
        <v>-2712</v>
      </c>
      <c r="K137" t="s">
        <v>703</v>
      </c>
      <c r="N137" t="s">
        <v>704</v>
      </c>
      <c r="O137" t="s">
        <v>705</v>
      </c>
      <c r="P137">
        <v>68.2</v>
      </c>
      <c r="Q137" s="1">
        <v>1520.77</v>
      </c>
      <c r="R137">
        <v>38.33</v>
      </c>
      <c r="S137">
        <v>149.94999999999999</v>
      </c>
      <c r="T137">
        <v>0</v>
      </c>
      <c r="U137">
        <v>13.22</v>
      </c>
      <c r="Y137">
        <v>136.72999999999999</v>
      </c>
      <c r="Z137" t="s">
        <v>43</v>
      </c>
      <c r="AA137">
        <v>2023</v>
      </c>
      <c r="AB137" t="s">
        <v>100</v>
      </c>
      <c r="AC137" t="s">
        <v>53</v>
      </c>
      <c r="AD137" t="s">
        <v>101</v>
      </c>
    </row>
    <row r="138" spans="1:30" x14ac:dyDescent="0.25">
      <c r="A138">
        <v>137</v>
      </c>
      <c r="B138" t="s">
        <v>30</v>
      </c>
      <c r="C138" t="s">
        <v>706</v>
      </c>
      <c r="D138" t="s">
        <v>72</v>
      </c>
      <c r="E138" t="s">
        <v>72</v>
      </c>
      <c r="F138" t="s">
        <v>73</v>
      </c>
      <c r="G138" t="s">
        <v>73</v>
      </c>
      <c r="H138" t="s">
        <v>707</v>
      </c>
      <c r="I138" t="s">
        <v>708</v>
      </c>
      <c r="J138">
        <f>57-318-795-6519</f>
        <v>-7575</v>
      </c>
      <c r="K138" t="s">
        <v>709</v>
      </c>
      <c r="N138" t="s">
        <v>710</v>
      </c>
      <c r="O138" t="s">
        <v>711</v>
      </c>
      <c r="P138">
        <v>132.28</v>
      </c>
      <c r="Q138" s="1">
        <v>1493.89</v>
      </c>
      <c r="R138">
        <v>62.77</v>
      </c>
      <c r="S138">
        <v>767.65</v>
      </c>
      <c r="T138">
        <v>0</v>
      </c>
      <c r="U138">
        <v>328.69</v>
      </c>
      <c r="Y138">
        <v>438.96</v>
      </c>
      <c r="Z138" t="s">
        <v>43</v>
      </c>
      <c r="AA138">
        <v>2018</v>
      </c>
      <c r="AB138" t="s">
        <v>100</v>
      </c>
      <c r="AC138" t="s">
        <v>53</v>
      </c>
      <c r="AD138" t="s">
        <v>101</v>
      </c>
    </row>
    <row r="139" spans="1:30" x14ac:dyDescent="0.25">
      <c r="A139">
        <v>138</v>
      </c>
      <c r="B139" t="s">
        <v>30</v>
      </c>
      <c r="C139" t="s">
        <v>712</v>
      </c>
      <c r="D139" t="s">
        <v>72</v>
      </c>
      <c r="E139" t="s">
        <v>72</v>
      </c>
      <c r="F139" t="s">
        <v>73</v>
      </c>
      <c r="G139" t="s">
        <v>73</v>
      </c>
      <c r="I139" t="s">
        <v>713</v>
      </c>
      <c r="J139">
        <f>57-60-1-257-455</f>
        <v>-716</v>
      </c>
      <c r="K139" t="s">
        <v>714</v>
      </c>
      <c r="N139" t="s">
        <v>715</v>
      </c>
      <c r="O139" t="s">
        <v>716</v>
      </c>
      <c r="P139" s="1">
        <v>152969.22</v>
      </c>
      <c r="Q139" s="1">
        <v>1471.35</v>
      </c>
      <c r="R139" s="1">
        <v>136487.43</v>
      </c>
      <c r="S139">
        <v>383.48</v>
      </c>
      <c r="T139">
        <v>0</v>
      </c>
      <c r="U139">
        <v>288.43</v>
      </c>
      <c r="Y139">
        <v>95.05</v>
      </c>
      <c r="Z139" t="s">
        <v>43</v>
      </c>
      <c r="AA139">
        <v>2022</v>
      </c>
      <c r="AB139" t="s">
        <v>100</v>
      </c>
      <c r="AC139" t="s">
        <v>53</v>
      </c>
      <c r="AD139" t="s">
        <v>101</v>
      </c>
    </row>
    <row r="140" spans="1:30" x14ac:dyDescent="0.25">
      <c r="A140">
        <v>139</v>
      </c>
      <c r="B140" t="s">
        <v>30</v>
      </c>
      <c r="C140" t="s">
        <v>717</v>
      </c>
      <c r="D140" t="s">
        <v>56</v>
      </c>
      <c r="E140" t="s">
        <v>56</v>
      </c>
      <c r="F140" t="s">
        <v>57</v>
      </c>
      <c r="G140" t="s">
        <v>57</v>
      </c>
      <c r="I140" t="s">
        <v>718</v>
      </c>
      <c r="J140">
        <f>57-300-270-557</f>
        <v>-1070</v>
      </c>
      <c r="K140" t="s">
        <v>719</v>
      </c>
      <c r="N140" t="s">
        <v>720</v>
      </c>
      <c r="O140" t="s">
        <v>614</v>
      </c>
      <c r="P140">
        <v>61.08</v>
      </c>
      <c r="Q140" s="1">
        <v>1467.63</v>
      </c>
      <c r="R140">
        <v>31.6</v>
      </c>
      <c r="S140">
        <v>452.42</v>
      </c>
      <c r="T140">
        <v>0</v>
      </c>
      <c r="U140">
        <v>116.02</v>
      </c>
      <c r="Y140">
        <v>336.4</v>
      </c>
      <c r="Z140" t="s">
        <v>43</v>
      </c>
      <c r="AA140">
        <v>2023</v>
      </c>
      <c r="AB140" t="s">
        <v>100</v>
      </c>
      <c r="AC140" t="s">
        <v>53</v>
      </c>
      <c r="AD140" t="s">
        <v>101</v>
      </c>
    </row>
    <row r="141" spans="1:30" x14ac:dyDescent="0.25">
      <c r="A141">
        <v>140</v>
      </c>
      <c r="B141" t="s">
        <v>30</v>
      </c>
      <c r="C141" t="s">
        <v>721</v>
      </c>
      <c r="D141" t="s">
        <v>72</v>
      </c>
      <c r="E141" t="s">
        <v>72</v>
      </c>
      <c r="F141" t="s">
        <v>73</v>
      </c>
      <c r="G141" t="s">
        <v>73</v>
      </c>
      <c r="I141" t="s">
        <v>722</v>
      </c>
      <c r="J141">
        <f>57-60-1-937-2631</f>
        <v>-3572</v>
      </c>
      <c r="K141" t="s">
        <v>723</v>
      </c>
      <c r="N141" t="s">
        <v>724</v>
      </c>
      <c r="O141" t="s">
        <v>301</v>
      </c>
      <c r="P141">
        <v>310.63</v>
      </c>
      <c r="Q141" s="1">
        <v>1443.1</v>
      </c>
      <c r="R141">
        <v>310.63</v>
      </c>
      <c r="S141" s="1">
        <v>1544.75</v>
      </c>
      <c r="T141">
        <v>0</v>
      </c>
      <c r="U141" s="1">
        <v>1229.02</v>
      </c>
      <c r="Y141">
        <v>315.74</v>
      </c>
      <c r="Z141" t="s">
        <v>43</v>
      </c>
      <c r="AA141">
        <v>2023</v>
      </c>
      <c r="AB141" t="s">
        <v>100</v>
      </c>
      <c r="AC141" t="s">
        <v>53</v>
      </c>
      <c r="AD141" t="s">
        <v>101</v>
      </c>
    </row>
    <row r="142" spans="1:30" x14ac:dyDescent="0.25">
      <c r="A142">
        <v>141</v>
      </c>
      <c r="B142" t="s">
        <v>30</v>
      </c>
      <c r="C142" t="s">
        <v>725</v>
      </c>
      <c r="D142" t="s">
        <v>64</v>
      </c>
      <c r="E142" t="s">
        <v>64</v>
      </c>
      <c r="F142" t="s">
        <v>65</v>
      </c>
      <c r="G142" t="s">
        <v>65</v>
      </c>
      <c r="H142" t="s">
        <v>726</v>
      </c>
      <c r="I142" t="s">
        <v>727</v>
      </c>
      <c r="J142">
        <f>57-60-1-744-6618</f>
        <v>-7366</v>
      </c>
      <c r="K142" t="s">
        <v>728</v>
      </c>
      <c r="N142" t="s">
        <v>729</v>
      </c>
      <c r="O142" t="s">
        <v>301</v>
      </c>
      <c r="P142">
        <v>98.63</v>
      </c>
      <c r="Q142" s="1">
        <v>1423.14</v>
      </c>
      <c r="R142">
        <v>98.63</v>
      </c>
      <c r="S142">
        <v>139.68</v>
      </c>
      <c r="T142">
        <v>0</v>
      </c>
      <c r="U142">
        <v>116.51</v>
      </c>
      <c r="Y142">
        <v>23.17</v>
      </c>
      <c r="Z142" t="s">
        <v>43</v>
      </c>
      <c r="AA142">
        <v>2023</v>
      </c>
      <c r="AB142" t="s">
        <v>100</v>
      </c>
      <c r="AC142" t="s">
        <v>53</v>
      </c>
      <c r="AD142" t="s">
        <v>101</v>
      </c>
    </row>
    <row r="143" spans="1:30" x14ac:dyDescent="0.25">
      <c r="A143">
        <v>142</v>
      </c>
      <c r="B143" t="s">
        <v>30</v>
      </c>
      <c r="C143" t="s">
        <v>730</v>
      </c>
      <c r="D143" t="s">
        <v>72</v>
      </c>
      <c r="E143" t="s">
        <v>72</v>
      </c>
      <c r="F143" t="s">
        <v>73</v>
      </c>
      <c r="G143" t="s">
        <v>73</v>
      </c>
      <c r="I143" t="s">
        <v>731</v>
      </c>
      <c r="J143">
        <f>57-310-378-3008</f>
        <v>-3639</v>
      </c>
      <c r="K143" t="s">
        <v>732</v>
      </c>
      <c r="N143" t="s">
        <v>733</v>
      </c>
      <c r="O143" t="s">
        <v>201</v>
      </c>
      <c r="P143" s="1">
        <v>-1229.69</v>
      </c>
      <c r="Q143" s="1">
        <v>1407.3</v>
      </c>
      <c r="R143" s="1">
        <v>-1229.69</v>
      </c>
      <c r="S143" s="1">
        <v>3792.94</v>
      </c>
      <c r="T143">
        <v>0</v>
      </c>
      <c r="U143" s="1">
        <v>3523.46</v>
      </c>
      <c r="Y143">
        <v>269.48</v>
      </c>
      <c r="Z143" t="s">
        <v>43</v>
      </c>
      <c r="AA143">
        <v>2023</v>
      </c>
      <c r="AB143" t="s">
        <v>100</v>
      </c>
      <c r="AC143" t="s">
        <v>53</v>
      </c>
      <c r="AD143" t="s">
        <v>101</v>
      </c>
    </row>
    <row r="144" spans="1:30" x14ac:dyDescent="0.25">
      <c r="A144">
        <v>143</v>
      </c>
      <c r="B144" t="s">
        <v>30</v>
      </c>
      <c r="C144" t="s">
        <v>734</v>
      </c>
      <c r="D144" t="s">
        <v>72</v>
      </c>
      <c r="E144" t="s">
        <v>72</v>
      </c>
      <c r="F144" t="s">
        <v>73</v>
      </c>
      <c r="G144" t="s">
        <v>73</v>
      </c>
      <c r="I144" t="s">
        <v>257</v>
      </c>
      <c r="J144">
        <f>57-60-1-218-3824</f>
        <v>-4046</v>
      </c>
      <c r="K144" t="s">
        <v>258</v>
      </c>
      <c r="N144" t="s">
        <v>735</v>
      </c>
      <c r="O144" t="s">
        <v>468</v>
      </c>
      <c r="P144">
        <v>26.03</v>
      </c>
      <c r="Q144" s="1">
        <v>1389.45</v>
      </c>
      <c r="R144">
        <v>-0.15</v>
      </c>
      <c r="S144">
        <v>331.88</v>
      </c>
      <c r="T144">
        <v>0</v>
      </c>
      <c r="U144">
        <v>154.71</v>
      </c>
      <c r="Y144">
        <v>177.17</v>
      </c>
      <c r="Z144" t="s">
        <v>43</v>
      </c>
      <c r="AA144">
        <v>2023</v>
      </c>
      <c r="AB144" t="s">
        <v>100</v>
      </c>
      <c r="AC144" t="s">
        <v>53</v>
      </c>
      <c r="AD144" t="s">
        <v>101</v>
      </c>
    </row>
    <row r="145" spans="1:30" x14ac:dyDescent="0.25">
      <c r="A145">
        <v>144</v>
      </c>
      <c r="B145" t="s">
        <v>30</v>
      </c>
      <c r="C145" t="s">
        <v>736</v>
      </c>
      <c r="D145" t="s">
        <v>72</v>
      </c>
      <c r="E145" t="s">
        <v>72</v>
      </c>
      <c r="F145" t="s">
        <v>73</v>
      </c>
      <c r="G145" t="s">
        <v>73</v>
      </c>
      <c r="I145" t="s">
        <v>737</v>
      </c>
      <c r="J145">
        <f>57-60-1-703-4778</f>
        <v>-5485</v>
      </c>
      <c r="K145" t="s">
        <v>738</v>
      </c>
      <c r="N145" t="s">
        <v>739</v>
      </c>
      <c r="O145" t="s">
        <v>135</v>
      </c>
      <c r="P145">
        <v>158.88999999999999</v>
      </c>
      <c r="Q145" s="1">
        <v>1376</v>
      </c>
      <c r="R145">
        <v>125.58</v>
      </c>
      <c r="S145">
        <v>783.56</v>
      </c>
      <c r="T145">
        <v>0</v>
      </c>
      <c r="U145">
        <v>285.79000000000002</v>
      </c>
      <c r="Y145">
        <v>497.77</v>
      </c>
      <c r="Z145" t="s">
        <v>43</v>
      </c>
      <c r="AA145">
        <v>2023</v>
      </c>
      <c r="AB145" t="s">
        <v>100</v>
      </c>
      <c r="AC145" t="s">
        <v>53</v>
      </c>
      <c r="AD145" t="s">
        <v>101</v>
      </c>
    </row>
    <row r="146" spans="1:30" x14ac:dyDescent="0.25">
      <c r="A146">
        <v>145</v>
      </c>
      <c r="B146" t="s">
        <v>30</v>
      </c>
      <c r="C146" t="s">
        <v>740</v>
      </c>
      <c r="D146" t="s">
        <v>56</v>
      </c>
      <c r="E146" t="s">
        <v>56</v>
      </c>
      <c r="F146" t="s">
        <v>57</v>
      </c>
      <c r="G146" t="s">
        <v>57</v>
      </c>
      <c r="I146" t="s">
        <v>741</v>
      </c>
      <c r="J146">
        <f>57-60-1-255-3252</f>
        <v>-3511</v>
      </c>
      <c r="K146" t="s">
        <v>742</v>
      </c>
      <c r="N146" t="s">
        <v>743</v>
      </c>
      <c r="O146" t="s">
        <v>744</v>
      </c>
      <c r="P146">
        <v>794.65</v>
      </c>
      <c r="Q146" s="1">
        <v>1367.23</v>
      </c>
      <c r="R146">
        <v>23.68</v>
      </c>
      <c r="S146" s="1">
        <v>1538.85</v>
      </c>
      <c r="T146">
        <v>0</v>
      </c>
      <c r="U146">
        <v>-99.43</v>
      </c>
      <c r="Y146" s="1">
        <v>1638.28</v>
      </c>
      <c r="Z146" t="s">
        <v>43</v>
      </c>
      <c r="AA146">
        <v>2021</v>
      </c>
      <c r="AB146" t="s">
        <v>100</v>
      </c>
      <c r="AC146" t="s">
        <v>53</v>
      </c>
      <c r="AD146" t="s">
        <v>101</v>
      </c>
    </row>
    <row r="147" spans="1:30" x14ac:dyDescent="0.25">
      <c r="A147">
        <v>146</v>
      </c>
      <c r="B147" t="s">
        <v>30</v>
      </c>
      <c r="C147" t="s">
        <v>745</v>
      </c>
      <c r="D147" t="s">
        <v>72</v>
      </c>
      <c r="E147" t="s">
        <v>72</v>
      </c>
      <c r="F147" t="s">
        <v>73</v>
      </c>
      <c r="G147" t="s">
        <v>73</v>
      </c>
      <c r="I147" t="s">
        <v>746</v>
      </c>
      <c r="J147">
        <f>57-60-1-702-150</f>
        <v>-856</v>
      </c>
      <c r="K147" t="s">
        <v>747</v>
      </c>
      <c r="N147" t="s">
        <v>748</v>
      </c>
      <c r="O147" t="s">
        <v>156</v>
      </c>
      <c r="P147">
        <v>-98.81</v>
      </c>
      <c r="Q147" s="1">
        <v>1362.13</v>
      </c>
      <c r="R147">
        <v>-101.84</v>
      </c>
      <c r="S147">
        <v>157.12</v>
      </c>
      <c r="T147">
        <v>0</v>
      </c>
      <c r="U147">
        <v>-38.64</v>
      </c>
      <c r="Y147">
        <v>195.76</v>
      </c>
      <c r="Z147" t="s">
        <v>43</v>
      </c>
      <c r="AA147">
        <v>2023</v>
      </c>
      <c r="AB147" t="s">
        <v>100</v>
      </c>
      <c r="AC147" t="s">
        <v>53</v>
      </c>
      <c r="AD147" t="s">
        <v>101</v>
      </c>
    </row>
    <row r="148" spans="1:30" x14ac:dyDescent="0.25">
      <c r="A148">
        <v>147</v>
      </c>
      <c r="B148" t="s">
        <v>30</v>
      </c>
      <c r="C148" t="s">
        <v>749</v>
      </c>
      <c r="D148" t="s">
        <v>56</v>
      </c>
      <c r="E148" t="s">
        <v>56</v>
      </c>
      <c r="F148" t="s">
        <v>57</v>
      </c>
      <c r="G148" t="s">
        <v>57</v>
      </c>
      <c r="I148" t="s">
        <v>750</v>
      </c>
      <c r="J148">
        <f>57-60-1-210-666</f>
        <v>-880</v>
      </c>
      <c r="K148" t="s">
        <v>751</v>
      </c>
      <c r="N148" t="s">
        <v>752</v>
      </c>
      <c r="O148" t="s">
        <v>410</v>
      </c>
      <c r="P148">
        <v>73.14</v>
      </c>
      <c r="Q148" s="1">
        <v>1344.91</v>
      </c>
      <c r="R148">
        <v>30.43</v>
      </c>
      <c r="S148">
        <v>337</v>
      </c>
      <c r="T148">
        <v>0</v>
      </c>
      <c r="U148">
        <v>148.63</v>
      </c>
      <c r="Y148">
        <v>188.37</v>
      </c>
      <c r="Z148" t="s">
        <v>43</v>
      </c>
      <c r="AA148">
        <v>2018</v>
      </c>
      <c r="AB148" t="s">
        <v>100</v>
      </c>
      <c r="AC148" t="s">
        <v>53</v>
      </c>
      <c r="AD148" t="s">
        <v>101</v>
      </c>
    </row>
    <row r="149" spans="1:30" x14ac:dyDescent="0.25">
      <c r="A149">
        <v>148</v>
      </c>
      <c r="B149" t="s">
        <v>30</v>
      </c>
      <c r="C149" t="s">
        <v>753</v>
      </c>
      <c r="D149" t="s">
        <v>754</v>
      </c>
      <c r="E149" t="s">
        <v>755</v>
      </c>
      <c r="F149" t="s">
        <v>756</v>
      </c>
      <c r="G149" t="s">
        <v>757</v>
      </c>
      <c r="I149" t="s">
        <v>758</v>
      </c>
      <c r="J149">
        <f>57-60-1-347-5548</f>
        <v>-5899</v>
      </c>
      <c r="K149" t="s">
        <v>759</v>
      </c>
      <c r="N149" t="s">
        <v>760</v>
      </c>
      <c r="O149" t="s">
        <v>761</v>
      </c>
      <c r="P149">
        <v>29.3</v>
      </c>
      <c r="Q149" s="1">
        <v>1322.01</v>
      </c>
      <c r="R149">
        <v>29.3</v>
      </c>
      <c r="S149">
        <v>335.32</v>
      </c>
      <c r="T149">
        <v>0</v>
      </c>
      <c r="U149">
        <v>186.03</v>
      </c>
      <c r="Y149">
        <v>149.29</v>
      </c>
      <c r="Z149" t="s">
        <v>43</v>
      </c>
      <c r="AA149">
        <v>2018</v>
      </c>
      <c r="AB149" t="s">
        <v>100</v>
      </c>
      <c r="AC149" t="s">
        <v>53</v>
      </c>
      <c r="AD149" t="s">
        <v>101</v>
      </c>
    </row>
    <row r="150" spans="1:30" x14ac:dyDescent="0.25">
      <c r="A150">
        <v>149</v>
      </c>
      <c r="B150" t="s">
        <v>30</v>
      </c>
      <c r="C150" t="s">
        <v>762</v>
      </c>
      <c r="D150" t="s">
        <v>64</v>
      </c>
      <c r="E150" t="s">
        <v>64</v>
      </c>
      <c r="F150" t="s">
        <v>65</v>
      </c>
      <c r="G150" t="s">
        <v>65</v>
      </c>
      <c r="I150" t="s">
        <v>763</v>
      </c>
      <c r="J150">
        <f>57-317-367-5377</f>
        <v>-6004</v>
      </c>
      <c r="K150" t="s">
        <v>764</v>
      </c>
      <c r="N150" t="s">
        <v>765</v>
      </c>
      <c r="O150" t="s">
        <v>156</v>
      </c>
      <c r="P150">
        <v>38.29</v>
      </c>
      <c r="Q150" s="1">
        <v>1315.7</v>
      </c>
      <c r="R150">
        <v>-18.37</v>
      </c>
      <c r="S150">
        <v>325.62</v>
      </c>
      <c r="T150">
        <v>0</v>
      </c>
      <c r="U150">
        <v>113.95</v>
      </c>
      <c r="Y150">
        <v>211.67</v>
      </c>
      <c r="Z150" t="s">
        <v>43</v>
      </c>
      <c r="AA150">
        <v>2023</v>
      </c>
      <c r="AB150" t="s">
        <v>100</v>
      </c>
      <c r="AC150" t="s">
        <v>53</v>
      </c>
      <c r="AD150" t="s">
        <v>101</v>
      </c>
    </row>
    <row r="151" spans="1:30" x14ac:dyDescent="0.25">
      <c r="A151">
        <v>150</v>
      </c>
      <c r="B151" t="s">
        <v>30</v>
      </c>
      <c r="C151" t="s">
        <v>766</v>
      </c>
      <c r="D151" t="s">
        <v>72</v>
      </c>
      <c r="E151" t="s">
        <v>72</v>
      </c>
      <c r="F151" t="s">
        <v>73</v>
      </c>
      <c r="G151" t="s">
        <v>73</v>
      </c>
      <c r="I151" t="s">
        <v>767</v>
      </c>
      <c r="J151">
        <f>57-60-1-676-3366</f>
        <v>-4046</v>
      </c>
      <c r="K151" t="s">
        <v>768</v>
      </c>
      <c r="N151" t="s">
        <v>769</v>
      </c>
      <c r="O151" t="s">
        <v>770</v>
      </c>
      <c r="P151">
        <v>-167.59</v>
      </c>
      <c r="Q151" s="1">
        <v>1301.27</v>
      </c>
      <c r="R151">
        <v>-11.74</v>
      </c>
      <c r="S151">
        <v>341.65</v>
      </c>
      <c r="T151">
        <v>0</v>
      </c>
      <c r="U151">
        <v>-79.7</v>
      </c>
      <c r="Y151">
        <v>421.35</v>
      </c>
      <c r="Z151" t="s">
        <v>43</v>
      </c>
      <c r="AA151">
        <v>2019</v>
      </c>
      <c r="AB151" t="s">
        <v>100</v>
      </c>
      <c r="AC151" t="s">
        <v>53</v>
      </c>
      <c r="AD151" t="s">
        <v>101</v>
      </c>
    </row>
    <row r="152" spans="1:30" x14ac:dyDescent="0.25">
      <c r="A152">
        <v>151</v>
      </c>
      <c r="B152" t="s">
        <v>30</v>
      </c>
      <c r="C152" t="s">
        <v>771</v>
      </c>
      <c r="D152" t="s">
        <v>772</v>
      </c>
      <c r="E152" t="s">
        <v>471</v>
      </c>
      <c r="F152" t="s">
        <v>773</v>
      </c>
      <c r="G152" t="s">
        <v>47</v>
      </c>
      <c r="I152" t="s">
        <v>774</v>
      </c>
      <c r="J152">
        <f>57-321-269-4868</f>
        <v>-5401</v>
      </c>
      <c r="K152" t="s">
        <v>775</v>
      </c>
      <c r="N152" t="s">
        <v>776</v>
      </c>
      <c r="O152" t="s">
        <v>777</v>
      </c>
      <c r="P152">
        <v>78.25</v>
      </c>
      <c r="Q152" s="1">
        <v>1282.42</v>
      </c>
      <c r="R152">
        <v>51.36</v>
      </c>
      <c r="S152">
        <v>409.97</v>
      </c>
      <c r="T152">
        <v>0</v>
      </c>
      <c r="U152">
        <v>1.53</v>
      </c>
      <c r="Y152">
        <v>408.44</v>
      </c>
      <c r="Z152" t="s">
        <v>43</v>
      </c>
      <c r="AA152">
        <v>2019</v>
      </c>
      <c r="AB152" t="s">
        <v>100</v>
      </c>
      <c r="AC152" t="s">
        <v>53</v>
      </c>
      <c r="AD152" t="s">
        <v>101</v>
      </c>
    </row>
    <row r="153" spans="1:30" x14ac:dyDescent="0.25">
      <c r="A153">
        <v>152</v>
      </c>
      <c r="B153" t="s">
        <v>30</v>
      </c>
      <c r="C153" t="s">
        <v>778</v>
      </c>
      <c r="D153" t="s">
        <v>56</v>
      </c>
      <c r="E153" t="s">
        <v>56</v>
      </c>
      <c r="F153" t="s">
        <v>57</v>
      </c>
      <c r="G153" t="s">
        <v>57</v>
      </c>
      <c r="I153" t="s">
        <v>779</v>
      </c>
      <c r="J153">
        <f>57-320-990-1223</f>
        <v>-2476</v>
      </c>
      <c r="K153" t="s">
        <v>780</v>
      </c>
      <c r="N153" t="s">
        <v>781</v>
      </c>
      <c r="O153" t="s">
        <v>459</v>
      </c>
      <c r="P153">
        <v>4.62</v>
      </c>
      <c r="Q153" s="1">
        <v>1282.3900000000001</v>
      </c>
      <c r="R153">
        <v>4.62</v>
      </c>
      <c r="S153">
        <v>275.87</v>
      </c>
      <c r="T153">
        <v>0</v>
      </c>
      <c r="U153">
        <v>-237.61</v>
      </c>
      <c r="Y153">
        <v>513.47</v>
      </c>
      <c r="Z153" t="s">
        <v>43</v>
      </c>
      <c r="AA153">
        <v>2023</v>
      </c>
      <c r="AB153" t="s">
        <v>100</v>
      </c>
      <c r="AC153" t="s">
        <v>53</v>
      </c>
      <c r="AD153" t="s">
        <v>101</v>
      </c>
    </row>
    <row r="154" spans="1:30" x14ac:dyDescent="0.25">
      <c r="A154">
        <v>153</v>
      </c>
      <c r="B154" t="s">
        <v>30</v>
      </c>
      <c r="C154" t="s">
        <v>782</v>
      </c>
      <c r="D154" t="s">
        <v>56</v>
      </c>
      <c r="E154" t="s">
        <v>56</v>
      </c>
      <c r="F154" t="s">
        <v>57</v>
      </c>
      <c r="G154" t="s">
        <v>57</v>
      </c>
      <c r="I154" t="s">
        <v>783</v>
      </c>
      <c r="J154">
        <f>57-314-373-200</f>
        <v>-830</v>
      </c>
      <c r="K154" t="s">
        <v>784</v>
      </c>
      <c r="N154" t="s">
        <v>785</v>
      </c>
      <c r="O154" t="s">
        <v>301</v>
      </c>
      <c r="P154">
        <v>0</v>
      </c>
      <c r="Q154" s="1">
        <v>1280</v>
      </c>
      <c r="R154">
        <v>73.77</v>
      </c>
      <c r="S154">
        <v>27</v>
      </c>
      <c r="T154">
        <v>0</v>
      </c>
      <c r="U154">
        <v>0</v>
      </c>
      <c r="Y154">
        <v>27</v>
      </c>
      <c r="Z154" t="s">
        <v>43</v>
      </c>
      <c r="AA154">
        <v>2023</v>
      </c>
      <c r="AB154" t="s">
        <v>100</v>
      </c>
      <c r="AC154" t="s">
        <v>53</v>
      </c>
      <c r="AD154" t="s">
        <v>101</v>
      </c>
    </row>
    <row r="155" spans="1:30" x14ac:dyDescent="0.25">
      <c r="A155">
        <v>154</v>
      </c>
      <c r="B155" t="s">
        <v>30</v>
      </c>
      <c r="C155" t="s">
        <v>786</v>
      </c>
      <c r="D155" t="s">
        <v>72</v>
      </c>
      <c r="E155" t="s">
        <v>72</v>
      </c>
      <c r="F155" t="s">
        <v>73</v>
      </c>
      <c r="G155" t="s">
        <v>73</v>
      </c>
      <c r="I155" t="s">
        <v>787</v>
      </c>
      <c r="J155">
        <f>57-60-1-218-3824</f>
        <v>-4046</v>
      </c>
      <c r="K155" t="s">
        <v>399</v>
      </c>
      <c r="N155" t="s">
        <v>788</v>
      </c>
      <c r="O155" t="s">
        <v>301</v>
      </c>
      <c r="P155" s="1">
        <v>15585.79</v>
      </c>
      <c r="Q155" s="1">
        <v>1271.1400000000001</v>
      </c>
      <c r="R155">
        <v>95.54</v>
      </c>
      <c r="S155" s="1">
        <v>1469.54</v>
      </c>
      <c r="T155">
        <v>0</v>
      </c>
      <c r="U155">
        <v>199.74</v>
      </c>
      <c r="Y155" s="1">
        <v>1269.8</v>
      </c>
      <c r="Z155" t="s">
        <v>43</v>
      </c>
      <c r="AA155">
        <v>2023</v>
      </c>
      <c r="AB155" t="s">
        <v>100</v>
      </c>
      <c r="AC155" t="s">
        <v>53</v>
      </c>
      <c r="AD155" t="s">
        <v>101</v>
      </c>
    </row>
    <row r="156" spans="1:30" x14ac:dyDescent="0.25">
      <c r="A156">
        <v>155</v>
      </c>
      <c r="B156" t="s">
        <v>30</v>
      </c>
      <c r="C156" t="s">
        <v>789</v>
      </c>
      <c r="D156" t="s">
        <v>56</v>
      </c>
      <c r="E156" t="s">
        <v>56</v>
      </c>
      <c r="F156" t="s">
        <v>57</v>
      </c>
      <c r="G156" t="s">
        <v>57</v>
      </c>
      <c r="I156" t="s">
        <v>790</v>
      </c>
      <c r="J156">
        <f>57-313-886-2489</f>
        <v>-3631</v>
      </c>
      <c r="K156" t="s">
        <v>791</v>
      </c>
      <c r="N156" t="s">
        <v>792</v>
      </c>
      <c r="O156" t="s">
        <v>406</v>
      </c>
      <c r="P156">
        <v>161.6</v>
      </c>
      <c r="Q156" s="1">
        <v>1241.3399999999999</v>
      </c>
      <c r="R156">
        <v>84.84</v>
      </c>
      <c r="S156" s="1">
        <v>1846.61</v>
      </c>
      <c r="T156">
        <v>0</v>
      </c>
      <c r="U156" s="1">
        <v>1205.92</v>
      </c>
      <c r="Y156">
        <v>640.69000000000005</v>
      </c>
      <c r="Z156" t="s">
        <v>43</v>
      </c>
      <c r="AA156">
        <v>2023</v>
      </c>
      <c r="AB156" t="s">
        <v>100</v>
      </c>
      <c r="AC156" t="s">
        <v>53</v>
      </c>
      <c r="AD156" t="s">
        <v>101</v>
      </c>
    </row>
    <row r="157" spans="1:30" x14ac:dyDescent="0.25">
      <c r="A157">
        <v>156</v>
      </c>
      <c r="B157" t="s">
        <v>30</v>
      </c>
      <c r="C157" t="s">
        <v>793</v>
      </c>
      <c r="D157" t="s">
        <v>56</v>
      </c>
      <c r="E157" t="s">
        <v>56</v>
      </c>
      <c r="F157" t="s">
        <v>57</v>
      </c>
      <c r="G157" t="s">
        <v>57</v>
      </c>
      <c r="I157" t="s">
        <v>794</v>
      </c>
      <c r="J157">
        <f>57-300-215-7698</f>
        <v>-8156</v>
      </c>
      <c r="K157" t="s">
        <v>795</v>
      </c>
      <c r="N157" t="s">
        <v>796</v>
      </c>
      <c r="O157" t="s">
        <v>797</v>
      </c>
      <c r="P157">
        <v>121.29</v>
      </c>
      <c r="Q157" s="1">
        <v>1203.69</v>
      </c>
      <c r="R157">
        <v>43.95</v>
      </c>
      <c r="S157">
        <v>855.6</v>
      </c>
      <c r="T157">
        <v>0</v>
      </c>
      <c r="U157">
        <v>312.61</v>
      </c>
      <c r="Y157">
        <v>542.99</v>
      </c>
      <c r="Z157" t="s">
        <v>43</v>
      </c>
      <c r="AA157">
        <v>2019</v>
      </c>
      <c r="AB157" t="s">
        <v>100</v>
      </c>
      <c r="AC157" t="s">
        <v>53</v>
      </c>
      <c r="AD157" t="s">
        <v>101</v>
      </c>
    </row>
    <row r="158" spans="1:30" x14ac:dyDescent="0.25">
      <c r="A158">
        <v>157</v>
      </c>
      <c r="B158" t="s">
        <v>30</v>
      </c>
      <c r="C158" t="s">
        <v>798</v>
      </c>
      <c r="D158" t="s">
        <v>799</v>
      </c>
      <c r="E158" t="s">
        <v>800</v>
      </c>
      <c r="F158" t="s">
        <v>801</v>
      </c>
      <c r="G158" t="s">
        <v>802</v>
      </c>
      <c r="I158" t="s">
        <v>803</v>
      </c>
      <c r="J158">
        <f>57-60-6-885-3100</f>
        <v>-3994</v>
      </c>
      <c r="K158" t="s">
        <v>804</v>
      </c>
      <c r="N158" t="s">
        <v>805</v>
      </c>
      <c r="O158" t="s">
        <v>806</v>
      </c>
      <c r="P158">
        <v>77.489999999999995</v>
      </c>
      <c r="Q158" s="1">
        <v>1195.58</v>
      </c>
      <c r="R158">
        <v>0</v>
      </c>
      <c r="S158">
        <v>981.77</v>
      </c>
      <c r="T158">
        <v>0</v>
      </c>
      <c r="U158">
        <v>0</v>
      </c>
      <c r="Y158">
        <v>739.63</v>
      </c>
      <c r="Z158" t="s">
        <v>43</v>
      </c>
      <c r="AA158">
        <v>2020</v>
      </c>
      <c r="AB158" t="s">
        <v>100</v>
      </c>
      <c r="AC158" t="s">
        <v>53</v>
      </c>
      <c r="AD158" t="s">
        <v>101</v>
      </c>
    </row>
    <row r="159" spans="1:30" x14ac:dyDescent="0.25">
      <c r="A159">
        <v>158</v>
      </c>
      <c r="B159" t="s">
        <v>30</v>
      </c>
      <c r="C159" t="s">
        <v>807</v>
      </c>
      <c r="D159" t="s">
        <v>72</v>
      </c>
      <c r="E159" t="s">
        <v>72</v>
      </c>
      <c r="F159" t="s">
        <v>73</v>
      </c>
      <c r="G159" t="s">
        <v>73</v>
      </c>
      <c r="I159" t="s">
        <v>808</v>
      </c>
      <c r="J159">
        <f>57-60-1-263-4453</f>
        <v>-4720</v>
      </c>
      <c r="K159" t="s">
        <v>809</v>
      </c>
      <c r="N159" t="s">
        <v>810</v>
      </c>
      <c r="O159" t="s">
        <v>811</v>
      </c>
      <c r="P159">
        <v>116.55</v>
      </c>
      <c r="Q159" s="1">
        <v>1180.1099999999999</v>
      </c>
      <c r="R159">
        <v>90.03</v>
      </c>
      <c r="S159">
        <v>789.05</v>
      </c>
      <c r="T159">
        <v>0</v>
      </c>
      <c r="U159">
        <v>728.03</v>
      </c>
      <c r="Y159">
        <v>61.02</v>
      </c>
      <c r="Z159" t="s">
        <v>43</v>
      </c>
      <c r="AA159">
        <v>2020</v>
      </c>
      <c r="AB159" t="s">
        <v>100</v>
      </c>
      <c r="AC159" t="s">
        <v>53</v>
      </c>
      <c r="AD159" t="s">
        <v>101</v>
      </c>
    </row>
    <row r="160" spans="1:30" x14ac:dyDescent="0.25">
      <c r="A160">
        <v>159</v>
      </c>
      <c r="B160" t="s">
        <v>30</v>
      </c>
      <c r="C160" t="s">
        <v>812</v>
      </c>
      <c r="D160" t="s">
        <v>813</v>
      </c>
      <c r="E160" t="s">
        <v>72</v>
      </c>
      <c r="F160" t="s">
        <v>814</v>
      </c>
      <c r="G160" t="s">
        <v>73</v>
      </c>
      <c r="I160" t="s">
        <v>815</v>
      </c>
      <c r="J160">
        <f>57-312-492-6765</f>
        <v>-7512</v>
      </c>
      <c r="K160" t="s">
        <v>816</v>
      </c>
      <c r="N160" t="s">
        <v>817</v>
      </c>
      <c r="O160" t="s">
        <v>818</v>
      </c>
      <c r="P160">
        <v>0</v>
      </c>
      <c r="Q160" s="1">
        <v>1165.23</v>
      </c>
      <c r="R160">
        <v>0</v>
      </c>
      <c r="S160">
        <v>169.09</v>
      </c>
      <c r="T160">
        <v>19.059999999999999</v>
      </c>
      <c r="U160">
        <v>0</v>
      </c>
      <c r="Y160">
        <v>169.09</v>
      </c>
      <c r="Z160" t="s">
        <v>43</v>
      </c>
      <c r="AA160">
        <v>2017</v>
      </c>
      <c r="AB160" t="s">
        <v>100</v>
      </c>
      <c r="AC160" t="s">
        <v>53</v>
      </c>
      <c r="AD160" t="s">
        <v>101</v>
      </c>
    </row>
    <row r="161" spans="1:30" x14ac:dyDescent="0.25">
      <c r="A161">
        <v>160</v>
      </c>
      <c r="B161" t="s">
        <v>30</v>
      </c>
      <c r="C161" t="s">
        <v>819</v>
      </c>
      <c r="D161" t="s">
        <v>46</v>
      </c>
      <c r="E161" t="s">
        <v>471</v>
      </c>
      <c r="F161" t="s">
        <v>820</v>
      </c>
      <c r="G161" t="s">
        <v>47</v>
      </c>
      <c r="H161" t="s">
        <v>821</v>
      </c>
      <c r="I161" t="s">
        <v>822</v>
      </c>
      <c r="J161">
        <f>57-60-1-615-8485</f>
        <v>-9104</v>
      </c>
      <c r="K161" t="s">
        <v>823</v>
      </c>
      <c r="N161" t="s">
        <v>824</v>
      </c>
      <c r="O161" t="s">
        <v>825</v>
      </c>
      <c r="P161">
        <v>0</v>
      </c>
      <c r="Q161" s="1">
        <v>1138.04</v>
      </c>
      <c r="R161">
        <v>0</v>
      </c>
      <c r="S161">
        <v>414.4</v>
      </c>
      <c r="T161">
        <v>0</v>
      </c>
      <c r="U161">
        <v>76.489999999999995</v>
      </c>
      <c r="Y161">
        <v>337.91</v>
      </c>
      <c r="Z161" t="s">
        <v>43</v>
      </c>
      <c r="AA161">
        <v>2018</v>
      </c>
      <c r="AB161" t="s">
        <v>100</v>
      </c>
      <c r="AC161" t="s">
        <v>53</v>
      </c>
      <c r="AD161" t="s">
        <v>101</v>
      </c>
    </row>
    <row r="162" spans="1:30" x14ac:dyDescent="0.25">
      <c r="A162">
        <v>161</v>
      </c>
      <c r="B162" t="s">
        <v>30</v>
      </c>
      <c r="C162" t="s">
        <v>826</v>
      </c>
      <c r="D162" t="s">
        <v>72</v>
      </c>
      <c r="E162" t="s">
        <v>72</v>
      </c>
      <c r="F162" t="s">
        <v>73</v>
      </c>
      <c r="G162" t="s">
        <v>73</v>
      </c>
      <c r="I162" t="s">
        <v>827</v>
      </c>
      <c r="J162">
        <f>57-300-218-2021</f>
        <v>-2482</v>
      </c>
      <c r="K162" t="s">
        <v>828</v>
      </c>
      <c r="N162" t="s">
        <v>829</v>
      </c>
      <c r="O162" t="s">
        <v>830</v>
      </c>
      <c r="P162">
        <v>-25.18</v>
      </c>
      <c r="Q162" s="1">
        <v>1115.22</v>
      </c>
      <c r="R162">
        <v>-25.18</v>
      </c>
      <c r="S162">
        <v>386.88</v>
      </c>
      <c r="T162">
        <v>0</v>
      </c>
      <c r="U162">
        <v>168.95</v>
      </c>
      <c r="Y162">
        <v>217.94</v>
      </c>
      <c r="Z162" t="s">
        <v>43</v>
      </c>
      <c r="AA162">
        <v>2017</v>
      </c>
      <c r="AB162" t="s">
        <v>100</v>
      </c>
      <c r="AC162" t="s">
        <v>53</v>
      </c>
      <c r="AD162" t="s">
        <v>101</v>
      </c>
    </row>
    <row r="163" spans="1:30" x14ac:dyDescent="0.25">
      <c r="A163">
        <v>162</v>
      </c>
      <c r="B163" t="s">
        <v>30</v>
      </c>
      <c r="C163" t="s">
        <v>831</v>
      </c>
      <c r="D163" t="s">
        <v>72</v>
      </c>
      <c r="E163" t="s">
        <v>72</v>
      </c>
      <c r="F163" t="s">
        <v>73</v>
      </c>
      <c r="G163" t="s">
        <v>73</v>
      </c>
      <c r="H163" t="s">
        <v>832</v>
      </c>
      <c r="I163" t="s">
        <v>67</v>
      </c>
      <c r="J163">
        <f>57-60-1-746-45</f>
        <v>-795</v>
      </c>
      <c r="K163" t="s">
        <v>68</v>
      </c>
      <c r="N163" t="s">
        <v>833</v>
      </c>
      <c r="O163" t="s">
        <v>323</v>
      </c>
      <c r="P163" s="1">
        <v>-3746.24</v>
      </c>
      <c r="Q163" s="1">
        <v>1089.92</v>
      </c>
      <c r="R163" s="1">
        <v>-3825.99</v>
      </c>
      <c r="S163" s="1">
        <v>6303.12</v>
      </c>
      <c r="T163">
        <v>0</v>
      </c>
      <c r="U163" s="1">
        <v>5747.11</v>
      </c>
      <c r="X163">
        <v>0</v>
      </c>
      <c r="Y163">
        <v>556</v>
      </c>
      <c r="Z163" t="s">
        <v>43</v>
      </c>
      <c r="AA163">
        <v>2023</v>
      </c>
      <c r="AB163" t="s">
        <v>27</v>
      </c>
      <c r="AC163" t="s">
        <v>53</v>
      </c>
      <c r="AD163" t="s">
        <v>54</v>
      </c>
    </row>
    <row r="164" spans="1:30" x14ac:dyDescent="0.25">
      <c r="A164">
        <v>163</v>
      </c>
      <c r="B164" t="s">
        <v>30</v>
      </c>
      <c r="C164" t="s">
        <v>834</v>
      </c>
      <c r="D164" t="s">
        <v>56</v>
      </c>
      <c r="E164" t="s">
        <v>56</v>
      </c>
      <c r="F164" t="s">
        <v>57</v>
      </c>
      <c r="G164" t="s">
        <v>57</v>
      </c>
      <c r="I164" t="s">
        <v>835</v>
      </c>
      <c r="J164">
        <f>57-311-892-9355</f>
        <v>-10501</v>
      </c>
      <c r="K164" t="s">
        <v>836</v>
      </c>
      <c r="N164" t="s">
        <v>837</v>
      </c>
      <c r="O164" t="s">
        <v>372</v>
      </c>
      <c r="P164">
        <v>-123.27</v>
      </c>
      <c r="Q164" s="1">
        <v>1059.52</v>
      </c>
      <c r="R164">
        <v>-174.34</v>
      </c>
      <c r="S164" s="1">
        <v>1464.46</v>
      </c>
      <c r="T164">
        <v>0</v>
      </c>
      <c r="U164" s="1">
        <v>1308.3699999999999</v>
      </c>
      <c r="Y164">
        <v>156.09</v>
      </c>
      <c r="Z164" t="s">
        <v>43</v>
      </c>
      <c r="AA164">
        <v>2022</v>
      </c>
      <c r="AB164" t="s">
        <v>100</v>
      </c>
      <c r="AC164" t="s">
        <v>53</v>
      </c>
      <c r="AD164" t="s">
        <v>101</v>
      </c>
    </row>
    <row r="165" spans="1:30" x14ac:dyDescent="0.25">
      <c r="A165">
        <v>164</v>
      </c>
      <c r="B165" t="s">
        <v>30</v>
      </c>
      <c r="C165" t="s">
        <v>838</v>
      </c>
      <c r="D165" t="s">
        <v>64</v>
      </c>
      <c r="E165" t="s">
        <v>64</v>
      </c>
      <c r="F165" t="s">
        <v>65</v>
      </c>
      <c r="G165" t="s">
        <v>65</v>
      </c>
      <c r="I165" t="s">
        <v>839</v>
      </c>
      <c r="J165">
        <f>57-311-452-7280</f>
        <v>-7986</v>
      </c>
      <c r="K165" t="s">
        <v>840</v>
      </c>
      <c r="N165" t="s">
        <v>841</v>
      </c>
      <c r="O165" t="s">
        <v>459</v>
      </c>
      <c r="P165">
        <v>118.53</v>
      </c>
      <c r="Q165" s="1">
        <v>1057.78</v>
      </c>
      <c r="R165">
        <v>118.53</v>
      </c>
      <c r="S165">
        <v>703.42</v>
      </c>
      <c r="T165">
        <v>0</v>
      </c>
      <c r="U165">
        <v>660.13</v>
      </c>
      <c r="Y165">
        <v>43.29</v>
      </c>
      <c r="Z165" t="s">
        <v>43</v>
      </c>
      <c r="AA165">
        <v>2023</v>
      </c>
      <c r="AB165" t="s">
        <v>100</v>
      </c>
      <c r="AC165" t="s">
        <v>53</v>
      </c>
      <c r="AD165" t="s">
        <v>101</v>
      </c>
    </row>
    <row r="166" spans="1:30" x14ac:dyDescent="0.25">
      <c r="A166">
        <v>165</v>
      </c>
      <c r="B166" t="s">
        <v>30</v>
      </c>
      <c r="C166" t="s">
        <v>842</v>
      </c>
      <c r="D166" t="s">
        <v>56</v>
      </c>
      <c r="E166" t="s">
        <v>56</v>
      </c>
      <c r="F166" t="s">
        <v>57</v>
      </c>
      <c r="G166" t="s">
        <v>57</v>
      </c>
      <c r="I166" t="s">
        <v>843</v>
      </c>
      <c r="J166">
        <f>57-321-202-9953</f>
        <v>-10419</v>
      </c>
      <c r="K166" t="s">
        <v>844</v>
      </c>
      <c r="N166" t="s">
        <v>845</v>
      </c>
      <c r="P166">
        <v>-448.61</v>
      </c>
      <c r="Q166" s="1">
        <v>1051.99</v>
      </c>
      <c r="R166">
        <v>-555.57000000000005</v>
      </c>
      <c r="S166">
        <v>150.02000000000001</v>
      </c>
      <c r="T166">
        <v>0</v>
      </c>
      <c r="U166">
        <v>-435.13</v>
      </c>
      <c r="Y166">
        <v>585.14</v>
      </c>
      <c r="Z166" t="s">
        <v>43</v>
      </c>
      <c r="AA166">
        <v>2023</v>
      </c>
      <c r="AB166" t="s">
        <v>100</v>
      </c>
      <c r="AC166" t="s">
        <v>53</v>
      </c>
      <c r="AD166" t="s">
        <v>101</v>
      </c>
    </row>
    <row r="167" spans="1:30" x14ac:dyDescent="0.25">
      <c r="A167">
        <v>166</v>
      </c>
      <c r="B167" t="s">
        <v>30</v>
      </c>
      <c r="C167" t="s">
        <v>846</v>
      </c>
      <c r="D167" t="s">
        <v>64</v>
      </c>
      <c r="E167" t="s">
        <v>64</v>
      </c>
      <c r="F167" t="s">
        <v>65</v>
      </c>
      <c r="G167" t="s">
        <v>65</v>
      </c>
      <c r="H167" t="s">
        <v>847</v>
      </c>
      <c r="I167" t="s">
        <v>848</v>
      </c>
      <c r="J167">
        <f>57-60-1-660-8530</f>
        <v>-9194</v>
      </c>
      <c r="K167" t="s">
        <v>849</v>
      </c>
      <c r="N167" t="s">
        <v>850</v>
      </c>
      <c r="O167" t="s">
        <v>423</v>
      </c>
      <c r="P167">
        <v>136.69999999999999</v>
      </c>
      <c r="Q167" s="1">
        <v>1024.52</v>
      </c>
      <c r="R167">
        <v>88.85</v>
      </c>
      <c r="S167">
        <v>861.24</v>
      </c>
      <c r="T167">
        <v>0</v>
      </c>
      <c r="U167">
        <v>487.65</v>
      </c>
      <c r="Y167">
        <v>373.59</v>
      </c>
      <c r="Z167" t="s">
        <v>43</v>
      </c>
      <c r="AA167">
        <v>2023</v>
      </c>
      <c r="AB167" t="s">
        <v>100</v>
      </c>
      <c r="AC167" t="s">
        <v>53</v>
      </c>
      <c r="AD167" t="s">
        <v>101</v>
      </c>
    </row>
    <row r="168" spans="1:30" x14ac:dyDescent="0.25">
      <c r="A168">
        <v>167</v>
      </c>
      <c r="B168" t="s">
        <v>30</v>
      </c>
      <c r="C168" t="s">
        <v>851</v>
      </c>
      <c r="D168" t="s">
        <v>72</v>
      </c>
      <c r="E168" t="s">
        <v>72</v>
      </c>
      <c r="F168" t="s">
        <v>73</v>
      </c>
      <c r="G168" t="s">
        <v>73</v>
      </c>
      <c r="I168" t="s">
        <v>852</v>
      </c>
      <c r="J168">
        <f>57-60-1-703-2636</f>
        <v>-3343</v>
      </c>
      <c r="K168" t="s">
        <v>853</v>
      </c>
      <c r="N168" t="s">
        <v>854</v>
      </c>
      <c r="O168" t="s">
        <v>855</v>
      </c>
      <c r="P168">
        <v>6.58</v>
      </c>
      <c r="Q168" s="1">
        <v>1010.13</v>
      </c>
      <c r="R168">
        <v>6.58</v>
      </c>
      <c r="S168">
        <v>858.84</v>
      </c>
      <c r="T168">
        <v>496.93</v>
      </c>
      <c r="U168">
        <v>371.94</v>
      </c>
      <c r="Y168">
        <v>486.9</v>
      </c>
      <c r="Z168" t="s">
        <v>43</v>
      </c>
      <c r="AA168">
        <v>2017</v>
      </c>
      <c r="AB168" t="s">
        <v>100</v>
      </c>
      <c r="AC168" t="s">
        <v>53</v>
      </c>
      <c r="AD168" t="s">
        <v>101</v>
      </c>
    </row>
    <row r="169" spans="1:30" x14ac:dyDescent="0.25">
      <c r="A169">
        <v>168</v>
      </c>
      <c r="B169" t="s">
        <v>30</v>
      </c>
      <c r="C169" t="s">
        <v>856</v>
      </c>
      <c r="D169" t="s">
        <v>56</v>
      </c>
      <c r="E169" t="s">
        <v>56</v>
      </c>
      <c r="F169" t="s">
        <v>57</v>
      </c>
      <c r="G169" t="s">
        <v>57</v>
      </c>
      <c r="I169" t="s">
        <v>857</v>
      </c>
      <c r="J169">
        <f>57-312-274-6677</f>
        <v>-7206</v>
      </c>
      <c r="K169" t="s">
        <v>858</v>
      </c>
      <c r="O169" t="s">
        <v>859</v>
      </c>
      <c r="P169">
        <v>528.41</v>
      </c>
      <c r="Q169">
        <v>973.71</v>
      </c>
      <c r="R169">
        <v>507.35</v>
      </c>
      <c r="S169" s="1">
        <v>67664.320000000007</v>
      </c>
      <c r="T169">
        <v>0</v>
      </c>
      <c r="U169" s="1">
        <v>66613.58</v>
      </c>
      <c r="Y169" s="1">
        <v>1050.74</v>
      </c>
      <c r="Z169" t="s">
        <v>43</v>
      </c>
      <c r="AA169">
        <v>2018</v>
      </c>
      <c r="AB169" t="s">
        <v>100</v>
      </c>
      <c r="AC169" t="s">
        <v>53</v>
      </c>
      <c r="AD169" t="s">
        <v>101</v>
      </c>
    </row>
    <row r="170" spans="1:30" x14ac:dyDescent="0.25">
      <c r="A170">
        <v>169</v>
      </c>
      <c r="B170" t="s">
        <v>30</v>
      </c>
      <c r="C170" t="s">
        <v>860</v>
      </c>
      <c r="D170" t="s">
        <v>861</v>
      </c>
      <c r="E170" t="s">
        <v>471</v>
      </c>
      <c r="F170" t="s">
        <v>862</v>
      </c>
      <c r="G170" t="s">
        <v>47</v>
      </c>
      <c r="I170" t="s">
        <v>863</v>
      </c>
      <c r="J170">
        <f>57-60-1-408-1427</f>
        <v>-1839</v>
      </c>
      <c r="K170" t="s">
        <v>864</v>
      </c>
      <c r="N170" t="s">
        <v>865</v>
      </c>
      <c r="O170" t="s">
        <v>859</v>
      </c>
      <c r="P170">
        <v>44.02</v>
      </c>
      <c r="Q170">
        <v>954.13</v>
      </c>
      <c r="R170">
        <v>28.28</v>
      </c>
      <c r="S170">
        <v>393.89</v>
      </c>
      <c r="T170">
        <v>0</v>
      </c>
      <c r="U170">
        <v>224.22</v>
      </c>
      <c r="Y170">
        <v>169.67</v>
      </c>
      <c r="Z170" t="s">
        <v>43</v>
      </c>
      <c r="AA170">
        <v>2018</v>
      </c>
      <c r="AB170" t="s">
        <v>100</v>
      </c>
      <c r="AC170" t="s">
        <v>53</v>
      </c>
      <c r="AD170" t="s">
        <v>101</v>
      </c>
    </row>
    <row r="171" spans="1:30" x14ac:dyDescent="0.25">
      <c r="A171">
        <v>170</v>
      </c>
      <c r="B171" t="s">
        <v>30</v>
      </c>
      <c r="C171" t="s">
        <v>866</v>
      </c>
      <c r="D171" t="s">
        <v>867</v>
      </c>
      <c r="E171" t="s">
        <v>56</v>
      </c>
      <c r="F171" t="s">
        <v>868</v>
      </c>
      <c r="G171" t="s">
        <v>57</v>
      </c>
      <c r="H171" t="s">
        <v>869</v>
      </c>
      <c r="I171" t="s">
        <v>870</v>
      </c>
      <c r="J171">
        <f>57-60-1-691-4125</f>
        <v>-4820</v>
      </c>
      <c r="K171" t="s">
        <v>481</v>
      </c>
      <c r="N171" t="s">
        <v>871</v>
      </c>
      <c r="O171" t="s">
        <v>872</v>
      </c>
      <c r="P171">
        <v>-185.11</v>
      </c>
      <c r="Q171">
        <v>946.67</v>
      </c>
      <c r="R171">
        <v>-203.73</v>
      </c>
      <c r="S171">
        <v>410.91</v>
      </c>
      <c r="T171">
        <v>0</v>
      </c>
      <c r="U171">
        <v>8.32</v>
      </c>
      <c r="Y171">
        <v>402.59</v>
      </c>
      <c r="Z171" t="s">
        <v>43</v>
      </c>
      <c r="AA171">
        <v>2020</v>
      </c>
      <c r="AB171" t="s">
        <v>100</v>
      </c>
      <c r="AC171" t="s">
        <v>53</v>
      </c>
      <c r="AD171" t="s">
        <v>101</v>
      </c>
    </row>
    <row r="172" spans="1:30" x14ac:dyDescent="0.25">
      <c r="A172">
        <v>171</v>
      </c>
      <c r="B172" t="s">
        <v>30</v>
      </c>
      <c r="C172" t="s">
        <v>873</v>
      </c>
      <c r="D172" t="s">
        <v>867</v>
      </c>
      <c r="E172" t="s">
        <v>471</v>
      </c>
      <c r="F172" t="s">
        <v>868</v>
      </c>
      <c r="G172" t="s">
        <v>47</v>
      </c>
      <c r="I172" t="s">
        <v>874</v>
      </c>
      <c r="J172">
        <f>57-60-1-691-4125</f>
        <v>-4820</v>
      </c>
      <c r="K172" t="s">
        <v>481</v>
      </c>
      <c r="N172" t="s">
        <v>871</v>
      </c>
      <c r="O172" t="s">
        <v>875</v>
      </c>
      <c r="P172">
        <v>34.700000000000003</v>
      </c>
      <c r="Q172">
        <v>930.46</v>
      </c>
      <c r="R172">
        <v>17.829999999999998</v>
      </c>
      <c r="S172">
        <v>422.53</v>
      </c>
      <c r="T172">
        <v>0</v>
      </c>
      <c r="U172">
        <v>-10.18</v>
      </c>
      <c r="Y172">
        <v>432.71</v>
      </c>
      <c r="Z172" t="s">
        <v>43</v>
      </c>
      <c r="AA172">
        <v>2019</v>
      </c>
      <c r="AB172" t="s">
        <v>100</v>
      </c>
      <c r="AC172" t="s">
        <v>53</v>
      </c>
      <c r="AD172" t="s">
        <v>101</v>
      </c>
    </row>
    <row r="173" spans="1:30" x14ac:dyDescent="0.25">
      <c r="A173">
        <v>172</v>
      </c>
      <c r="B173" t="s">
        <v>30</v>
      </c>
      <c r="C173" t="s">
        <v>876</v>
      </c>
      <c r="D173" t="s">
        <v>56</v>
      </c>
      <c r="E173" t="s">
        <v>56</v>
      </c>
      <c r="F173" t="s">
        <v>57</v>
      </c>
      <c r="G173" t="s">
        <v>57</v>
      </c>
      <c r="I173" t="s">
        <v>877</v>
      </c>
      <c r="J173">
        <f>57-310-852-4180</f>
        <v>-5285</v>
      </c>
      <c r="K173" t="s">
        <v>878</v>
      </c>
      <c r="N173" t="s">
        <v>879</v>
      </c>
      <c r="O173" t="s">
        <v>880</v>
      </c>
      <c r="P173">
        <v>394.51</v>
      </c>
      <c r="Q173">
        <v>926.82</v>
      </c>
      <c r="R173">
        <v>264.32</v>
      </c>
      <c r="S173" s="1">
        <v>1064.98</v>
      </c>
      <c r="T173">
        <v>0</v>
      </c>
      <c r="U173">
        <v>657.31</v>
      </c>
      <c r="Y173">
        <v>407.68</v>
      </c>
      <c r="Z173" t="s">
        <v>43</v>
      </c>
      <c r="AA173">
        <v>2019</v>
      </c>
      <c r="AB173" t="s">
        <v>100</v>
      </c>
      <c r="AC173" t="s">
        <v>53</v>
      </c>
      <c r="AD173" t="s">
        <v>101</v>
      </c>
    </row>
    <row r="174" spans="1:30" x14ac:dyDescent="0.25">
      <c r="A174">
        <v>173</v>
      </c>
      <c r="B174" t="s">
        <v>30</v>
      </c>
      <c r="C174" t="s">
        <v>881</v>
      </c>
      <c r="D174" t="s">
        <v>72</v>
      </c>
      <c r="E174" t="s">
        <v>72</v>
      </c>
      <c r="F174" t="s">
        <v>73</v>
      </c>
      <c r="G174" t="s">
        <v>73</v>
      </c>
      <c r="H174" t="s">
        <v>882</v>
      </c>
      <c r="I174" t="s">
        <v>883</v>
      </c>
      <c r="J174">
        <f>57-60-1-617-7919</f>
        <v>-8540</v>
      </c>
      <c r="K174" t="s">
        <v>575</v>
      </c>
      <c r="O174" t="s">
        <v>250</v>
      </c>
      <c r="P174">
        <v>119.94</v>
      </c>
      <c r="Q174">
        <v>911.64</v>
      </c>
      <c r="R174">
        <v>80.45</v>
      </c>
      <c r="S174">
        <v>814.87</v>
      </c>
      <c r="T174">
        <v>573.54</v>
      </c>
      <c r="U174">
        <v>377.91</v>
      </c>
      <c r="Y174">
        <v>436.97</v>
      </c>
      <c r="Z174" t="s">
        <v>43</v>
      </c>
      <c r="AA174">
        <v>2017</v>
      </c>
      <c r="AB174" t="s">
        <v>100</v>
      </c>
      <c r="AC174" t="s">
        <v>53</v>
      </c>
      <c r="AD174" t="s">
        <v>101</v>
      </c>
    </row>
    <row r="175" spans="1:30" x14ac:dyDescent="0.25">
      <c r="A175">
        <v>174</v>
      </c>
      <c r="B175" t="s">
        <v>30</v>
      </c>
      <c r="C175" t="s">
        <v>884</v>
      </c>
      <c r="D175" t="s">
        <v>72</v>
      </c>
      <c r="E175" t="s">
        <v>72</v>
      </c>
      <c r="F175" t="s">
        <v>73</v>
      </c>
      <c r="G175" t="s">
        <v>73</v>
      </c>
      <c r="I175" t="s">
        <v>885</v>
      </c>
      <c r="J175">
        <f>57-60-1-702-8580</f>
        <v>-9286</v>
      </c>
      <c r="K175" t="s">
        <v>886</v>
      </c>
      <c r="N175" t="s">
        <v>887</v>
      </c>
      <c r="O175" t="s">
        <v>888</v>
      </c>
      <c r="P175">
        <v>71.66</v>
      </c>
      <c r="Q175">
        <v>906.53</v>
      </c>
      <c r="R175">
        <v>49.45</v>
      </c>
      <c r="S175" s="1">
        <v>1317.66</v>
      </c>
      <c r="T175">
        <v>0</v>
      </c>
      <c r="U175">
        <v>555.35</v>
      </c>
      <c r="Y175">
        <v>762.32</v>
      </c>
      <c r="Z175" t="s">
        <v>43</v>
      </c>
      <c r="AA175">
        <v>2021</v>
      </c>
      <c r="AB175" t="s">
        <v>100</v>
      </c>
      <c r="AC175" t="s">
        <v>53</v>
      </c>
      <c r="AD175" t="s">
        <v>101</v>
      </c>
    </row>
    <row r="176" spans="1:30" x14ac:dyDescent="0.25">
      <c r="A176">
        <v>175</v>
      </c>
      <c r="B176" t="s">
        <v>30</v>
      </c>
      <c r="C176" t="s">
        <v>889</v>
      </c>
      <c r="D176" t="s">
        <v>56</v>
      </c>
      <c r="E176" t="s">
        <v>56</v>
      </c>
      <c r="F176" t="s">
        <v>57</v>
      </c>
      <c r="G176" t="s">
        <v>57</v>
      </c>
      <c r="I176" t="s">
        <v>890</v>
      </c>
      <c r="J176">
        <f>57-320-544-2700</f>
        <v>-3507</v>
      </c>
      <c r="K176" t="s">
        <v>891</v>
      </c>
      <c r="N176" t="s">
        <v>892</v>
      </c>
      <c r="O176" t="s">
        <v>893</v>
      </c>
      <c r="P176">
        <v>46.5</v>
      </c>
      <c r="Q176">
        <v>886.3</v>
      </c>
      <c r="R176">
        <v>11.36</v>
      </c>
      <c r="S176">
        <v>462.96</v>
      </c>
      <c r="T176">
        <v>0</v>
      </c>
      <c r="U176">
        <v>-21.24</v>
      </c>
      <c r="Y176">
        <v>484.2</v>
      </c>
      <c r="Z176" t="s">
        <v>43</v>
      </c>
      <c r="AA176">
        <v>2022</v>
      </c>
      <c r="AB176" t="s">
        <v>100</v>
      </c>
      <c r="AC176" t="s">
        <v>53</v>
      </c>
      <c r="AD176" t="s">
        <v>101</v>
      </c>
    </row>
    <row r="177" spans="1:30" x14ac:dyDescent="0.25">
      <c r="A177">
        <v>176</v>
      </c>
      <c r="B177" t="s">
        <v>30</v>
      </c>
      <c r="C177" t="s">
        <v>894</v>
      </c>
      <c r="D177" t="s">
        <v>64</v>
      </c>
      <c r="E177" t="s">
        <v>64</v>
      </c>
      <c r="F177" t="s">
        <v>65</v>
      </c>
      <c r="G177" t="s">
        <v>65</v>
      </c>
      <c r="I177" t="s">
        <v>895</v>
      </c>
      <c r="J177">
        <f>57-60-1-260-8281</f>
        <v>-8545</v>
      </c>
      <c r="K177" t="s">
        <v>896</v>
      </c>
      <c r="N177" t="s">
        <v>897</v>
      </c>
      <c r="O177" t="s">
        <v>265</v>
      </c>
      <c r="P177">
        <v>563.87</v>
      </c>
      <c r="Q177">
        <v>859.49</v>
      </c>
      <c r="R177">
        <v>536.94000000000005</v>
      </c>
      <c r="S177" s="1">
        <v>1203.46</v>
      </c>
      <c r="T177">
        <v>0</v>
      </c>
      <c r="U177" s="1">
        <v>1144.82</v>
      </c>
      <c r="Y177">
        <v>58.64</v>
      </c>
      <c r="Z177" t="s">
        <v>43</v>
      </c>
      <c r="AA177">
        <v>2023</v>
      </c>
      <c r="AB177" t="s">
        <v>100</v>
      </c>
      <c r="AC177" t="s">
        <v>53</v>
      </c>
      <c r="AD177" t="s">
        <v>101</v>
      </c>
    </row>
    <row r="178" spans="1:30" x14ac:dyDescent="0.25">
      <c r="A178">
        <v>177</v>
      </c>
      <c r="B178" t="s">
        <v>30</v>
      </c>
      <c r="C178" t="s">
        <v>898</v>
      </c>
      <c r="D178" t="s">
        <v>899</v>
      </c>
      <c r="E178" t="s">
        <v>471</v>
      </c>
      <c r="F178" t="s">
        <v>900</v>
      </c>
      <c r="G178" t="s">
        <v>47</v>
      </c>
      <c r="I178" t="s">
        <v>901</v>
      </c>
      <c r="J178">
        <f>57-60-1-743-6819 +57-317-728-3676</f>
        <v>-12230</v>
      </c>
      <c r="K178" t="s">
        <v>902</v>
      </c>
      <c r="N178" t="s">
        <v>903</v>
      </c>
      <c r="P178">
        <v>67.069999999999993</v>
      </c>
      <c r="Q178">
        <v>857</v>
      </c>
      <c r="R178">
        <v>-59.7</v>
      </c>
      <c r="S178" s="1">
        <v>1310.77</v>
      </c>
      <c r="T178" s="1">
        <v>1066.02</v>
      </c>
      <c r="U178" s="1">
        <v>-2713.01</v>
      </c>
      <c r="X178">
        <v>0</v>
      </c>
      <c r="Y178" s="1">
        <v>4023.79</v>
      </c>
      <c r="Z178" t="s">
        <v>43</v>
      </c>
      <c r="AA178">
        <v>2023</v>
      </c>
      <c r="AB178" t="s">
        <v>27</v>
      </c>
      <c r="AC178" t="s">
        <v>53</v>
      </c>
      <c r="AD178" t="s">
        <v>54</v>
      </c>
    </row>
    <row r="179" spans="1:30" x14ac:dyDescent="0.25">
      <c r="A179">
        <v>178</v>
      </c>
      <c r="B179" t="s">
        <v>30</v>
      </c>
      <c r="C179" t="s">
        <v>904</v>
      </c>
      <c r="D179" t="s">
        <v>56</v>
      </c>
      <c r="E179" t="s">
        <v>56</v>
      </c>
      <c r="F179" t="s">
        <v>57</v>
      </c>
      <c r="G179" t="s">
        <v>57</v>
      </c>
      <c r="I179" t="s">
        <v>905</v>
      </c>
      <c r="J179">
        <f>57-320-954-6404</f>
        <v>-7621</v>
      </c>
      <c r="K179" t="s">
        <v>906</v>
      </c>
      <c r="O179" t="s">
        <v>907</v>
      </c>
      <c r="P179">
        <v>-116.28</v>
      </c>
      <c r="Q179">
        <v>856.67</v>
      </c>
      <c r="R179">
        <v>0</v>
      </c>
      <c r="S179" s="1">
        <v>2425.9899999999998</v>
      </c>
      <c r="T179">
        <v>0</v>
      </c>
      <c r="U179">
        <v>180.06</v>
      </c>
      <c r="Y179" s="1">
        <v>2245.9299999999998</v>
      </c>
      <c r="Z179" t="s">
        <v>43</v>
      </c>
      <c r="AA179">
        <v>2018</v>
      </c>
      <c r="AB179" t="s">
        <v>100</v>
      </c>
      <c r="AC179" t="s">
        <v>53</v>
      </c>
      <c r="AD179" t="s">
        <v>101</v>
      </c>
    </row>
    <row r="180" spans="1:30" x14ac:dyDescent="0.25">
      <c r="A180">
        <v>179</v>
      </c>
      <c r="B180" t="s">
        <v>30</v>
      </c>
      <c r="C180" t="s">
        <v>908</v>
      </c>
      <c r="D180" t="s">
        <v>909</v>
      </c>
      <c r="E180" t="s">
        <v>471</v>
      </c>
      <c r="F180" t="s">
        <v>910</v>
      </c>
      <c r="G180" t="s">
        <v>47</v>
      </c>
      <c r="I180" t="s">
        <v>911</v>
      </c>
      <c r="J180">
        <f>57-311-811-501</f>
        <v>-1566</v>
      </c>
      <c r="K180" t="s">
        <v>912</v>
      </c>
      <c r="N180" t="s">
        <v>913</v>
      </c>
      <c r="O180" t="s">
        <v>691</v>
      </c>
      <c r="P180">
        <v>-352.52</v>
      </c>
      <c r="Q180">
        <v>818.78</v>
      </c>
      <c r="R180">
        <v>-352.52</v>
      </c>
      <c r="S180">
        <v>636.42999999999995</v>
      </c>
      <c r="T180">
        <v>0</v>
      </c>
      <c r="U180">
        <v>-524.39</v>
      </c>
      <c r="Y180" s="1">
        <v>1160.82</v>
      </c>
      <c r="Z180" t="s">
        <v>43</v>
      </c>
      <c r="AA180">
        <v>2019</v>
      </c>
      <c r="AB180" t="s">
        <v>100</v>
      </c>
      <c r="AC180" t="s">
        <v>53</v>
      </c>
      <c r="AD180" t="s">
        <v>101</v>
      </c>
    </row>
    <row r="181" spans="1:30" x14ac:dyDescent="0.25">
      <c r="A181">
        <v>180</v>
      </c>
      <c r="B181" t="s">
        <v>30</v>
      </c>
      <c r="C181" t="s">
        <v>914</v>
      </c>
      <c r="D181" t="s">
        <v>72</v>
      </c>
      <c r="E181" t="s">
        <v>72</v>
      </c>
      <c r="F181" t="s">
        <v>73</v>
      </c>
      <c r="G181" t="s">
        <v>73</v>
      </c>
      <c r="I181" t="s">
        <v>915</v>
      </c>
      <c r="J181">
        <f>57-320-463-9819</f>
        <v>-10545</v>
      </c>
      <c r="K181" t="s">
        <v>916</v>
      </c>
      <c r="N181" t="s">
        <v>917</v>
      </c>
      <c r="O181" t="s">
        <v>918</v>
      </c>
      <c r="P181">
        <v>497.31</v>
      </c>
      <c r="Q181">
        <v>813.35</v>
      </c>
      <c r="R181">
        <v>-98.01</v>
      </c>
      <c r="S181">
        <v>541.96</v>
      </c>
      <c r="T181">
        <v>0</v>
      </c>
      <c r="U181">
        <v>-44.23</v>
      </c>
      <c r="Y181">
        <v>586.19000000000005</v>
      </c>
      <c r="Z181" t="s">
        <v>43</v>
      </c>
      <c r="AA181">
        <v>2021</v>
      </c>
      <c r="AB181" t="s">
        <v>100</v>
      </c>
      <c r="AC181" t="s">
        <v>53</v>
      </c>
      <c r="AD181" t="s">
        <v>101</v>
      </c>
    </row>
    <row r="182" spans="1:30" x14ac:dyDescent="0.25">
      <c r="A182">
        <v>181</v>
      </c>
      <c r="B182" t="s">
        <v>30</v>
      </c>
      <c r="C182" t="s">
        <v>919</v>
      </c>
      <c r="D182" t="s">
        <v>64</v>
      </c>
      <c r="E182" t="s">
        <v>64</v>
      </c>
      <c r="F182" t="s">
        <v>65</v>
      </c>
      <c r="G182" t="s">
        <v>65</v>
      </c>
      <c r="I182" t="s">
        <v>920</v>
      </c>
      <c r="J182">
        <f>57-314-683-3018</f>
        <v>-3958</v>
      </c>
      <c r="K182" t="s">
        <v>921</v>
      </c>
      <c r="O182" t="s">
        <v>567</v>
      </c>
      <c r="P182">
        <v>34.94</v>
      </c>
      <c r="Q182">
        <v>811.75</v>
      </c>
      <c r="R182">
        <v>-32.869999999999997</v>
      </c>
      <c r="S182">
        <v>527.80999999999995</v>
      </c>
      <c r="T182">
        <v>0</v>
      </c>
      <c r="U182">
        <v>15.06</v>
      </c>
      <c r="Y182">
        <v>512.75</v>
      </c>
      <c r="Z182" t="s">
        <v>43</v>
      </c>
      <c r="AA182">
        <v>2018</v>
      </c>
      <c r="AB182" t="s">
        <v>100</v>
      </c>
      <c r="AC182" t="s">
        <v>53</v>
      </c>
      <c r="AD182" t="s">
        <v>101</v>
      </c>
    </row>
    <row r="183" spans="1:30" x14ac:dyDescent="0.25">
      <c r="A183">
        <v>182</v>
      </c>
      <c r="B183" t="s">
        <v>30</v>
      </c>
      <c r="C183" t="s">
        <v>922</v>
      </c>
      <c r="D183" t="s">
        <v>56</v>
      </c>
      <c r="E183" t="s">
        <v>56</v>
      </c>
      <c r="F183" t="s">
        <v>57</v>
      </c>
      <c r="G183" t="s">
        <v>57</v>
      </c>
      <c r="I183" t="s">
        <v>923</v>
      </c>
      <c r="J183">
        <f>57-60-1-211-755</f>
        <v>-970</v>
      </c>
      <c r="K183" t="s">
        <v>924</v>
      </c>
      <c r="N183" t="s">
        <v>925</v>
      </c>
      <c r="O183" t="s">
        <v>926</v>
      </c>
      <c r="P183">
        <v>51.93</v>
      </c>
      <c r="Q183">
        <v>809.88</v>
      </c>
      <c r="R183">
        <v>46.57</v>
      </c>
      <c r="S183">
        <v>439.81</v>
      </c>
      <c r="T183">
        <v>0</v>
      </c>
      <c r="U183">
        <v>233.95</v>
      </c>
      <c r="Y183">
        <v>205.85</v>
      </c>
      <c r="Z183" t="s">
        <v>43</v>
      </c>
      <c r="AA183">
        <v>2018</v>
      </c>
      <c r="AB183" t="s">
        <v>100</v>
      </c>
      <c r="AC183" t="s">
        <v>53</v>
      </c>
      <c r="AD183" t="s">
        <v>101</v>
      </c>
    </row>
    <row r="184" spans="1:30" x14ac:dyDescent="0.25">
      <c r="A184">
        <v>183</v>
      </c>
      <c r="B184" t="s">
        <v>30</v>
      </c>
      <c r="C184" t="s">
        <v>927</v>
      </c>
      <c r="D184" t="s">
        <v>72</v>
      </c>
      <c r="E184" t="s">
        <v>72</v>
      </c>
      <c r="F184" t="s">
        <v>73</v>
      </c>
      <c r="G184" t="s">
        <v>73</v>
      </c>
      <c r="I184" t="s">
        <v>928</v>
      </c>
      <c r="J184">
        <f>57-60-1-828-3947</f>
        <v>-4779</v>
      </c>
      <c r="K184" t="s">
        <v>929</v>
      </c>
      <c r="N184" t="s">
        <v>930</v>
      </c>
      <c r="O184" t="s">
        <v>602</v>
      </c>
      <c r="P184">
        <v>49.21</v>
      </c>
      <c r="Q184">
        <v>799.34</v>
      </c>
      <c r="R184">
        <v>49.21</v>
      </c>
      <c r="S184">
        <v>401.03</v>
      </c>
      <c r="T184">
        <v>0</v>
      </c>
      <c r="U184">
        <v>72.53</v>
      </c>
      <c r="Y184">
        <v>328.51</v>
      </c>
      <c r="Z184" t="s">
        <v>43</v>
      </c>
      <c r="AA184">
        <v>2022</v>
      </c>
      <c r="AB184" t="s">
        <v>100</v>
      </c>
      <c r="AC184" t="s">
        <v>53</v>
      </c>
      <c r="AD184" t="s">
        <v>101</v>
      </c>
    </row>
    <row r="185" spans="1:30" x14ac:dyDescent="0.25">
      <c r="A185">
        <v>184</v>
      </c>
      <c r="B185" t="s">
        <v>30</v>
      </c>
      <c r="C185" t="s">
        <v>931</v>
      </c>
      <c r="D185" t="s">
        <v>72</v>
      </c>
      <c r="E185" t="s">
        <v>72</v>
      </c>
      <c r="F185" t="s">
        <v>73</v>
      </c>
      <c r="G185" t="s">
        <v>73</v>
      </c>
      <c r="I185" t="s">
        <v>350</v>
      </c>
      <c r="J185">
        <f>57-311-219-9357</f>
        <v>-9830</v>
      </c>
      <c r="K185" t="s">
        <v>932</v>
      </c>
      <c r="N185" t="s">
        <v>933</v>
      </c>
      <c r="O185" t="s">
        <v>934</v>
      </c>
      <c r="P185">
        <v>19.98</v>
      </c>
      <c r="Q185">
        <v>776.21</v>
      </c>
      <c r="R185">
        <v>4.8899999999999997</v>
      </c>
      <c r="S185">
        <v>438.39</v>
      </c>
      <c r="T185">
        <v>0</v>
      </c>
      <c r="U185">
        <v>158.29</v>
      </c>
      <c r="Y185">
        <v>280.10000000000002</v>
      </c>
      <c r="Z185" t="s">
        <v>43</v>
      </c>
      <c r="AA185">
        <v>2019</v>
      </c>
      <c r="AB185" t="s">
        <v>100</v>
      </c>
      <c r="AC185" t="s">
        <v>53</v>
      </c>
      <c r="AD185" t="s">
        <v>101</v>
      </c>
    </row>
    <row r="186" spans="1:30" x14ac:dyDescent="0.25">
      <c r="A186">
        <v>185</v>
      </c>
      <c r="B186" t="s">
        <v>30</v>
      </c>
      <c r="C186" t="s">
        <v>935</v>
      </c>
      <c r="D186" t="s">
        <v>56</v>
      </c>
      <c r="E186" t="s">
        <v>56</v>
      </c>
      <c r="F186" t="s">
        <v>57</v>
      </c>
      <c r="G186" t="s">
        <v>57</v>
      </c>
      <c r="H186" t="s">
        <v>936</v>
      </c>
      <c r="I186" t="s">
        <v>937</v>
      </c>
      <c r="J186">
        <f>57-60-1-530-7411</f>
        <v>-7945</v>
      </c>
      <c r="K186" t="s">
        <v>938</v>
      </c>
      <c r="N186" t="s">
        <v>939</v>
      </c>
      <c r="O186" t="s">
        <v>926</v>
      </c>
      <c r="P186">
        <v>49.76</v>
      </c>
      <c r="Q186">
        <v>766.19</v>
      </c>
      <c r="R186">
        <v>26.71</v>
      </c>
      <c r="S186" s="1">
        <v>1689.45</v>
      </c>
      <c r="T186">
        <v>0</v>
      </c>
      <c r="U186">
        <v>225.69</v>
      </c>
      <c r="Y186" s="1">
        <v>1463.76</v>
      </c>
      <c r="Z186" t="s">
        <v>43</v>
      </c>
      <c r="AA186">
        <v>2018</v>
      </c>
      <c r="AB186" t="s">
        <v>100</v>
      </c>
      <c r="AC186" t="s">
        <v>53</v>
      </c>
      <c r="AD186" t="s">
        <v>101</v>
      </c>
    </row>
    <row r="187" spans="1:30" x14ac:dyDescent="0.25">
      <c r="A187">
        <v>186</v>
      </c>
      <c r="B187" t="s">
        <v>30</v>
      </c>
      <c r="C187" t="s">
        <v>940</v>
      </c>
      <c r="D187" t="s">
        <v>46</v>
      </c>
      <c r="E187" t="s">
        <v>471</v>
      </c>
      <c r="F187" t="s">
        <v>941</v>
      </c>
      <c r="G187" t="s">
        <v>47</v>
      </c>
      <c r="I187" t="s">
        <v>942</v>
      </c>
      <c r="J187">
        <f>57-60-1-269-8573</f>
        <v>-8846</v>
      </c>
      <c r="K187" t="s">
        <v>943</v>
      </c>
      <c r="N187" t="s">
        <v>944</v>
      </c>
      <c r="O187" t="s">
        <v>945</v>
      </c>
      <c r="P187">
        <v>344.77</v>
      </c>
      <c r="Q187">
        <v>754.59</v>
      </c>
      <c r="R187">
        <v>-81.790000000000006</v>
      </c>
      <c r="S187">
        <v>368.2</v>
      </c>
      <c r="T187">
        <v>0</v>
      </c>
      <c r="U187">
        <v>138.63</v>
      </c>
      <c r="Y187">
        <v>229.57</v>
      </c>
      <c r="Z187" t="s">
        <v>43</v>
      </c>
      <c r="AA187">
        <v>2018</v>
      </c>
      <c r="AB187" t="s">
        <v>100</v>
      </c>
      <c r="AC187" t="s">
        <v>53</v>
      </c>
      <c r="AD187" t="s">
        <v>101</v>
      </c>
    </row>
    <row r="188" spans="1:30" x14ac:dyDescent="0.25">
      <c r="A188">
        <v>187</v>
      </c>
      <c r="B188" t="s">
        <v>30</v>
      </c>
      <c r="C188" t="s">
        <v>946</v>
      </c>
      <c r="D188" t="s">
        <v>947</v>
      </c>
      <c r="E188" t="s">
        <v>948</v>
      </c>
      <c r="F188" t="s">
        <v>949</v>
      </c>
      <c r="G188" t="s">
        <v>950</v>
      </c>
      <c r="I188" t="s">
        <v>951</v>
      </c>
      <c r="J188">
        <f>57-60-1-629-235</f>
        <v>-868</v>
      </c>
      <c r="K188" t="s">
        <v>952</v>
      </c>
      <c r="N188" t="s">
        <v>953</v>
      </c>
      <c r="P188">
        <v>44.73</v>
      </c>
      <c r="Q188">
        <v>747.8</v>
      </c>
      <c r="R188">
        <v>29.97</v>
      </c>
      <c r="S188" s="1">
        <v>1022.99</v>
      </c>
      <c r="T188">
        <v>0</v>
      </c>
      <c r="U188">
        <v>197.71</v>
      </c>
      <c r="Y188">
        <v>825.28</v>
      </c>
      <c r="Z188" t="s">
        <v>43</v>
      </c>
      <c r="AA188">
        <v>2018</v>
      </c>
      <c r="AB188" t="s">
        <v>100</v>
      </c>
      <c r="AC188" t="s">
        <v>53</v>
      </c>
      <c r="AD188" t="s">
        <v>101</v>
      </c>
    </row>
    <row r="189" spans="1:30" x14ac:dyDescent="0.25">
      <c r="A189">
        <v>188</v>
      </c>
      <c r="B189" t="s">
        <v>30</v>
      </c>
      <c r="C189" t="s">
        <v>954</v>
      </c>
      <c r="D189" t="s">
        <v>56</v>
      </c>
      <c r="E189" t="s">
        <v>56</v>
      </c>
      <c r="F189" t="s">
        <v>57</v>
      </c>
      <c r="G189" t="s">
        <v>57</v>
      </c>
      <c r="I189" t="s">
        <v>955</v>
      </c>
      <c r="J189">
        <f>57-60-1-286-8374</f>
        <v>-8664</v>
      </c>
      <c r="K189" t="s">
        <v>956</v>
      </c>
      <c r="N189" t="s">
        <v>957</v>
      </c>
      <c r="P189">
        <v>60.77</v>
      </c>
      <c r="Q189">
        <v>720.38</v>
      </c>
      <c r="R189">
        <v>60.77</v>
      </c>
      <c r="S189">
        <v>466.8</v>
      </c>
      <c r="T189">
        <v>0</v>
      </c>
      <c r="U189">
        <v>421.34</v>
      </c>
      <c r="Y189">
        <v>45.46</v>
      </c>
      <c r="Z189" t="s">
        <v>43</v>
      </c>
      <c r="AA189">
        <v>2023</v>
      </c>
      <c r="AB189" t="s">
        <v>100</v>
      </c>
      <c r="AC189" t="s">
        <v>53</v>
      </c>
      <c r="AD189" t="s">
        <v>101</v>
      </c>
    </row>
    <row r="190" spans="1:30" x14ac:dyDescent="0.25">
      <c r="A190">
        <v>189</v>
      </c>
      <c r="B190" t="s">
        <v>30</v>
      </c>
      <c r="C190" t="s">
        <v>958</v>
      </c>
      <c r="D190" t="s">
        <v>56</v>
      </c>
      <c r="E190" t="s">
        <v>56</v>
      </c>
      <c r="F190" t="s">
        <v>57</v>
      </c>
      <c r="G190" t="s">
        <v>57</v>
      </c>
      <c r="I190" t="s">
        <v>959</v>
      </c>
      <c r="J190">
        <f>57-316-618-2794</f>
        <v>-3671</v>
      </c>
      <c r="K190" t="s">
        <v>960</v>
      </c>
      <c r="N190" t="s">
        <v>961</v>
      </c>
      <c r="O190" t="s">
        <v>962</v>
      </c>
      <c r="P190">
        <v>0</v>
      </c>
      <c r="Q190">
        <v>718.69</v>
      </c>
      <c r="R190">
        <v>16.02</v>
      </c>
      <c r="S190">
        <v>709.53</v>
      </c>
      <c r="T190">
        <v>0</v>
      </c>
      <c r="U190">
        <v>230.15</v>
      </c>
      <c r="Y190">
        <v>479.39</v>
      </c>
      <c r="Z190" t="s">
        <v>43</v>
      </c>
      <c r="AA190">
        <v>2017</v>
      </c>
      <c r="AB190" t="s">
        <v>100</v>
      </c>
      <c r="AC190" t="s">
        <v>53</v>
      </c>
      <c r="AD190" t="s">
        <v>101</v>
      </c>
    </row>
    <row r="191" spans="1:30" x14ac:dyDescent="0.25">
      <c r="A191">
        <v>190</v>
      </c>
      <c r="B191" t="s">
        <v>30</v>
      </c>
      <c r="C191" t="s">
        <v>963</v>
      </c>
      <c r="D191" t="s">
        <v>964</v>
      </c>
      <c r="E191" t="s">
        <v>471</v>
      </c>
      <c r="F191" t="s">
        <v>965</v>
      </c>
      <c r="G191" t="s">
        <v>966</v>
      </c>
      <c r="I191" t="s">
        <v>967</v>
      </c>
      <c r="J191">
        <f>57-60-1-749-8715</f>
        <v>-9468</v>
      </c>
      <c r="K191" t="s">
        <v>968</v>
      </c>
      <c r="N191" t="s">
        <v>969</v>
      </c>
      <c r="O191" t="s">
        <v>970</v>
      </c>
      <c r="P191">
        <v>490.31</v>
      </c>
      <c r="Q191">
        <v>699.7</v>
      </c>
      <c r="R191">
        <v>41.47</v>
      </c>
      <c r="S191">
        <v>459.68</v>
      </c>
      <c r="T191">
        <v>0</v>
      </c>
      <c r="U191">
        <v>110.46</v>
      </c>
      <c r="Y191">
        <v>349.22</v>
      </c>
      <c r="Z191" t="s">
        <v>43</v>
      </c>
      <c r="AA191">
        <v>2018</v>
      </c>
      <c r="AB191" t="s">
        <v>100</v>
      </c>
      <c r="AC191" t="s">
        <v>53</v>
      </c>
      <c r="AD191" t="s">
        <v>101</v>
      </c>
    </row>
    <row r="192" spans="1:30" x14ac:dyDescent="0.25">
      <c r="A192">
        <v>191</v>
      </c>
      <c r="B192" t="s">
        <v>30</v>
      </c>
      <c r="C192" t="s">
        <v>971</v>
      </c>
      <c r="D192" t="s">
        <v>56</v>
      </c>
      <c r="E192" t="s">
        <v>56</v>
      </c>
      <c r="F192" t="s">
        <v>57</v>
      </c>
      <c r="G192" t="s">
        <v>57</v>
      </c>
      <c r="I192" t="s">
        <v>972</v>
      </c>
      <c r="J192">
        <f>57-310-309-1714</f>
        <v>-2276</v>
      </c>
      <c r="K192" t="s">
        <v>973</v>
      </c>
      <c r="N192" t="s">
        <v>974</v>
      </c>
      <c r="O192" t="s">
        <v>934</v>
      </c>
      <c r="P192">
        <v>17.260000000000002</v>
      </c>
      <c r="Q192">
        <v>698.18</v>
      </c>
      <c r="R192">
        <v>0</v>
      </c>
      <c r="S192">
        <v>282.3</v>
      </c>
      <c r="T192">
        <v>0</v>
      </c>
      <c r="U192">
        <v>0</v>
      </c>
      <c r="Y192">
        <v>282.3</v>
      </c>
      <c r="Z192" t="s">
        <v>43</v>
      </c>
      <c r="AA192">
        <v>2018</v>
      </c>
      <c r="AB192" t="s">
        <v>100</v>
      </c>
      <c r="AC192" t="s">
        <v>53</v>
      </c>
      <c r="AD192" t="s">
        <v>101</v>
      </c>
    </row>
    <row r="193" spans="1:30" x14ac:dyDescent="0.25">
      <c r="A193">
        <v>192</v>
      </c>
      <c r="B193" t="s">
        <v>30</v>
      </c>
      <c r="C193" t="s">
        <v>975</v>
      </c>
      <c r="D193" t="s">
        <v>64</v>
      </c>
      <c r="E193" t="s">
        <v>64</v>
      </c>
      <c r="F193" t="s">
        <v>65</v>
      </c>
      <c r="G193" t="s">
        <v>65</v>
      </c>
      <c r="I193" t="s">
        <v>976</v>
      </c>
      <c r="J193">
        <f>57-310-828-4878</f>
        <v>-5959</v>
      </c>
      <c r="K193" t="s">
        <v>977</v>
      </c>
      <c r="P193">
        <v>40.31</v>
      </c>
      <c r="Q193">
        <v>691.71</v>
      </c>
      <c r="R193">
        <v>68.66</v>
      </c>
      <c r="S193" s="1">
        <v>1522.37</v>
      </c>
      <c r="T193">
        <v>0</v>
      </c>
      <c r="U193">
        <v>635.58000000000004</v>
      </c>
      <c r="Y193">
        <v>886.79</v>
      </c>
      <c r="Z193" t="s">
        <v>43</v>
      </c>
      <c r="AA193">
        <v>2018</v>
      </c>
      <c r="AB193" t="s">
        <v>100</v>
      </c>
      <c r="AC193" t="s">
        <v>53</v>
      </c>
      <c r="AD193" t="s">
        <v>101</v>
      </c>
    </row>
    <row r="194" spans="1:30" x14ac:dyDescent="0.25">
      <c r="A194">
        <v>193</v>
      </c>
      <c r="B194" t="s">
        <v>30</v>
      </c>
      <c r="C194" t="s">
        <v>978</v>
      </c>
      <c r="D194" t="s">
        <v>979</v>
      </c>
      <c r="E194" t="s">
        <v>56</v>
      </c>
      <c r="F194" t="s">
        <v>980</v>
      </c>
      <c r="G194" t="s">
        <v>57</v>
      </c>
      <c r="I194" t="s">
        <v>981</v>
      </c>
      <c r="J194">
        <f>57-60-1-805-3743</f>
        <v>-4552</v>
      </c>
      <c r="K194" t="s">
        <v>982</v>
      </c>
      <c r="N194" t="s">
        <v>983</v>
      </c>
      <c r="O194" t="s">
        <v>984</v>
      </c>
      <c r="P194">
        <v>20.76</v>
      </c>
      <c r="Q194">
        <v>690.4</v>
      </c>
      <c r="R194">
        <v>-0.1</v>
      </c>
      <c r="S194">
        <v>555.4</v>
      </c>
      <c r="T194">
        <v>0</v>
      </c>
      <c r="U194">
        <v>311.89999999999998</v>
      </c>
      <c r="Y194">
        <v>243.5</v>
      </c>
      <c r="Z194" t="s">
        <v>43</v>
      </c>
      <c r="AA194">
        <v>2018</v>
      </c>
      <c r="AB194" t="s">
        <v>100</v>
      </c>
      <c r="AC194" t="s">
        <v>53</v>
      </c>
      <c r="AD194" t="s">
        <v>101</v>
      </c>
    </row>
    <row r="195" spans="1:30" x14ac:dyDescent="0.25">
      <c r="A195">
        <v>194</v>
      </c>
      <c r="B195" t="s">
        <v>30</v>
      </c>
      <c r="C195" t="s">
        <v>985</v>
      </c>
      <c r="D195" t="s">
        <v>986</v>
      </c>
      <c r="E195" t="s">
        <v>64</v>
      </c>
      <c r="F195" t="s">
        <v>987</v>
      </c>
      <c r="G195" t="s">
        <v>65</v>
      </c>
      <c r="I195" t="s">
        <v>988</v>
      </c>
      <c r="J195">
        <f>57-60-1-341-2544</f>
        <v>-2889</v>
      </c>
      <c r="K195" t="s">
        <v>989</v>
      </c>
      <c r="N195" t="s">
        <v>990</v>
      </c>
      <c r="O195" t="s">
        <v>991</v>
      </c>
      <c r="P195">
        <v>36.24</v>
      </c>
      <c r="Q195">
        <v>655.98</v>
      </c>
      <c r="R195">
        <v>23.82</v>
      </c>
      <c r="S195">
        <v>381.44</v>
      </c>
      <c r="T195">
        <v>0</v>
      </c>
      <c r="U195">
        <v>200.66</v>
      </c>
      <c r="Y195">
        <v>180.78</v>
      </c>
      <c r="Z195" t="s">
        <v>43</v>
      </c>
      <c r="AA195">
        <v>2019</v>
      </c>
      <c r="AB195" t="s">
        <v>100</v>
      </c>
      <c r="AC195" t="s">
        <v>53</v>
      </c>
      <c r="AD195" t="s">
        <v>101</v>
      </c>
    </row>
    <row r="196" spans="1:30" x14ac:dyDescent="0.25">
      <c r="A196">
        <v>195</v>
      </c>
      <c r="B196" t="s">
        <v>30</v>
      </c>
      <c r="C196" t="s">
        <v>992</v>
      </c>
      <c r="D196" t="s">
        <v>56</v>
      </c>
      <c r="E196" t="s">
        <v>56</v>
      </c>
      <c r="F196" t="s">
        <v>57</v>
      </c>
      <c r="G196" t="s">
        <v>57</v>
      </c>
      <c r="I196" t="s">
        <v>993</v>
      </c>
      <c r="J196">
        <f>57-314-442-2538</f>
        <v>-3237</v>
      </c>
      <c r="K196" t="s">
        <v>994</v>
      </c>
      <c r="N196" t="s">
        <v>995</v>
      </c>
      <c r="O196" t="s">
        <v>135</v>
      </c>
      <c r="P196">
        <v>10.26</v>
      </c>
      <c r="Q196">
        <v>651.36</v>
      </c>
      <c r="R196">
        <v>6.67</v>
      </c>
      <c r="S196" s="1">
        <v>1015.05</v>
      </c>
      <c r="T196">
        <v>0</v>
      </c>
      <c r="U196">
        <v>59.1</v>
      </c>
      <c r="Y196">
        <v>955.95</v>
      </c>
      <c r="Z196" t="s">
        <v>43</v>
      </c>
      <c r="AA196">
        <v>2023</v>
      </c>
      <c r="AB196" t="s">
        <v>100</v>
      </c>
      <c r="AC196" t="s">
        <v>53</v>
      </c>
      <c r="AD196" t="s">
        <v>101</v>
      </c>
    </row>
    <row r="197" spans="1:30" x14ac:dyDescent="0.25">
      <c r="A197">
        <v>196</v>
      </c>
      <c r="B197" t="s">
        <v>30</v>
      </c>
      <c r="C197" t="s">
        <v>996</v>
      </c>
      <c r="D197" t="s">
        <v>997</v>
      </c>
      <c r="E197" t="s">
        <v>56</v>
      </c>
      <c r="F197" t="s">
        <v>998</v>
      </c>
      <c r="G197" t="s">
        <v>57</v>
      </c>
      <c r="I197" t="s">
        <v>999</v>
      </c>
      <c r="J197">
        <f>57-320-332-6424</f>
        <v>-7019</v>
      </c>
      <c r="K197" t="s">
        <v>1000</v>
      </c>
      <c r="N197" t="s">
        <v>1001</v>
      </c>
      <c r="O197" t="s">
        <v>1002</v>
      </c>
      <c r="P197">
        <v>89.39</v>
      </c>
      <c r="Q197">
        <v>650.32000000000005</v>
      </c>
      <c r="R197">
        <v>89.39</v>
      </c>
      <c r="S197">
        <v>443.88</v>
      </c>
      <c r="T197">
        <v>0</v>
      </c>
      <c r="U197">
        <v>147.06</v>
      </c>
      <c r="Y197">
        <v>296.81</v>
      </c>
      <c r="Z197" t="s">
        <v>43</v>
      </c>
      <c r="AA197">
        <v>2018</v>
      </c>
      <c r="AB197" t="s">
        <v>100</v>
      </c>
      <c r="AC197" t="s">
        <v>53</v>
      </c>
      <c r="AD197" t="s">
        <v>101</v>
      </c>
    </row>
    <row r="198" spans="1:30" x14ac:dyDescent="0.25">
      <c r="A198">
        <v>197</v>
      </c>
      <c r="B198" t="s">
        <v>30</v>
      </c>
      <c r="C198" t="s">
        <v>1003</v>
      </c>
      <c r="D198" t="s">
        <v>72</v>
      </c>
      <c r="E198" t="s">
        <v>72</v>
      </c>
      <c r="F198" t="s">
        <v>73</v>
      </c>
      <c r="G198" t="s">
        <v>73</v>
      </c>
      <c r="I198" t="s">
        <v>1004</v>
      </c>
      <c r="J198">
        <f>57-60-1-928-2876</f>
        <v>-3808</v>
      </c>
      <c r="K198" t="s">
        <v>1005</v>
      </c>
      <c r="N198" t="s">
        <v>1006</v>
      </c>
      <c r="O198" t="s">
        <v>1007</v>
      </c>
      <c r="P198">
        <v>0.9</v>
      </c>
      <c r="Q198">
        <v>648.09</v>
      </c>
      <c r="R198">
        <v>0.33</v>
      </c>
      <c r="S198">
        <v>373.47</v>
      </c>
      <c r="T198">
        <v>168.87</v>
      </c>
      <c r="U198">
        <v>339.15</v>
      </c>
      <c r="Y198">
        <v>34.32</v>
      </c>
      <c r="Z198" t="s">
        <v>43</v>
      </c>
      <c r="AA198">
        <v>2017</v>
      </c>
      <c r="AB198" t="s">
        <v>100</v>
      </c>
      <c r="AC198" t="s">
        <v>53</v>
      </c>
      <c r="AD198" t="s">
        <v>101</v>
      </c>
    </row>
    <row r="199" spans="1:30" x14ac:dyDescent="0.25">
      <c r="A199">
        <v>198</v>
      </c>
      <c r="B199" t="s">
        <v>30</v>
      </c>
      <c r="C199" t="s">
        <v>1008</v>
      </c>
      <c r="D199" t="s">
        <v>64</v>
      </c>
      <c r="E199" t="s">
        <v>64</v>
      </c>
      <c r="F199" t="s">
        <v>65</v>
      </c>
      <c r="G199" t="s">
        <v>65</v>
      </c>
      <c r="H199" t="s">
        <v>1009</v>
      </c>
      <c r="I199" t="s">
        <v>1010</v>
      </c>
      <c r="J199">
        <f>57-60-1-295-9731</f>
        <v>-10030</v>
      </c>
      <c r="K199" t="s">
        <v>1011</v>
      </c>
      <c r="N199" t="s">
        <v>1012</v>
      </c>
      <c r="O199" t="s">
        <v>705</v>
      </c>
      <c r="P199">
        <v>61.87</v>
      </c>
      <c r="Q199">
        <v>638.76</v>
      </c>
      <c r="R199">
        <v>29.2</v>
      </c>
      <c r="S199" s="1">
        <v>1816.42</v>
      </c>
      <c r="T199">
        <v>0</v>
      </c>
      <c r="U199" s="1">
        <v>1508.97</v>
      </c>
      <c r="Y199">
        <v>307.45</v>
      </c>
      <c r="Z199" t="s">
        <v>43</v>
      </c>
      <c r="AA199">
        <v>2023</v>
      </c>
      <c r="AB199" t="s">
        <v>100</v>
      </c>
      <c r="AC199" t="s">
        <v>53</v>
      </c>
      <c r="AD199" t="s">
        <v>101</v>
      </c>
    </row>
    <row r="200" spans="1:30" x14ac:dyDescent="0.25">
      <c r="A200">
        <v>199</v>
      </c>
      <c r="B200" t="s">
        <v>30</v>
      </c>
      <c r="C200" t="s">
        <v>1013</v>
      </c>
      <c r="D200" t="s">
        <v>72</v>
      </c>
      <c r="E200" t="s">
        <v>72</v>
      </c>
      <c r="F200" t="s">
        <v>73</v>
      </c>
      <c r="G200" t="s">
        <v>73</v>
      </c>
      <c r="H200" t="s">
        <v>1014</v>
      </c>
      <c r="I200" t="s">
        <v>1015</v>
      </c>
      <c r="J200">
        <f>57-60-1-421-2302</f>
        <v>-2727</v>
      </c>
      <c r="K200" t="s">
        <v>1016</v>
      </c>
      <c r="N200" t="s">
        <v>1017</v>
      </c>
      <c r="O200" t="s">
        <v>1018</v>
      </c>
      <c r="P200">
        <v>107.32</v>
      </c>
      <c r="Q200">
        <v>637.42999999999995</v>
      </c>
      <c r="R200">
        <v>100.61</v>
      </c>
      <c r="S200" s="1">
        <v>1162.33</v>
      </c>
      <c r="T200">
        <v>239.73</v>
      </c>
      <c r="U200">
        <v>168.38</v>
      </c>
      <c r="X200">
        <v>0</v>
      </c>
      <c r="Y200">
        <v>993.94</v>
      </c>
      <c r="Z200" t="s">
        <v>43</v>
      </c>
      <c r="AA200">
        <v>2023</v>
      </c>
      <c r="AB200" t="s">
        <v>27</v>
      </c>
      <c r="AC200" t="s">
        <v>53</v>
      </c>
      <c r="AD200" t="s">
        <v>54</v>
      </c>
    </row>
    <row r="201" spans="1:30" x14ac:dyDescent="0.25">
      <c r="A201">
        <v>200</v>
      </c>
      <c r="B201" t="s">
        <v>30</v>
      </c>
      <c r="C201" t="s">
        <v>1019</v>
      </c>
      <c r="D201" t="s">
        <v>64</v>
      </c>
      <c r="E201" t="s">
        <v>64</v>
      </c>
      <c r="F201" t="s">
        <v>65</v>
      </c>
      <c r="G201" t="s">
        <v>65</v>
      </c>
      <c r="I201" t="s">
        <v>1020</v>
      </c>
      <c r="J201">
        <f>57-60-1-791-538</f>
        <v>-1333</v>
      </c>
      <c r="K201" t="s">
        <v>1021</v>
      </c>
      <c r="N201" t="s">
        <v>1022</v>
      </c>
      <c r="O201" t="s">
        <v>627</v>
      </c>
      <c r="P201">
        <v>105.14</v>
      </c>
      <c r="Q201">
        <v>615.30999999999995</v>
      </c>
      <c r="R201">
        <v>0</v>
      </c>
      <c r="S201">
        <v>780.07</v>
      </c>
      <c r="T201">
        <v>0</v>
      </c>
      <c r="U201">
        <v>-326.92</v>
      </c>
      <c r="Y201" s="1">
        <v>1106.99</v>
      </c>
      <c r="Z201" t="s">
        <v>43</v>
      </c>
      <c r="AA201">
        <v>2022</v>
      </c>
      <c r="AB201" t="s">
        <v>100</v>
      </c>
      <c r="AC201" t="s">
        <v>53</v>
      </c>
      <c r="AD201" t="s">
        <v>101</v>
      </c>
    </row>
    <row r="202" spans="1:30" x14ac:dyDescent="0.25">
      <c r="A202">
        <v>201</v>
      </c>
      <c r="B202" t="s">
        <v>30</v>
      </c>
      <c r="C202" t="s">
        <v>1023</v>
      </c>
      <c r="D202" t="s">
        <v>867</v>
      </c>
      <c r="E202" t="s">
        <v>471</v>
      </c>
      <c r="F202" t="s">
        <v>1024</v>
      </c>
      <c r="G202" t="s">
        <v>47</v>
      </c>
      <c r="I202" t="s">
        <v>1025</v>
      </c>
      <c r="J202">
        <f>57-60-1-287-4369</f>
        <v>-4660</v>
      </c>
      <c r="K202" t="s">
        <v>1026</v>
      </c>
      <c r="N202" t="s">
        <v>1027</v>
      </c>
      <c r="O202" t="s">
        <v>1028</v>
      </c>
      <c r="P202">
        <v>43.66</v>
      </c>
      <c r="Q202">
        <v>606.76</v>
      </c>
      <c r="R202">
        <v>0</v>
      </c>
      <c r="S202">
        <v>339.38</v>
      </c>
      <c r="T202">
        <v>0</v>
      </c>
      <c r="U202">
        <v>218.8</v>
      </c>
      <c r="Y202">
        <v>120.58</v>
      </c>
      <c r="Z202" t="s">
        <v>43</v>
      </c>
      <c r="AA202">
        <v>2018</v>
      </c>
      <c r="AB202" t="s">
        <v>100</v>
      </c>
      <c r="AC202" t="s">
        <v>53</v>
      </c>
      <c r="AD202" t="s">
        <v>101</v>
      </c>
    </row>
    <row r="203" spans="1:30" x14ac:dyDescent="0.25">
      <c r="A203">
        <v>202</v>
      </c>
      <c r="B203" t="s">
        <v>30</v>
      </c>
      <c r="C203" t="s">
        <v>1029</v>
      </c>
      <c r="D203" t="s">
        <v>56</v>
      </c>
      <c r="E203" t="s">
        <v>56</v>
      </c>
      <c r="F203" t="s">
        <v>57</v>
      </c>
      <c r="G203" t="s">
        <v>57</v>
      </c>
      <c r="I203" t="s">
        <v>1030</v>
      </c>
      <c r="J203">
        <f>57-300-317-3812</f>
        <v>-4372</v>
      </c>
      <c r="K203" t="s">
        <v>1031</v>
      </c>
      <c r="N203" t="s">
        <v>1032</v>
      </c>
      <c r="O203" t="s">
        <v>893</v>
      </c>
      <c r="P203">
        <v>27.58</v>
      </c>
      <c r="Q203">
        <v>592.63</v>
      </c>
      <c r="R203">
        <v>0</v>
      </c>
      <c r="S203">
        <v>459.93</v>
      </c>
      <c r="T203">
        <v>0</v>
      </c>
      <c r="U203">
        <v>413.33</v>
      </c>
      <c r="Y203">
        <v>46.6</v>
      </c>
      <c r="Z203" t="s">
        <v>43</v>
      </c>
      <c r="AA203">
        <v>2022</v>
      </c>
      <c r="AB203" t="s">
        <v>100</v>
      </c>
      <c r="AC203" t="s">
        <v>53</v>
      </c>
      <c r="AD203" t="s">
        <v>101</v>
      </c>
    </row>
    <row r="204" spans="1:30" x14ac:dyDescent="0.25">
      <c r="A204">
        <v>203</v>
      </c>
      <c r="B204" t="s">
        <v>30</v>
      </c>
      <c r="C204" t="s">
        <v>1033</v>
      </c>
      <c r="D204" t="s">
        <v>72</v>
      </c>
      <c r="E204" t="s">
        <v>72</v>
      </c>
      <c r="F204" t="s">
        <v>73</v>
      </c>
      <c r="G204" t="s">
        <v>73</v>
      </c>
      <c r="I204" t="s">
        <v>1034</v>
      </c>
      <c r="J204">
        <f>57-60-1-704-6136</f>
        <v>-6844</v>
      </c>
      <c r="K204" t="s">
        <v>1035</v>
      </c>
      <c r="N204" t="s">
        <v>1036</v>
      </c>
      <c r="O204" t="s">
        <v>1037</v>
      </c>
      <c r="P204">
        <v>-4.5999999999999996</v>
      </c>
      <c r="Q204">
        <v>590.32000000000005</v>
      </c>
      <c r="R204">
        <v>-26.11</v>
      </c>
      <c r="S204">
        <v>474.07</v>
      </c>
      <c r="T204">
        <v>0</v>
      </c>
      <c r="U204">
        <v>358.41</v>
      </c>
      <c r="Y204">
        <v>115.66</v>
      </c>
      <c r="Z204" t="s">
        <v>43</v>
      </c>
      <c r="AA204">
        <v>2018</v>
      </c>
      <c r="AB204" t="s">
        <v>100</v>
      </c>
      <c r="AC204" t="s">
        <v>53</v>
      </c>
      <c r="AD204" t="s">
        <v>101</v>
      </c>
    </row>
    <row r="205" spans="1:30" x14ac:dyDescent="0.25">
      <c r="A205">
        <v>204</v>
      </c>
      <c r="B205" t="s">
        <v>30</v>
      </c>
      <c r="C205" t="s">
        <v>1038</v>
      </c>
      <c r="D205" t="s">
        <v>64</v>
      </c>
      <c r="E205" t="s">
        <v>64</v>
      </c>
      <c r="F205" t="s">
        <v>65</v>
      </c>
      <c r="G205" t="s">
        <v>65</v>
      </c>
      <c r="I205" t="s">
        <v>1039</v>
      </c>
      <c r="J205">
        <f>57-319-247-7653</f>
        <v>-8162</v>
      </c>
      <c r="K205" t="s">
        <v>1040</v>
      </c>
      <c r="N205" t="s">
        <v>1041</v>
      </c>
      <c r="O205" t="s">
        <v>875</v>
      </c>
      <c r="P205">
        <v>237.48</v>
      </c>
      <c r="Q205">
        <v>562.61</v>
      </c>
      <c r="R205">
        <v>14.05</v>
      </c>
      <c r="S205">
        <v>695.04</v>
      </c>
      <c r="T205">
        <v>0</v>
      </c>
      <c r="U205">
        <v>323.27999999999997</v>
      </c>
      <c r="Y205">
        <v>371.76</v>
      </c>
      <c r="Z205" t="s">
        <v>43</v>
      </c>
      <c r="AA205">
        <v>2019</v>
      </c>
      <c r="AB205" t="s">
        <v>100</v>
      </c>
      <c r="AC205" t="s">
        <v>53</v>
      </c>
      <c r="AD205" t="s">
        <v>101</v>
      </c>
    </row>
    <row r="206" spans="1:30" x14ac:dyDescent="0.25">
      <c r="A206">
        <v>205</v>
      </c>
      <c r="B206" t="s">
        <v>30</v>
      </c>
      <c r="C206" t="s">
        <v>1042</v>
      </c>
      <c r="D206" t="s">
        <v>72</v>
      </c>
      <c r="E206" t="s">
        <v>72</v>
      </c>
      <c r="F206" t="s">
        <v>73</v>
      </c>
      <c r="G206" t="s">
        <v>73</v>
      </c>
      <c r="I206" t="s">
        <v>1043</v>
      </c>
      <c r="J206">
        <f>57-60-1-704-8126</f>
        <v>-8834</v>
      </c>
      <c r="K206" t="s">
        <v>1044</v>
      </c>
      <c r="N206" t="s">
        <v>1045</v>
      </c>
      <c r="O206" t="s">
        <v>1046</v>
      </c>
      <c r="P206">
        <v>32.57</v>
      </c>
      <c r="Q206">
        <v>560.82000000000005</v>
      </c>
      <c r="R206">
        <v>35.26</v>
      </c>
      <c r="S206">
        <v>272.88</v>
      </c>
      <c r="T206">
        <v>160</v>
      </c>
      <c r="U206">
        <v>22.23</v>
      </c>
      <c r="Y206">
        <v>250.64</v>
      </c>
      <c r="Z206" t="s">
        <v>43</v>
      </c>
      <c r="AA206">
        <v>2017</v>
      </c>
      <c r="AB206" t="s">
        <v>100</v>
      </c>
      <c r="AC206" t="s">
        <v>53</v>
      </c>
      <c r="AD206" t="s">
        <v>101</v>
      </c>
    </row>
    <row r="207" spans="1:30" x14ac:dyDescent="0.25">
      <c r="A207">
        <v>206</v>
      </c>
      <c r="B207" t="s">
        <v>30</v>
      </c>
      <c r="C207" t="s">
        <v>1047</v>
      </c>
      <c r="D207" t="s">
        <v>56</v>
      </c>
      <c r="E207" t="s">
        <v>56</v>
      </c>
      <c r="F207" t="s">
        <v>57</v>
      </c>
      <c r="G207" t="s">
        <v>57</v>
      </c>
      <c r="H207" t="s">
        <v>1048</v>
      </c>
      <c r="I207" t="s">
        <v>1049</v>
      </c>
      <c r="J207">
        <f>57-60-1-623-7187</f>
        <v>-7814</v>
      </c>
      <c r="K207" t="s">
        <v>1050</v>
      </c>
      <c r="L207" t="s">
        <v>1051</v>
      </c>
      <c r="N207" t="s">
        <v>1052</v>
      </c>
      <c r="O207" t="s">
        <v>1002</v>
      </c>
      <c r="P207">
        <v>12</v>
      </c>
      <c r="Q207">
        <v>559</v>
      </c>
      <c r="R207">
        <v>0</v>
      </c>
      <c r="S207">
        <v>100</v>
      </c>
      <c r="T207">
        <v>0</v>
      </c>
      <c r="U207">
        <v>30</v>
      </c>
      <c r="Y207">
        <v>70</v>
      </c>
      <c r="Z207" t="s">
        <v>43</v>
      </c>
      <c r="AA207">
        <v>2018</v>
      </c>
      <c r="AB207" t="s">
        <v>100</v>
      </c>
      <c r="AC207" t="s">
        <v>53</v>
      </c>
      <c r="AD207" t="s">
        <v>101</v>
      </c>
    </row>
    <row r="208" spans="1:30" x14ac:dyDescent="0.25">
      <c r="A208">
        <v>207</v>
      </c>
      <c r="B208" t="s">
        <v>30</v>
      </c>
      <c r="C208" t="s">
        <v>1053</v>
      </c>
      <c r="D208" t="s">
        <v>1054</v>
      </c>
      <c r="E208" t="s">
        <v>1055</v>
      </c>
      <c r="F208" t="s">
        <v>1056</v>
      </c>
      <c r="G208" t="s">
        <v>1057</v>
      </c>
      <c r="I208" t="s">
        <v>1058</v>
      </c>
      <c r="J208">
        <f>57-60-1-263-4958</f>
        <v>-5225</v>
      </c>
      <c r="K208" t="s">
        <v>1059</v>
      </c>
      <c r="N208" t="s">
        <v>1060</v>
      </c>
      <c r="O208" t="s">
        <v>1061</v>
      </c>
      <c r="P208">
        <v>12.04</v>
      </c>
      <c r="Q208">
        <v>556.33000000000004</v>
      </c>
      <c r="R208">
        <v>12.04</v>
      </c>
      <c r="S208">
        <v>43.68</v>
      </c>
      <c r="T208">
        <v>0</v>
      </c>
      <c r="U208">
        <v>21.18</v>
      </c>
      <c r="Y208">
        <v>22.5</v>
      </c>
      <c r="Z208" t="s">
        <v>43</v>
      </c>
      <c r="AA208">
        <v>2019</v>
      </c>
      <c r="AB208" t="s">
        <v>100</v>
      </c>
      <c r="AC208" t="s">
        <v>53</v>
      </c>
      <c r="AD208" t="s">
        <v>101</v>
      </c>
    </row>
    <row r="209" spans="1:30" x14ac:dyDescent="0.25">
      <c r="A209">
        <v>208</v>
      </c>
      <c r="B209" t="s">
        <v>30</v>
      </c>
      <c r="C209" t="s">
        <v>1062</v>
      </c>
      <c r="D209" t="s">
        <v>56</v>
      </c>
      <c r="E209" t="s">
        <v>56</v>
      </c>
      <c r="F209" t="s">
        <v>57</v>
      </c>
      <c r="G209" t="s">
        <v>57</v>
      </c>
      <c r="I209" t="s">
        <v>1063</v>
      </c>
      <c r="J209">
        <f>57-322-675-7512</f>
        <v>-8452</v>
      </c>
      <c r="K209" t="s">
        <v>1064</v>
      </c>
      <c r="N209" t="s">
        <v>1065</v>
      </c>
      <c r="O209" t="s">
        <v>893</v>
      </c>
      <c r="P209">
        <v>41.46</v>
      </c>
      <c r="Q209">
        <v>545.72</v>
      </c>
      <c r="R209">
        <v>41.46</v>
      </c>
      <c r="S209">
        <v>729.04</v>
      </c>
      <c r="T209">
        <v>0</v>
      </c>
      <c r="U209">
        <v>665.03</v>
      </c>
      <c r="Y209">
        <v>64</v>
      </c>
      <c r="Z209" t="s">
        <v>43</v>
      </c>
      <c r="AA209">
        <v>2022</v>
      </c>
      <c r="AB209" t="s">
        <v>100</v>
      </c>
      <c r="AC209" t="s">
        <v>53</v>
      </c>
      <c r="AD209" t="s">
        <v>101</v>
      </c>
    </row>
    <row r="210" spans="1:30" x14ac:dyDescent="0.25">
      <c r="A210">
        <v>209</v>
      </c>
      <c r="B210" t="s">
        <v>30</v>
      </c>
      <c r="C210" t="s">
        <v>1066</v>
      </c>
      <c r="D210" t="s">
        <v>1067</v>
      </c>
      <c r="E210" t="s">
        <v>471</v>
      </c>
      <c r="F210" t="s">
        <v>1068</v>
      </c>
      <c r="G210" t="s">
        <v>47</v>
      </c>
      <c r="I210" t="s">
        <v>1069</v>
      </c>
      <c r="J210">
        <f>57-60-1-266-5779</f>
        <v>-6049</v>
      </c>
      <c r="K210" t="s">
        <v>1070</v>
      </c>
      <c r="N210" t="s">
        <v>1071</v>
      </c>
      <c r="O210" t="s">
        <v>1072</v>
      </c>
      <c r="P210">
        <v>2.4900000000000002</v>
      </c>
      <c r="Q210">
        <v>527.37</v>
      </c>
      <c r="R210">
        <v>2.4900000000000002</v>
      </c>
      <c r="S210">
        <v>565.55999999999995</v>
      </c>
      <c r="T210">
        <v>0</v>
      </c>
      <c r="U210">
        <v>517.51</v>
      </c>
      <c r="Y210">
        <v>48.05</v>
      </c>
      <c r="Z210" t="s">
        <v>43</v>
      </c>
      <c r="AA210">
        <v>2018</v>
      </c>
      <c r="AB210" t="s">
        <v>100</v>
      </c>
      <c r="AC210" t="s">
        <v>53</v>
      </c>
      <c r="AD210" t="s">
        <v>101</v>
      </c>
    </row>
    <row r="211" spans="1:30" x14ac:dyDescent="0.25">
      <c r="A211">
        <v>210</v>
      </c>
      <c r="B211" t="s">
        <v>30</v>
      </c>
      <c r="C211" t="s">
        <v>1073</v>
      </c>
      <c r="D211" t="s">
        <v>56</v>
      </c>
      <c r="E211" t="s">
        <v>56</v>
      </c>
      <c r="F211" t="s">
        <v>57</v>
      </c>
      <c r="G211" t="s">
        <v>57</v>
      </c>
      <c r="I211" t="s">
        <v>1074</v>
      </c>
      <c r="J211">
        <f>57-350-710-5379</f>
        <v>-6382</v>
      </c>
      <c r="K211" t="s">
        <v>1075</v>
      </c>
      <c r="N211" t="s">
        <v>1076</v>
      </c>
      <c r="O211" t="s">
        <v>934</v>
      </c>
      <c r="P211">
        <v>17.5</v>
      </c>
      <c r="Q211">
        <v>524.83000000000004</v>
      </c>
      <c r="R211">
        <v>0</v>
      </c>
      <c r="S211">
        <v>34.090000000000003</v>
      </c>
      <c r="T211">
        <v>0</v>
      </c>
      <c r="U211">
        <v>20</v>
      </c>
      <c r="Y211">
        <v>14.09</v>
      </c>
      <c r="Z211" t="s">
        <v>43</v>
      </c>
      <c r="AA211">
        <v>2020</v>
      </c>
      <c r="AB211" t="s">
        <v>100</v>
      </c>
      <c r="AC211" t="s">
        <v>53</v>
      </c>
      <c r="AD211" t="s">
        <v>101</v>
      </c>
    </row>
    <row r="212" spans="1:30" x14ac:dyDescent="0.25">
      <c r="A212">
        <v>211</v>
      </c>
      <c r="B212" t="s">
        <v>30</v>
      </c>
      <c r="C212" t="s">
        <v>1077</v>
      </c>
      <c r="D212" t="s">
        <v>56</v>
      </c>
      <c r="E212" t="s">
        <v>56</v>
      </c>
      <c r="F212" t="s">
        <v>57</v>
      </c>
      <c r="G212" t="s">
        <v>57</v>
      </c>
      <c r="I212" t="s">
        <v>1078</v>
      </c>
      <c r="J212">
        <f>57-316-588-9511</f>
        <v>-10358</v>
      </c>
      <c r="K212" t="s">
        <v>1079</v>
      </c>
      <c r="N212" t="s">
        <v>1080</v>
      </c>
      <c r="O212" t="s">
        <v>1081</v>
      </c>
      <c r="P212">
        <v>53.17</v>
      </c>
      <c r="Q212">
        <v>508.43</v>
      </c>
      <c r="R212">
        <v>72.52</v>
      </c>
      <c r="S212">
        <v>468.91</v>
      </c>
      <c r="T212">
        <v>0</v>
      </c>
      <c r="U212">
        <v>405.68</v>
      </c>
      <c r="Y212">
        <v>63.24</v>
      </c>
      <c r="Z212" t="s">
        <v>43</v>
      </c>
      <c r="AA212">
        <v>2022</v>
      </c>
      <c r="AB212" t="s">
        <v>100</v>
      </c>
      <c r="AC212" t="s">
        <v>53</v>
      </c>
      <c r="AD212" t="s">
        <v>101</v>
      </c>
    </row>
    <row r="213" spans="1:30" x14ac:dyDescent="0.25">
      <c r="A213">
        <v>212</v>
      </c>
      <c r="B213" t="s">
        <v>30</v>
      </c>
      <c r="C213" t="s">
        <v>1082</v>
      </c>
      <c r="D213" t="s">
        <v>772</v>
      </c>
      <c r="E213" t="s">
        <v>471</v>
      </c>
      <c r="F213" t="s">
        <v>1083</v>
      </c>
      <c r="G213" t="s">
        <v>47</v>
      </c>
      <c r="I213" t="s">
        <v>1084</v>
      </c>
      <c r="J213">
        <f>57-60-1-354-1427</f>
        <v>-1785</v>
      </c>
      <c r="K213" t="s">
        <v>1085</v>
      </c>
      <c r="N213" t="s">
        <v>1086</v>
      </c>
      <c r="O213" t="s">
        <v>1087</v>
      </c>
      <c r="P213">
        <v>1.37</v>
      </c>
      <c r="Q213">
        <v>507.85</v>
      </c>
      <c r="R213">
        <v>1.37</v>
      </c>
      <c r="S213">
        <v>387.97</v>
      </c>
      <c r="T213">
        <v>0</v>
      </c>
      <c r="U213">
        <v>2.27</v>
      </c>
      <c r="Y213">
        <v>385.7</v>
      </c>
      <c r="Z213" t="s">
        <v>43</v>
      </c>
      <c r="AA213">
        <v>2018</v>
      </c>
      <c r="AB213" t="s">
        <v>100</v>
      </c>
      <c r="AC213" t="s">
        <v>53</v>
      </c>
      <c r="AD213" t="s">
        <v>101</v>
      </c>
    </row>
    <row r="214" spans="1:30" x14ac:dyDescent="0.25">
      <c r="A214">
        <v>213</v>
      </c>
      <c r="B214" t="s">
        <v>30</v>
      </c>
      <c r="C214" t="s">
        <v>1088</v>
      </c>
      <c r="D214" t="s">
        <v>1089</v>
      </c>
      <c r="E214" t="s">
        <v>755</v>
      </c>
      <c r="F214" t="s">
        <v>1090</v>
      </c>
      <c r="G214" t="s">
        <v>757</v>
      </c>
      <c r="H214" t="s">
        <v>1091</v>
      </c>
      <c r="I214" t="s">
        <v>1092</v>
      </c>
      <c r="J214">
        <f>57-60-1-270-9048</f>
        <v>-9322</v>
      </c>
      <c r="K214" t="s">
        <v>1093</v>
      </c>
      <c r="N214" t="s">
        <v>1094</v>
      </c>
      <c r="O214" t="s">
        <v>1095</v>
      </c>
      <c r="P214">
        <v>-82.65</v>
      </c>
      <c r="Q214">
        <v>505.12</v>
      </c>
      <c r="R214">
        <v>-82.65</v>
      </c>
      <c r="S214">
        <v>272.7</v>
      </c>
      <c r="T214">
        <v>0</v>
      </c>
      <c r="U214">
        <v>204.28</v>
      </c>
      <c r="Y214">
        <v>68.41</v>
      </c>
      <c r="Z214" t="s">
        <v>43</v>
      </c>
      <c r="AA214">
        <v>2020</v>
      </c>
      <c r="AB214" t="s">
        <v>100</v>
      </c>
      <c r="AC214" t="s">
        <v>53</v>
      </c>
      <c r="AD214" t="s">
        <v>101</v>
      </c>
    </row>
    <row r="215" spans="1:30" x14ac:dyDescent="0.25">
      <c r="A215">
        <v>214</v>
      </c>
      <c r="B215" t="s">
        <v>30</v>
      </c>
      <c r="C215" t="s">
        <v>1096</v>
      </c>
      <c r="D215" t="s">
        <v>56</v>
      </c>
      <c r="E215" t="s">
        <v>56</v>
      </c>
      <c r="F215" t="s">
        <v>57</v>
      </c>
      <c r="G215" t="s">
        <v>57</v>
      </c>
      <c r="I215" t="s">
        <v>1097</v>
      </c>
      <c r="J215">
        <f>57-60-1-390-9715</f>
        <v>-10109</v>
      </c>
      <c r="K215" t="s">
        <v>1098</v>
      </c>
      <c r="N215" t="s">
        <v>1099</v>
      </c>
      <c r="O215" t="s">
        <v>893</v>
      </c>
      <c r="P215">
        <v>30.54</v>
      </c>
      <c r="Q215">
        <v>504.37</v>
      </c>
      <c r="R215">
        <v>19.850000000000001</v>
      </c>
      <c r="S215">
        <v>443.55</v>
      </c>
      <c r="T215">
        <v>0</v>
      </c>
      <c r="U215">
        <v>70.61</v>
      </c>
      <c r="Y215">
        <v>372.95</v>
      </c>
      <c r="Z215" t="s">
        <v>43</v>
      </c>
      <c r="AA215">
        <v>2022</v>
      </c>
      <c r="AB215" t="s">
        <v>100</v>
      </c>
      <c r="AC215" t="s">
        <v>53</v>
      </c>
      <c r="AD215" t="s">
        <v>101</v>
      </c>
    </row>
    <row r="216" spans="1:30" x14ac:dyDescent="0.25">
      <c r="A216">
        <v>215</v>
      </c>
      <c r="B216" t="s">
        <v>30</v>
      </c>
      <c r="C216" t="s">
        <v>1100</v>
      </c>
      <c r="D216" t="s">
        <v>56</v>
      </c>
      <c r="E216" t="s">
        <v>56</v>
      </c>
      <c r="F216" t="s">
        <v>57</v>
      </c>
      <c r="G216" t="s">
        <v>57</v>
      </c>
      <c r="I216" t="s">
        <v>1101</v>
      </c>
      <c r="J216">
        <f>57-320-301-2025</f>
        <v>-2589</v>
      </c>
      <c r="K216" t="s">
        <v>1102</v>
      </c>
      <c r="N216" t="s">
        <v>1103</v>
      </c>
      <c r="O216" t="s">
        <v>410</v>
      </c>
      <c r="P216">
        <v>32.72</v>
      </c>
      <c r="Q216">
        <v>502.22</v>
      </c>
      <c r="R216">
        <v>32.72</v>
      </c>
      <c r="S216">
        <v>80.19</v>
      </c>
      <c r="T216">
        <v>0</v>
      </c>
      <c r="U216">
        <v>51.92</v>
      </c>
      <c r="Y216">
        <v>28.26</v>
      </c>
      <c r="Z216" t="s">
        <v>43</v>
      </c>
      <c r="AA216">
        <v>2018</v>
      </c>
      <c r="AB216" t="s">
        <v>100</v>
      </c>
      <c r="AC216" t="s">
        <v>53</v>
      </c>
      <c r="AD216" t="s">
        <v>101</v>
      </c>
    </row>
    <row r="217" spans="1:30" x14ac:dyDescent="0.25">
      <c r="A217">
        <v>216</v>
      </c>
      <c r="B217" t="s">
        <v>30</v>
      </c>
      <c r="C217" t="s">
        <v>1104</v>
      </c>
      <c r="D217" t="s">
        <v>1105</v>
      </c>
      <c r="E217" t="s">
        <v>471</v>
      </c>
      <c r="F217" t="s">
        <v>1106</v>
      </c>
      <c r="G217" t="s">
        <v>47</v>
      </c>
      <c r="H217" t="s">
        <v>1107</v>
      </c>
      <c r="I217" t="s">
        <v>1108</v>
      </c>
      <c r="J217">
        <f>57-60-1-245-6474</f>
        <v>-6723</v>
      </c>
      <c r="K217" t="s">
        <v>1109</v>
      </c>
      <c r="N217" t="s">
        <v>1110</v>
      </c>
      <c r="O217" t="s">
        <v>770</v>
      </c>
      <c r="P217">
        <v>22.38</v>
      </c>
      <c r="Q217">
        <v>472.4</v>
      </c>
      <c r="R217">
        <v>14.99</v>
      </c>
      <c r="S217">
        <v>291.39</v>
      </c>
      <c r="T217">
        <v>0</v>
      </c>
      <c r="U217">
        <v>194.58</v>
      </c>
      <c r="Y217">
        <v>96.81</v>
      </c>
      <c r="Z217" t="s">
        <v>43</v>
      </c>
      <c r="AA217">
        <v>2019</v>
      </c>
      <c r="AB217" t="s">
        <v>100</v>
      </c>
      <c r="AC217" t="s">
        <v>53</v>
      </c>
      <c r="AD217" t="s">
        <v>101</v>
      </c>
    </row>
    <row r="218" spans="1:30" x14ac:dyDescent="0.25">
      <c r="A218">
        <v>217</v>
      </c>
      <c r="B218" t="s">
        <v>30</v>
      </c>
      <c r="C218" t="s">
        <v>1111</v>
      </c>
      <c r="D218" t="s">
        <v>56</v>
      </c>
      <c r="E218" t="s">
        <v>56</v>
      </c>
      <c r="F218" t="s">
        <v>57</v>
      </c>
      <c r="G218" t="s">
        <v>57</v>
      </c>
      <c r="I218" t="s">
        <v>1112</v>
      </c>
      <c r="J218">
        <f>57-314-593-8691</f>
        <v>-9541</v>
      </c>
      <c r="K218" t="s">
        <v>1113</v>
      </c>
      <c r="O218" t="s">
        <v>410</v>
      </c>
      <c r="P218" s="1">
        <v>2624.12</v>
      </c>
      <c r="Q218">
        <v>466.65</v>
      </c>
      <c r="R218">
        <v>0</v>
      </c>
      <c r="S218" s="1">
        <v>3110.86</v>
      </c>
      <c r="T218">
        <v>0</v>
      </c>
      <c r="U218" s="1">
        <v>3074.6</v>
      </c>
      <c r="Y218">
        <v>36.270000000000003</v>
      </c>
      <c r="Z218" t="s">
        <v>43</v>
      </c>
      <c r="AA218">
        <v>2018</v>
      </c>
      <c r="AB218" t="s">
        <v>100</v>
      </c>
      <c r="AC218" t="s">
        <v>53</v>
      </c>
      <c r="AD218" t="s">
        <v>101</v>
      </c>
    </row>
    <row r="219" spans="1:30" x14ac:dyDescent="0.25">
      <c r="A219">
        <v>218</v>
      </c>
      <c r="B219" t="s">
        <v>30</v>
      </c>
      <c r="C219" t="s">
        <v>1114</v>
      </c>
      <c r="D219" t="s">
        <v>72</v>
      </c>
      <c r="E219" t="s">
        <v>72</v>
      </c>
      <c r="F219" t="s">
        <v>73</v>
      </c>
      <c r="G219" t="s">
        <v>73</v>
      </c>
      <c r="I219" t="s">
        <v>1115</v>
      </c>
      <c r="J219">
        <f>57-311-811-1114</f>
        <v>-2179</v>
      </c>
      <c r="K219" t="s">
        <v>1116</v>
      </c>
      <c r="N219" t="s">
        <v>1117</v>
      </c>
      <c r="O219" t="s">
        <v>1118</v>
      </c>
      <c r="P219">
        <v>-0.31</v>
      </c>
      <c r="Q219">
        <v>465.79</v>
      </c>
      <c r="R219">
        <v>-14.58</v>
      </c>
      <c r="S219">
        <v>465.51</v>
      </c>
      <c r="T219">
        <v>0</v>
      </c>
      <c r="U219">
        <v>-13.58</v>
      </c>
      <c r="Y219">
        <v>479.09</v>
      </c>
      <c r="Z219" t="s">
        <v>43</v>
      </c>
      <c r="AA219">
        <v>2022</v>
      </c>
      <c r="AB219" t="s">
        <v>100</v>
      </c>
      <c r="AC219" t="s">
        <v>53</v>
      </c>
      <c r="AD219" t="s">
        <v>101</v>
      </c>
    </row>
    <row r="220" spans="1:30" x14ac:dyDescent="0.25">
      <c r="A220">
        <v>219</v>
      </c>
      <c r="B220" t="s">
        <v>30</v>
      </c>
      <c r="C220" t="s">
        <v>1119</v>
      </c>
      <c r="D220" t="s">
        <v>72</v>
      </c>
      <c r="E220" t="s">
        <v>72</v>
      </c>
      <c r="F220" t="s">
        <v>73</v>
      </c>
      <c r="G220" t="s">
        <v>73</v>
      </c>
      <c r="I220" t="s">
        <v>1120</v>
      </c>
      <c r="J220">
        <f>57-317-426-6963</f>
        <v>-7649</v>
      </c>
      <c r="K220" t="s">
        <v>1121</v>
      </c>
      <c r="N220" t="s">
        <v>1122</v>
      </c>
      <c r="O220" t="s">
        <v>1123</v>
      </c>
      <c r="P220">
        <v>104.81</v>
      </c>
      <c r="Q220">
        <v>458.45</v>
      </c>
      <c r="R220">
        <v>0</v>
      </c>
      <c r="S220">
        <v>309.98</v>
      </c>
      <c r="T220">
        <v>0</v>
      </c>
      <c r="U220">
        <v>0</v>
      </c>
      <c r="Y220">
        <v>309.98</v>
      </c>
      <c r="Z220" t="s">
        <v>43</v>
      </c>
      <c r="AA220">
        <v>2018</v>
      </c>
      <c r="AB220" t="s">
        <v>100</v>
      </c>
      <c r="AC220" t="s">
        <v>53</v>
      </c>
      <c r="AD220" t="s">
        <v>101</v>
      </c>
    </row>
    <row r="221" spans="1:30" x14ac:dyDescent="0.25">
      <c r="A221">
        <v>220</v>
      </c>
      <c r="B221" t="s">
        <v>30</v>
      </c>
      <c r="C221" t="s">
        <v>1124</v>
      </c>
      <c r="D221" t="s">
        <v>1125</v>
      </c>
      <c r="E221" t="s">
        <v>1126</v>
      </c>
      <c r="F221" t="s">
        <v>1127</v>
      </c>
      <c r="G221" t="s">
        <v>1128</v>
      </c>
      <c r="H221" t="s">
        <v>1129</v>
      </c>
      <c r="I221" t="s">
        <v>1130</v>
      </c>
      <c r="J221">
        <f>57-315-881-3139</f>
        <v>-4278</v>
      </c>
      <c r="K221" t="s">
        <v>1131</v>
      </c>
      <c r="N221" t="s">
        <v>1132</v>
      </c>
      <c r="O221" t="s">
        <v>1133</v>
      </c>
      <c r="P221">
        <v>115.45</v>
      </c>
      <c r="Q221">
        <v>448.54</v>
      </c>
      <c r="R221">
        <v>107.81</v>
      </c>
      <c r="S221" s="1">
        <v>1082.8800000000001</v>
      </c>
      <c r="T221">
        <v>0</v>
      </c>
      <c r="U221">
        <v>661.64</v>
      </c>
      <c r="Y221">
        <v>421.24</v>
      </c>
      <c r="Z221" t="s">
        <v>43</v>
      </c>
      <c r="AA221">
        <v>2017</v>
      </c>
      <c r="AB221" t="s">
        <v>100</v>
      </c>
      <c r="AC221" t="s">
        <v>53</v>
      </c>
      <c r="AD221" t="s">
        <v>101</v>
      </c>
    </row>
    <row r="222" spans="1:30" x14ac:dyDescent="0.25">
      <c r="A222">
        <v>221</v>
      </c>
      <c r="B222" t="s">
        <v>30</v>
      </c>
      <c r="C222" t="s">
        <v>1134</v>
      </c>
      <c r="D222" t="s">
        <v>1135</v>
      </c>
      <c r="E222" t="s">
        <v>56</v>
      </c>
      <c r="F222" t="s">
        <v>1136</v>
      </c>
      <c r="G222" t="s">
        <v>57</v>
      </c>
      <c r="I222" t="s">
        <v>1137</v>
      </c>
      <c r="J222">
        <f>57-317-757-3786</f>
        <v>-4803</v>
      </c>
      <c r="K222" t="s">
        <v>1138</v>
      </c>
      <c r="N222" t="s">
        <v>1139</v>
      </c>
      <c r="O222" t="s">
        <v>323</v>
      </c>
      <c r="P222">
        <v>22.85</v>
      </c>
      <c r="Q222">
        <v>448.29</v>
      </c>
      <c r="R222">
        <v>13.72</v>
      </c>
      <c r="S222" s="1">
        <v>2865.15</v>
      </c>
      <c r="T222">
        <v>0</v>
      </c>
      <c r="U222">
        <v>477.86</v>
      </c>
      <c r="Y222" s="1">
        <v>2387.29</v>
      </c>
      <c r="Z222" t="s">
        <v>43</v>
      </c>
      <c r="AA222">
        <v>2022</v>
      </c>
      <c r="AB222" t="s">
        <v>100</v>
      </c>
      <c r="AC222" t="s">
        <v>53</v>
      </c>
      <c r="AD222" t="s">
        <v>101</v>
      </c>
    </row>
    <row r="223" spans="1:30" x14ac:dyDescent="0.25">
      <c r="A223">
        <v>222</v>
      </c>
      <c r="B223" t="s">
        <v>30</v>
      </c>
      <c r="C223" t="s">
        <v>1140</v>
      </c>
      <c r="D223" t="s">
        <v>64</v>
      </c>
      <c r="E223" t="s">
        <v>64</v>
      </c>
      <c r="F223" t="s">
        <v>65</v>
      </c>
      <c r="G223" t="s">
        <v>65</v>
      </c>
      <c r="I223" t="s">
        <v>1141</v>
      </c>
      <c r="J223">
        <f>57-60-1-352-1092</f>
        <v>-1448</v>
      </c>
      <c r="K223" t="s">
        <v>1142</v>
      </c>
      <c r="N223" t="s">
        <v>1143</v>
      </c>
      <c r="O223" t="s">
        <v>705</v>
      </c>
      <c r="P223">
        <v>0</v>
      </c>
      <c r="Q223">
        <v>439.11</v>
      </c>
      <c r="R223">
        <v>0</v>
      </c>
      <c r="S223">
        <v>466.99</v>
      </c>
      <c r="T223">
        <v>0</v>
      </c>
      <c r="U223">
        <v>400.15</v>
      </c>
      <c r="Y223">
        <v>66.83</v>
      </c>
      <c r="Z223" t="s">
        <v>43</v>
      </c>
      <c r="AA223">
        <v>2023</v>
      </c>
      <c r="AB223" t="s">
        <v>100</v>
      </c>
      <c r="AC223" t="s">
        <v>53</v>
      </c>
      <c r="AD223" t="s">
        <v>101</v>
      </c>
    </row>
    <row r="224" spans="1:30" x14ac:dyDescent="0.25">
      <c r="A224">
        <v>223</v>
      </c>
      <c r="B224" t="s">
        <v>30</v>
      </c>
      <c r="C224" t="s">
        <v>1144</v>
      </c>
      <c r="D224" t="s">
        <v>72</v>
      </c>
      <c r="E224" t="s">
        <v>72</v>
      </c>
      <c r="F224" t="s">
        <v>73</v>
      </c>
      <c r="G224" t="s">
        <v>73</v>
      </c>
      <c r="I224" t="s">
        <v>1145</v>
      </c>
      <c r="J224">
        <f>57-60-1-466-633</f>
        <v>-1103</v>
      </c>
      <c r="K224" t="s">
        <v>1146</v>
      </c>
      <c r="N224" t="s">
        <v>1147</v>
      </c>
      <c r="O224" t="s">
        <v>1148</v>
      </c>
      <c r="P224">
        <v>-54.33</v>
      </c>
      <c r="Q224">
        <v>434.44</v>
      </c>
      <c r="R224">
        <v>-54.33</v>
      </c>
      <c r="S224">
        <v>327.51</v>
      </c>
      <c r="T224">
        <v>276.51</v>
      </c>
      <c r="U224">
        <v>297.57</v>
      </c>
      <c r="Y224">
        <v>29.94</v>
      </c>
      <c r="Z224" t="s">
        <v>43</v>
      </c>
      <c r="AA224">
        <v>2017</v>
      </c>
      <c r="AB224" t="s">
        <v>100</v>
      </c>
      <c r="AC224" t="s">
        <v>53</v>
      </c>
      <c r="AD224" t="s">
        <v>101</v>
      </c>
    </row>
    <row r="225" spans="1:30" x14ac:dyDescent="0.25">
      <c r="A225">
        <v>224</v>
      </c>
      <c r="B225" t="s">
        <v>30</v>
      </c>
      <c r="C225" t="s">
        <v>1149</v>
      </c>
      <c r="D225" t="s">
        <v>72</v>
      </c>
      <c r="E225" t="s">
        <v>72</v>
      </c>
      <c r="F225" t="s">
        <v>73</v>
      </c>
      <c r="G225" t="s">
        <v>73</v>
      </c>
      <c r="H225" t="s">
        <v>103</v>
      </c>
      <c r="I225" t="s">
        <v>1150</v>
      </c>
      <c r="J225">
        <f>57-310-281-2239</f>
        <v>-2773</v>
      </c>
      <c r="K225" t="s">
        <v>1151</v>
      </c>
      <c r="N225" t="s">
        <v>1152</v>
      </c>
      <c r="O225" t="s">
        <v>705</v>
      </c>
      <c r="P225">
        <v>40.57</v>
      </c>
      <c r="Q225">
        <v>430.13</v>
      </c>
      <c r="R225">
        <v>35.81</v>
      </c>
      <c r="S225">
        <v>541.34</v>
      </c>
      <c r="T225">
        <v>0</v>
      </c>
      <c r="U225">
        <v>530.52</v>
      </c>
      <c r="Y225">
        <v>10.82</v>
      </c>
      <c r="Z225" t="s">
        <v>43</v>
      </c>
      <c r="AA225">
        <v>2023</v>
      </c>
      <c r="AB225" t="s">
        <v>100</v>
      </c>
      <c r="AC225" t="s">
        <v>53</v>
      </c>
      <c r="AD225" t="s">
        <v>101</v>
      </c>
    </row>
    <row r="226" spans="1:30" x14ac:dyDescent="0.25">
      <c r="A226">
        <v>225</v>
      </c>
      <c r="B226" t="s">
        <v>30</v>
      </c>
      <c r="C226" t="s">
        <v>1153</v>
      </c>
      <c r="D226" t="s">
        <v>1154</v>
      </c>
      <c r="E226" t="s">
        <v>1155</v>
      </c>
      <c r="F226" t="s">
        <v>1156</v>
      </c>
      <c r="G226" t="s">
        <v>1157</v>
      </c>
      <c r="I226" t="s">
        <v>1158</v>
      </c>
      <c r="J226">
        <f>57-311-563-9823</f>
        <v>-10640</v>
      </c>
      <c r="K226" t="s">
        <v>1159</v>
      </c>
      <c r="N226" t="s">
        <v>1160</v>
      </c>
      <c r="O226" t="s">
        <v>1161</v>
      </c>
      <c r="P226">
        <v>105.9</v>
      </c>
      <c r="Q226">
        <v>423.59</v>
      </c>
      <c r="R226">
        <v>3.78</v>
      </c>
      <c r="S226">
        <v>778.42</v>
      </c>
      <c r="T226">
        <v>0</v>
      </c>
      <c r="U226">
        <v>531.66999999999996</v>
      </c>
      <c r="Y226">
        <v>246.74</v>
      </c>
      <c r="Z226" t="s">
        <v>43</v>
      </c>
      <c r="AA226">
        <v>2020</v>
      </c>
      <c r="AB226" t="s">
        <v>100</v>
      </c>
      <c r="AC226" t="s">
        <v>53</v>
      </c>
      <c r="AD226" t="s">
        <v>101</v>
      </c>
    </row>
    <row r="227" spans="1:30" x14ac:dyDescent="0.25">
      <c r="A227">
        <v>226</v>
      </c>
      <c r="B227" t="s">
        <v>30</v>
      </c>
      <c r="C227" t="s">
        <v>1162</v>
      </c>
      <c r="D227" t="s">
        <v>56</v>
      </c>
      <c r="E227" t="s">
        <v>56</v>
      </c>
      <c r="F227" t="s">
        <v>57</v>
      </c>
      <c r="G227" t="s">
        <v>57</v>
      </c>
      <c r="I227" t="s">
        <v>1163</v>
      </c>
      <c r="J227">
        <f>57-313-785-9870</f>
        <v>-10911</v>
      </c>
      <c r="K227" t="s">
        <v>1164</v>
      </c>
      <c r="O227" t="s">
        <v>1165</v>
      </c>
      <c r="P227">
        <v>0</v>
      </c>
      <c r="Q227">
        <v>422.94</v>
      </c>
      <c r="R227">
        <v>0</v>
      </c>
      <c r="S227">
        <v>510.57</v>
      </c>
      <c r="T227">
        <v>0</v>
      </c>
      <c r="U227">
        <v>20.67</v>
      </c>
      <c r="Y227">
        <v>489.9</v>
      </c>
      <c r="Z227" t="s">
        <v>43</v>
      </c>
      <c r="AA227">
        <v>2018</v>
      </c>
      <c r="AB227" t="s">
        <v>100</v>
      </c>
      <c r="AC227" t="s">
        <v>53</v>
      </c>
      <c r="AD227" t="s">
        <v>101</v>
      </c>
    </row>
    <row r="228" spans="1:30" x14ac:dyDescent="0.25">
      <c r="A228">
        <v>227</v>
      </c>
      <c r="B228" t="s">
        <v>30</v>
      </c>
      <c r="C228" t="s">
        <v>1166</v>
      </c>
      <c r="D228" t="s">
        <v>64</v>
      </c>
      <c r="E228" t="s">
        <v>64</v>
      </c>
      <c r="F228" t="s">
        <v>65</v>
      </c>
      <c r="G228" t="s">
        <v>65</v>
      </c>
      <c r="I228" t="s">
        <v>1167</v>
      </c>
      <c r="J228">
        <f>57-60-1-580-6546</f>
        <v>-7130</v>
      </c>
      <c r="K228" t="s">
        <v>1168</v>
      </c>
      <c r="N228" t="s">
        <v>1169</v>
      </c>
      <c r="O228" t="s">
        <v>301</v>
      </c>
      <c r="P228">
        <v>31.82</v>
      </c>
      <c r="Q228">
        <v>408.38</v>
      </c>
      <c r="R228">
        <v>31.82</v>
      </c>
      <c r="S228">
        <v>533.39</v>
      </c>
      <c r="T228">
        <v>0</v>
      </c>
      <c r="U228">
        <v>491.18</v>
      </c>
      <c r="Y228">
        <v>42.21</v>
      </c>
      <c r="Z228" t="s">
        <v>43</v>
      </c>
      <c r="AA228">
        <v>2023</v>
      </c>
      <c r="AB228" t="s">
        <v>100</v>
      </c>
      <c r="AC228" t="s">
        <v>53</v>
      </c>
      <c r="AD228" t="s">
        <v>101</v>
      </c>
    </row>
    <row r="229" spans="1:30" x14ac:dyDescent="0.25">
      <c r="A229">
        <v>228</v>
      </c>
      <c r="B229" t="s">
        <v>30</v>
      </c>
      <c r="C229" t="s">
        <v>1170</v>
      </c>
      <c r="D229" t="s">
        <v>72</v>
      </c>
      <c r="E229" t="s">
        <v>72</v>
      </c>
      <c r="F229" t="s">
        <v>73</v>
      </c>
      <c r="G229" t="s">
        <v>73</v>
      </c>
      <c r="I229" t="s">
        <v>1171</v>
      </c>
      <c r="J229">
        <f>57-60-1-393-4540</f>
        <v>-4937</v>
      </c>
      <c r="K229" t="s">
        <v>1172</v>
      </c>
      <c r="N229" t="s">
        <v>1173</v>
      </c>
      <c r="O229" t="s">
        <v>1174</v>
      </c>
      <c r="P229">
        <v>-475.65</v>
      </c>
      <c r="Q229">
        <v>392.49</v>
      </c>
      <c r="R229">
        <v>0</v>
      </c>
      <c r="S229">
        <v>130.84</v>
      </c>
      <c r="T229">
        <v>0</v>
      </c>
      <c r="U229">
        <v>-309.98</v>
      </c>
      <c r="Y229">
        <v>440.82</v>
      </c>
      <c r="Z229" t="s">
        <v>43</v>
      </c>
      <c r="AA229">
        <v>2018</v>
      </c>
      <c r="AB229" t="s">
        <v>100</v>
      </c>
      <c r="AC229" t="s">
        <v>53</v>
      </c>
      <c r="AD229" t="s">
        <v>101</v>
      </c>
    </row>
    <row r="230" spans="1:30" x14ac:dyDescent="0.25">
      <c r="A230">
        <v>229</v>
      </c>
      <c r="B230" t="s">
        <v>30</v>
      </c>
      <c r="C230" t="s">
        <v>1175</v>
      </c>
      <c r="D230" t="s">
        <v>72</v>
      </c>
      <c r="E230" t="s">
        <v>72</v>
      </c>
      <c r="F230" t="s">
        <v>73</v>
      </c>
      <c r="G230" t="s">
        <v>73</v>
      </c>
      <c r="I230" t="s">
        <v>1176</v>
      </c>
      <c r="J230">
        <f>57-316-694-3681</f>
        <v>-4634</v>
      </c>
      <c r="K230" t="s">
        <v>1177</v>
      </c>
      <c r="N230" t="s">
        <v>1178</v>
      </c>
      <c r="O230" t="s">
        <v>1179</v>
      </c>
      <c r="P230">
        <v>-27.79</v>
      </c>
      <c r="Q230">
        <v>388.44</v>
      </c>
      <c r="R230">
        <v>-36.380000000000003</v>
      </c>
      <c r="S230">
        <v>361.75</v>
      </c>
      <c r="T230">
        <v>0</v>
      </c>
      <c r="U230">
        <v>199.56</v>
      </c>
      <c r="Y230">
        <v>162.19999999999999</v>
      </c>
      <c r="Z230" t="s">
        <v>43</v>
      </c>
      <c r="AA230">
        <v>2020</v>
      </c>
      <c r="AB230" t="s">
        <v>100</v>
      </c>
      <c r="AC230" t="s">
        <v>53</v>
      </c>
      <c r="AD230" t="s">
        <v>101</v>
      </c>
    </row>
    <row r="231" spans="1:30" x14ac:dyDescent="0.25">
      <c r="A231">
        <v>230</v>
      </c>
      <c r="B231" t="s">
        <v>30</v>
      </c>
      <c r="C231" t="s">
        <v>1180</v>
      </c>
      <c r="D231" t="s">
        <v>72</v>
      </c>
      <c r="E231" t="s">
        <v>72</v>
      </c>
      <c r="F231" t="s">
        <v>73</v>
      </c>
      <c r="G231" t="s">
        <v>73</v>
      </c>
      <c r="H231" t="s">
        <v>1181</v>
      </c>
      <c r="I231" t="s">
        <v>1182</v>
      </c>
      <c r="J231">
        <f>57-60-1-296-589</f>
        <v>-889</v>
      </c>
      <c r="K231" t="s">
        <v>1183</v>
      </c>
      <c r="N231" t="s">
        <v>1184</v>
      </c>
      <c r="O231" t="s">
        <v>602</v>
      </c>
      <c r="P231">
        <v>185.5</v>
      </c>
      <c r="Q231">
        <v>319.48</v>
      </c>
      <c r="R231">
        <v>207.81</v>
      </c>
      <c r="S231" s="1">
        <v>10927.99</v>
      </c>
      <c r="T231">
        <v>0</v>
      </c>
      <c r="U231" s="1">
        <v>1728.86</v>
      </c>
      <c r="Y231" s="1">
        <v>9199.1299999999992</v>
      </c>
      <c r="Z231" t="s">
        <v>43</v>
      </c>
      <c r="AA231">
        <v>2022</v>
      </c>
      <c r="AB231" t="s">
        <v>100</v>
      </c>
      <c r="AC231" t="s">
        <v>53</v>
      </c>
      <c r="AD231" t="s">
        <v>101</v>
      </c>
    </row>
    <row r="232" spans="1:30" x14ac:dyDescent="0.25">
      <c r="A232">
        <v>231</v>
      </c>
      <c r="B232" t="s">
        <v>30</v>
      </c>
      <c r="C232" t="s">
        <v>1185</v>
      </c>
      <c r="D232" t="s">
        <v>1186</v>
      </c>
      <c r="E232" t="s">
        <v>1187</v>
      </c>
      <c r="F232" t="s">
        <v>1188</v>
      </c>
      <c r="G232" t="s">
        <v>1189</v>
      </c>
      <c r="I232" t="s">
        <v>1190</v>
      </c>
      <c r="J232">
        <f>57-301-702-7483</f>
        <v>-8429</v>
      </c>
      <c r="K232" t="s">
        <v>1191</v>
      </c>
      <c r="N232" t="s">
        <v>1192</v>
      </c>
      <c r="O232" t="s">
        <v>1193</v>
      </c>
      <c r="P232">
        <v>-277.79000000000002</v>
      </c>
      <c r="Q232">
        <v>308.5</v>
      </c>
      <c r="R232">
        <v>-430.19</v>
      </c>
      <c r="S232">
        <v>379.57</v>
      </c>
      <c r="T232">
        <v>0</v>
      </c>
      <c r="U232">
        <v>-261.33</v>
      </c>
      <c r="Y232">
        <v>640.9</v>
      </c>
      <c r="Z232" t="s">
        <v>43</v>
      </c>
      <c r="AA232">
        <v>2020</v>
      </c>
      <c r="AB232" t="s">
        <v>100</v>
      </c>
      <c r="AC232" t="s">
        <v>53</v>
      </c>
      <c r="AD232" t="s">
        <v>101</v>
      </c>
    </row>
    <row r="233" spans="1:30" x14ac:dyDescent="0.25">
      <c r="A233">
        <v>232</v>
      </c>
      <c r="B233" t="s">
        <v>30</v>
      </c>
      <c r="C233" t="s">
        <v>1194</v>
      </c>
      <c r="D233" t="s">
        <v>56</v>
      </c>
      <c r="E233" t="s">
        <v>56</v>
      </c>
      <c r="F233" t="s">
        <v>57</v>
      </c>
      <c r="G233" t="s">
        <v>57</v>
      </c>
      <c r="I233" t="s">
        <v>1195</v>
      </c>
      <c r="J233">
        <f>57-350-710-5379</f>
        <v>-6382</v>
      </c>
      <c r="K233" t="s">
        <v>1196</v>
      </c>
      <c r="N233" t="s">
        <v>1197</v>
      </c>
      <c r="O233" t="s">
        <v>1123</v>
      </c>
      <c r="P233">
        <v>0</v>
      </c>
      <c r="Q233">
        <v>302.83999999999997</v>
      </c>
      <c r="R233">
        <v>0</v>
      </c>
      <c r="S233">
        <v>70.03</v>
      </c>
      <c r="T233">
        <v>0</v>
      </c>
      <c r="U233">
        <v>-8.33</v>
      </c>
      <c r="Y233">
        <v>78.36</v>
      </c>
      <c r="Z233" t="s">
        <v>43</v>
      </c>
      <c r="AA233">
        <v>2019</v>
      </c>
      <c r="AB233" t="s">
        <v>100</v>
      </c>
      <c r="AC233" t="s">
        <v>53</v>
      </c>
      <c r="AD233" t="s">
        <v>101</v>
      </c>
    </row>
    <row r="234" spans="1:30" x14ac:dyDescent="0.25">
      <c r="A234">
        <v>233</v>
      </c>
      <c r="B234" t="s">
        <v>30</v>
      </c>
      <c r="C234" t="s">
        <v>1198</v>
      </c>
      <c r="D234" t="s">
        <v>46</v>
      </c>
      <c r="E234" t="s">
        <v>471</v>
      </c>
      <c r="F234" t="s">
        <v>820</v>
      </c>
      <c r="G234" t="s">
        <v>47</v>
      </c>
      <c r="I234" t="s">
        <v>1199</v>
      </c>
      <c r="J234">
        <f>57-310-322-7240</f>
        <v>-7815</v>
      </c>
      <c r="K234" t="s">
        <v>1200</v>
      </c>
      <c r="N234" t="s">
        <v>1201</v>
      </c>
      <c r="O234" t="s">
        <v>1061</v>
      </c>
      <c r="P234">
        <v>-67.5</v>
      </c>
      <c r="Q234">
        <v>285.22000000000003</v>
      </c>
      <c r="R234">
        <v>-70.3</v>
      </c>
      <c r="S234">
        <v>290.91000000000003</v>
      </c>
      <c r="T234">
        <v>0</v>
      </c>
      <c r="U234">
        <v>-70.319999999999993</v>
      </c>
      <c r="Y234">
        <v>361.23</v>
      </c>
      <c r="Z234" t="s">
        <v>43</v>
      </c>
      <c r="AA234">
        <v>2020</v>
      </c>
      <c r="AB234" t="s">
        <v>100</v>
      </c>
      <c r="AC234" t="s">
        <v>53</v>
      </c>
      <c r="AD234" t="s">
        <v>101</v>
      </c>
    </row>
    <row r="235" spans="1:30" x14ac:dyDescent="0.25">
      <c r="A235">
        <v>234</v>
      </c>
      <c r="B235" t="s">
        <v>30</v>
      </c>
      <c r="C235" t="s">
        <v>1202</v>
      </c>
      <c r="D235" t="s">
        <v>56</v>
      </c>
      <c r="E235" t="s">
        <v>56</v>
      </c>
      <c r="F235" t="s">
        <v>57</v>
      </c>
      <c r="G235" t="s">
        <v>57</v>
      </c>
      <c r="I235" t="s">
        <v>1203</v>
      </c>
      <c r="J235">
        <f>57-312-481-5591</f>
        <v>-6327</v>
      </c>
      <c r="K235" t="s">
        <v>1204</v>
      </c>
      <c r="N235" t="s">
        <v>1205</v>
      </c>
      <c r="O235" t="s">
        <v>1206</v>
      </c>
      <c r="P235">
        <v>0</v>
      </c>
      <c r="Q235">
        <v>281</v>
      </c>
      <c r="R235">
        <v>75.260000000000005</v>
      </c>
      <c r="S235">
        <v>964</v>
      </c>
      <c r="T235">
        <v>0</v>
      </c>
      <c r="U235">
        <v>756</v>
      </c>
      <c r="Y235">
        <v>208</v>
      </c>
      <c r="Z235" t="s">
        <v>43</v>
      </c>
      <c r="AA235">
        <v>2021</v>
      </c>
      <c r="AB235" t="s">
        <v>100</v>
      </c>
      <c r="AC235" t="s">
        <v>53</v>
      </c>
      <c r="AD235" t="s">
        <v>101</v>
      </c>
    </row>
    <row r="236" spans="1:30" x14ac:dyDescent="0.25">
      <c r="A236">
        <v>235</v>
      </c>
      <c r="B236" t="s">
        <v>30</v>
      </c>
      <c r="C236" t="s">
        <v>1207</v>
      </c>
      <c r="D236" t="s">
        <v>56</v>
      </c>
      <c r="E236" t="s">
        <v>56</v>
      </c>
      <c r="F236" t="s">
        <v>57</v>
      </c>
      <c r="G236" t="s">
        <v>57</v>
      </c>
      <c r="H236" t="s">
        <v>1208</v>
      </c>
      <c r="I236" t="s">
        <v>1209</v>
      </c>
      <c r="J236">
        <f>57-60-1-694-5954</f>
        <v>-6652</v>
      </c>
      <c r="K236" t="s">
        <v>1210</v>
      </c>
      <c r="N236" t="s">
        <v>1211</v>
      </c>
      <c r="O236" t="s">
        <v>1212</v>
      </c>
      <c r="P236">
        <v>107.64</v>
      </c>
      <c r="Q236">
        <v>280.06</v>
      </c>
      <c r="R236">
        <v>107.64</v>
      </c>
      <c r="S236" s="1">
        <v>13245.9</v>
      </c>
      <c r="T236">
        <v>0</v>
      </c>
      <c r="U236" s="1">
        <v>10026.870000000001</v>
      </c>
      <c r="Y236" s="1">
        <v>3219.03</v>
      </c>
      <c r="Z236" t="s">
        <v>43</v>
      </c>
      <c r="AA236">
        <v>2023</v>
      </c>
      <c r="AB236" t="s">
        <v>100</v>
      </c>
      <c r="AC236" t="s">
        <v>53</v>
      </c>
      <c r="AD236" t="s">
        <v>101</v>
      </c>
    </row>
    <row r="237" spans="1:30" x14ac:dyDescent="0.25">
      <c r="A237">
        <v>236</v>
      </c>
      <c r="B237" t="s">
        <v>30</v>
      </c>
      <c r="C237" t="s">
        <v>1213</v>
      </c>
      <c r="D237" t="s">
        <v>56</v>
      </c>
      <c r="E237" t="s">
        <v>56</v>
      </c>
      <c r="F237" t="s">
        <v>57</v>
      </c>
      <c r="G237" t="s">
        <v>57</v>
      </c>
      <c r="I237" t="s">
        <v>1214</v>
      </c>
      <c r="J237">
        <f>57-60-1-257-5443</f>
        <v>-5704</v>
      </c>
      <c r="K237" t="s">
        <v>1215</v>
      </c>
      <c r="O237" t="s">
        <v>410</v>
      </c>
      <c r="P237">
        <v>96.01</v>
      </c>
      <c r="Q237">
        <v>263.02</v>
      </c>
      <c r="R237">
        <v>69.900000000000006</v>
      </c>
      <c r="S237">
        <v>411.04</v>
      </c>
      <c r="T237">
        <v>0</v>
      </c>
      <c r="U237">
        <v>402.28</v>
      </c>
      <c r="Y237">
        <v>8.77</v>
      </c>
      <c r="Z237" t="s">
        <v>43</v>
      </c>
      <c r="AA237">
        <v>2018</v>
      </c>
      <c r="AB237" t="s">
        <v>100</v>
      </c>
      <c r="AC237" t="s">
        <v>53</v>
      </c>
      <c r="AD237" t="s">
        <v>101</v>
      </c>
    </row>
    <row r="238" spans="1:30" x14ac:dyDescent="0.25">
      <c r="A238">
        <v>237</v>
      </c>
      <c r="B238" t="s">
        <v>30</v>
      </c>
      <c r="C238" t="s">
        <v>1216</v>
      </c>
      <c r="D238" t="s">
        <v>899</v>
      </c>
      <c r="E238" t="s">
        <v>1217</v>
      </c>
      <c r="F238" t="s">
        <v>1218</v>
      </c>
      <c r="G238" t="s">
        <v>1219</v>
      </c>
      <c r="I238" t="s">
        <v>1220</v>
      </c>
      <c r="J238">
        <f>57-313-387-7528</f>
        <v>-8171</v>
      </c>
      <c r="K238" t="s">
        <v>1221</v>
      </c>
      <c r="N238" t="s">
        <v>1222</v>
      </c>
      <c r="O238" t="s">
        <v>1223</v>
      </c>
      <c r="P238">
        <v>-182.38</v>
      </c>
      <c r="Q238">
        <v>261.93</v>
      </c>
      <c r="R238">
        <v>-182.38</v>
      </c>
      <c r="S238">
        <v>369.74</v>
      </c>
      <c r="T238">
        <v>0</v>
      </c>
      <c r="U238">
        <v>264.52999999999997</v>
      </c>
      <c r="Y238">
        <v>105.21</v>
      </c>
      <c r="Z238" t="s">
        <v>43</v>
      </c>
      <c r="AA238">
        <v>2018</v>
      </c>
      <c r="AB238" t="s">
        <v>100</v>
      </c>
      <c r="AC238" t="s">
        <v>53</v>
      </c>
      <c r="AD238" t="s">
        <v>101</v>
      </c>
    </row>
    <row r="239" spans="1:30" x14ac:dyDescent="0.25">
      <c r="A239">
        <v>238</v>
      </c>
      <c r="B239" t="s">
        <v>30</v>
      </c>
      <c r="C239" t="s">
        <v>1224</v>
      </c>
      <c r="D239" t="s">
        <v>1225</v>
      </c>
      <c r="E239" t="s">
        <v>1055</v>
      </c>
      <c r="F239" t="s">
        <v>1226</v>
      </c>
      <c r="G239" t="s">
        <v>1057</v>
      </c>
      <c r="I239" t="s">
        <v>1227</v>
      </c>
      <c r="J239">
        <f>57-60-1-702-1174</f>
        <v>-1880</v>
      </c>
      <c r="K239" t="s">
        <v>1228</v>
      </c>
      <c r="N239" t="s">
        <v>1229</v>
      </c>
      <c r="O239" t="s">
        <v>1072</v>
      </c>
      <c r="P239">
        <v>12.02</v>
      </c>
      <c r="Q239">
        <v>261.58</v>
      </c>
      <c r="R239">
        <v>12.02</v>
      </c>
      <c r="S239">
        <v>377.18</v>
      </c>
      <c r="T239">
        <v>0</v>
      </c>
      <c r="U239">
        <v>229.43</v>
      </c>
      <c r="Y239">
        <v>147.75</v>
      </c>
      <c r="Z239" t="s">
        <v>43</v>
      </c>
      <c r="AA239">
        <v>2018</v>
      </c>
      <c r="AB239" t="s">
        <v>100</v>
      </c>
      <c r="AC239" t="s">
        <v>53</v>
      </c>
      <c r="AD239" t="s">
        <v>101</v>
      </c>
    </row>
    <row r="240" spans="1:30" x14ac:dyDescent="0.25">
      <c r="A240">
        <v>239</v>
      </c>
      <c r="B240" t="s">
        <v>30</v>
      </c>
      <c r="C240" t="s">
        <v>1230</v>
      </c>
      <c r="D240" t="s">
        <v>46</v>
      </c>
      <c r="E240" t="s">
        <v>471</v>
      </c>
      <c r="F240" t="s">
        <v>820</v>
      </c>
      <c r="G240" t="s">
        <v>47</v>
      </c>
      <c r="I240" t="s">
        <v>1231</v>
      </c>
      <c r="J240">
        <f>57-60-1-521-2121</f>
        <v>-2646</v>
      </c>
      <c r="K240" t="s">
        <v>1232</v>
      </c>
      <c r="N240" t="s">
        <v>1233</v>
      </c>
      <c r="O240" t="s">
        <v>1087</v>
      </c>
      <c r="P240">
        <v>39.15</v>
      </c>
      <c r="Q240">
        <v>258.48</v>
      </c>
      <c r="R240">
        <v>39.15</v>
      </c>
      <c r="S240">
        <v>359.19</v>
      </c>
      <c r="T240">
        <v>0</v>
      </c>
      <c r="U240">
        <v>104.35</v>
      </c>
      <c r="Y240">
        <v>254.84</v>
      </c>
      <c r="Z240" t="s">
        <v>43</v>
      </c>
      <c r="AA240">
        <v>2017</v>
      </c>
      <c r="AB240" t="s">
        <v>100</v>
      </c>
      <c r="AC240" t="s">
        <v>53</v>
      </c>
      <c r="AD240" t="s">
        <v>101</v>
      </c>
    </row>
    <row r="241" spans="1:30" x14ac:dyDescent="0.25">
      <c r="A241">
        <v>240</v>
      </c>
      <c r="B241" t="s">
        <v>30</v>
      </c>
      <c r="C241" t="s">
        <v>1234</v>
      </c>
      <c r="D241" t="s">
        <v>72</v>
      </c>
      <c r="E241" t="s">
        <v>72</v>
      </c>
      <c r="F241" t="s">
        <v>73</v>
      </c>
      <c r="G241" t="s">
        <v>73</v>
      </c>
      <c r="I241" t="s">
        <v>1235</v>
      </c>
      <c r="J241">
        <f>57-321-935-6607</f>
        <v>-7806</v>
      </c>
      <c r="K241" t="s">
        <v>1236</v>
      </c>
      <c r="N241" t="s">
        <v>1237</v>
      </c>
      <c r="O241" t="s">
        <v>1206</v>
      </c>
      <c r="P241">
        <v>-33.56</v>
      </c>
      <c r="Q241">
        <v>256.23</v>
      </c>
      <c r="R241">
        <v>-33.56</v>
      </c>
      <c r="S241">
        <v>431.56</v>
      </c>
      <c r="T241">
        <v>0</v>
      </c>
      <c r="U241">
        <v>223.62</v>
      </c>
      <c r="Y241">
        <v>207.94</v>
      </c>
      <c r="Z241" t="s">
        <v>43</v>
      </c>
      <c r="AA241">
        <v>2020</v>
      </c>
      <c r="AB241" t="s">
        <v>100</v>
      </c>
      <c r="AC241" t="s">
        <v>53</v>
      </c>
      <c r="AD241" t="s">
        <v>101</v>
      </c>
    </row>
    <row r="242" spans="1:30" x14ac:dyDescent="0.25">
      <c r="A242">
        <v>241</v>
      </c>
      <c r="B242" t="s">
        <v>30</v>
      </c>
      <c r="C242" t="s">
        <v>1238</v>
      </c>
      <c r="D242" t="s">
        <v>64</v>
      </c>
      <c r="E242" t="s">
        <v>64</v>
      </c>
      <c r="F242" t="s">
        <v>65</v>
      </c>
      <c r="G242" t="s">
        <v>65</v>
      </c>
      <c r="I242" t="s">
        <v>1239</v>
      </c>
      <c r="J242">
        <f>57-321-347-4694</f>
        <v>-5305</v>
      </c>
      <c r="K242" t="s">
        <v>1240</v>
      </c>
      <c r="O242" t="s">
        <v>934</v>
      </c>
      <c r="P242">
        <v>0</v>
      </c>
      <c r="Q242">
        <v>242.93</v>
      </c>
      <c r="R242">
        <v>37.86</v>
      </c>
      <c r="S242" s="1">
        <v>1816.55</v>
      </c>
      <c r="T242">
        <v>0</v>
      </c>
      <c r="U242" s="1">
        <v>1770.56</v>
      </c>
      <c r="Y242">
        <v>45.99</v>
      </c>
      <c r="Z242" t="s">
        <v>43</v>
      </c>
      <c r="AA242">
        <v>2018</v>
      </c>
      <c r="AB242" t="s">
        <v>100</v>
      </c>
      <c r="AC242" t="s">
        <v>53</v>
      </c>
      <c r="AD242" t="s">
        <v>101</v>
      </c>
    </row>
    <row r="243" spans="1:30" x14ac:dyDescent="0.25">
      <c r="A243">
        <v>242</v>
      </c>
      <c r="B243" t="s">
        <v>30</v>
      </c>
      <c r="C243" t="s">
        <v>1241</v>
      </c>
      <c r="D243" t="s">
        <v>64</v>
      </c>
      <c r="E243" t="s">
        <v>64</v>
      </c>
      <c r="F243" t="s">
        <v>65</v>
      </c>
      <c r="G243" t="s">
        <v>65</v>
      </c>
      <c r="I243" t="s">
        <v>1242</v>
      </c>
      <c r="J243">
        <f>57-60-1-805-2809</f>
        <v>-3618</v>
      </c>
      <c r="K243" t="s">
        <v>1243</v>
      </c>
      <c r="N243" t="s">
        <v>1244</v>
      </c>
      <c r="O243" t="s">
        <v>1245</v>
      </c>
      <c r="P243">
        <v>-182.7</v>
      </c>
      <c r="Q243">
        <v>233.88</v>
      </c>
      <c r="R243">
        <v>0</v>
      </c>
      <c r="S243" s="1">
        <v>1993.57</v>
      </c>
      <c r="T243">
        <v>0</v>
      </c>
      <c r="U243">
        <v>709.83</v>
      </c>
      <c r="Y243" s="1">
        <v>1283.74</v>
      </c>
      <c r="Z243" t="s">
        <v>43</v>
      </c>
      <c r="AA243">
        <v>2018</v>
      </c>
      <c r="AB243" t="s">
        <v>100</v>
      </c>
      <c r="AC243" t="s">
        <v>53</v>
      </c>
      <c r="AD243" t="s">
        <v>101</v>
      </c>
    </row>
    <row r="244" spans="1:30" x14ac:dyDescent="0.25">
      <c r="A244">
        <v>243</v>
      </c>
      <c r="B244" t="s">
        <v>30</v>
      </c>
      <c r="C244" t="s">
        <v>1246</v>
      </c>
      <c r="D244" t="s">
        <v>1247</v>
      </c>
      <c r="E244" t="s">
        <v>1248</v>
      </c>
      <c r="F244" t="s">
        <v>1249</v>
      </c>
      <c r="G244" t="s">
        <v>1250</v>
      </c>
      <c r="I244" t="s">
        <v>1251</v>
      </c>
      <c r="J244">
        <f>57-60-1-805-3113</f>
        <v>-3922</v>
      </c>
      <c r="K244" t="s">
        <v>1252</v>
      </c>
      <c r="N244" t="s">
        <v>1253</v>
      </c>
      <c r="O244" t="s">
        <v>1254</v>
      </c>
      <c r="P244">
        <v>149.72</v>
      </c>
      <c r="Q244">
        <v>228.32</v>
      </c>
      <c r="R244">
        <v>4.93</v>
      </c>
      <c r="S244">
        <v>527.4</v>
      </c>
      <c r="T244">
        <v>0</v>
      </c>
      <c r="U244">
        <v>426.72</v>
      </c>
      <c r="Y244">
        <v>100.68</v>
      </c>
      <c r="Z244" t="s">
        <v>43</v>
      </c>
      <c r="AA244">
        <v>2019</v>
      </c>
      <c r="AB244" t="s">
        <v>100</v>
      </c>
      <c r="AC244" t="s">
        <v>53</v>
      </c>
      <c r="AD244" t="s">
        <v>101</v>
      </c>
    </row>
    <row r="245" spans="1:30" x14ac:dyDescent="0.25">
      <c r="A245">
        <v>244</v>
      </c>
      <c r="B245" t="s">
        <v>30</v>
      </c>
      <c r="C245" t="s">
        <v>1255</v>
      </c>
      <c r="D245" t="s">
        <v>72</v>
      </c>
      <c r="E245" t="s">
        <v>72</v>
      </c>
      <c r="F245" t="s">
        <v>73</v>
      </c>
      <c r="G245" t="s">
        <v>73</v>
      </c>
      <c r="I245" t="s">
        <v>1256</v>
      </c>
      <c r="J245">
        <f>57-311-804-7997</f>
        <v>-9055</v>
      </c>
      <c r="K245" t="s">
        <v>1257</v>
      </c>
      <c r="N245" t="s">
        <v>1258</v>
      </c>
      <c r="O245" t="s">
        <v>454</v>
      </c>
      <c r="P245">
        <v>203.9</v>
      </c>
      <c r="Q245">
        <v>220.12</v>
      </c>
      <c r="R245">
        <v>198.74</v>
      </c>
      <c r="S245">
        <v>290.14</v>
      </c>
      <c r="T245">
        <v>0</v>
      </c>
      <c r="U245">
        <v>257.14</v>
      </c>
      <c r="Y245">
        <v>33.01</v>
      </c>
      <c r="Z245" t="s">
        <v>43</v>
      </c>
      <c r="AA245">
        <v>2023</v>
      </c>
      <c r="AB245" t="s">
        <v>100</v>
      </c>
      <c r="AC245" t="s">
        <v>53</v>
      </c>
      <c r="AD245" t="s">
        <v>101</v>
      </c>
    </row>
    <row r="246" spans="1:30" x14ac:dyDescent="0.25">
      <c r="A246">
        <v>245</v>
      </c>
      <c r="B246" t="s">
        <v>30</v>
      </c>
      <c r="C246" t="s">
        <v>1259</v>
      </c>
      <c r="D246" t="s">
        <v>1260</v>
      </c>
      <c r="E246" t="s">
        <v>64</v>
      </c>
      <c r="F246" t="s">
        <v>1261</v>
      </c>
      <c r="G246" t="s">
        <v>65</v>
      </c>
      <c r="H246" t="s">
        <v>1262</v>
      </c>
      <c r="I246" t="s">
        <v>1263</v>
      </c>
      <c r="J246">
        <f>57-321-397-9724</f>
        <v>-10385</v>
      </c>
      <c r="K246" t="s">
        <v>1264</v>
      </c>
      <c r="N246" t="s">
        <v>1265</v>
      </c>
      <c r="O246" t="s">
        <v>1266</v>
      </c>
      <c r="P246">
        <v>101.69</v>
      </c>
      <c r="Q246">
        <v>219.59</v>
      </c>
      <c r="R246">
        <v>35.840000000000003</v>
      </c>
      <c r="S246">
        <v>503.56</v>
      </c>
      <c r="T246">
        <v>0</v>
      </c>
      <c r="U246">
        <v>482.77</v>
      </c>
      <c r="Y246">
        <v>20.79</v>
      </c>
      <c r="Z246" t="s">
        <v>43</v>
      </c>
      <c r="AA246">
        <v>2017</v>
      </c>
      <c r="AB246" t="s">
        <v>100</v>
      </c>
      <c r="AC246" t="s">
        <v>53</v>
      </c>
      <c r="AD246" t="s">
        <v>101</v>
      </c>
    </row>
    <row r="247" spans="1:30" x14ac:dyDescent="0.25">
      <c r="A247">
        <v>246</v>
      </c>
      <c r="B247" t="s">
        <v>30</v>
      </c>
      <c r="C247" t="s">
        <v>1267</v>
      </c>
      <c r="D247" t="s">
        <v>1268</v>
      </c>
      <c r="E247" t="s">
        <v>1269</v>
      </c>
      <c r="F247" t="s">
        <v>1270</v>
      </c>
      <c r="G247" t="s">
        <v>1271</v>
      </c>
      <c r="I247" t="s">
        <v>1272</v>
      </c>
      <c r="J247">
        <f>57-60-1-612-1358</f>
        <v>-1974</v>
      </c>
      <c r="K247" t="s">
        <v>1273</v>
      </c>
      <c r="N247" t="s">
        <v>1274</v>
      </c>
      <c r="O247" t="s">
        <v>875</v>
      </c>
      <c r="P247">
        <v>4.4400000000000004</v>
      </c>
      <c r="Q247">
        <v>202.79</v>
      </c>
      <c r="R247">
        <v>4.4400000000000004</v>
      </c>
      <c r="S247">
        <v>440.77</v>
      </c>
      <c r="T247">
        <v>0</v>
      </c>
      <c r="U247">
        <v>425.37</v>
      </c>
      <c r="Y247">
        <v>15.41</v>
      </c>
      <c r="Z247" t="s">
        <v>43</v>
      </c>
      <c r="AA247">
        <v>2019</v>
      </c>
      <c r="AB247" t="s">
        <v>100</v>
      </c>
      <c r="AC247" t="s">
        <v>53</v>
      </c>
      <c r="AD247" t="s">
        <v>101</v>
      </c>
    </row>
    <row r="248" spans="1:30" x14ac:dyDescent="0.25">
      <c r="A248">
        <v>247</v>
      </c>
      <c r="B248" t="s">
        <v>30</v>
      </c>
      <c r="C248" t="s">
        <v>1275</v>
      </c>
      <c r="D248" t="s">
        <v>1276</v>
      </c>
      <c r="E248" t="s">
        <v>471</v>
      </c>
      <c r="F248" t="s">
        <v>1277</v>
      </c>
      <c r="G248" t="s">
        <v>47</v>
      </c>
      <c r="I248" t="s">
        <v>1278</v>
      </c>
      <c r="J248">
        <f>57-318-240-3736</f>
        <v>-4237</v>
      </c>
      <c r="K248" t="s">
        <v>1279</v>
      </c>
      <c r="N248" t="s">
        <v>1280</v>
      </c>
      <c r="O248" t="s">
        <v>1037</v>
      </c>
      <c r="P248">
        <v>-15.31</v>
      </c>
      <c r="Q248">
        <v>195.32</v>
      </c>
      <c r="R248">
        <v>-27.99</v>
      </c>
      <c r="S248">
        <v>60</v>
      </c>
      <c r="T248">
        <v>0</v>
      </c>
      <c r="U248">
        <v>60</v>
      </c>
      <c r="Y248">
        <v>0</v>
      </c>
      <c r="Z248" t="s">
        <v>43</v>
      </c>
      <c r="AA248">
        <v>2018</v>
      </c>
      <c r="AB248" t="s">
        <v>100</v>
      </c>
      <c r="AC248" t="s">
        <v>53</v>
      </c>
      <c r="AD248" t="s">
        <v>101</v>
      </c>
    </row>
    <row r="249" spans="1:30" x14ac:dyDescent="0.25">
      <c r="A249">
        <v>248</v>
      </c>
      <c r="B249" t="s">
        <v>30</v>
      </c>
      <c r="C249" t="s">
        <v>1281</v>
      </c>
      <c r="D249" t="s">
        <v>56</v>
      </c>
      <c r="E249" t="s">
        <v>56</v>
      </c>
      <c r="F249" t="s">
        <v>57</v>
      </c>
      <c r="G249" t="s">
        <v>57</v>
      </c>
      <c r="I249" t="s">
        <v>1282</v>
      </c>
      <c r="J249">
        <f>57-313-432-2842</f>
        <v>-3530</v>
      </c>
      <c r="K249" t="s">
        <v>1283</v>
      </c>
      <c r="N249" t="s">
        <v>1284</v>
      </c>
      <c r="O249" t="s">
        <v>1285</v>
      </c>
      <c r="P249">
        <v>4.16</v>
      </c>
      <c r="Q249">
        <v>171.58</v>
      </c>
      <c r="R249">
        <v>4.16</v>
      </c>
      <c r="S249">
        <v>949.97</v>
      </c>
      <c r="T249">
        <v>0</v>
      </c>
      <c r="U249">
        <v>52.64</v>
      </c>
      <c r="Y249">
        <v>897.33</v>
      </c>
      <c r="Z249" t="s">
        <v>43</v>
      </c>
      <c r="AA249">
        <v>2022</v>
      </c>
      <c r="AB249" t="s">
        <v>100</v>
      </c>
      <c r="AC249" t="s">
        <v>53</v>
      </c>
      <c r="AD249" t="s">
        <v>101</v>
      </c>
    </row>
    <row r="250" spans="1:30" x14ac:dyDescent="0.25">
      <c r="A250">
        <v>249</v>
      </c>
      <c r="B250" t="s">
        <v>30</v>
      </c>
      <c r="C250" t="s">
        <v>1286</v>
      </c>
      <c r="D250" t="s">
        <v>56</v>
      </c>
      <c r="E250" t="s">
        <v>56</v>
      </c>
      <c r="F250" t="s">
        <v>57</v>
      </c>
      <c r="G250" t="s">
        <v>57</v>
      </c>
      <c r="I250" t="s">
        <v>1287</v>
      </c>
      <c r="J250">
        <f>57-320-515-1149</f>
        <v>-1927</v>
      </c>
      <c r="K250" t="s">
        <v>1288</v>
      </c>
      <c r="O250" t="s">
        <v>410</v>
      </c>
      <c r="P250">
        <v>9.19</v>
      </c>
      <c r="Q250">
        <v>124</v>
      </c>
      <c r="R250">
        <v>25.89</v>
      </c>
      <c r="S250">
        <v>512.73</v>
      </c>
      <c r="T250">
        <v>0</v>
      </c>
      <c r="U250">
        <v>500.2</v>
      </c>
      <c r="Y250">
        <v>12.53</v>
      </c>
      <c r="Z250" t="s">
        <v>43</v>
      </c>
      <c r="AA250">
        <v>2018</v>
      </c>
      <c r="AB250" t="s">
        <v>100</v>
      </c>
      <c r="AC250" t="s">
        <v>53</v>
      </c>
      <c r="AD250" t="s">
        <v>101</v>
      </c>
    </row>
    <row r="251" spans="1:30" x14ac:dyDescent="0.25">
      <c r="A251">
        <v>250</v>
      </c>
      <c r="B251" t="s">
        <v>30</v>
      </c>
      <c r="C251" t="s">
        <v>1289</v>
      </c>
      <c r="D251" t="s">
        <v>64</v>
      </c>
      <c r="E251" t="s">
        <v>64</v>
      </c>
      <c r="F251" t="s">
        <v>65</v>
      </c>
      <c r="G251" t="s">
        <v>65</v>
      </c>
      <c r="I251" t="s">
        <v>1290</v>
      </c>
      <c r="J251">
        <f>57-311-591-2057</f>
        <v>-2902</v>
      </c>
      <c r="K251" t="s">
        <v>1291</v>
      </c>
      <c r="N251" t="s">
        <v>1292</v>
      </c>
      <c r="O251" t="s">
        <v>423</v>
      </c>
      <c r="P251">
        <v>37.49</v>
      </c>
      <c r="Q251">
        <v>112.19</v>
      </c>
      <c r="R251">
        <v>24.37</v>
      </c>
      <c r="S251">
        <v>566.24</v>
      </c>
      <c r="T251">
        <v>0</v>
      </c>
      <c r="U251">
        <v>-13.14</v>
      </c>
      <c r="Y251">
        <v>579.38</v>
      </c>
      <c r="Z251" t="s">
        <v>43</v>
      </c>
      <c r="AA251">
        <v>2023</v>
      </c>
      <c r="AB251" t="s">
        <v>100</v>
      </c>
      <c r="AC251" t="s">
        <v>53</v>
      </c>
      <c r="AD251" t="s">
        <v>101</v>
      </c>
    </row>
    <row r="252" spans="1:30" x14ac:dyDescent="0.25">
      <c r="A252">
        <v>251</v>
      </c>
      <c r="B252" t="s">
        <v>30</v>
      </c>
      <c r="C252" t="s">
        <v>1293</v>
      </c>
      <c r="D252" t="s">
        <v>56</v>
      </c>
      <c r="E252" t="s">
        <v>56</v>
      </c>
      <c r="F252" t="s">
        <v>57</v>
      </c>
      <c r="G252" t="s">
        <v>57</v>
      </c>
      <c r="I252" t="s">
        <v>1294</v>
      </c>
      <c r="J252">
        <f>57-60-1-466-1668</f>
        <v>-2138</v>
      </c>
      <c r="K252" t="s">
        <v>1295</v>
      </c>
      <c r="N252" t="s">
        <v>1296</v>
      </c>
      <c r="P252">
        <v>0</v>
      </c>
      <c r="Q252">
        <v>94.99</v>
      </c>
      <c r="R252">
        <v>92.03</v>
      </c>
      <c r="S252" s="1">
        <v>2336.7800000000002</v>
      </c>
      <c r="T252">
        <v>0</v>
      </c>
      <c r="U252" s="1">
        <v>2322.0300000000002</v>
      </c>
      <c r="Y252">
        <v>14.76</v>
      </c>
      <c r="Z252" t="s">
        <v>43</v>
      </c>
      <c r="AA252">
        <v>2022</v>
      </c>
      <c r="AB252" t="s">
        <v>100</v>
      </c>
      <c r="AC252" t="s">
        <v>53</v>
      </c>
      <c r="AD252" t="s">
        <v>101</v>
      </c>
    </row>
    <row r="253" spans="1:30" x14ac:dyDescent="0.25">
      <c r="A253">
        <v>252</v>
      </c>
      <c r="B253" t="s">
        <v>30</v>
      </c>
      <c r="C253" t="s">
        <v>1297</v>
      </c>
      <c r="D253" t="s">
        <v>56</v>
      </c>
      <c r="E253" t="s">
        <v>56</v>
      </c>
      <c r="F253" t="s">
        <v>57</v>
      </c>
      <c r="G253" t="s">
        <v>57</v>
      </c>
      <c r="I253" t="s">
        <v>1298</v>
      </c>
      <c r="J253">
        <f>57-316-697-3536</f>
        <v>-4492</v>
      </c>
      <c r="K253" t="s">
        <v>1299</v>
      </c>
      <c r="N253" t="s">
        <v>1300</v>
      </c>
      <c r="P253">
        <v>50.66</v>
      </c>
      <c r="Q253">
        <v>90.67</v>
      </c>
      <c r="R253">
        <v>45.66</v>
      </c>
      <c r="S253">
        <v>2</v>
      </c>
      <c r="T253">
        <v>0</v>
      </c>
      <c r="U253">
        <v>2</v>
      </c>
      <c r="Y253">
        <v>0</v>
      </c>
      <c r="Z253" t="s">
        <v>43</v>
      </c>
      <c r="AA253">
        <v>2023</v>
      </c>
      <c r="AB253" t="s">
        <v>100</v>
      </c>
      <c r="AC253" t="s">
        <v>53</v>
      </c>
      <c r="AD253" t="s">
        <v>101</v>
      </c>
    </row>
    <row r="254" spans="1:30" x14ac:dyDescent="0.25">
      <c r="A254">
        <v>253</v>
      </c>
      <c r="B254" t="s">
        <v>30</v>
      </c>
      <c r="C254" t="s">
        <v>1301</v>
      </c>
      <c r="D254" t="s">
        <v>56</v>
      </c>
      <c r="E254" t="s">
        <v>56</v>
      </c>
      <c r="F254" t="s">
        <v>57</v>
      </c>
      <c r="G254" t="s">
        <v>57</v>
      </c>
      <c r="I254" t="s">
        <v>1302</v>
      </c>
      <c r="J254">
        <f>57-311-629-7141</f>
        <v>-8024</v>
      </c>
      <c r="K254" t="s">
        <v>1303</v>
      </c>
      <c r="O254" t="s">
        <v>1007</v>
      </c>
      <c r="P254">
        <v>82.6</v>
      </c>
      <c r="Q254">
        <v>90.25</v>
      </c>
      <c r="R254">
        <v>28.24</v>
      </c>
      <c r="S254" s="1">
        <v>4849.16</v>
      </c>
      <c r="T254">
        <v>0</v>
      </c>
      <c r="U254" s="1">
        <v>3911.95</v>
      </c>
      <c r="Y254">
        <v>937.22</v>
      </c>
      <c r="Z254" t="s">
        <v>43</v>
      </c>
      <c r="AA254">
        <v>2018</v>
      </c>
      <c r="AB254" t="s">
        <v>100</v>
      </c>
      <c r="AC254" t="s">
        <v>53</v>
      </c>
      <c r="AD254" t="s">
        <v>101</v>
      </c>
    </row>
    <row r="255" spans="1:30" x14ac:dyDescent="0.25">
      <c r="A255">
        <v>254</v>
      </c>
      <c r="B255" t="s">
        <v>30</v>
      </c>
      <c r="C255" t="s">
        <v>1304</v>
      </c>
      <c r="D255" t="s">
        <v>64</v>
      </c>
      <c r="E255" t="s">
        <v>64</v>
      </c>
      <c r="F255" t="s">
        <v>65</v>
      </c>
      <c r="G255" t="s">
        <v>65</v>
      </c>
      <c r="H255" t="s">
        <v>1305</v>
      </c>
      <c r="I255" t="s">
        <v>1306</v>
      </c>
      <c r="J255">
        <f>57-60-1-223-8723</f>
        <v>-8950</v>
      </c>
      <c r="N255" t="s">
        <v>1307</v>
      </c>
      <c r="O255" t="s">
        <v>1308</v>
      </c>
      <c r="P255">
        <v>0.14000000000000001</v>
      </c>
      <c r="Q255">
        <v>90.1</v>
      </c>
      <c r="R255">
        <v>0.14000000000000001</v>
      </c>
      <c r="S255">
        <v>8.66</v>
      </c>
      <c r="T255">
        <v>3.01</v>
      </c>
      <c r="U255">
        <v>8.66</v>
      </c>
      <c r="X255">
        <v>0.14000000000000001</v>
      </c>
      <c r="Y255">
        <v>0</v>
      </c>
      <c r="Z255" t="s">
        <v>43</v>
      </c>
      <c r="AA255">
        <v>2015</v>
      </c>
      <c r="AB255" t="s">
        <v>27</v>
      </c>
      <c r="AC255" t="s">
        <v>53</v>
      </c>
      <c r="AD255" t="s">
        <v>1309</v>
      </c>
    </row>
    <row r="256" spans="1:30" x14ac:dyDescent="0.25">
      <c r="A256">
        <v>255</v>
      </c>
      <c r="B256" t="s">
        <v>30</v>
      </c>
      <c r="C256" t="s">
        <v>1310</v>
      </c>
      <c r="D256" t="s">
        <v>56</v>
      </c>
      <c r="E256" t="s">
        <v>56</v>
      </c>
      <c r="F256" t="s">
        <v>57</v>
      </c>
      <c r="G256" t="s">
        <v>57</v>
      </c>
      <c r="I256" t="s">
        <v>1311</v>
      </c>
      <c r="J256">
        <f>57-60-1-750-900</f>
        <v>-1654</v>
      </c>
      <c r="K256" t="s">
        <v>1312</v>
      </c>
      <c r="N256" t="s">
        <v>1313</v>
      </c>
      <c r="O256" t="s">
        <v>314</v>
      </c>
      <c r="P256">
        <v>9.92</v>
      </c>
      <c r="Q256">
        <v>87.52</v>
      </c>
      <c r="R256">
        <v>9.92</v>
      </c>
      <c r="S256">
        <v>10.02</v>
      </c>
      <c r="T256">
        <v>0</v>
      </c>
      <c r="U256">
        <v>1.02</v>
      </c>
      <c r="Y256">
        <v>9</v>
      </c>
      <c r="Z256" t="s">
        <v>43</v>
      </c>
      <c r="AA256">
        <v>2023</v>
      </c>
      <c r="AB256" t="s">
        <v>100</v>
      </c>
      <c r="AC256" t="s">
        <v>53</v>
      </c>
      <c r="AD256" t="s">
        <v>101</v>
      </c>
    </row>
    <row r="257" spans="1:30" x14ac:dyDescent="0.25">
      <c r="A257">
        <v>256</v>
      </c>
      <c r="B257" t="s">
        <v>30</v>
      </c>
      <c r="C257" t="s">
        <v>1314</v>
      </c>
      <c r="D257" t="s">
        <v>56</v>
      </c>
      <c r="E257" t="s">
        <v>56</v>
      </c>
      <c r="F257" t="s">
        <v>57</v>
      </c>
      <c r="G257" t="s">
        <v>57</v>
      </c>
      <c r="I257" t="s">
        <v>1315</v>
      </c>
      <c r="J257">
        <f>57-312-415-3097</f>
        <v>-3767</v>
      </c>
      <c r="K257" t="s">
        <v>1316</v>
      </c>
      <c r="N257" t="s">
        <v>1317</v>
      </c>
      <c r="O257" t="s">
        <v>1318</v>
      </c>
      <c r="P257">
        <v>31.92</v>
      </c>
      <c r="Q257">
        <v>78.75</v>
      </c>
      <c r="R257">
        <v>30.38</v>
      </c>
      <c r="S257">
        <v>993.88</v>
      </c>
      <c r="T257">
        <v>0</v>
      </c>
      <c r="U257">
        <v>330.51</v>
      </c>
      <c r="Y257">
        <v>663.37</v>
      </c>
      <c r="Z257" t="s">
        <v>43</v>
      </c>
      <c r="AA257">
        <v>2020</v>
      </c>
      <c r="AB257" t="s">
        <v>100</v>
      </c>
      <c r="AC257" t="s">
        <v>53</v>
      </c>
      <c r="AD257" t="s">
        <v>101</v>
      </c>
    </row>
    <row r="258" spans="1:30" x14ac:dyDescent="0.25">
      <c r="A258">
        <v>257</v>
      </c>
      <c r="B258" t="s">
        <v>30</v>
      </c>
      <c r="C258" t="s">
        <v>1319</v>
      </c>
      <c r="D258" t="s">
        <v>56</v>
      </c>
      <c r="E258" t="s">
        <v>56</v>
      </c>
      <c r="F258" t="s">
        <v>57</v>
      </c>
      <c r="G258" t="s">
        <v>57</v>
      </c>
      <c r="I258" t="s">
        <v>1320</v>
      </c>
      <c r="J258">
        <f>57-312-840-9217</f>
        <v>-10312</v>
      </c>
      <c r="K258" t="s">
        <v>1321</v>
      </c>
      <c r="O258" t="s">
        <v>1007</v>
      </c>
      <c r="P258">
        <v>-450.38</v>
      </c>
      <c r="Q258">
        <v>72.53</v>
      </c>
      <c r="R258">
        <v>0</v>
      </c>
      <c r="S258" s="1">
        <v>2177.0100000000002</v>
      </c>
      <c r="T258">
        <v>0</v>
      </c>
      <c r="U258">
        <v>-46.17</v>
      </c>
      <c r="Y258" s="1">
        <v>2223.17</v>
      </c>
      <c r="Z258" t="s">
        <v>43</v>
      </c>
      <c r="AA258">
        <v>2018</v>
      </c>
      <c r="AB258" t="s">
        <v>100</v>
      </c>
      <c r="AC258" t="s">
        <v>53</v>
      </c>
      <c r="AD258" t="s">
        <v>101</v>
      </c>
    </row>
    <row r="259" spans="1:30" x14ac:dyDescent="0.25">
      <c r="A259">
        <v>258</v>
      </c>
      <c r="B259" t="s">
        <v>30</v>
      </c>
      <c r="C259" t="s">
        <v>1322</v>
      </c>
      <c r="D259" t="s">
        <v>56</v>
      </c>
      <c r="E259" t="s">
        <v>56</v>
      </c>
      <c r="F259" t="s">
        <v>57</v>
      </c>
      <c r="G259" t="s">
        <v>57</v>
      </c>
      <c r="I259" t="s">
        <v>1323</v>
      </c>
      <c r="J259">
        <f>57-313-497-8971</f>
        <v>-9724</v>
      </c>
      <c r="K259" t="s">
        <v>1324</v>
      </c>
      <c r="N259" t="s">
        <v>1325</v>
      </c>
      <c r="O259" t="s">
        <v>239</v>
      </c>
      <c r="P259">
        <v>0</v>
      </c>
      <c r="Q259">
        <v>70</v>
      </c>
      <c r="R259">
        <v>0</v>
      </c>
      <c r="S259">
        <v>70</v>
      </c>
      <c r="T259">
        <v>0</v>
      </c>
      <c r="U259">
        <v>70</v>
      </c>
      <c r="Y259">
        <v>0</v>
      </c>
      <c r="Z259" t="s">
        <v>43</v>
      </c>
      <c r="AA259">
        <v>2023</v>
      </c>
      <c r="AB259" t="s">
        <v>100</v>
      </c>
      <c r="AC259" t="s">
        <v>53</v>
      </c>
      <c r="AD259" t="s">
        <v>101</v>
      </c>
    </row>
    <row r="260" spans="1:30" x14ac:dyDescent="0.25">
      <c r="A260">
        <v>259</v>
      </c>
      <c r="B260" t="s">
        <v>30</v>
      </c>
      <c r="C260" t="s">
        <v>1326</v>
      </c>
      <c r="D260" t="s">
        <v>1327</v>
      </c>
      <c r="E260" t="s">
        <v>1055</v>
      </c>
      <c r="F260" t="s">
        <v>1328</v>
      </c>
      <c r="G260" t="s">
        <v>1057</v>
      </c>
      <c r="I260" t="s">
        <v>1329</v>
      </c>
      <c r="J260">
        <f>57-60-1-420-933</f>
        <v>-1357</v>
      </c>
      <c r="K260" t="s">
        <v>1330</v>
      </c>
      <c r="N260" t="s">
        <v>1331</v>
      </c>
      <c r="O260" t="s">
        <v>1332</v>
      </c>
      <c r="P260">
        <v>0</v>
      </c>
      <c r="Q260">
        <v>60.86</v>
      </c>
      <c r="R260">
        <v>-185.24</v>
      </c>
      <c r="S260">
        <v>379.08</v>
      </c>
      <c r="T260">
        <v>0</v>
      </c>
      <c r="U260">
        <v>341.67</v>
      </c>
      <c r="Y260">
        <v>37.409999999999997</v>
      </c>
      <c r="Z260" t="s">
        <v>43</v>
      </c>
      <c r="AA260">
        <v>2020</v>
      </c>
      <c r="AB260" t="s">
        <v>100</v>
      </c>
      <c r="AC260" t="s">
        <v>53</v>
      </c>
      <c r="AD260" t="s">
        <v>101</v>
      </c>
    </row>
    <row r="261" spans="1:30" x14ac:dyDescent="0.25">
      <c r="A261">
        <v>260</v>
      </c>
      <c r="B261" t="s">
        <v>30</v>
      </c>
      <c r="C261" t="s">
        <v>1333</v>
      </c>
      <c r="D261" t="s">
        <v>64</v>
      </c>
      <c r="E261" t="s">
        <v>64</v>
      </c>
      <c r="F261" t="s">
        <v>65</v>
      </c>
      <c r="G261" t="s">
        <v>65</v>
      </c>
      <c r="I261" t="s">
        <v>1334</v>
      </c>
      <c r="J261">
        <f>57-60-1-366-3008</f>
        <v>-3378</v>
      </c>
      <c r="K261" t="s">
        <v>1335</v>
      </c>
      <c r="O261" t="s">
        <v>797</v>
      </c>
      <c r="P261">
        <v>10</v>
      </c>
      <c r="Q261">
        <v>60</v>
      </c>
      <c r="R261">
        <v>0</v>
      </c>
      <c r="S261">
        <v>10</v>
      </c>
      <c r="T261">
        <v>0</v>
      </c>
      <c r="U261">
        <v>10</v>
      </c>
      <c r="Y261">
        <v>0</v>
      </c>
      <c r="Z261" t="s">
        <v>43</v>
      </c>
      <c r="AA261">
        <v>2019</v>
      </c>
      <c r="AB261" t="s">
        <v>100</v>
      </c>
      <c r="AC261" t="s">
        <v>53</v>
      </c>
      <c r="AD261" t="s">
        <v>101</v>
      </c>
    </row>
    <row r="262" spans="1:30" x14ac:dyDescent="0.25">
      <c r="A262">
        <v>261</v>
      </c>
      <c r="B262" t="s">
        <v>30</v>
      </c>
      <c r="C262" t="s">
        <v>1336</v>
      </c>
      <c r="D262" t="s">
        <v>1337</v>
      </c>
      <c r="E262" t="s">
        <v>1338</v>
      </c>
      <c r="F262" t="s">
        <v>1339</v>
      </c>
      <c r="G262" t="s">
        <v>1340</v>
      </c>
      <c r="I262" t="s">
        <v>1341</v>
      </c>
      <c r="J262">
        <f>57-60-1-801-4423</f>
        <v>-5228</v>
      </c>
      <c r="K262" t="s">
        <v>1342</v>
      </c>
      <c r="N262" t="s">
        <v>1343</v>
      </c>
      <c r="O262" t="s">
        <v>962</v>
      </c>
      <c r="P262">
        <v>-43.57</v>
      </c>
      <c r="Q262">
        <v>59.24</v>
      </c>
      <c r="R262">
        <v>3.87</v>
      </c>
      <c r="S262">
        <v>349.61</v>
      </c>
      <c r="T262">
        <v>0</v>
      </c>
      <c r="U262">
        <v>171.93</v>
      </c>
      <c r="Y262">
        <v>177.68</v>
      </c>
      <c r="Z262" t="s">
        <v>43</v>
      </c>
      <c r="AA262">
        <v>2018</v>
      </c>
      <c r="AB262" t="s">
        <v>100</v>
      </c>
      <c r="AC262" t="s">
        <v>53</v>
      </c>
      <c r="AD262" t="s">
        <v>101</v>
      </c>
    </row>
    <row r="263" spans="1:30" x14ac:dyDescent="0.25">
      <c r="A263">
        <v>262</v>
      </c>
      <c r="B263" t="s">
        <v>30</v>
      </c>
      <c r="C263" t="s">
        <v>1344</v>
      </c>
      <c r="D263" t="s">
        <v>64</v>
      </c>
      <c r="E263" t="s">
        <v>64</v>
      </c>
      <c r="F263" t="s">
        <v>65</v>
      </c>
      <c r="G263" t="s">
        <v>65</v>
      </c>
      <c r="I263" t="s">
        <v>1345</v>
      </c>
      <c r="J263">
        <f>57-60-1-292-7580</f>
        <v>-7876</v>
      </c>
      <c r="K263" t="s">
        <v>1346</v>
      </c>
      <c r="N263" t="s">
        <v>1347</v>
      </c>
      <c r="O263" t="s">
        <v>454</v>
      </c>
      <c r="P263">
        <v>20.76</v>
      </c>
      <c r="Q263">
        <v>58.07</v>
      </c>
      <c r="R263">
        <v>20.11</v>
      </c>
      <c r="S263">
        <v>953.01</v>
      </c>
      <c r="T263">
        <v>0</v>
      </c>
      <c r="U263">
        <v>953.01</v>
      </c>
      <c r="Y263">
        <v>0</v>
      </c>
      <c r="Z263" t="s">
        <v>43</v>
      </c>
      <c r="AA263">
        <v>2023</v>
      </c>
      <c r="AB263" t="s">
        <v>100</v>
      </c>
      <c r="AC263" t="s">
        <v>53</v>
      </c>
      <c r="AD263" t="s">
        <v>101</v>
      </c>
    </row>
    <row r="264" spans="1:30" x14ac:dyDescent="0.25">
      <c r="A264">
        <v>263</v>
      </c>
      <c r="B264" t="s">
        <v>30</v>
      </c>
      <c r="C264" t="s">
        <v>1348</v>
      </c>
      <c r="D264" t="s">
        <v>56</v>
      </c>
      <c r="E264" t="s">
        <v>56</v>
      </c>
      <c r="F264" t="s">
        <v>57</v>
      </c>
      <c r="G264" t="s">
        <v>57</v>
      </c>
      <c r="I264" t="s">
        <v>1349</v>
      </c>
      <c r="J264">
        <f>57-316-302-8537</f>
        <v>-9098</v>
      </c>
      <c r="K264" t="s">
        <v>1350</v>
      </c>
      <c r="N264" t="s">
        <v>1351</v>
      </c>
      <c r="O264" t="s">
        <v>314</v>
      </c>
      <c r="P264">
        <v>-31.37</v>
      </c>
      <c r="Q264">
        <v>43.31</v>
      </c>
      <c r="R264">
        <v>-36.299999999999997</v>
      </c>
      <c r="S264">
        <v>534.44000000000005</v>
      </c>
      <c r="T264">
        <v>0</v>
      </c>
      <c r="U264">
        <v>463.7</v>
      </c>
      <c r="Y264">
        <v>70.739999999999995</v>
      </c>
      <c r="Z264" t="s">
        <v>43</v>
      </c>
      <c r="AA264">
        <v>2022</v>
      </c>
      <c r="AB264" t="s">
        <v>100</v>
      </c>
      <c r="AC264" t="s">
        <v>53</v>
      </c>
      <c r="AD264" t="s">
        <v>101</v>
      </c>
    </row>
    <row r="265" spans="1:30" x14ac:dyDescent="0.25">
      <c r="A265">
        <v>264</v>
      </c>
      <c r="B265" t="s">
        <v>30</v>
      </c>
      <c r="C265" t="s">
        <v>1352</v>
      </c>
      <c r="D265" t="s">
        <v>1353</v>
      </c>
      <c r="E265" t="s">
        <v>1055</v>
      </c>
      <c r="F265" t="s">
        <v>1354</v>
      </c>
      <c r="G265" t="s">
        <v>1057</v>
      </c>
      <c r="I265" t="s">
        <v>1355</v>
      </c>
      <c r="J265">
        <f>57-60-1-270-8282</f>
        <v>-8556</v>
      </c>
      <c r="K265" t="s">
        <v>1356</v>
      </c>
      <c r="N265" t="s">
        <v>1357</v>
      </c>
      <c r="O265" t="s">
        <v>1206</v>
      </c>
      <c r="P265">
        <v>12.38</v>
      </c>
      <c r="Q265">
        <v>22.2</v>
      </c>
      <c r="R265">
        <v>8.42</v>
      </c>
      <c r="S265">
        <v>863.69</v>
      </c>
      <c r="T265">
        <v>0</v>
      </c>
      <c r="U265">
        <v>756.35</v>
      </c>
      <c r="Y265">
        <v>107.34</v>
      </c>
      <c r="Z265" t="s">
        <v>43</v>
      </c>
      <c r="AA265">
        <v>2020</v>
      </c>
      <c r="AB265" t="s">
        <v>100</v>
      </c>
      <c r="AC265" t="s">
        <v>53</v>
      </c>
      <c r="AD265" t="s">
        <v>101</v>
      </c>
    </row>
    <row r="266" spans="1:30" x14ac:dyDescent="0.25">
      <c r="A266">
        <v>265</v>
      </c>
      <c r="B266" t="s">
        <v>30</v>
      </c>
      <c r="C266" t="s">
        <v>1358</v>
      </c>
      <c r="D266" t="s">
        <v>56</v>
      </c>
      <c r="E266" t="s">
        <v>56</v>
      </c>
      <c r="F266" t="s">
        <v>57</v>
      </c>
      <c r="G266" t="s">
        <v>57</v>
      </c>
      <c r="I266" t="s">
        <v>1359</v>
      </c>
      <c r="J266">
        <f>57-301-398-3724</f>
        <v>-4366</v>
      </c>
      <c r="K266" t="s">
        <v>1360</v>
      </c>
      <c r="N266" t="s">
        <v>1361</v>
      </c>
      <c r="O266" t="s">
        <v>1072</v>
      </c>
      <c r="P266">
        <v>3.59</v>
      </c>
      <c r="Q266">
        <v>19.649999999999999</v>
      </c>
      <c r="R266">
        <v>3.59</v>
      </c>
      <c r="S266">
        <v>417.16</v>
      </c>
      <c r="T266">
        <v>4.68</v>
      </c>
      <c r="U266">
        <v>135.84</v>
      </c>
      <c r="Y266">
        <v>281.32</v>
      </c>
      <c r="Z266" t="s">
        <v>43</v>
      </c>
      <c r="AA266">
        <v>2018</v>
      </c>
      <c r="AB266" t="s">
        <v>100</v>
      </c>
      <c r="AC266" t="s">
        <v>53</v>
      </c>
      <c r="AD266" t="s">
        <v>101</v>
      </c>
    </row>
    <row r="267" spans="1:30" x14ac:dyDescent="0.25">
      <c r="A267">
        <v>266</v>
      </c>
      <c r="B267" t="s">
        <v>30</v>
      </c>
      <c r="C267" t="s">
        <v>1362</v>
      </c>
      <c r="D267" t="s">
        <v>64</v>
      </c>
      <c r="E267" t="s">
        <v>64</v>
      </c>
      <c r="F267" t="s">
        <v>65</v>
      </c>
      <c r="G267" t="s">
        <v>65</v>
      </c>
      <c r="I267" t="s">
        <v>1363</v>
      </c>
      <c r="J267">
        <f>57-312-479-1177</f>
        <v>-1911</v>
      </c>
      <c r="K267" t="s">
        <v>1364</v>
      </c>
      <c r="N267" t="s">
        <v>1365</v>
      </c>
      <c r="O267" t="s">
        <v>454</v>
      </c>
      <c r="P267">
        <v>0</v>
      </c>
      <c r="Q267">
        <v>10</v>
      </c>
      <c r="R267">
        <v>2</v>
      </c>
      <c r="S267">
        <v>19</v>
      </c>
      <c r="T267">
        <v>0</v>
      </c>
      <c r="U267">
        <v>19</v>
      </c>
      <c r="Y267">
        <v>0</v>
      </c>
      <c r="Z267" t="s">
        <v>43</v>
      </c>
      <c r="AA267">
        <v>2023</v>
      </c>
      <c r="AB267" t="s">
        <v>100</v>
      </c>
      <c r="AC267" t="s">
        <v>53</v>
      </c>
      <c r="AD267" t="s">
        <v>101</v>
      </c>
    </row>
    <row r="268" spans="1:30" x14ac:dyDescent="0.25">
      <c r="A268">
        <v>267</v>
      </c>
      <c r="B268" t="s">
        <v>30</v>
      </c>
      <c r="C268" t="s">
        <v>1366</v>
      </c>
      <c r="D268" t="s">
        <v>56</v>
      </c>
      <c r="E268" t="s">
        <v>56</v>
      </c>
      <c r="F268" t="s">
        <v>57</v>
      </c>
      <c r="G268" t="s">
        <v>57</v>
      </c>
      <c r="I268" t="s">
        <v>1367</v>
      </c>
      <c r="J268">
        <f>57-350-266-1815</f>
        <v>-2374</v>
      </c>
      <c r="K268" t="s">
        <v>1368</v>
      </c>
      <c r="N268" t="s">
        <v>1369</v>
      </c>
      <c r="O268" t="s">
        <v>161</v>
      </c>
      <c r="P268">
        <v>-0.03</v>
      </c>
      <c r="Q268">
        <v>4.09</v>
      </c>
      <c r="R268">
        <v>-0.13</v>
      </c>
      <c r="S268">
        <v>1.3</v>
      </c>
      <c r="T268">
        <v>0</v>
      </c>
      <c r="U268">
        <v>0.3</v>
      </c>
      <c r="Y268">
        <v>1</v>
      </c>
      <c r="Z268" t="s">
        <v>43</v>
      </c>
      <c r="AA268">
        <v>2023</v>
      </c>
      <c r="AB268" t="s">
        <v>100</v>
      </c>
      <c r="AC268" t="s">
        <v>53</v>
      </c>
      <c r="AD268" t="s">
        <v>101</v>
      </c>
    </row>
    <row r="269" spans="1:30" x14ac:dyDescent="0.25">
      <c r="A269">
        <v>268</v>
      </c>
      <c r="B269" t="s">
        <v>30</v>
      </c>
      <c r="C269" t="s">
        <v>1370</v>
      </c>
      <c r="D269" t="s">
        <v>1371</v>
      </c>
      <c r="E269" t="s">
        <v>56</v>
      </c>
      <c r="F269" t="s">
        <v>1372</v>
      </c>
      <c r="G269" t="s">
        <v>57</v>
      </c>
      <c r="I269" t="s">
        <v>1373</v>
      </c>
      <c r="J269">
        <f>57-60-1-484-6998</f>
        <v>-7486</v>
      </c>
      <c r="K269" t="s">
        <v>1374</v>
      </c>
      <c r="N269" t="s">
        <v>1375</v>
      </c>
      <c r="O269" t="s">
        <v>875</v>
      </c>
      <c r="P269">
        <v>229.33</v>
      </c>
      <c r="Q269">
        <v>1.17</v>
      </c>
      <c r="R269">
        <v>154.79</v>
      </c>
      <c r="S269">
        <v>448.37</v>
      </c>
      <c r="T269">
        <v>0</v>
      </c>
      <c r="U269">
        <v>401.39</v>
      </c>
      <c r="Y269">
        <v>46.98</v>
      </c>
      <c r="Z269" t="s">
        <v>43</v>
      </c>
      <c r="AA269">
        <v>2019</v>
      </c>
      <c r="AB269" t="s">
        <v>100</v>
      </c>
      <c r="AC269" t="s">
        <v>53</v>
      </c>
      <c r="AD269" t="s">
        <v>101</v>
      </c>
    </row>
    <row r="270" spans="1:30" x14ac:dyDescent="0.25">
      <c r="A270">
        <v>269</v>
      </c>
      <c r="B270" t="s">
        <v>30</v>
      </c>
      <c r="C270" t="s">
        <v>1376</v>
      </c>
      <c r="D270" t="s">
        <v>72</v>
      </c>
      <c r="E270" t="s">
        <v>72</v>
      </c>
      <c r="F270" t="s">
        <v>73</v>
      </c>
      <c r="G270" t="s">
        <v>73</v>
      </c>
      <c r="H270" t="s">
        <v>1377</v>
      </c>
      <c r="I270" t="s">
        <v>1378</v>
      </c>
      <c r="J270">
        <f>57-60-1-347-99</f>
        <v>-450</v>
      </c>
      <c r="K270" t="s">
        <v>1379</v>
      </c>
      <c r="N270" t="s">
        <v>1380</v>
      </c>
      <c r="O270" t="s">
        <v>1193</v>
      </c>
      <c r="P270">
        <v>-3.6</v>
      </c>
      <c r="Q270">
        <v>0.23</v>
      </c>
      <c r="R270">
        <v>-4.66</v>
      </c>
      <c r="S270">
        <v>437.29</v>
      </c>
      <c r="T270">
        <v>0</v>
      </c>
      <c r="U270">
        <v>153.13</v>
      </c>
      <c r="X270">
        <v>0</v>
      </c>
      <c r="Y270">
        <v>284.16000000000003</v>
      </c>
      <c r="Z270" t="s">
        <v>43</v>
      </c>
      <c r="AA270">
        <v>2022</v>
      </c>
      <c r="AB270" t="s">
        <v>27</v>
      </c>
      <c r="AC270" t="s">
        <v>53</v>
      </c>
      <c r="AD270" t="s">
        <v>54</v>
      </c>
    </row>
    <row r="271" spans="1:30" x14ac:dyDescent="0.25">
      <c r="A271">
        <v>270</v>
      </c>
      <c r="B271" t="s">
        <v>30</v>
      </c>
      <c r="C271" t="s">
        <v>1381</v>
      </c>
      <c r="D271" t="s">
        <v>56</v>
      </c>
      <c r="E271" t="s">
        <v>56</v>
      </c>
      <c r="F271" t="s">
        <v>57</v>
      </c>
      <c r="G271" t="s">
        <v>57</v>
      </c>
      <c r="I271" t="s">
        <v>1382</v>
      </c>
      <c r="J271">
        <f>57-316-265-8869</f>
        <v>-9393</v>
      </c>
      <c r="K271" t="s">
        <v>1383</v>
      </c>
      <c r="O271" t="s">
        <v>1007</v>
      </c>
      <c r="P271">
        <v>0</v>
      </c>
      <c r="Q271">
        <v>0</v>
      </c>
      <c r="R271">
        <v>0</v>
      </c>
      <c r="S271">
        <v>580</v>
      </c>
      <c r="T271">
        <v>0</v>
      </c>
      <c r="U271">
        <v>0</v>
      </c>
      <c r="Y271">
        <v>0</v>
      </c>
      <c r="Z271" t="s">
        <v>43</v>
      </c>
      <c r="AA271">
        <v>2018</v>
      </c>
      <c r="AB271" t="s">
        <v>100</v>
      </c>
      <c r="AC271" t="s">
        <v>53</v>
      </c>
      <c r="AD271" t="s">
        <v>101</v>
      </c>
    </row>
    <row r="272" spans="1:30" x14ac:dyDescent="0.25">
      <c r="A272">
        <v>271</v>
      </c>
      <c r="B272" t="s">
        <v>30</v>
      </c>
      <c r="C272" t="s">
        <v>1384</v>
      </c>
      <c r="D272" t="s">
        <v>56</v>
      </c>
      <c r="E272" t="s">
        <v>56</v>
      </c>
      <c r="F272" t="s">
        <v>57</v>
      </c>
      <c r="G272" t="s">
        <v>57</v>
      </c>
      <c r="I272" t="s">
        <v>1385</v>
      </c>
      <c r="J272">
        <f>57-310-570-184</f>
        <v>-1007</v>
      </c>
      <c r="K272" t="s">
        <v>1386</v>
      </c>
      <c r="N272" t="s">
        <v>1387</v>
      </c>
      <c r="P272">
        <v>-41.3</v>
      </c>
      <c r="Q272">
        <v>0</v>
      </c>
      <c r="R272">
        <v>0</v>
      </c>
      <c r="S272">
        <v>400.72</v>
      </c>
      <c r="T272">
        <v>70.069999999999993</v>
      </c>
      <c r="U272">
        <v>368.1</v>
      </c>
      <c r="Y272">
        <v>32.630000000000003</v>
      </c>
      <c r="Z272" t="s">
        <v>43</v>
      </c>
      <c r="AA272">
        <v>2017</v>
      </c>
      <c r="AB272" t="s">
        <v>100</v>
      </c>
      <c r="AC272" t="s">
        <v>53</v>
      </c>
      <c r="AD272" t="s">
        <v>101</v>
      </c>
    </row>
    <row r="273" spans="1:30" x14ac:dyDescent="0.25">
      <c r="A273">
        <v>272</v>
      </c>
      <c r="B273" t="s">
        <v>30</v>
      </c>
      <c r="C273" t="s">
        <v>1388</v>
      </c>
      <c r="D273" t="s">
        <v>1389</v>
      </c>
      <c r="E273" t="s">
        <v>1248</v>
      </c>
      <c r="F273" t="s">
        <v>1390</v>
      </c>
      <c r="G273" t="s">
        <v>1250</v>
      </c>
      <c r="I273" t="s">
        <v>1391</v>
      </c>
      <c r="J273">
        <f>57-310-293-7321</f>
        <v>-7867</v>
      </c>
      <c r="K273" t="s">
        <v>1392</v>
      </c>
      <c r="N273" t="s">
        <v>1393</v>
      </c>
      <c r="P273">
        <v>0</v>
      </c>
      <c r="Q273">
        <v>0</v>
      </c>
      <c r="R273">
        <v>0</v>
      </c>
      <c r="S273" s="1">
        <v>1000</v>
      </c>
      <c r="T273">
        <v>0</v>
      </c>
      <c r="U273" s="1">
        <v>1000</v>
      </c>
      <c r="Y273">
        <v>0</v>
      </c>
      <c r="Z273" t="s">
        <v>43</v>
      </c>
      <c r="AA273">
        <v>2020</v>
      </c>
      <c r="AB273" t="s">
        <v>100</v>
      </c>
      <c r="AC273" t="s">
        <v>53</v>
      </c>
      <c r="AD273" t="s">
        <v>101</v>
      </c>
    </row>
    <row r="274" spans="1:30" x14ac:dyDescent="0.25">
      <c r="A274">
        <v>273</v>
      </c>
      <c r="B274" t="s">
        <v>30</v>
      </c>
      <c r="C274" t="s">
        <v>1394</v>
      </c>
      <c r="D274" t="s">
        <v>56</v>
      </c>
      <c r="E274" t="s">
        <v>56</v>
      </c>
      <c r="F274" t="s">
        <v>57</v>
      </c>
      <c r="G274" t="s">
        <v>57</v>
      </c>
      <c r="I274" t="s">
        <v>1395</v>
      </c>
      <c r="J274">
        <f>57-305-463-1970</f>
        <v>-2681</v>
      </c>
      <c r="K274" t="s">
        <v>1396</v>
      </c>
      <c r="P274">
        <v>0</v>
      </c>
      <c r="Q274">
        <v>0</v>
      </c>
      <c r="R274">
        <v>0</v>
      </c>
      <c r="S274">
        <v>29.5</v>
      </c>
      <c r="T274">
        <v>0</v>
      </c>
      <c r="U274">
        <v>0</v>
      </c>
      <c r="Y274">
        <v>29.5</v>
      </c>
      <c r="Z274" t="s">
        <v>43</v>
      </c>
      <c r="AA274">
        <v>2019</v>
      </c>
      <c r="AB274" t="s">
        <v>100</v>
      </c>
      <c r="AC274" t="s">
        <v>53</v>
      </c>
      <c r="AD274" t="s">
        <v>101</v>
      </c>
    </row>
    <row r="275" spans="1:30" x14ac:dyDescent="0.25">
      <c r="A275">
        <v>274</v>
      </c>
      <c r="B275" t="s">
        <v>30</v>
      </c>
      <c r="C275" t="s">
        <v>1397</v>
      </c>
      <c r="D275" t="s">
        <v>56</v>
      </c>
      <c r="E275" t="s">
        <v>56</v>
      </c>
      <c r="F275" t="s">
        <v>57</v>
      </c>
      <c r="G275" t="s">
        <v>57</v>
      </c>
      <c r="I275" t="s">
        <v>1398</v>
      </c>
      <c r="J275">
        <f>57-310-751-1432</f>
        <v>-2436</v>
      </c>
      <c r="K275" t="s">
        <v>1399</v>
      </c>
      <c r="P275">
        <v>0</v>
      </c>
      <c r="Q275">
        <v>0</v>
      </c>
      <c r="R275">
        <v>0</v>
      </c>
      <c r="S275">
        <v>618.98</v>
      </c>
      <c r="T275">
        <v>0</v>
      </c>
      <c r="U275">
        <v>400</v>
      </c>
      <c r="Y275">
        <v>218.98</v>
      </c>
      <c r="Z275" t="s">
        <v>43</v>
      </c>
      <c r="AA275">
        <v>2018</v>
      </c>
      <c r="AB275" t="s">
        <v>100</v>
      </c>
      <c r="AC275" t="s">
        <v>53</v>
      </c>
      <c r="AD275" t="s">
        <v>101</v>
      </c>
    </row>
    <row r="276" spans="1:30" x14ac:dyDescent="0.25">
      <c r="A276">
        <v>275</v>
      </c>
      <c r="B276" t="s">
        <v>30</v>
      </c>
      <c r="C276" t="s">
        <v>1400</v>
      </c>
      <c r="D276" t="s">
        <v>1401</v>
      </c>
      <c r="E276" t="s">
        <v>1402</v>
      </c>
      <c r="F276" t="s">
        <v>1403</v>
      </c>
      <c r="G276" t="s">
        <v>1404</v>
      </c>
      <c r="I276" t="s">
        <v>1405</v>
      </c>
      <c r="J276">
        <f>57-60-1-756-8570</f>
        <v>-9330</v>
      </c>
      <c r="K276" t="s">
        <v>1406</v>
      </c>
      <c r="N276" t="s">
        <v>1407</v>
      </c>
      <c r="P276">
        <v>0</v>
      </c>
      <c r="Q276">
        <v>0</v>
      </c>
      <c r="R276">
        <v>0</v>
      </c>
      <c r="S276">
        <v>1</v>
      </c>
      <c r="T276">
        <v>0</v>
      </c>
      <c r="U276">
        <v>1</v>
      </c>
      <c r="Y276">
        <v>0</v>
      </c>
      <c r="Z276" t="s">
        <v>43</v>
      </c>
      <c r="AA276">
        <v>2019</v>
      </c>
      <c r="AB276" t="s">
        <v>100</v>
      </c>
      <c r="AC276" t="s">
        <v>53</v>
      </c>
      <c r="AD276" t="s">
        <v>101</v>
      </c>
    </row>
    <row r="277" spans="1:30" x14ac:dyDescent="0.25">
      <c r="A277">
        <v>276</v>
      </c>
      <c r="B277" t="s">
        <v>30</v>
      </c>
      <c r="C277" t="s">
        <v>1408</v>
      </c>
      <c r="D277" t="s">
        <v>72</v>
      </c>
      <c r="E277" t="s">
        <v>72</v>
      </c>
      <c r="F277" t="s">
        <v>73</v>
      </c>
      <c r="G277" t="s">
        <v>73</v>
      </c>
      <c r="I277" t="s">
        <v>1409</v>
      </c>
      <c r="J277">
        <f>57-319-319-5543</f>
        <v>-6124</v>
      </c>
      <c r="K277" t="s">
        <v>1410</v>
      </c>
      <c r="N277" t="s">
        <v>1411</v>
      </c>
      <c r="O277" t="s">
        <v>705</v>
      </c>
      <c r="P277">
        <v>0</v>
      </c>
      <c r="Q277">
        <v>0</v>
      </c>
      <c r="R277">
        <v>0</v>
      </c>
      <c r="S277">
        <v>495.93</v>
      </c>
      <c r="T277">
        <v>0</v>
      </c>
      <c r="U277">
        <v>405.39</v>
      </c>
      <c r="Y277">
        <v>90.55</v>
      </c>
      <c r="Z277" t="s">
        <v>43</v>
      </c>
      <c r="AA277">
        <v>2023</v>
      </c>
      <c r="AB277" t="s">
        <v>100</v>
      </c>
      <c r="AC277" t="s">
        <v>53</v>
      </c>
      <c r="AD277" t="s">
        <v>101</v>
      </c>
    </row>
    <row r="278" spans="1:30" x14ac:dyDescent="0.25">
      <c r="A278">
        <v>277</v>
      </c>
      <c r="B278" t="s">
        <v>30</v>
      </c>
      <c r="C278" t="s">
        <v>1412</v>
      </c>
      <c r="D278" t="s">
        <v>72</v>
      </c>
      <c r="E278" t="s">
        <v>72</v>
      </c>
      <c r="F278" t="s">
        <v>73</v>
      </c>
      <c r="G278" t="s">
        <v>73</v>
      </c>
      <c r="I278" t="s">
        <v>1413</v>
      </c>
      <c r="J278">
        <f>57-313-449-648</f>
        <v>-1353</v>
      </c>
      <c r="K278" t="s">
        <v>1414</v>
      </c>
      <c r="N278" t="s">
        <v>1415</v>
      </c>
      <c r="O278" t="s">
        <v>1318</v>
      </c>
      <c r="P278">
        <v>0</v>
      </c>
      <c r="Q278">
        <v>0</v>
      </c>
      <c r="R278">
        <v>0</v>
      </c>
      <c r="S278">
        <v>5</v>
      </c>
      <c r="T278">
        <v>0</v>
      </c>
      <c r="U278">
        <v>5</v>
      </c>
      <c r="Y278">
        <v>0</v>
      </c>
      <c r="Z278" t="s">
        <v>43</v>
      </c>
      <c r="AA278">
        <v>2020</v>
      </c>
      <c r="AB278" t="s">
        <v>100</v>
      </c>
      <c r="AC278" t="s">
        <v>53</v>
      </c>
      <c r="AD278" t="s">
        <v>101</v>
      </c>
    </row>
    <row r="279" spans="1:30" x14ac:dyDescent="0.25">
      <c r="A279">
        <v>278</v>
      </c>
      <c r="B279" t="s">
        <v>30</v>
      </c>
      <c r="C279" t="s">
        <v>1416</v>
      </c>
      <c r="D279" t="s">
        <v>56</v>
      </c>
      <c r="E279" t="s">
        <v>56</v>
      </c>
      <c r="F279" t="s">
        <v>57</v>
      </c>
      <c r="G279" t="s">
        <v>57</v>
      </c>
      <c r="I279" t="s">
        <v>1417</v>
      </c>
      <c r="J279">
        <f>57-323-451-2864</f>
        <v>-3581</v>
      </c>
      <c r="K279" t="s">
        <v>1418</v>
      </c>
      <c r="P279">
        <v>0</v>
      </c>
      <c r="Q279">
        <v>0</v>
      </c>
      <c r="R279">
        <v>0</v>
      </c>
      <c r="S279">
        <v>892.95</v>
      </c>
      <c r="T279">
        <v>0</v>
      </c>
      <c r="U279">
        <v>892.95</v>
      </c>
      <c r="Y279">
        <v>0</v>
      </c>
      <c r="Z279" t="s">
        <v>43</v>
      </c>
      <c r="AA279">
        <v>2018</v>
      </c>
      <c r="AB279" t="s">
        <v>100</v>
      </c>
      <c r="AC279" t="s">
        <v>53</v>
      </c>
      <c r="AD279" t="s">
        <v>101</v>
      </c>
    </row>
    <row r="280" spans="1:30" x14ac:dyDescent="0.25">
      <c r="A280">
        <v>279</v>
      </c>
      <c r="B280" t="s">
        <v>30</v>
      </c>
      <c r="C280" t="s">
        <v>1419</v>
      </c>
      <c r="D280" t="s">
        <v>64</v>
      </c>
      <c r="E280" t="s">
        <v>64</v>
      </c>
      <c r="F280" t="s">
        <v>65</v>
      </c>
      <c r="G280" t="s">
        <v>65</v>
      </c>
      <c r="I280" t="s">
        <v>1420</v>
      </c>
      <c r="J280">
        <f>57-317-518-211</f>
        <v>-989</v>
      </c>
      <c r="K280" t="s">
        <v>1421</v>
      </c>
      <c r="N280" t="s">
        <v>1422</v>
      </c>
      <c r="P280">
        <v>0</v>
      </c>
      <c r="Q280">
        <v>0</v>
      </c>
      <c r="R280">
        <v>0</v>
      </c>
      <c r="S280">
        <v>377.37</v>
      </c>
      <c r="T280">
        <v>0</v>
      </c>
      <c r="U280">
        <v>-63.27</v>
      </c>
      <c r="Y280">
        <v>440.64</v>
      </c>
      <c r="Z280" t="s">
        <v>43</v>
      </c>
      <c r="AA280">
        <v>2017</v>
      </c>
      <c r="AB280" t="s">
        <v>100</v>
      </c>
      <c r="AC280" t="s">
        <v>53</v>
      </c>
      <c r="AD280" t="s">
        <v>101</v>
      </c>
    </row>
    <row r="281" spans="1:30" x14ac:dyDescent="0.25">
      <c r="A281">
        <v>280</v>
      </c>
      <c r="B281" t="s">
        <v>30</v>
      </c>
      <c r="C281" t="s">
        <v>1423</v>
      </c>
      <c r="D281" t="s">
        <v>64</v>
      </c>
      <c r="E281" t="s">
        <v>64</v>
      </c>
      <c r="F281" t="s">
        <v>65</v>
      </c>
      <c r="G281" t="s">
        <v>65</v>
      </c>
      <c r="I281" t="s">
        <v>1424</v>
      </c>
      <c r="J281">
        <f>57-311-734-138</f>
        <v>-1126</v>
      </c>
      <c r="K281" t="s">
        <v>1425</v>
      </c>
      <c r="P281">
        <v>0</v>
      </c>
      <c r="Q281">
        <v>0</v>
      </c>
      <c r="R281">
        <v>0</v>
      </c>
      <c r="S281" s="1">
        <v>1060</v>
      </c>
      <c r="T281">
        <v>0</v>
      </c>
      <c r="U281" s="1">
        <v>1060</v>
      </c>
      <c r="Y281" s="1">
        <v>1060</v>
      </c>
      <c r="Z281" t="s">
        <v>43</v>
      </c>
      <c r="AA281">
        <v>2018</v>
      </c>
      <c r="AB281" t="s">
        <v>100</v>
      </c>
      <c r="AC281" t="s">
        <v>53</v>
      </c>
      <c r="AD281" t="s">
        <v>101</v>
      </c>
    </row>
    <row r="282" spans="1:30" x14ac:dyDescent="0.25">
      <c r="A282">
        <v>281</v>
      </c>
      <c r="B282" t="s">
        <v>30</v>
      </c>
      <c r="C282" t="s">
        <v>1426</v>
      </c>
      <c r="D282" t="s">
        <v>64</v>
      </c>
      <c r="E282" t="s">
        <v>64</v>
      </c>
      <c r="F282" t="s">
        <v>65</v>
      </c>
      <c r="G282" t="s">
        <v>65</v>
      </c>
      <c r="I282" t="s">
        <v>1427</v>
      </c>
      <c r="J282">
        <f>57-60-1-611-2496</f>
        <v>-3111</v>
      </c>
      <c r="K282" t="s">
        <v>1428</v>
      </c>
      <c r="N282" t="s">
        <v>1429</v>
      </c>
      <c r="O282" t="s">
        <v>1430</v>
      </c>
      <c r="P282">
        <v>0</v>
      </c>
      <c r="Q282">
        <v>0</v>
      </c>
      <c r="R282">
        <v>0</v>
      </c>
      <c r="S282">
        <v>1</v>
      </c>
      <c r="T282">
        <v>0</v>
      </c>
      <c r="U282">
        <v>1</v>
      </c>
      <c r="Y282">
        <v>0</v>
      </c>
      <c r="Z282" t="s">
        <v>43</v>
      </c>
      <c r="AA282">
        <v>2018</v>
      </c>
      <c r="AB282" t="s">
        <v>100</v>
      </c>
      <c r="AC282" t="s">
        <v>53</v>
      </c>
      <c r="AD282" t="s">
        <v>101</v>
      </c>
    </row>
    <row r="283" spans="1:30" x14ac:dyDescent="0.25">
      <c r="A283">
        <v>282</v>
      </c>
      <c r="B283" t="s">
        <v>30</v>
      </c>
      <c r="C283" t="s">
        <v>1431</v>
      </c>
      <c r="D283" t="s">
        <v>56</v>
      </c>
      <c r="E283" t="s">
        <v>56</v>
      </c>
      <c r="F283" t="s">
        <v>57</v>
      </c>
      <c r="G283" t="s">
        <v>57</v>
      </c>
      <c r="H283" t="s">
        <v>1432</v>
      </c>
      <c r="I283" t="s">
        <v>1433</v>
      </c>
      <c r="J283">
        <f>57-60-1-745-1857</f>
        <v>-2606</v>
      </c>
      <c r="K283" t="s">
        <v>1434</v>
      </c>
      <c r="N283" t="s">
        <v>1435</v>
      </c>
      <c r="O283" t="s">
        <v>314</v>
      </c>
      <c r="P283">
        <v>-365.77</v>
      </c>
      <c r="Q283">
        <v>0</v>
      </c>
      <c r="R283">
        <v>-412.94</v>
      </c>
      <c r="S283" s="1">
        <v>2385.5100000000002</v>
      </c>
      <c r="T283">
        <v>0</v>
      </c>
      <c r="U283">
        <v>-854.27</v>
      </c>
      <c r="X283">
        <v>0</v>
      </c>
      <c r="Y283" s="1">
        <v>3239.78</v>
      </c>
      <c r="Z283" t="s">
        <v>43</v>
      </c>
      <c r="AA283">
        <v>2023</v>
      </c>
      <c r="AB283" t="s">
        <v>27</v>
      </c>
      <c r="AC283" t="s">
        <v>53</v>
      </c>
      <c r="AD283" t="s">
        <v>54</v>
      </c>
    </row>
    <row r="284" spans="1:30" x14ac:dyDescent="0.25">
      <c r="A284">
        <v>283</v>
      </c>
      <c r="B284" t="s">
        <v>30</v>
      </c>
      <c r="C284" t="s">
        <v>1436</v>
      </c>
      <c r="D284" t="s">
        <v>64</v>
      </c>
      <c r="E284" t="s">
        <v>64</v>
      </c>
      <c r="F284" t="s">
        <v>65</v>
      </c>
      <c r="G284" t="s">
        <v>65</v>
      </c>
      <c r="I284" t="s">
        <v>1437</v>
      </c>
      <c r="J284">
        <f>57-300-703-3896</f>
        <v>-4842</v>
      </c>
      <c r="K284" t="s">
        <v>1438</v>
      </c>
      <c r="N284" t="s">
        <v>1439</v>
      </c>
      <c r="O284" t="s">
        <v>314</v>
      </c>
      <c r="P284">
        <v>0</v>
      </c>
      <c r="Q284">
        <v>0</v>
      </c>
      <c r="R284">
        <v>0</v>
      </c>
      <c r="S284" s="1">
        <v>11607</v>
      </c>
      <c r="T284" s="1">
        <v>11607</v>
      </c>
      <c r="U284" s="1">
        <v>11607</v>
      </c>
      <c r="Y284">
        <v>0</v>
      </c>
      <c r="Z284" t="s">
        <v>43</v>
      </c>
      <c r="AA284">
        <v>2022</v>
      </c>
      <c r="AB284" t="s">
        <v>100</v>
      </c>
      <c r="AC284" t="s">
        <v>53</v>
      </c>
      <c r="AD284" t="s">
        <v>101</v>
      </c>
    </row>
    <row r="285" spans="1:30" x14ac:dyDescent="0.25">
      <c r="A285">
        <v>284</v>
      </c>
      <c r="B285" t="s">
        <v>30</v>
      </c>
      <c r="C285" t="s">
        <v>1440</v>
      </c>
      <c r="D285" t="s">
        <v>56</v>
      </c>
      <c r="E285" t="s">
        <v>56</v>
      </c>
      <c r="F285" t="s">
        <v>57</v>
      </c>
      <c r="G285" t="s">
        <v>57</v>
      </c>
      <c r="H285" t="s">
        <v>1441</v>
      </c>
      <c r="I285" t="s">
        <v>1442</v>
      </c>
      <c r="J285">
        <f>57-60-1-368-711</f>
        <v>-1083</v>
      </c>
      <c r="K285" t="s">
        <v>1443</v>
      </c>
      <c r="N285" t="s">
        <v>1444</v>
      </c>
      <c r="O285" t="s">
        <v>1445</v>
      </c>
      <c r="P285">
        <v>-11.79</v>
      </c>
      <c r="Q285">
        <v>0</v>
      </c>
      <c r="R285">
        <v>-86.23</v>
      </c>
      <c r="S285" s="1">
        <v>2653.24</v>
      </c>
      <c r="T285">
        <v>0</v>
      </c>
      <c r="U285" s="1">
        <v>2136.6999999999998</v>
      </c>
      <c r="Y285">
        <v>516.54</v>
      </c>
      <c r="Z285" t="s">
        <v>43</v>
      </c>
      <c r="AA285">
        <v>2019</v>
      </c>
      <c r="AB285" t="s">
        <v>100</v>
      </c>
      <c r="AC285" t="s">
        <v>53</v>
      </c>
      <c r="AD285" t="s">
        <v>101</v>
      </c>
    </row>
    <row r="286" spans="1:30" x14ac:dyDescent="0.25">
      <c r="A286">
        <v>285</v>
      </c>
      <c r="B286" t="s">
        <v>30</v>
      </c>
      <c r="C286" t="s">
        <v>1446</v>
      </c>
      <c r="D286" t="s">
        <v>1447</v>
      </c>
      <c r="E286" t="s">
        <v>72</v>
      </c>
      <c r="F286" t="s">
        <v>1448</v>
      </c>
      <c r="G286" t="s">
        <v>73</v>
      </c>
      <c r="I286" t="s">
        <v>1449</v>
      </c>
      <c r="J286">
        <f>57-315-819-7777</f>
        <v>-8854</v>
      </c>
      <c r="K286" t="s">
        <v>1450</v>
      </c>
      <c r="N286" t="s">
        <v>1451</v>
      </c>
      <c r="O286" t="s">
        <v>984</v>
      </c>
      <c r="P286">
        <v>0</v>
      </c>
      <c r="Q286">
        <v>0</v>
      </c>
      <c r="R286">
        <v>0</v>
      </c>
      <c r="S286">
        <v>500</v>
      </c>
      <c r="T286">
        <v>0</v>
      </c>
      <c r="U286">
        <v>500</v>
      </c>
      <c r="Y286">
        <v>0</v>
      </c>
      <c r="Z286" t="s">
        <v>43</v>
      </c>
      <c r="AA286">
        <v>2018</v>
      </c>
      <c r="AB286" t="s">
        <v>100</v>
      </c>
      <c r="AC286" t="s">
        <v>53</v>
      </c>
      <c r="AD286" t="s">
        <v>101</v>
      </c>
    </row>
    <row r="287" spans="1:30" x14ac:dyDescent="0.25">
      <c r="A287">
        <v>286</v>
      </c>
      <c r="B287" t="s">
        <v>30</v>
      </c>
      <c r="C287" t="s">
        <v>1452</v>
      </c>
      <c r="D287" t="s">
        <v>72</v>
      </c>
      <c r="E287" t="s">
        <v>72</v>
      </c>
      <c r="F287" t="s">
        <v>73</v>
      </c>
      <c r="G287" t="s">
        <v>73</v>
      </c>
      <c r="I287" t="s">
        <v>1453</v>
      </c>
      <c r="J287">
        <f>57-301-443-3659</f>
        <v>-4346</v>
      </c>
      <c r="K287" t="s">
        <v>1454</v>
      </c>
      <c r="N287" t="s">
        <v>1455</v>
      </c>
      <c r="P287">
        <v>0</v>
      </c>
      <c r="Q287">
        <v>0</v>
      </c>
      <c r="R287">
        <v>0</v>
      </c>
      <c r="S287">
        <v>520</v>
      </c>
      <c r="T287">
        <v>0</v>
      </c>
      <c r="U287">
        <v>520</v>
      </c>
      <c r="Y287">
        <v>0</v>
      </c>
      <c r="Z287" t="s">
        <v>43</v>
      </c>
      <c r="AA287">
        <v>2018</v>
      </c>
      <c r="AB287" t="s">
        <v>100</v>
      </c>
      <c r="AC287" t="s">
        <v>53</v>
      </c>
      <c r="AD287" t="s">
        <v>101</v>
      </c>
    </row>
    <row r="288" spans="1:30" x14ac:dyDescent="0.25">
      <c r="A288">
        <v>287</v>
      </c>
      <c r="B288" t="s">
        <v>30</v>
      </c>
      <c r="C288" t="s">
        <v>1456</v>
      </c>
      <c r="D288" t="s">
        <v>56</v>
      </c>
      <c r="E288" t="s">
        <v>56</v>
      </c>
      <c r="F288" t="s">
        <v>57</v>
      </c>
      <c r="G288" t="s">
        <v>57</v>
      </c>
      <c r="H288" t="s">
        <v>1457</v>
      </c>
      <c r="I288" t="s">
        <v>1458</v>
      </c>
      <c r="J288">
        <f>57-60-1-743-3440</f>
        <v>-4187</v>
      </c>
      <c r="K288" t="s">
        <v>81</v>
      </c>
      <c r="N288" t="s">
        <v>1459</v>
      </c>
      <c r="O288" t="s">
        <v>1460</v>
      </c>
      <c r="P288">
        <v>174.6</v>
      </c>
      <c r="Q288">
        <v>0</v>
      </c>
      <c r="R288">
        <v>116.98</v>
      </c>
      <c r="S288">
        <v>270.61</v>
      </c>
      <c r="T288">
        <v>0</v>
      </c>
      <c r="U288">
        <v>176.98</v>
      </c>
      <c r="Y288">
        <v>93.63</v>
      </c>
      <c r="Z288" t="s">
        <v>43</v>
      </c>
      <c r="AA288">
        <v>2018</v>
      </c>
      <c r="AB288" t="s">
        <v>100</v>
      </c>
      <c r="AC288" t="s">
        <v>53</v>
      </c>
      <c r="AD288" t="s">
        <v>101</v>
      </c>
    </row>
    <row r="289" spans="1:30" x14ac:dyDescent="0.25">
      <c r="A289">
        <v>288</v>
      </c>
      <c r="B289" t="s">
        <v>30</v>
      </c>
      <c r="C289" t="s">
        <v>1461</v>
      </c>
      <c r="D289" t="s">
        <v>56</v>
      </c>
      <c r="E289" t="s">
        <v>56</v>
      </c>
      <c r="F289" t="s">
        <v>57</v>
      </c>
      <c r="G289" t="s">
        <v>57</v>
      </c>
      <c r="I289" t="s">
        <v>1462</v>
      </c>
      <c r="J289">
        <f>57-310-848-4815</f>
        <v>-5916</v>
      </c>
      <c r="K289" t="s">
        <v>1463</v>
      </c>
      <c r="P289">
        <v>0</v>
      </c>
      <c r="Q289">
        <v>0</v>
      </c>
      <c r="R289">
        <v>0</v>
      </c>
      <c r="S289">
        <v>678.28</v>
      </c>
      <c r="T289">
        <v>0</v>
      </c>
      <c r="U289">
        <v>678.28</v>
      </c>
      <c r="Y289">
        <v>678.28</v>
      </c>
      <c r="Z289" t="s">
        <v>43</v>
      </c>
      <c r="AA289">
        <v>2018</v>
      </c>
      <c r="AB289" t="s">
        <v>100</v>
      </c>
      <c r="AC289" t="s">
        <v>53</v>
      </c>
      <c r="AD289" t="s">
        <v>101</v>
      </c>
    </row>
    <row r="290" spans="1:30" x14ac:dyDescent="0.25">
      <c r="A290">
        <v>289</v>
      </c>
      <c r="B290" t="s">
        <v>30</v>
      </c>
      <c r="C290" t="s">
        <v>1464</v>
      </c>
      <c r="D290" t="s">
        <v>72</v>
      </c>
      <c r="E290" t="s">
        <v>72</v>
      </c>
      <c r="F290" t="s">
        <v>73</v>
      </c>
      <c r="G290" t="s">
        <v>73</v>
      </c>
      <c r="H290" t="s">
        <v>1465</v>
      </c>
      <c r="I290" t="s">
        <v>1466</v>
      </c>
      <c r="J290">
        <f>57-60-1-703-4778</f>
        <v>-5485</v>
      </c>
      <c r="K290" t="s">
        <v>1467</v>
      </c>
      <c r="N290" t="s">
        <v>1468</v>
      </c>
      <c r="O290" t="s">
        <v>1087</v>
      </c>
      <c r="P290">
        <v>0</v>
      </c>
      <c r="Q290">
        <v>0</v>
      </c>
      <c r="R290">
        <v>0</v>
      </c>
      <c r="S290">
        <v>7</v>
      </c>
      <c r="T290">
        <v>0</v>
      </c>
      <c r="U290">
        <v>5</v>
      </c>
      <c r="Y290">
        <v>2</v>
      </c>
      <c r="Z290" t="s">
        <v>43</v>
      </c>
      <c r="AA290">
        <v>2018</v>
      </c>
      <c r="AB290" t="s">
        <v>100</v>
      </c>
      <c r="AC290" t="s">
        <v>53</v>
      </c>
      <c r="AD290" t="s">
        <v>101</v>
      </c>
    </row>
    <row r="291" spans="1:30" x14ac:dyDescent="0.25">
      <c r="A291">
        <v>290</v>
      </c>
      <c r="B291" t="s">
        <v>30</v>
      </c>
      <c r="C291" t="s">
        <v>1469</v>
      </c>
      <c r="D291" t="s">
        <v>72</v>
      </c>
      <c r="E291" t="s">
        <v>72</v>
      </c>
      <c r="F291" t="s">
        <v>73</v>
      </c>
      <c r="G291" t="s">
        <v>73</v>
      </c>
      <c r="I291" t="s">
        <v>1470</v>
      </c>
      <c r="J291">
        <f>57-60-1-343-5000</f>
        <v>-5347</v>
      </c>
      <c r="K291" t="s">
        <v>1471</v>
      </c>
      <c r="N291" t="s">
        <v>1472</v>
      </c>
      <c r="O291" t="s">
        <v>1473</v>
      </c>
      <c r="P291">
        <v>-64.790000000000006</v>
      </c>
      <c r="Q291">
        <v>0</v>
      </c>
      <c r="R291">
        <v>-72.989999999999995</v>
      </c>
      <c r="S291" s="1">
        <v>4530.08</v>
      </c>
      <c r="T291" s="1">
        <v>4182.43</v>
      </c>
      <c r="U291">
        <v>-250.85</v>
      </c>
      <c r="X291">
        <v>0</v>
      </c>
      <c r="Y291" s="1">
        <v>4780.93</v>
      </c>
      <c r="Z291" t="s">
        <v>43</v>
      </c>
      <c r="AA291">
        <v>2022</v>
      </c>
      <c r="AB291" t="s">
        <v>27</v>
      </c>
      <c r="AC291" t="s">
        <v>53</v>
      </c>
      <c r="AD291" t="s">
        <v>54</v>
      </c>
    </row>
    <row r="292" spans="1:30" x14ac:dyDescent="0.25">
      <c r="A292">
        <v>291</v>
      </c>
      <c r="B292" t="s">
        <v>30</v>
      </c>
      <c r="C292" t="s">
        <v>1474</v>
      </c>
      <c r="D292" t="s">
        <v>72</v>
      </c>
      <c r="E292" t="s">
        <v>72</v>
      </c>
      <c r="F292" t="s">
        <v>73</v>
      </c>
      <c r="G292" t="s">
        <v>73</v>
      </c>
      <c r="I292" t="s">
        <v>1475</v>
      </c>
      <c r="J292">
        <f>57-321-371-3988</f>
        <v>-4623</v>
      </c>
      <c r="K292" t="s">
        <v>1476</v>
      </c>
      <c r="N292" t="s">
        <v>1477</v>
      </c>
      <c r="P292">
        <v>0</v>
      </c>
      <c r="Q292">
        <v>0</v>
      </c>
      <c r="R292">
        <v>0</v>
      </c>
      <c r="S292">
        <v>10</v>
      </c>
      <c r="T292">
        <v>0</v>
      </c>
      <c r="U292">
        <v>10</v>
      </c>
      <c r="Y292">
        <v>0</v>
      </c>
      <c r="Z292" t="s">
        <v>43</v>
      </c>
      <c r="AA292">
        <v>2018</v>
      </c>
      <c r="AB292" t="s">
        <v>100</v>
      </c>
      <c r="AC292" t="s">
        <v>53</v>
      </c>
      <c r="AD292" t="s">
        <v>101</v>
      </c>
    </row>
    <row r="293" spans="1:30" x14ac:dyDescent="0.25">
      <c r="A293">
        <v>292</v>
      </c>
      <c r="B293" t="s">
        <v>30</v>
      </c>
      <c r="C293" t="s">
        <v>1478</v>
      </c>
      <c r="D293" t="s">
        <v>64</v>
      </c>
      <c r="E293" t="s">
        <v>64</v>
      </c>
      <c r="F293" t="s">
        <v>65</v>
      </c>
      <c r="G293" t="s">
        <v>65</v>
      </c>
      <c r="I293" t="s">
        <v>1479</v>
      </c>
      <c r="J293">
        <f>57-60-1-215-4648</f>
        <v>-4867</v>
      </c>
      <c r="K293" t="s">
        <v>1480</v>
      </c>
      <c r="N293" t="s">
        <v>1481</v>
      </c>
      <c r="P293">
        <v>-3.09</v>
      </c>
      <c r="Q293">
        <v>0</v>
      </c>
      <c r="R293">
        <v>-3.09</v>
      </c>
      <c r="S293">
        <v>708.8</v>
      </c>
      <c r="T293">
        <v>0</v>
      </c>
      <c r="U293">
        <v>565.33000000000004</v>
      </c>
      <c r="Y293">
        <v>143.47</v>
      </c>
      <c r="Z293" t="s">
        <v>43</v>
      </c>
      <c r="AA293">
        <v>2022</v>
      </c>
      <c r="AB293" t="s">
        <v>100</v>
      </c>
      <c r="AC293" t="s">
        <v>53</v>
      </c>
      <c r="AD293" t="s">
        <v>101</v>
      </c>
    </row>
    <row r="294" spans="1:30" x14ac:dyDescent="0.25">
      <c r="A294">
        <v>293</v>
      </c>
      <c r="B294" t="s">
        <v>30</v>
      </c>
      <c r="C294" t="s">
        <v>1482</v>
      </c>
      <c r="D294" t="s">
        <v>56</v>
      </c>
      <c r="E294" t="s">
        <v>56</v>
      </c>
      <c r="F294" t="s">
        <v>57</v>
      </c>
      <c r="G294" t="s">
        <v>57</v>
      </c>
      <c r="I294" t="s">
        <v>1483</v>
      </c>
      <c r="J294">
        <f>57-300-512-1584</f>
        <v>-2339</v>
      </c>
      <c r="K294" t="s">
        <v>1484</v>
      </c>
      <c r="N294" t="s">
        <v>1485</v>
      </c>
      <c r="O294" t="s">
        <v>1061</v>
      </c>
      <c r="P294">
        <v>0</v>
      </c>
      <c r="Q294">
        <v>0</v>
      </c>
      <c r="R294">
        <v>0</v>
      </c>
      <c r="S294" s="1">
        <v>3602.88</v>
      </c>
      <c r="T294">
        <v>0</v>
      </c>
      <c r="U294" s="1">
        <v>2291.73</v>
      </c>
      <c r="Y294" s="1">
        <v>1311.15</v>
      </c>
      <c r="Z294" t="s">
        <v>43</v>
      </c>
      <c r="AA294">
        <v>2022</v>
      </c>
      <c r="AB294" t="s">
        <v>100</v>
      </c>
      <c r="AC294" t="s">
        <v>53</v>
      </c>
      <c r="AD294" t="s">
        <v>101</v>
      </c>
    </row>
    <row r="295" spans="1:30" x14ac:dyDescent="0.25">
      <c r="A295">
        <v>294</v>
      </c>
      <c r="B295" t="s">
        <v>30</v>
      </c>
      <c r="C295" t="s">
        <v>1486</v>
      </c>
      <c r="D295" t="s">
        <v>64</v>
      </c>
      <c r="E295" t="s">
        <v>64</v>
      </c>
      <c r="F295" t="s">
        <v>65</v>
      </c>
      <c r="G295" t="s">
        <v>65</v>
      </c>
      <c r="I295" t="s">
        <v>1487</v>
      </c>
      <c r="J295">
        <f>57-310-421-952</f>
        <v>-1626</v>
      </c>
      <c r="K295" t="s">
        <v>1488</v>
      </c>
      <c r="O295" t="s">
        <v>1002</v>
      </c>
      <c r="P295">
        <v>0</v>
      </c>
      <c r="Q295">
        <v>0</v>
      </c>
      <c r="R295">
        <v>0</v>
      </c>
      <c r="S295">
        <v>791.9</v>
      </c>
      <c r="T295">
        <v>0</v>
      </c>
      <c r="U295">
        <v>791.9</v>
      </c>
      <c r="Y295">
        <v>791.9</v>
      </c>
      <c r="Z295" t="s">
        <v>43</v>
      </c>
      <c r="AA295">
        <v>2018</v>
      </c>
      <c r="AB295" t="s">
        <v>100</v>
      </c>
      <c r="AC295" t="s">
        <v>53</v>
      </c>
      <c r="AD295" t="s">
        <v>101</v>
      </c>
    </row>
    <row r="296" spans="1:30" x14ac:dyDescent="0.25">
      <c r="A296">
        <v>295</v>
      </c>
      <c r="B296" t="s">
        <v>30</v>
      </c>
      <c r="C296" t="s">
        <v>1489</v>
      </c>
      <c r="D296" t="s">
        <v>56</v>
      </c>
      <c r="E296" t="s">
        <v>56</v>
      </c>
      <c r="F296" t="s">
        <v>57</v>
      </c>
      <c r="G296" t="s">
        <v>57</v>
      </c>
      <c r="I296" t="s">
        <v>1490</v>
      </c>
      <c r="J296">
        <f>57-301-612-9070</f>
        <v>-9926</v>
      </c>
      <c r="K296" t="s">
        <v>1491</v>
      </c>
      <c r="N296" t="s">
        <v>1492</v>
      </c>
      <c r="P296">
        <v>0</v>
      </c>
      <c r="Q296">
        <v>0</v>
      </c>
      <c r="R296">
        <v>0</v>
      </c>
      <c r="S296">
        <v>511.34</v>
      </c>
      <c r="T296">
        <v>0</v>
      </c>
      <c r="U296">
        <v>-341.81</v>
      </c>
      <c r="Y296">
        <v>853.15</v>
      </c>
      <c r="Z296" t="s">
        <v>43</v>
      </c>
      <c r="AA296">
        <v>2022</v>
      </c>
      <c r="AB296" t="s">
        <v>100</v>
      </c>
      <c r="AC296" t="s">
        <v>53</v>
      </c>
      <c r="AD296" t="s">
        <v>101</v>
      </c>
    </row>
    <row r="297" spans="1:30" x14ac:dyDescent="0.25">
      <c r="A297">
        <v>296</v>
      </c>
      <c r="B297" t="s">
        <v>30</v>
      </c>
      <c r="C297" t="s">
        <v>1493</v>
      </c>
      <c r="D297" t="s">
        <v>1494</v>
      </c>
      <c r="E297" t="s">
        <v>1495</v>
      </c>
      <c r="F297" t="s">
        <v>1496</v>
      </c>
      <c r="G297" t="s">
        <v>1497</v>
      </c>
      <c r="I297" t="s">
        <v>1498</v>
      </c>
      <c r="K297" t="s">
        <v>1499</v>
      </c>
      <c r="N297" t="s">
        <v>1500</v>
      </c>
      <c r="O297" t="s">
        <v>1206</v>
      </c>
      <c r="P297">
        <v>0</v>
      </c>
      <c r="Q297">
        <v>0</v>
      </c>
      <c r="R297">
        <v>0</v>
      </c>
      <c r="S297">
        <v>15</v>
      </c>
      <c r="T297">
        <v>0</v>
      </c>
      <c r="U297">
        <v>15</v>
      </c>
      <c r="Y297">
        <v>0</v>
      </c>
      <c r="Z297" t="s">
        <v>43</v>
      </c>
      <c r="AA297">
        <v>2020</v>
      </c>
      <c r="AB297" t="s">
        <v>100</v>
      </c>
      <c r="AC297" t="s">
        <v>53</v>
      </c>
      <c r="AD297" t="s">
        <v>101</v>
      </c>
    </row>
    <row r="298" spans="1:30" x14ac:dyDescent="0.25">
      <c r="A298">
        <v>297</v>
      </c>
      <c r="B298" t="s">
        <v>30</v>
      </c>
      <c r="C298" t="s">
        <v>1501</v>
      </c>
      <c r="D298" t="s">
        <v>72</v>
      </c>
      <c r="E298" t="s">
        <v>72</v>
      </c>
      <c r="F298" t="s">
        <v>73</v>
      </c>
      <c r="G298" t="s">
        <v>73</v>
      </c>
      <c r="I298" t="s">
        <v>1502</v>
      </c>
      <c r="J298">
        <f>57-314-798-3845</f>
        <v>-4900</v>
      </c>
      <c r="K298" t="s">
        <v>1503</v>
      </c>
      <c r="P298">
        <v>0</v>
      </c>
      <c r="Q298">
        <v>0</v>
      </c>
      <c r="R298">
        <v>0</v>
      </c>
      <c r="S298">
        <v>820.9</v>
      </c>
      <c r="T298">
        <v>0</v>
      </c>
      <c r="U298">
        <v>820.9</v>
      </c>
      <c r="Y298">
        <v>0</v>
      </c>
      <c r="Z298" t="s">
        <v>43</v>
      </c>
      <c r="AA298">
        <v>2018</v>
      </c>
      <c r="AB298" t="s">
        <v>100</v>
      </c>
      <c r="AC298" t="s">
        <v>53</v>
      </c>
      <c r="AD298" t="s">
        <v>101</v>
      </c>
    </row>
    <row r="299" spans="1:30" x14ac:dyDescent="0.25">
      <c r="A299">
        <v>298</v>
      </c>
      <c r="B299" t="s">
        <v>30</v>
      </c>
      <c r="C299" t="s">
        <v>1504</v>
      </c>
      <c r="D299" t="s">
        <v>64</v>
      </c>
      <c r="E299" t="s">
        <v>64</v>
      </c>
      <c r="F299" t="s">
        <v>65</v>
      </c>
      <c r="G299" t="s">
        <v>65</v>
      </c>
      <c r="I299" t="s">
        <v>1505</v>
      </c>
      <c r="J299">
        <f>57-312-455-6162</f>
        <v>-6872</v>
      </c>
      <c r="K299" t="s">
        <v>1506</v>
      </c>
      <c r="N299" t="s">
        <v>1507</v>
      </c>
      <c r="O299" t="s">
        <v>1174</v>
      </c>
      <c r="P299">
        <v>0</v>
      </c>
      <c r="Q299">
        <v>0</v>
      </c>
      <c r="R299">
        <v>0</v>
      </c>
      <c r="S299">
        <v>359.31</v>
      </c>
      <c r="T299">
        <v>0</v>
      </c>
      <c r="U299">
        <v>57</v>
      </c>
      <c r="Y299">
        <v>302.31</v>
      </c>
      <c r="Z299" t="s">
        <v>43</v>
      </c>
      <c r="AA299">
        <v>2017</v>
      </c>
      <c r="AB299" t="s">
        <v>100</v>
      </c>
      <c r="AC299" t="s">
        <v>53</v>
      </c>
      <c r="AD299" t="s">
        <v>101</v>
      </c>
    </row>
    <row r="300" spans="1:30" x14ac:dyDescent="0.25">
      <c r="A300">
        <v>299</v>
      </c>
      <c r="B300" t="s">
        <v>30</v>
      </c>
      <c r="C300" t="s">
        <v>1508</v>
      </c>
      <c r="D300" t="s">
        <v>72</v>
      </c>
      <c r="E300" t="s">
        <v>72</v>
      </c>
      <c r="F300" t="s">
        <v>73</v>
      </c>
      <c r="G300" t="s">
        <v>73</v>
      </c>
      <c r="I300" t="s">
        <v>1509</v>
      </c>
      <c r="J300">
        <f>57-60-1-543-2674</f>
        <v>-3221</v>
      </c>
      <c r="K300" t="s">
        <v>1510</v>
      </c>
      <c r="O300" t="s">
        <v>945</v>
      </c>
      <c r="P300">
        <v>0</v>
      </c>
      <c r="Q300">
        <v>0</v>
      </c>
      <c r="R300">
        <v>0</v>
      </c>
      <c r="S300">
        <v>434.12</v>
      </c>
      <c r="T300">
        <v>0</v>
      </c>
      <c r="U300">
        <v>0</v>
      </c>
      <c r="Y300">
        <v>0</v>
      </c>
      <c r="Z300" t="s">
        <v>43</v>
      </c>
      <c r="AA300">
        <v>2018</v>
      </c>
      <c r="AB300" t="s">
        <v>100</v>
      </c>
      <c r="AC300" t="s">
        <v>53</v>
      </c>
      <c r="AD300" t="s">
        <v>101</v>
      </c>
    </row>
    <row r="301" spans="1:30" x14ac:dyDescent="0.25">
      <c r="A301">
        <v>300</v>
      </c>
      <c r="B301" t="s">
        <v>30</v>
      </c>
      <c r="C301" t="s">
        <v>1511</v>
      </c>
      <c r="D301" t="s">
        <v>46</v>
      </c>
      <c r="E301" t="s">
        <v>56</v>
      </c>
      <c r="F301" t="s">
        <v>820</v>
      </c>
      <c r="G301" t="s">
        <v>57</v>
      </c>
      <c r="H301" t="s">
        <v>1512</v>
      </c>
      <c r="I301" t="s">
        <v>1513</v>
      </c>
      <c r="J301">
        <f>57-60-1-218-4263</f>
        <v>-4485</v>
      </c>
      <c r="K301" t="s">
        <v>1514</v>
      </c>
      <c r="N301" t="s">
        <v>381</v>
      </c>
      <c r="O301" t="s">
        <v>1515</v>
      </c>
      <c r="P301">
        <v>0</v>
      </c>
      <c r="Q301">
        <v>0</v>
      </c>
      <c r="R301">
        <v>0</v>
      </c>
      <c r="S301" s="1">
        <v>1099.3399999999999</v>
      </c>
      <c r="T301">
        <v>0</v>
      </c>
      <c r="U301" s="1">
        <v>1099.3399999999999</v>
      </c>
      <c r="Y301">
        <v>0</v>
      </c>
      <c r="Z301" t="s">
        <v>43</v>
      </c>
      <c r="AA301">
        <v>2018</v>
      </c>
      <c r="AB301" t="s">
        <v>100</v>
      </c>
      <c r="AC301" t="s">
        <v>53</v>
      </c>
      <c r="AD301" t="s">
        <v>101</v>
      </c>
    </row>
    <row r="302" spans="1:30" x14ac:dyDescent="0.25">
      <c r="A302">
        <v>301</v>
      </c>
      <c r="B302" t="s">
        <v>30</v>
      </c>
      <c r="C302" t="s">
        <v>1516</v>
      </c>
      <c r="D302" t="s">
        <v>56</v>
      </c>
      <c r="E302" t="s">
        <v>56</v>
      </c>
      <c r="F302" t="s">
        <v>57</v>
      </c>
      <c r="G302" t="s">
        <v>57</v>
      </c>
      <c r="I302" t="s">
        <v>1517</v>
      </c>
      <c r="J302">
        <f>57-321-207-400</f>
        <v>-871</v>
      </c>
      <c r="K302" t="s">
        <v>1518</v>
      </c>
      <c r="N302" t="s">
        <v>1519</v>
      </c>
      <c r="O302" t="s">
        <v>855</v>
      </c>
      <c r="P302">
        <v>0</v>
      </c>
      <c r="Q302">
        <v>0</v>
      </c>
      <c r="R302">
        <v>0</v>
      </c>
      <c r="S302">
        <v>20</v>
      </c>
      <c r="T302">
        <v>0</v>
      </c>
      <c r="U302">
        <v>20</v>
      </c>
      <c r="Y302">
        <v>0</v>
      </c>
      <c r="Z302" t="s">
        <v>43</v>
      </c>
      <c r="AA302">
        <v>2018</v>
      </c>
      <c r="AB302" t="s">
        <v>100</v>
      </c>
      <c r="AC302" t="s">
        <v>53</v>
      </c>
      <c r="AD302" t="s">
        <v>101</v>
      </c>
    </row>
    <row r="303" spans="1:30" x14ac:dyDescent="0.25">
      <c r="A303">
        <v>302</v>
      </c>
      <c r="B303" t="s">
        <v>30</v>
      </c>
      <c r="C303" t="s">
        <v>1520</v>
      </c>
      <c r="D303" t="s">
        <v>64</v>
      </c>
      <c r="E303" t="s">
        <v>64</v>
      </c>
      <c r="F303" t="s">
        <v>65</v>
      </c>
      <c r="G303" t="s">
        <v>65</v>
      </c>
      <c r="I303" t="s">
        <v>1521</v>
      </c>
      <c r="J303">
        <f>57-314-211-7862</f>
        <v>-8330</v>
      </c>
      <c r="K303" t="s">
        <v>1522</v>
      </c>
      <c r="O303" t="s">
        <v>1002</v>
      </c>
      <c r="P303">
        <v>0</v>
      </c>
      <c r="Q303">
        <v>0</v>
      </c>
      <c r="R303">
        <v>0</v>
      </c>
      <c r="S303" s="1">
        <v>7647.98</v>
      </c>
      <c r="T303">
        <v>0</v>
      </c>
      <c r="U303">
        <v>0</v>
      </c>
      <c r="Y303">
        <v>0</v>
      </c>
      <c r="Z303" t="s">
        <v>43</v>
      </c>
      <c r="AA303">
        <v>2018</v>
      </c>
      <c r="AB303" t="s">
        <v>100</v>
      </c>
      <c r="AC303" t="s">
        <v>53</v>
      </c>
      <c r="AD303" t="s">
        <v>101</v>
      </c>
    </row>
    <row r="304" spans="1:30" x14ac:dyDescent="0.25">
      <c r="A304">
        <v>303</v>
      </c>
      <c r="B304" t="s">
        <v>30</v>
      </c>
      <c r="C304" t="s">
        <v>1523</v>
      </c>
      <c r="D304" t="s">
        <v>56</v>
      </c>
      <c r="E304" t="s">
        <v>56</v>
      </c>
      <c r="F304" t="s">
        <v>57</v>
      </c>
      <c r="G304" t="s">
        <v>57</v>
      </c>
      <c r="I304" t="s">
        <v>1524</v>
      </c>
      <c r="J304">
        <f>57-316-308-6192</f>
        <v>-6759</v>
      </c>
      <c r="K304" t="s">
        <v>1525</v>
      </c>
      <c r="N304" t="s">
        <v>1526</v>
      </c>
      <c r="O304" t="s">
        <v>135</v>
      </c>
      <c r="P304">
        <v>0</v>
      </c>
      <c r="Q304">
        <v>0</v>
      </c>
      <c r="R304">
        <v>0</v>
      </c>
      <c r="S304">
        <v>686</v>
      </c>
      <c r="T304">
        <v>0</v>
      </c>
      <c r="U304">
        <v>686</v>
      </c>
      <c r="Y304">
        <v>0</v>
      </c>
      <c r="Z304" t="s">
        <v>43</v>
      </c>
      <c r="AA304">
        <v>2023</v>
      </c>
      <c r="AB304" t="s">
        <v>100</v>
      </c>
      <c r="AC304" t="s">
        <v>53</v>
      </c>
      <c r="AD304" t="s">
        <v>101</v>
      </c>
    </row>
    <row r="305" spans="1:30" x14ac:dyDescent="0.25">
      <c r="A305">
        <v>304</v>
      </c>
      <c r="B305" t="s">
        <v>30</v>
      </c>
      <c r="C305" t="s">
        <v>1527</v>
      </c>
      <c r="D305" t="s">
        <v>1528</v>
      </c>
      <c r="E305" t="s">
        <v>1217</v>
      </c>
      <c r="F305" t="s">
        <v>1529</v>
      </c>
      <c r="G305" t="s">
        <v>1530</v>
      </c>
      <c r="I305" t="s">
        <v>1531</v>
      </c>
      <c r="J305">
        <f>57-60-1-268-8420</f>
        <v>-8692</v>
      </c>
      <c r="K305" t="s">
        <v>1532</v>
      </c>
      <c r="N305" t="s">
        <v>1533</v>
      </c>
      <c r="O305" t="s">
        <v>1007</v>
      </c>
      <c r="P305">
        <v>0</v>
      </c>
      <c r="Q305">
        <v>0</v>
      </c>
      <c r="R305">
        <v>0</v>
      </c>
      <c r="S305">
        <v>372.08</v>
      </c>
      <c r="T305">
        <v>0</v>
      </c>
      <c r="U305">
        <v>184.88</v>
      </c>
      <c r="Y305">
        <v>187.19</v>
      </c>
      <c r="Z305" t="s">
        <v>43</v>
      </c>
      <c r="AA305">
        <v>2018</v>
      </c>
      <c r="AB305" t="s">
        <v>100</v>
      </c>
      <c r="AC305" t="s">
        <v>53</v>
      </c>
      <c r="AD305" t="s">
        <v>101</v>
      </c>
    </row>
    <row r="306" spans="1:30" x14ac:dyDescent="0.25">
      <c r="A306">
        <v>305</v>
      </c>
      <c r="B306" t="s">
        <v>30</v>
      </c>
      <c r="C306" t="s">
        <v>1534</v>
      </c>
      <c r="D306" t="s">
        <v>56</v>
      </c>
      <c r="E306" t="s">
        <v>56</v>
      </c>
      <c r="F306" t="s">
        <v>57</v>
      </c>
      <c r="G306" t="s">
        <v>57</v>
      </c>
      <c r="I306" t="s">
        <v>1535</v>
      </c>
      <c r="J306">
        <f>57-320-537-9322</f>
        <v>-10122</v>
      </c>
      <c r="K306" t="s">
        <v>1536</v>
      </c>
      <c r="P306">
        <v>0</v>
      </c>
      <c r="Q306">
        <v>0</v>
      </c>
      <c r="R306">
        <v>0</v>
      </c>
      <c r="S306" s="1">
        <v>8005.41</v>
      </c>
      <c r="T306">
        <v>0</v>
      </c>
      <c r="U306">
        <v>0</v>
      </c>
      <c r="Y306">
        <v>0</v>
      </c>
      <c r="Z306" t="s">
        <v>43</v>
      </c>
      <c r="AA306">
        <v>2018</v>
      </c>
      <c r="AB306" t="s">
        <v>100</v>
      </c>
      <c r="AC306" t="s">
        <v>53</v>
      </c>
      <c r="AD306" t="s">
        <v>101</v>
      </c>
    </row>
    <row r="307" spans="1:30" x14ac:dyDescent="0.25">
      <c r="A307">
        <v>306</v>
      </c>
      <c r="B307" t="s">
        <v>30</v>
      </c>
      <c r="C307" t="s">
        <v>1537</v>
      </c>
      <c r="D307" t="s">
        <v>72</v>
      </c>
      <c r="E307" t="s">
        <v>72</v>
      </c>
      <c r="F307" t="s">
        <v>73</v>
      </c>
      <c r="G307" t="s">
        <v>73</v>
      </c>
      <c r="I307" t="s">
        <v>1538</v>
      </c>
      <c r="J307">
        <f>57-60-1-658-2553</f>
        <v>-3215</v>
      </c>
      <c r="K307" t="s">
        <v>1539</v>
      </c>
      <c r="N307" t="s">
        <v>1540</v>
      </c>
      <c r="P307">
        <v>0</v>
      </c>
      <c r="Q307">
        <v>0</v>
      </c>
      <c r="R307">
        <v>31.07</v>
      </c>
      <c r="S307" s="1">
        <v>3123.67</v>
      </c>
      <c r="T307">
        <v>0</v>
      </c>
      <c r="U307">
        <v>52.33</v>
      </c>
      <c r="Y307" s="1">
        <v>3071.34</v>
      </c>
      <c r="Z307" t="s">
        <v>43</v>
      </c>
      <c r="AA307">
        <v>2023</v>
      </c>
      <c r="AB307" t="s">
        <v>100</v>
      </c>
      <c r="AC307" t="s">
        <v>53</v>
      </c>
      <c r="AD307" t="s">
        <v>101</v>
      </c>
    </row>
    <row r="308" spans="1:30" x14ac:dyDescent="0.25">
      <c r="A308">
        <v>307</v>
      </c>
      <c r="B308" t="s">
        <v>30</v>
      </c>
      <c r="C308" t="s">
        <v>1541</v>
      </c>
      <c r="D308" t="s">
        <v>72</v>
      </c>
      <c r="E308" t="s">
        <v>72</v>
      </c>
      <c r="F308" t="s">
        <v>73</v>
      </c>
      <c r="G308" t="s">
        <v>73</v>
      </c>
      <c r="H308" t="s">
        <v>1542</v>
      </c>
      <c r="I308" t="s">
        <v>1543</v>
      </c>
      <c r="J308">
        <f>57-310-294-6046</f>
        <v>-6593</v>
      </c>
      <c r="K308" t="s">
        <v>1544</v>
      </c>
      <c r="N308" t="s">
        <v>1545</v>
      </c>
      <c r="O308" t="s">
        <v>410</v>
      </c>
      <c r="P308">
        <v>0</v>
      </c>
      <c r="Q308">
        <v>0</v>
      </c>
      <c r="R308">
        <v>-2.92</v>
      </c>
      <c r="S308">
        <v>38.4</v>
      </c>
      <c r="T308">
        <v>0</v>
      </c>
      <c r="U308">
        <v>-293.51</v>
      </c>
      <c r="Y308">
        <v>331.91</v>
      </c>
      <c r="Z308" t="s">
        <v>43</v>
      </c>
      <c r="AA308">
        <v>2019</v>
      </c>
      <c r="AB308" t="s">
        <v>100</v>
      </c>
      <c r="AC308" t="s">
        <v>53</v>
      </c>
      <c r="AD308" t="s">
        <v>101</v>
      </c>
    </row>
    <row r="309" spans="1:30" x14ac:dyDescent="0.25">
      <c r="A309">
        <v>308</v>
      </c>
      <c r="B309" t="s">
        <v>30</v>
      </c>
      <c r="C309" t="s">
        <v>1546</v>
      </c>
      <c r="D309" t="s">
        <v>56</v>
      </c>
      <c r="E309" t="s">
        <v>56</v>
      </c>
      <c r="F309" t="s">
        <v>57</v>
      </c>
      <c r="G309" t="s">
        <v>57</v>
      </c>
      <c r="I309" t="s">
        <v>1547</v>
      </c>
      <c r="J309">
        <f>57-321-584-4971</f>
        <v>-5819</v>
      </c>
      <c r="K309" t="s">
        <v>1548</v>
      </c>
      <c r="P309">
        <v>0</v>
      </c>
      <c r="Q309">
        <v>0</v>
      </c>
      <c r="R309">
        <v>0</v>
      </c>
      <c r="S309">
        <v>527.15</v>
      </c>
      <c r="T309">
        <v>0</v>
      </c>
      <c r="U309">
        <v>0</v>
      </c>
      <c r="Y309">
        <v>527.15</v>
      </c>
      <c r="Z309" t="s">
        <v>43</v>
      </c>
      <c r="AA309">
        <v>2018</v>
      </c>
      <c r="AB309" t="s">
        <v>100</v>
      </c>
      <c r="AC309" t="s">
        <v>53</v>
      </c>
      <c r="AD309" t="s">
        <v>101</v>
      </c>
    </row>
    <row r="310" spans="1:30" x14ac:dyDescent="0.25">
      <c r="A310">
        <v>309</v>
      </c>
      <c r="B310" t="s">
        <v>30</v>
      </c>
      <c r="C310" t="s">
        <v>1549</v>
      </c>
      <c r="D310" t="s">
        <v>56</v>
      </c>
      <c r="E310" t="s">
        <v>56</v>
      </c>
      <c r="F310" t="s">
        <v>57</v>
      </c>
      <c r="G310" t="s">
        <v>57</v>
      </c>
      <c r="I310" t="s">
        <v>1550</v>
      </c>
      <c r="J310">
        <f>57-320-355-7605</f>
        <v>-8223</v>
      </c>
      <c r="K310" t="s">
        <v>1551</v>
      </c>
      <c r="N310" t="s">
        <v>1552</v>
      </c>
      <c r="O310" t="s">
        <v>818</v>
      </c>
      <c r="P310">
        <v>0</v>
      </c>
      <c r="Q310">
        <v>0</v>
      </c>
      <c r="R310">
        <v>0</v>
      </c>
      <c r="S310">
        <v>827.48</v>
      </c>
      <c r="T310">
        <v>0</v>
      </c>
      <c r="U310">
        <v>-714.01</v>
      </c>
      <c r="Y310" s="1">
        <v>1541.49</v>
      </c>
      <c r="Z310" t="s">
        <v>43</v>
      </c>
      <c r="AA310">
        <v>2019</v>
      </c>
      <c r="AB310" t="s">
        <v>100</v>
      </c>
      <c r="AC310" t="s">
        <v>53</v>
      </c>
      <c r="AD310" t="s">
        <v>101</v>
      </c>
    </row>
    <row r="311" spans="1:30" x14ac:dyDescent="0.25">
      <c r="A311">
        <v>310</v>
      </c>
      <c r="B311" t="s">
        <v>30</v>
      </c>
      <c r="C311" t="s">
        <v>1553</v>
      </c>
      <c r="D311" t="s">
        <v>64</v>
      </c>
      <c r="E311" t="s">
        <v>64</v>
      </c>
      <c r="F311" t="s">
        <v>65</v>
      </c>
      <c r="G311" t="s">
        <v>65</v>
      </c>
      <c r="I311" t="s">
        <v>1554</v>
      </c>
      <c r="J311">
        <f>57-310-890-6847</f>
        <v>-7990</v>
      </c>
      <c r="K311" t="s">
        <v>1555</v>
      </c>
      <c r="P311">
        <v>0</v>
      </c>
      <c r="Q311">
        <v>0</v>
      </c>
      <c r="R311">
        <v>0</v>
      </c>
      <c r="S311">
        <v>499.52</v>
      </c>
      <c r="T311">
        <v>0</v>
      </c>
      <c r="U311">
        <v>0</v>
      </c>
      <c r="Y311">
        <v>0</v>
      </c>
      <c r="Z311" t="s">
        <v>43</v>
      </c>
      <c r="AA311">
        <v>2018</v>
      </c>
      <c r="AB311" t="s">
        <v>100</v>
      </c>
      <c r="AC311" t="s">
        <v>53</v>
      </c>
      <c r="AD311" t="s">
        <v>101</v>
      </c>
    </row>
    <row r="312" spans="1:30" x14ac:dyDescent="0.25">
      <c r="A312">
        <v>311</v>
      </c>
      <c r="B312" t="s">
        <v>30</v>
      </c>
      <c r="C312" t="s">
        <v>1556</v>
      </c>
      <c r="D312" t="s">
        <v>1557</v>
      </c>
      <c r="E312" t="s">
        <v>1558</v>
      </c>
      <c r="F312" t="s">
        <v>1559</v>
      </c>
      <c r="G312" t="s">
        <v>1560</v>
      </c>
      <c r="H312" t="s">
        <v>1561</v>
      </c>
      <c r="I312" t="s">
        <v>1562</v>
      </c>
      <c r="J312">
        <f>57-310-774-6180</f>
        <v>-7207</v>
      </c>
      <c r="K312" t="s">
        <v>1563</v>
      </c>
      <c r="N312" t="s">
        <v>1564</v>
      </c>
      <c r="P312">
        <v>0</v>
      </c>
      <c r="Q312">
        <v>0</v>
      </c>
      <c r="R312">
        <v>0</v>
      </c>
      <c r="S312">
        <v>1.5</v>
      </c>
      <c r="T312">
        <v>0</v>
      </c>
      <c r="U312">
        <v>1.5</v>
      </c>
      <c r="Y312">
        <v>0</v>
      </c>
      <c r="Z312" t="s">
        <v>43</v>
      </c>
      <c r="AA312">
        <v>2019</v>
      </c>
      <c r="AB312" t="s">
        <v>100</v>
      </c>
      <c r="AC312" t="s">
        <v>53</v>
      </c>
      <c r="AD312" t="s">
        <v>101</v>
      </c>
    </row>
    <row r="313" spans="1:30" x14ac:dyDescent="0.25">
      <c r="A313">
        <v>312</v>
      </c>
      <c r="B313" t="s">
        <v>30</v>
      </c>
      <c r="C313" t="s">
        <v>1565</v>
      </c>
      <c r="D313" t="s">
        <v>64</v>
      </c>
      <c r="E313" t="s">
        <v>64</v>
      </c>
      <c r="F313" t="s">
        <v>65</v>
      </c>
      <c r="G313" t="s">
        <v>65</v>
      </c>
      <c r="I313" t="s">
        <v>1566</v>
      </c>
      <c r="J313">
        <f>57-60-1-420-8158</f>
        <v>-8582</v>
      </c>
      <c r="K313" t="s">
        <v>1567</v>
      </c>
      <c r="N313" t="s">
        <v>1568</v>
      </c>
      <c r="Z313" t="s">
        <v>43</v>
      </c>
    </row>
    <row r="314" spans="1:30" x14ac:dyDescent="0.25">
      <c r="A314">
        <v>313</v>
      </c>
      <c r="B314" t="s">
        <v>30</v>
      </c>
      <c r="C314" t="s">
        <v>1569</v>
      </c>
      <c r="D314" t="s">
        <v>1570</v>
      </c>
      <c r="E314" t="s">
        <v>1571</v>
      </c>
      <c r="F314" t="s">
        <v>1572</v>
      </c>
      <c r="G314" t="s">
        <v>1573</v>
      </c>
      <c r="I314" t="s">
        <v>1574</v>
      </c>
      <c r="J314">
        <f>57-317-724-918</f>
        <v>-1902</v>
      </c>
      <c r="K314" t="s">
        <v>1575</v>
      </c>
      <c r="N314" t="s">
        <v>1576</v>
      </c>
      <c r="Z314" t="s">
        <v>43</v>
      </c>
    </row>
    <row r="315" spans="1:30" x14ac:dyDescent="0.25">
      <c r="A315">
        <v>314</v>
      </c>
      <c r="B315" t="s">
        <v>30</v>
      </c>
      <c r="C315" t="s">
        <v>1577</v>
      </c>
      <c r="D315" t="s">
        <v>1578</v>
      </c>
      <c r="E315" t="s">
        <v>72</v>
      </c>
      <c r="F315" t="s">
        <v>1579</v>
      </c>
      <c r="G315" t="s">
        <v>73</v>
      </c>
      <c r="I315" t="s">
        <v>1580</v>
      </c>
      <c r="K315" t="s">
        <v>1581</v>
      </c>
      <c r="N315" t="s">
        <v>1582</v>
      </c>
      <c r="Z315" t="s">
        <v>43</v>
      </c>
    </row>
    <row r="316" spans="1:30" x14ac:dyDescent="0.25">
      <c r="A316">
        <v>315</v>
      </c>
      <c r="B316" t="s">
        <v>30</v>
      </c>
      <c r="C316" t="s">
        <v>1583</v>
      </c>
      <c r="D316" t="s">
        <v>1584</v>
      </c>
      <c r="E316" t="s">
        <v>1585</v>
      </c>
      <c r="F316" t="s">
        <v>1586</v>
      </c>
      <c r="G316" t="s">
        <v>1587</v>
      </c>
      <c r="I316" t="s">
        <v>1588</v>
      </c>
      <c r="K316" t="s">
        <v>1589</v>
      </c>
      <c r="N316" t="s">
        <v>1590</v>
      </c>
      <c r="Z316" t="s">
        <v>43</v>
      </c>
    </row>
    <row r="317" spans="1:30" x14ac:dyDescent="0.25">
      <c r="A317">
        <v>316</v>
      </c>
      <c r="B317" t="s">
        <v>30</v>
      </c>
      <c r="C317" t="s">
        <v>1591</v>
      </c>
      <c r="D317" t="s">
        <v>46</v>
      </c>
      <c r="E317" t="s">
        <v>471</v>
      </c>
      <c r="F317" t="s">
        <v>820</v>
      </c>
      <c r="G317" t="s">
        <v>47</v>
      </c>
      <c r="I317" t="s">
        <v>1592</v>
      </c>
      <c r="K317" t="s">
        <v>1593</v>
      </c>
      <c r="N317" t="s">
        <v>1594</v>
      </c>
      <c r="Z317" t="s">
        <v>43</v>
      </c>
    </row>
    <row r="318" spans="1:30" x14ac:dyDescent="0.25">
      <c r="A318">
        <v>317</v>
      </c>
      <c r="B318" t="s">
        <v>30</v>
      </c>
      <c r="C318" t="s">
        <v>1595</v>
      </c>
      <c r="D318" t="s">
        <v>867</v>
      </c>
      <c r="E318" t="s">
        <v>471</v>
      </c>
      <c r="F318" t="s">
        <v>868</v>
      </c>
      <c r="G318" t="s">
        <v>47</v>
      </c>
      <c r="I318" t="s">
        <v>1596</v>
      </c>
      <c r="K318" t="s">
        <v>1597</v>
      </c>
      <c r="N318" t="s">
        <v>1598</v>
      </c>
      <c r="Z318" t="s">
        <v>43</v>
      </c>
    </row>
    <row r="319" spans="1:30" x14ac:dyDescent="0.25">
      <c r="A319">
        <v>318</v>
      </c>
      <c r="B319" t="s">
        <v>30</v>
      </c>
      <c r="C319" t="s">
        <v>1599</v>
      </c>
      <c r="D319" t="s">
        <v>1600</v>
      </c>
      <c r="E319" t="s">
        <v>72</v>
      </c>
      <c r="F319" t="s">
        <v>1601</v>
      </c>
      <c r="G319" t="s">
        <v>73</v>
      </c>
      <c r="I319" t="s">
        <v>1602</v>
      </c>
      <c r="J319">
        <f>57-310-241-367</f>
        <v>-861</v>
      </c>
      <c r="K319" t="s">
        <v>1603</v>
      </c>
      <c r="N319" t="s">
        <v>1604</v>
      </c>
      <c r="Z319" t="s">
        <v>43</v>
      </c>
    </row>
    <row r="320" spans="1:30" x14ac:dyDescent="0.25">
      <c r="A320">
        <v>319</v>
      </c>
      <c r="B320" t="s">
        <v>30</v>
      </c>
      <c r="C320" t="s">
        <v>1605</v>
      </c>
      <c r="D320" t="s">
        <v>1606</v>
      </c>
      <c r="E320" t="s">
        <v>471</v>
      </c>
      <c r="F320" t="s">
        <v>1607</v>
      </c>
      <c r="G320" t="s">
        <v>47</v>
      </c>
      <c r="I320" t="s">
        <v>1608</v>
      </c>
      <c r="J320">
        <f>57-304-235-2816</f>
        <v>-3298</v>
      </c>
      <c r="K320" t="s">
        <v>1609</v>
      </c>
      <c r="N320" t="s">
        <v>1610</v>
      </c>
      <c r="Z320" t="s">
        <v>43</v>
      </c>
    </row>
    <row r="321" spans="1:26" x14ac:dyDescent="0.25">
      <c r="A321">
        <v>320</v>
      </c>
      <c r="B321" t="s">
        <v>30</v>
      </c>
      <c r="C321" t="s">
        <v>1611</v>
      </c>
      <c r="D321" t="s">
        <v>1612</v>
      </c>
      <c r="E321" t="s">
        <v>1613</v>
      </c>
      <c r="F321" t="s">
        <v>1614</v>
      </c>
      <c r="G321" t="s">
        <v>1615</v>
      </c>
      <c r="I321" t="s">
        <v>1616</v>
      </c>
      <c r="J321">
        <f>57-318-665-371</f>
        <v>-1297</v>
      </c>
      <c r="K321" t="s">
        <v>1617</v>
      </c>
      <c r="N321" t="s">
        <v>1618</v>
      </c>
      <c r="Z321" t="s">
        <v>43</v>
      </c>
    </row>
    <row r="322" spans="1:26" x14ac:dyDescent="0.25">
      <c r="A322">
        <v>321</v>
      </c>
      <c r="B322" t="s">
        <v>30</v>
      </c>
      <c r="C322" t="s">
        <v>1619</v>
      </c>
      <c r="D322" t="s">
        <v>46</v>
      </c>
      <c r="E322" t="s">
        <v>471</v>
      </c>
      <c r="F322" t="s">
        <v>820</v>
      </c>
      <c r="G322" t="s">
        <v>47</v>
      </c>
      <c r="I322" t="s">
        <v>1620</v>
      </c>
      <c r="J322">
        <f>57-60-1-701-9581</f>
        <v>-10286</v>
      </c>
      <c r="K322" t="s">
        <v>1621</v>
      </c>
      <c r="N322" t="s">
        <v>1622</v>
      </c>
      <c r="Z322" t="s">
        <v>43</v>
      </c>
    </row>
    <row r="323" spans="1:26" x14ac:dyDescent="0.25">
      <c r="A323">
        <v>322</v>
      </c>
      <c r="B323" t="s">
        <v>30</v>
      </c>
      <c r="C323" t="s">
        <v>1623</v>
      </c>
      <c r="D323" t="s">
        <v>772</v>
      </c>
      <c r="E323" t="s">
        <v>72</v>
      </c>
      <c r="F323" t="s">
        <v>773</v>
      </c>
      <c r="G323" t="s">
        <v>73</v>
      </c>
      <c r="I323" t="s">
        <v>1624</v>
      </c>
      <c r="J323">
        <f>57-313-422-3659</f>
        <v>-4337</v>
      </c>
      <c r="K323" t="s">
        <v>1625</v>
      </c>
      <c r="N323" t="s">
        <v>1626</v>
      </c>
      <c r="Z323" t="s">
        <v>43</v>
      </c>
    </row>
    <row r="324" spans="1:26" x14ac:dyDescent="0.25">
      <c r="A324">
        <v>323</v>
      </c>
      <c r="B324" t="s">
        <v>30</v>
      </c>
      <c r="C324" t="s">
        <v>1627</v>
      </c>
      <c r="D324" t="s">
        <v>867</v>
      </c>
      <c r="E324" t="s">
        <v>471</v>
      </c>
      <c r="F324" t="s">
        <v>868</v>
      </c>
      <c r="G324" t="s">
        <v>47</v>
      </c>
      <c r="I324" t="s">
        <v>1628</v>
      </c>
      <c r="K324" t="s">
        <v>1629</v>
      </c>
      <c r="N324" t="s">
        <v>1630</v>
      </c>
      <c r="Z324" t="s">
        <v>43</v>
      </c>
    </row>
    <row r="325" spans="1:26" x14ac:dyDescent="0.25">
      <c r="A325">
        <v>324</v>
      </c>
      <c r="B325" t="s">
        <v>30</v>
      </c>
      <c r="C325" t="s">
        <v>1631</v>
      </c>
      <c r="D325" t="s">
        <v>46</v>
      </c>
      <c r="E325" t="s">
        <v>56</v>
      </c>
      <c r="F325" t="s">
        <v>820</v>
      </c>
      <c r="G325" t="s">
        <v>57</v>
      </c>
      <c r="I325" t="s">
        <v>1632</v>
      </c>
      <c r="J325">
        <f>57-60-1-236-5451</f>
        <v>-5691</v>
      </c>
      <c r="K325" t="s">
        <v>1633</v>
      </c>
      <c r="N325" t="s">
        <v>1634</v>
      </c>
      <c r="Z325" t="s">
        <v>43</v>
      </c>
    </row>
    <row r="326" spans="1:26" x14ac:dyDescent="0.25">
      <c r="A326">
        <v>325</v>
      </c>
      <c r="B326" t="s">
        <v>30</v>
      </c>
      <c r="C326" t="s">
        <v>1635</v>
      </c>
      <c r="D326" t="s">
        <v>754</v>
      </c>
      <c r="E326" t="s">
        <v>755</v>
      </c>
      <c r="F326" t="s">
        <v>1636</v>
      </c>
      <c r="G326" t="s">
        <v>757</v>
      </c>
      <c r="I326" t="s">
        <v>1637</v>
      </c>
      <c r="J326">
        <f>57-310-608-5069</f>
        <v>-5930</v>
      </c>
      <c r="K326" t="s">
        <v>1638</v>
      </c>
      <c r="N326" t="s">
        <v>1639</v>
      </c>
      <c r="Z326" t="s">
        <v>43</v>
      </c>
    </row>
    <row r="327" spans="1:26" x14ac:dyDescent="0.25">
      <c r="A327">
        <v>326</v>
      </c>
      <c r="B327" t="s">
        <v>30</v>
      </c>
      <c r="C327" t="s">
        <v>1640</v>
      </c>
      <c r="D327" t="s">
        <v>46</v>
      </c>
      <c r="E327" t="s">
        <v>471</v>
      </c>
      <c r="F327" t="s">
        <v>820</v>
      </c>
      <c r="G327" t="s">
        <v>47</v>
      </c>
      <c r="I327" t="s">
        <v>1641</v>
      </c>
      <c r="J327">
        <f>57-322-323-5082</f>
        <v>-5670</v>
      </c>
      <c r="K327" t="s">
        <v>1642</v>
      </c>
      <c r="N327" t="s">
        <v>1643</v>
      </c>
      <c r="Z327" t="s">
        <v>43</v>
      </c>
    </row>
    <row r="328" spans="1:26" x14ac:dyDescent="0.25">
      <c r="A328">
        <v>327</v>
      </c>
      <c r="B328" t="s">
        <v>30</v>
      </c>
      <c r="C328" t="s">
        <v>1644</v>
      </c>
      <c r="D328" t="s">
        <v>1645</v>
      </c>
      <c r="E328" t="s">
        <v>1646</v>
      </c>
      <c r="F328" t="s">
        <v>1647</v>
      </c>
      <c r="G328" t="s">
        <v>1648</v>
      </c>
      <c r="I328" t="s">
        <v>1649</v>
      </c>
      <c r="K328" t="s">
        <v>1650</v>
      </c>
      <c r="N328" t="s">
        <v>1651</v>
      </c>
      <c r="Z328" t="s">
        <v>43</v>
      </c>
    </row>
    <row r="329" spans="1:26" x14ac:dyDescent="0.25">
      <c r="A329">
        <v>328</v>
      </c>
      <c r="B329" t="s">
        <v>30</v>
      </c>
      <c r="C329" t="s">
        <v>1652</v>
      </c>
      <c r="D329" t="s">
        <v>1260</v>
      </c>
      <c r="E329" t="s">
        <v>64</v>
      </c>
      <c r="F329" t="s">
        <v>1653</v>
      </c>
      <c r="G329" t="s">
        <v>65</v>
      </c>
      <c r="I329" t="s">
        <v>1654</v>
      </c>
      <c r="K329" t="s">
        <v>1655</v>
      </c>
      <c r="N329" t="s">
        <v>1656</v>
      </c>
      <c r="Z329" t="s">
        <v>43</v>
      </c>
    </row>
    <row r="330" spans="1:26" x14ac:dyDescent="0.25">
      <c r="A330">
        <v>329</v>
      </c>
      <c r="B330" t="s">
        <v>30</v>
      </c>
      <c r="C330" t="s">
        <v>1657</v>
      </c>
      <c r="D330" t="s">
        <v>909</v>
      </c>
      <c r="E330" t="s">
        <v>1658</v>
      </c>
      <c r="F330" t="s">
        <v>1659</v>
      </c>
      <c r="G330" t="s">
        <v>1660</v>
      </c>
      <c r="I330" t="s">
        <v>1661</v>
      </c>
      <c r="J330">
        <f>57-301-579-9409</f>
        <v>-10232</v>
      </c>
      <c r="K330" t="s">
        <v>1662</v>
      </c>
      <c r="N330" t="s">
        <v>1663</v>
      </c>
      <c r="Z330" t="s">
        <v>43</v>
      </c>
    </row>
    <row r="331" spans="1:26" x14ac:dyDescent="0.25">
      <c r="A331">
        <v>330</v>
      </c>
      <c r="B331" t="s">
        <v>30</v>
      </c>
      <c r="C331" t="s">
        <v>1664</v>
      </c>
      <c r="D331" t="s">
        <v>1260</v>
      </c>
      <c r="E331" t="s">
        <v>471</v>
      </c>
      <c r="F331" t="s">
        <v>1665</v>
      </c>
      <c r="G331" t="s">
        <v>966</v>
      </c>
      <c r="I331" t="s">
        <v>1666</v>
      </c>
      <c r="J331">
        <f>57-310-574-8769</f>
        <v>-9596</v>
      </c>
      <c r="K331" t="s">
        <v>1667</v>
      </c>
      <c r="N331" t="s">
        <v>1668</v>
      </c>
      <c r="Z331" t="s">
        <v>43</v>
      </c>
    </row>
    <row r="332" spans="1:26" x14ac:dyDescent="0.25">
      <c r="A332">
        <v>331</v>
      </c>
      <c r="B332" t="s">
        <v>30</v>
      </c>
      <c r="C332" t="s">
        <v>1669</v>
      </c>
      <c r="D332" t="s">
        <v>909</v>
      </c>
      <c r="E332" t="s">
        <v>56</v>
      </c>
      <c r="F332" t="s">
        <v>1670</v>
      </c>
      <c r="G332" t="s">
        <v>57</v>
      </c>
      <c r="I332" t="s">
        <v>1671</v>
      </c>
      <c r="K332" t="s">
        <v>1672</v>
      </c>
      <c r="N332" t="s">
        <v>1673</v>
      </c>
      <c r="Z332" t="s">
        <v>43</v>
      </c>
    </row>
    <row r="333" spans="1:26" x14ac:dyDescent="0.25">
      <c r="A333">
        <v>332</v>
      </c>
      <c r="B333" t="s">
        <v>30</v>
      </c>
      <c r="C333" t="s">
        <v>1674</v>
      </c>
      <c r="D333" t="s">
        <v>1260</v>
      </c>
      <c r="E333" t="s">
        <v>471</v>
      </c>
      <c r="F333" t="s">
        <v>1665</v>
      </c>
      <c r="G333" t="s">
        <v>47</v>
      </c>
      <c r="I333" t="s">
        <v>1675</v>
      </c>
      <c r="K333" t="s">
        <v>1676</v>
      </c>
      <c r="N333" t="s">
        <v>1677</v>
      </c>
      <c r="Z333" t="s">
        <v>43</v>
      </c>
    </row>
    <row r="334" spans="1:26" x14ac:dyDescent="0.25">
      <c r="A334">
        <v>333</v>
      </c>
      <c r="B334" t="s">
        <v>30</v>
      </c>
      <c r="C334" t="s">
        <v>1678</v>
      </c>
      <c r="D334" t="s">
        <v>1679</v>
      </c>
      <c r="E334" t="s">
        <v>72</v>
      </c>
      <c r="F334" t="s">
        <v>1680</v>
      </c>
      <c r="G334" t="s">
        <v>73</v>
      </c>
      <c r="I334" t="s">
        <v>1681</v>
      </c>
      <c r="J334">
        <f>57-310-575-3855</f>
        <v>-4683</v>
      </c>
      <c r="K334" t="s">
        <v>1682</v>
      </c>
      <c r="N334" t="s">
        <v>1683</v>
      </c>
      <c r="Z334" t="s">
        <v>43</v>
      </c>
    </row>
    <row r="335" spans="1:26" x14ac:dyDescent="0.25">
      <c r="A335">
        <v>334</v>
      </c>
      <c r="B335" t="s">
        <v>30</v>
      </c>
      <c r="C335" t="s">
        <v>1684</v>
      </c>
      <c r="D335" t="s">
        <v>46</v>
      </c>
      <c r="E335" t="s">
        <v>471</v>
      </c>
      <c r="F335" t="s">
        <v>820</v>
      </c>
      <c r="G335" t="s">
        <v>47</v>
      </c>
      <c r="I335" t="s">
        <v>1685</v>
      </c>
      <c r="K335" t="s">
        <v>1686</v>
      </c>
      <c r="N335" t="s">
        <v>1687</v>
      </c>
      <c r="Z335" t="s">
        <v>43</v>
      </c>
    </row>
    <row r="336" spans="1:26" x14ac:dyDescent="0.25">
      <c r="A336">
        <v>335</v>
      </c>
      <c r="B336" t="s">
        <v>30</v>
      </c>
      <c r="C336" t="s">
        <v>1688</v>
      </c>
      <c r="D336" t="s">
        <v>979</v>
      </c>
      <c r="E336" t="s">
        <v>471</v>
      </c>
      <c r="F336" t="s">
        <v>980</v>
      </c>
      <c r="G336" t="s">
        <v>47</v>
      </c>
      <c r="I336" t="s">
        <v>1689</v>
      </c>
      <c r="K336" t="s">
        <v>1690</v>
      </c>
      <c r="N336" t="s">
        <v>1691</v>
      </c>
      <c r="Z336" t="s">
        <v>43</v>
      </c>
    </row>
    <row r="337" spans="1:26" x14ac:dyDescent="0.25">
      <c r="A337">
        <v>336</v>
      </c>
      <c r="B337" t="s">
        <v>30</v>
      </c>
      <c r="C337" t="s">
        <v>1692</v>
      </c>
      <c r="D337" t="s">
        <v>867</v>
      </c>
      <c r="E337" t="s">
        <v>471</v>
      </c>
      <c r="F337" t="s">
        <v>868</v>
      </c>
      <c r="G337" t="s">
        <v>47</v>
      </c>
      <c r="I337" t="s">
        <v>1693</v>
      </c>
      <c r="K337" t="s">
        <v>1694</v>
      </c>
      <c r="N337" t="s">
        <v>1695</v>
      </c>
      <c r="Z337" t="s">
        <v>43</v>
      </c>
    </row>
    <row r="338" spans="1:26" x14ac:dyDescent="0.25">
      <c r="A338">
        <v>337</v>
      </c>
      <c r="B338" t="s">
        <v>30</v>
      </c>
      <c r="C338" t="s">
        <v>1696</v>
      </c>
      <c r="D338" t="s">
        <v>867</v>
      </c>
      <c r="E338" t="s">
        <v>72</v>
      </c>
      <c r="F338" t="s">
        <v>868</v>
      </c>
      <c r="G338" t="s">
        <v>73</v>
      </c>
      <c r="I338" t="s">
        <v>1697</v>
      </c>
      <c r="J338">
        <f>57-318-622-9001</f>
        <v>-9884</v>
      </c>
      <c r="K338" t="s">
        <v>1698</v>
      </c>
      <c r="N338" t="s">
        <v>1695</v>
      </c>
      <c r="Z338" t="s">
        <v>43</v>
      </c>
    </row>
    <row r="339" spans="1:26" x14ac:dyDescent="0.25">
      <c r="A339">
        <v>338</v>
      </c>
      <c r="B339" t="s">
        <v>30</v>
      </c>
      <c r="C339" t="s">
        <v>1699</v>
      </c>
      <c r="D339" t="s">
        <v>867</v>
      </c>
      <c r="E339" t="s">
        <v>471</v>
      </c>
      <c r="F339" t="s">
        <v>868</v>
      </c>
      <c r="G339" t="s">
        <v>47</v>
      </c>
      <c r="I339" t="s">
        <v>1700</v>
      </c>
      <c r="J339">
        <f>57-60-1-516-2404</f>
        <v>-2924</v>
      </c>
      <c r="K339" t="s">
        <v>1701</v>
      </c>
      <c r="N339" t="s">
        <v>1702</v>
      </c>
      <c r="Z339" t="s">
        <v>43</v>
      </c>
    </row>
    <row r="340" spans="1:26" x14ac:dyDescent="0.25">
      <c r="A340">
        <v>339</v>
      </c>
      <c r="B340" t="s">
        <v>30</v>
      </c>
      <c r="C340" t="s">
        <v>1703</v>
      </c>
      <c r="D340" t="s">
        <v>64</v>
      </c>
      <c r="E340" t="s">
        <v>64</v>
      </c>
      <c r="F340" t="s">
        <v>65</v>
      </c>
      <c r="G340" t="s">
        <v>65</v>
      </c>
      <c r="I340" t="s">
        <v>1704</v>
      </c>
      <c r="J340">
        <f>57-310-204-4418</f>
        <v>-4875</v>
      </c>
      <c r="K340" t="s">
        <v>1705</v>
      </c>
      <c r="N340" t="s">
        <v>1706</v>
      </c>
      <c r="Z340" t="s">
        <v>43</v>
      </c>
    </row>
    <row r="341" spans="1:26" x14ac:dyDescent="0.25">
      <c r="A341">
        <v>340</v>
      </c>
      <c r="B341" t="s">
        <v>30</v>
      </c>
      <c r="C341" t="s">
        <v>1707</v>
      </c>
      <c r="D341" t="s">
        <v>46</v>
      </c>
      <c r="E341" t="s">
        <v>471</v>
      </c>
      <c r="F341" t="s">
        <v>1708</v>
      </c>
      <c r="G341" t="s">
        <v>47</v>
      </c>
      <c r="I341" t="s">
        <v>1709</v>
      </c>
      <c r="J341">
        <f>57-313-551-5775</f>
        <v>-6582</v>
      </c>
      <c r="K341" t="s">
        <v>1710</v>
      </c>
      <c r="N341" t="s">
        <v>1711</v>
      </c>
      <c r="Z341" t="s">
        <v>43</v>
      </c>
    </row>
    <row r="342" spans="1:26" x14ac:dyDescent="0.25">
      <c r="A342">
        <v>341</v>
      </c>
      <c r="B342" t="s">
        <v>30</v>
      </c>
      <c r="C342" t="s">
        <v>1712</v>
      </c>
      <c r="D342" t="s">
        <v>1713</v>
      </c>
      <c r="E342" t="s">
        <v>72</v>
      </c>
      <c r="F342" t="s">
        <v>1714</v>
      </c>
      <c r="G342" t="s">
        <v>73</v>
      </c>
      <c r="I342" t="s">
        <v>1715</v>
      </c>
      <c r="J342">
        <f>57-60-1-751-9114</f>
        <v>-9869</v>
      </c>
      <c r="K342" t="s">
        <v>1716</v>
      </c>
      <c r="N342" t="s">
        <v>1717</v>
      </c>
      <c r="Z342" t="s">
        <v>43</v>
      </c>
    </row>
    <row r="343" spans="1:26" x14ac:dyDescent="0.25">
      <c r="A343">
        <v>342</v>
      </c>
      <c r="B343" t="s">
        <v>30</v>
      </c>
      <c r="C343" t="s">
        <v>1718</v>
      </c>
      <c r="D343" t="s">
        <v>1719</v>
      </c>
      <c r="E343" t="s">
        <v>1402</v>
      </c>
      <c r="F343" t="s">
        <v>1720</v>
      </c>
      <c r="G343" t="s">
        <v>1404</v>
      </c>
      <c r="I343" t="s">
        <v>1721</v>
      </c>
      <c r="K343" t="s">
        <v>1722</v>
      </c>
      <c r="N343" t="s">
        <v>1723</v>
      </c>
      <c r="Z343" t="s">
        <v>43</v>
      </c>
    </row>
    <row r="344" spans="1:26" x14ac:dyDescent="0.25">
      <c r="A344">
        <v>343</v>
      </c>
      <c r="B344" t="s">
        <v>30</v>
      </c>
      <c r="C344" t="s">
        <v>1724</v>
      </c>
      <c r="D344" t="s">
        <v>1725</v>
      </c>
      <c r="E344" t="s">
        <v>1726</v>
      </c>
      <c r="F344" t="s">
        <v>1727</v>
      </c>
      <c r="G344" t="s">
        <v>1728</v>
      </c>
      <c r="I344" t="s">
        <v>1729</v>
      </c>
      <c r="J344">
        <f>57-323-489-1210</f>
        <v>-1965</v>
      </c>
      <c r="K344" t="s">
        <v>1730</v>
      </c>
      <c r="N344" t="s">
        <v>1731</v>
      </c>
      <c r="Z344" t="s">
        <v>43</v>
      </c>
    </row>
    <row r="345" spans="1:26" x14ac:dyDescent="0.25">
      <c r="A345">
        <v>344</v>
      </c>
      <c r="B345" t="s">
        <v>30</v>
      </c>
      <c r="C345" t="s">
        <v>1732</v>
      </c>
      <c r="D345" t="s">
        <v>772</v>
      </c>
      <c r="E345" t="s">
        <v>471</v>
      </c>
      <c r="F345" t="s">
        <v>773</v>
      </c>
      <c r="G345" t="s">
        <v>47</v>
      </c>
      <c r="I345" t="s">
        <v>1733</v>
      </c>
      <c r="K345" t="s">
        <v>1734</v>
      </c>
      <c r="N345" t="s">
        <v>1735</v>
      </c>
      <c r="Z345" t="s">
        <v>43</v>
      </c>
    </row>
    <row r="346" spans="1:26" x14ac:dyDescent="0.25">
      <c r="A346">
        <v>345</v>
      </c>
      <c r="B346" t="s">
        <v>30</v>
      </c>
      <c r="C346" t="s">
        <v>1736</v>
      </c>
      <c r="D346" t="s">
        <v>1737</v>
      </c>
      <c r="E346" t="s">
        <v>800</v>
      </c>
      <c r="F346" t="s">
        <v>1738</v>
      </c>
      <c r="G346" t="s">
        <v>802</v>
      </c>
      <c r="I346" t="s">
        <v>1739</v>
      </c>
      <c r="J346">
        <f>57-60-1-533-3370</f>
        <v>-3907</v>
      </c>
      <c r="K346" t="s">
        <v>1740</v>
      </c>
      <c r="N346" t="s">
        <v>1741</v>
      </c>
      <c r="Z346" t="s">
        <v>43</v>
      </c>
    </row>
    <row r="347" spans="1:26" x14ac:dyDescent="0.25">
      <c r="A347">
        <v>346</v>
      </c>
      <c r="B347" t="s">
        <v>30</v>
      </c>
      <c r="C347" t="s">
        <v>1742</v>
      </c>
      <c r="D347" t="s">
        <v>1743</v>
      </c>
      <c r="E347" t="s">
        <v>56</v>
      </c>
      <c r="F347" t="s">
        <v>1744</v>
      </c>
      <c r="G347" t="s">
        <v>57</v>
      </c>
      <c r="I347" t="s">
        <v>1745</v>
      </c>
      <c r="K347" t="s">
        <v>1746</v>
      </c>
      <c r="N347" t="s">
        <v>1747</v>
      </c>
      <c r="Z347" t="s">
        <v>43</v>
      </c>
    </row>
    <row r="348" spans="1:26" x14ac:dyDescent="0.25">
      <c r="A348">
        <v>347</v>
      </c>
      <c r="B348" t="s">
        <v>30</v>
      </c>
      <c r="C348" t="s">
        <v>1748</v>
      </c>
      <c r="D348" t="s">
        <v>46</v>
      </c>
      <c r="E348" t="s">
        <v>471</v>
      </c>
      <c r="F348" t="s">
        <v>820</v>
      </c>
      <c r="G348" t="s">
        <v>47</v>
      </c>
      <c r="I348" t="s">
        <v>1749</v>
      </c>
      <c r="K348" t="s">
        <v>1750</v>
      </c>
      <c r="N348" t="s">
        <v>1751</v>
      </c>
      <c r="Z348" t="s">
        <v>43</v>
      </c>
    </row>
    <row r="349" spans="1:26" x14ac:dyDescent="0.25">
      <c r="A349">
        <v>348</v>
      </c>
      <c r="B349" t="s">
        <v>30</v>
      </c>
      <c r="C349" t="s">
        <v>1752</v>
      </c>
      <c r="D349" t="s">
        <v>1753</v>
      </c>
      <c r="E349" t="s">
        <v>56</v>
      </c>
      <c r="F349" t="s">
        <v>1754</v>
      </c>
      <c r="G349" t="s">
        <v>57</v>
      </c>
      <c r="I349" t="s">
        <v>1755</v>
      </c>
      <c r="J349">
        <f>57-315-895-315</f>
        <v>-1468</v>
      </c>
      <c r="K349" t="s">
        <v>1756</v>
      </c>
      <c r="N349" t="s">
        <v>1757</v>
      </c>
      <c r="Z349" t="s">
        <v>43</v>
      </c>
    </row>
    <row r="350" spans="1:26" x14ac:dyDescent="0.25">
      <c r="A350">
        <v>349</v>
      </c>
      <c r="B350" t="s">
        <v>30</v>
      </c>
      <c r="C350" t="s">
        <v>1758</v>
      </c>
      <c r="D350" t="s">
        <v>1759</v>
      </c>
      <c r="E350" t="s">
        <v>1760</v>
      </c>
      <c r="F350" t="s">
        <v>1761</v>
      </c>
      <c r="G350" t="s">
        <v>1762</v>
      </c>
      <c r="I350" t="s">
        <v>1763</v>
      </c>
      <c r="J350">
        <f>57-312-435-3585</f>
        <v>-4275</v>
      </c>
      <c r="K350" t="s">
        <v>1764</v>
      </c>
      <c r="N350" t="s">
        <v>1765</v>
      </c>
      <c r="Z350" t="s">
        <v>43</v>
      </c>
    </row>
    <row r="351" spans="1:26" x14ac:dyDescent="0.25">
      <c r="A351">
        <v>350</v>
      </c>
      <c r="B351" t="s">
        <v>30</v>
      </c>
      <c r="C351" t="s">
        <v>1766</v>
      </c>
      <c r="D351" t="s">
        <v>1767</v>
      </c>
      <c r="E351" t="s">
        <v>471</v>
      </c>
      <c r="F351" t="s">
        <v>1768</v>
      </c>
      <c r="G351" t="s">
        <v>47</v>
      </c>
      <c r="I351" t="s">
        <v>1769</v>
      </c>
      <c r="J351">
        <f>57-60-1-629-944</f>
        <v>-1577</v>
      </c>
      <c r="K351" t="s">
        <v>1770</v>
      </c>
      <c r="N351" t="s">
        <v>1771</v>
      </c>
      <c r="Z351" t="s">
        <v>43</v>
      </c>
    </row>
    <row r="352" spans="1:26" x14ac:dyDescent="0.25">
      <c r="A352">
        <v>351</v>
      </c>
      <c r="B352" t="s">
        <v>30</v>
      </c>
      <c r="C352" t="s">
        <v>1772</v>
      </c>
      <c r="D352" t="s">
        <v>1773</v>
      </c>
      <c r="E352" t="s">
        <v>1774</v>
      </c>
      <c r="F352" t="s">
        <v>1775</v>
      </c>
      <c r="G352" t="s">
        <v>1776</v>
      </c>
      <c r="I352" t="s">
        <v>1777</v>
      </c>
      <c r="J352">
        <f>57-300-268-5689</f>
        <v>-6200</v>
      </c>
      <c r="K352" t="s">
        <v>1778</v>
      </c>
      <c r="N352" t="s">
        <v>1779</v>
      </c>
      <c r="Z352" t="s">
        <v>43</v>
      </c>
    </row>
    <row r="353" spans="1:26" x14ac:dyDescent="0.25">
      <c r="A353">
        <v>352</v>
      </c>
      <c r="B353" t="s">
        <v>30</v>
      </c>
      <c r="C353" t="s">
        <v>1780</v>
      </c>
      <c r="D353" t="s">
        <v>1781</v>
      </c>
      <c r="E353" t="s">
        <v>471</v>
      </c>
      <c r="F353" t="s">
        <v>1782</v>
      </c>
      <c r="G353" t="s">
        <v>47</v>
      </c>
      <c r="I353" t="s">
        <v>1783</v>
      </c>
      <c r="J353">
        <f>57-60-1-758-9435</f>
        <v>-10197</v>
      </c>
      <c r="K353" t="s">
        <v>1784</v>
      </c>
      <c r="N353" t="s">
        <v>1785</v>
      </c>
      <c r="Z353" t="s">
        <v>43</v>
      </c>
    </row>
    <row r="354" spans="1:26" x14ac:dyDescent="0.25">
      <c r="A354">
        <v>353</v>
      </c>
      <c r="B354" t="s">
        <v>30</v>
      </c>
      <c r="C354" t="s">
        <v>1786</v>
      </c>
      <c r="D354" t="s">
        <v>46</v>
      </c>
      <c r="E354" t="s">
        <v>471</v>
      </c>
      <c r="F354" t="s">
        <v>820</v>
      </c>
      <c r="G354" t="s">
        <v>47</v>
      </c>
      <c r="I354" t="s">
        <v>1787</v>
      </c>
      <c r="J354">
        <f>57-60-1-704-6767</f>
        <v>-7475</v>
      </c>
      <c r="K354" t="s">
        <v>1788</v>
      </c>
      <c r="N354" t="s">
        <v>1789</v>
      </c>
      <c r="Z354" t="s">
        <v>43</v>
      </c>
    </row>
    <row r="355" spans="1:26" x14ac:dyDescent="0.25">
      <c r="A355">
        <v>354</v>
      </c>
      <c r="B355" t="s">
        <v>30</v>
      </c>
      <c r="C355" t="s">
        <v>1790</v>
      </c>
      <c r="D355" t="s">
        <v>1791</v>
      </c>
      <c r="E355" t="s">
        <v>1792</v>
      </c>
      <c r="F355" t="s">
        <v>1793</v>
      </c>
      <c r="G355" t="s">
        <v>1794</v>
      </c>
      <c r="I355" t="s">
        <v>1795</v>
      </c>
      <c r="K355" t="s">
        <v>1796</v>
      </c>
      <c r="N355" t="s">
        <v>1797</v>
      </c>
      <c r="Z355" t="s">
        <v>43</v>
      </c>
    </row>
    <row r="356" spans="1:26" x14ac:dyDescent="0.25">
      <c r="A356">
        <v>355</v>
      </c>
      <c r="B356" t="s">
        <v>30</v>
      </c>
      <c r="C356" t="s">
        <v>1798</v>
      </c>
      <c r="D356" t="s">
        <v>1799</v>
      </c>
      <c r="E356" t="s">
        <v>1338</v>
      </c>
      <c r="F356" t="s">
        <v>1800</v>
      </c>
      <c r="G356" t="s">
        <v>1340</v>
      </c>
      <c r="I356" t="s">
        <v>1801</v>
      </c>
      <c r="K356" t="s">
        <v>1802</v>
      </c>
      <c r="N356" t="s">
        <v>1803</v>
      </c>
      <c r="Z356" t="s">
        <v>43</v>
      </c>
    </row>
    <row r="357" spans="1:26" x14ac:dyDescent="0.25">
      <c r="A357">
        <v>356</v>
      </c>
      <c r="B357" t="s">
        <v>30</v>
      </c>
      <c r="C357" t="s">
        <v>1804</v>
      </c>
      <c r="D357" t="s">
        <v>1805</v>
      </c>
      <c r="E357" t="s">
        <v>1402</v>
      </c>
      <c r="F357" t="s">
        <v>1806</v>
      </c>
      <c r="G357" t="s">
        <v>1404</v>
      </c>
      <c r="I357" t="s">
        <v>1807</v>
      </c>
      <c r="K357" t="s">
        <v>1808</v>
      </c>
      <c r="N357" t="s">
        <v>1809</v>
      </c>
      <c r="Z357" t="s">
        <v>43</v>
      </c>
    </row>
    <row r="358" spans="1:26" x14ac:dyDescent="0.25">
      <c r="A358">
        <v>357</v>
      </c>
      <c r="B358" t="s">
        <v>30</v>
      </c>
      <c r="C358" t="s">
        <v>1810</v>
      </c>
      <c r="D358" t="s">
        <v>799</v>
      </c>
      <c r="E358" t="s">
        <v>64</v>
      </c>
      <c r="F358" t="s">
        <v>1811</v>
      </c>
      <c r="G358" t="s">
        <v>65</v>
      </c>
      <c r="I358" t="s">
        <v>1812</v>
      </c>
      <c r="K358" t="s">
        <v>1813</v>
      </c>
      <c r="N358" t="s">
        <v>1814</v>
      </c>
      <c r="Z358" t="s">
        <v>43</v>
      </c>
    </row>
    <row r="359" spans="1:26" x14ac:dyDescent="0.25">
      <c r="A359">
        <v>358</v>
      </c>
      <c r="B359" t="s">
        <v>30</v>
      </c>
      <c r="C359" t="s">
        <v>1815</v>
      </c>
      <c r="D359" t="s">
        <v>1816</v>
      </c>
      <c r="E359" t="s">
        <v>64</v>
      </c>
      <c r="F359" t="s">
        <v>1817</v>
      </c>
      <c r="G359" t="s">
        <v>65</v>
      </c>
      <c r="I359" t="s">
        <v>1818</v>
      </c>
      <c r="J359">
        <f>57-60-1-226-6695</f>
        <v>-6925</v>
      </c>
      <c r="K359" t="s">
        <v>1819</v>
      </c>
      <c r="N359" t="s">
        <v>1820</v>
      </c>
      <c r="Z359" t="s">
        <v>43</v>
      </c>
    </row>
    <row r="360" spans="1:26" x14ac:dyDescent="0.25">
      <c r="A360">
        <v>359</v>
      </c>
      <c r="B360" t="s">
        <v>30</v>
      </c>
      <c r="C360" t="s">
        <v>1821</v>
      </c>
      <c r="D360" t="s">
        <v>772</v>
      </c>
      <c r="E360" t="s">
        <v>471</v>
      </c>
      <c r="F360" t="s">
        <v>1822</v>
      </c>
      <c r="G360" t="s">
        <v>47</v>
      </c>
      <c r="I360" t="s">
        <v>1823</v>
      </c>
      <c r="J360">
        <f>57-316-524-1783</f>
        <v>-2566</v>
      </c>
      <c r="K360" t="s">
        <v>1824</v>
      </c>
      <c r="N360" t="s">
        <v>1825</v>
      </c>
      <c r="Z360" t="s">
        <v>43</v>
      </c>
    </row>
    <row r="361" spans="1:26" x14ac:dyDescent="0.25">
      <c r="A361">
        <v>360</v>
      </c>
      <c r="B361" t="s">
        <v>30</v>
      </c>
      <c r="C361" t="s">
        <v>1826</v>
      </c>
      <c r="D361" t="s">
        <v>1827</v>
      </c>
      <c r="E361" t="s">
        <v>755</v>
      </c>
      <c r="F361" t="s">
        <v>1828</v>
      </c>
      <c r="G361" t="s">
        <v>757</v>
      </c>
      <c r="I361" t="s">
        <v>1829</v>
      </c>
      <c r="J361">
        <f>57-60-1-695-7067</f>
        <v>-7766</v>
      </c>
      <c r="K361" t="s">
        <v>1830</v>
      </c>
      <c r="N361" t="s">
        <v>1831</v>
      </c>
      <c r="Z361" t="s">
        <v>43</v>
      </c>
    </row>
    <row r="362" spans="1:26" x14ac:dyDescent="0.25">
      <c r="A362">
        <v>361</v>
      </c>
      <c r="B362" t="s">
        <v>30</v>
      </c>
      <c r="C362" t="s">
        <v>1832</v>
      </c>
      <c r="D362" t="s">
        <v>813</v>
      </c>
      <c r="E362" t="s">
        <v>1658</v>
      </c>
      <c r="F362" t="s">
        <v>814</v>
      </c>
      <c r="G362" t="s">
        <v>1660</v>
      </c>
      <c r="I362" t="s">
        <v>1833</v>
      </c>
      <c r="K362" t="s">
        <v>1834</v>
      </c>
      <c r="N362" t="s">
        <v>1835</v>
      </c>
      <c r="Z362" t="s">
        <v>43</v>
      </c>
    </row>
    <row r="363" spans="1:26" x14ac:dyDescent="0.25">
      <c r="A363">
        <v>362</v>
      </c>
      <c r="B363" t="s">
        <v>30</v>
      </c>
      <c r="C363" t="s">
        <v>1836</v>
      </c>
      <c r="D363" t="s">
        <v>46</v>
      </c>
      <c r="E363" t="s">
        <v>471</v>
      </c>
      <c r="F363" t="s">
        <v>820</v>
      </c>
      <c r="G363" t="s">
        <v>47</v>
      </c>
      <c r="I363" t="s">
        <v>1837</v>
      </c>
      <c r="J363">
        <f>57-60-1-750-1509</f>
        <v>-2263</v>
      </c>
      <c r="K363" t="s">
        <v>1838</v>
      </c>
      <c r="N363" t="s">
        <v>1839</v>
      </c>
      <c r="Z363" t="s">
        <v>43</v>
      </c>
    </row>
    <row r="364" spans="1:26" x14ac:dyDescent="0.25">
      <c r="A364">
        <v>363</v>
      </c>
      <c r="B364" t="s">
        <v>30</v>
      </c>
      <c r="C364" t="s">
        <v>1840</v>
      </c>
      <c r="D364" t="s">
        <v>46</v>
      </c>
      <c r="E364" t="s">
        <v>56</v>
      </c>
      <c r="F364" t="s">
        <v>820</v>
      </c>
      <c r="G364" t="s">
        <v>57</v>
      </c>
      <c r="I364" t="s">
        <v>1841</v>
      </c>
      <c r="K364" t="s">
        <v>1842</v>
      </c>
      <c r="N364" t="s">
        <v>1843</v>
      </c>
      <c r="Z364" t="s">
        <v>43</v>
      </c>
    </row>
    <row r="365" spans="1:26" x14ac:dyDescent="0.25">
      <c r="A365">
        <v>364</v>
      </c>
      <c r="B365" t="s">
        <v>30</v>
      </c>
      <c r="C365" t="s">
        <v>1844</v>
      </c>
      <c r="D365" t="s">
        <v>46</v>
      </c>
      <c r="E365" t="s">
        <v>471</v>
      </c>
      <c r="F365" t="s">
        <v>820</v>
      </c>
      <c r="G365" t="s">
        <v>47</v>
      </c>
      <c r="I365" t="s">
        <v>1845</v>
      </c>
      <c r="K365" t="s">
        <v>1846</v>
      </c>
      <c r="N365" t="s">
        <v>1847</v>
      </c>
      <c r="Z365" t="s">
        <v>43</v>
      </c>
    </row>
    <row r="366" spans="1:26" x14ac:dyDescent="0.25">
      <c r="A366">
        <v>365</v>
      </c>
      <c r="B366" t="s">
        <v>30</v>
      </c>
      <c r="C366" t="s">
        <v>1848</v>
      </c>
      <c r="D366" t="s">
        <v>1849</v>
      </c>
      <c r="E366" t="s">
        <v>1850</v>
      </c>
      <c r="F366" t="s">
        <v>1851</v>
      </c>
      <c r="G366" t="s">
        <v>1852</v>
      </c>
      <c r="I366" t="s">
        <v>1853</v>
      </c>
      <c r="K366" t="s">
        <v>1854</v>
      </c>
      <c r="N366" t="s">
        <v>1855</v>
      </c>
      <c r="Z366" t="s">
        <v>43</v>
      </c>
    </row>
    <row r="367" spans="1:26" x14ac:dyDescent="0.25">
      <c r="A367">
        <v>366</v>
      </c>
      <c r="B367" t="s">
        <v>30</v>
      </c>
      <c r="C367" t="s">
        <v>1856</v>
      </c>
      <c r="D367" t="s">
        <v>1816</v>
      </c>
      <c r="E367" t="s">
        <v>56</v>
      </c>
      <c r="F367" t="s">
        <v>1857</v>
      </c>
      <c r="G367" t="s">
        <v>57</v>
      </c>
      <c r="I367" t="s">
        <v>1858</v>
      </c>
      <c r="J367">
        <f>57-312-305-1389</f>
        <v>-1949</v>
      </c>
      <c r="K367" t="s">
        <v>1859</v>
      </c>
      <c r="N367" t="s">
        <v>1860</v>
      </c>
      <c r="Z367" t="s">
        <v>43</v>
      </c>
    </row>
    <row r="368" spans="1:26" x14ac:dyDescent="0.25">
      <c r="A368">
        <v>367</v>
      </c>
      <c r="B368" t="s">
        <v>30</v>
      </c>
      <c r="C368" t="s">
        <v>1861</v>
      </c>
      <c r="D368" t="s">
        <v>1862</v>
      </c>
      <c r="E368" t="s">
        <v>1402</v>
      </c>
      <c r="F368" t="s">
        <v>1863</v>
      </c>
      <c r="G368" t="s">
        <v>1404</v>
      </c>
      <c r="I368" t="s">
        <v>1864</v>
      </c>
      <c r="J368">
        <f>57-319-247-8417</f>
        <v>-8926</v>
      </c>
      <c r="K368" t="s">
        <v>1865</v>
      </c>
      <c r="N368" t="s">
        <v>1866</v>
      </c>
      <c r="Z368" t="s">
        <v>43</v>
      </c>
    </row>
    <row r="369" spans="1:26" x14ac:dyDescent="0.25">
      <c r="A369">
        <v>368</v>
      </c>
      <c r="B369" t="s">
        <v>30</v>
      </c>
      <c r="C369" t="s">
        <v>1867</v>
      </c>
      <c r="D369" t="s">
        <v>46</v>
      </c>
      <c r="E369" t="s">
        <v>471</v>
      </c>
      <c r="F369" t="s">
        <v>820</v>
      </c>
      <c r="G369" t="s">
        <v>47</v>
      </c>
      <c r="I369" t="s">
        <v>1868</v>
      </c>
      <c r="J369">
        <f>57-313-432-8154</f>
        <v>-8842</v>
      </c>
      <c r="K369" t="s">
        <v>1869</v>
      </c>
      <c r="N369" t="s">
        <v>1870</v>
      </c>
      <c r="Z369" t="s">
        <v>43</v>
      </c>
    </row>
    <row r="370" spans="1:26" x14ac:dyDescent="0.25">
      <c r="A370">
        <v>369</v>
      </c>
      <c r="B370" t="s">
        <v>30</v>
      </c>
      <c r="C370" t="s">
        <v>1871</v>
      </c>
      <c r="D370" t="s">
        <v>1872</v>
      </c>
      <c r="E370" t="s">
        <v>471</v>
      </c>
      <c r="F370" t="s">
        <v>1873</v>
      </c>
      <c r="G370" t="s">
        <v>47</v>
      </c>
      <c r="I370" t="s">
        <v>1874</v>
      </c>
      <c r="K370" t="s">
        <v>1875</v>
      </c>
      <c r="N370" t="s">
        <v>1876</v>
      </c>
      <c r="Z370" t="s">
        <v>43</v>
      </c>
    </row>
    <row r="371" spans="1:26" x14ac:dyDescent="0.25">
      <c r="A371">
        <v>370</v>
      </c>
      <c r="B371" t="s">
        <v>30</v>
      </c>
      <c r="C371" t="s">
        <v>1877</v>
      </c>
      <c r="D371" t="s">
        <v>1878</v>
      </c>
      <c r="E371" t="s">
        <v>1879</v>
      </c>
      <c r="F371" t="s">
        <v>1880</v>
      </c>
      <c r="G371" t="s">
        <v>1881</v>
      </c>
      <c r="I371" t="s">
        <v>1882</v>
      </c>
      <c r="J371">
        <f>57-60-1-549-8636</f>
        <v>-9189</v>
      </c>
      <c r="K371" t="s">
        <v>1883</v>
      </c>
      <c r="N371" t="s">
        <v>1884</v>
      </c>
      <c r="Z371" t="s">
        <v>43</v>
      </c>
    </row>
    <row r="372" spans="1:26" x14ac:dyDescent="0.25">
      <c r="A372">
        <v>371</v>
      </c>
      <c r="B372" t="s">
        <v>30</v>
      </c>
      <c r="C372" t="s">
        <v>1885</v>
      </c>
      <c r="D372" t="s">
        <v>46</v>
      </c>
      <c r="E372" t="s">
        <v>56</v>
      </c>
      <c r="F372" t="s">
        <v>820</v>
      </c>
      <c r="G372" t="s">
        <v>57</v>
      </c>
      <c r="I372" t="s">
        <v>1886</v>
      </c>
      <c r="J372">
        <f>57-313-442-6862</f>
        <v>-7560</v>
      </c>
      <c r="K372" t="s">
        <v>1887</v>
      </c>
      <c r="N372" t="s">
        <v>1888</v>
      </c>
      <c r="Z372" t="s">
        <v>43</v>
      </c>
    </row>
    <row r="373" spans="1:26" x14ac:dyDescent="0.25">
      <c r="A373">
        <v>372</v>
      </c>
      <c r="B373" t="s">
        <v>30</v>
      </c>
      <c r="C373" t="s">
        <v>1889</v>
      </c>
      <c r="D373" t="s">
        <v>1890</v>
      </c>
      <c r="E373" t="s">
        <v>56</v>
      </c>
      <c r="F373" t="s">
        <v>1891</v>
      </c>
      <c r="G373" t="s">
        <v>57</v>
      </c>
      <c r="I373" t="s">
        <v>1892</v>
      </c>
      <c r="J373">
        <f>57-300-265-6194</f>
        <v>-6702</v>
      </c>
      <c r="K373" t="s">
        <v>1893</v>
      </c>
      <c r="N373" t="s">
        <v>1894</v>
      </c>
      <c r="Z373" t="s">
        <v>43</v>
      </c>
    </row>
    <row r="374" spans="1:26" x14ac:dyDescent="0.25">
      <c r="A374">
        <v>373</v>
      </c>
      <c r="B374" t="s">
        <v>30</v>
      </c>
      <c r="C374" t="s">
        <v>1895</v>
      </c>
      <c r="D374" t="s">
        <v>1896</v>
      </c>
      <c r="E374" t="s">
        <v>72</v>
      </c>
      <c r="F374" t="s">
        <v>1897</v>
      </c>
      <c r="G374" t="s">
        <v>73</v>
      </c>
      <c r="I374" t="s">
        <v>1898</v>
      </c>
      <c r="K374" t="s">
        <v>1899</v>
      </c>
      <c r="N374" t="s">
        <v>1900</v>
      </c>
      <c r="Z374" t="s">
        <v>43</v>
      </c>
    </row>
    <row r="375" spans="1:26" x14ac:dyDescent="0.25">
      <c r="A375">
        <v>374</v>
      </c>
      <c r="B375" t="s">
        <v>30</v>
      </c>
      <c r="C375" t="s">
        <v>1901</v>
      </c>
      <c r="D375" t="s">
        <v>1902</v>
      </c>
      <c r="E375" t="s">
        <v>1187</v>
      </c>
      <c r="F375" t="s">
        <v>1903</v>
      </c>
      <c r="G375" t="s">
        <v>1189</v>
      </c>
      <c r="I375" t="s">
        <v>1904</v>
      </c>
      <c r="K375" t="s">
        <v>1905</v>
      </c>
      <c r="N375" t="s">
        <v>1906</v>
      </c>
      <c r="Z375" t="s">
        <v>43</v>
      </c>
    </row>
    <row r="376" spans="1:26" x14ac:dyDescent="0.25">
      <c r="A376">
        <v>375</v>
      </c>
      <c r="B376" t="s">
        <v>30</v>
      </c>
      <c r="C376" t="s">
        <v>1907</v>
      </c>
      <c r="D376" t="s">
        <v>1908</v>
      </c>
      <c r="E376" t="s">
        <v>56</v>
      </c>
      <c r="F376" t="s">
        <v>1909</v>
      </c>
      <c r="G376" t="s">
        <v>57</v>
      </c>
      <c r="I376" t="s">
        <v>1910</v>
      </c>
      <c r="J376">
        <f>57-304-204-4419</f>
        <v>-4870</v>
      </c>
      <c r="K376" t="s">
        <v>1911</v>
      </c>
      <c r="N376" t="s">
        <v>1912</v>
      </c>
      <c r="Z376" t="s">
        <v>43</v>
      </c>
    </row>
    <row r="377" spans="1:26" x14ac:dyDescent="0.25">
      <c r="A377">
        <v>376</v>
      </c>
      <c r="B377" t="s">
        <v>30</v>
      </c>
      <c r="C377" t="s">
        <v>1913</v>
      </c>
      <c r="D377" t="s">
        <v>1914</v>
      </c>
      <c r="E377" t="s">
        <v>1269</v>
      </c>
      <c r="F377" t="s">
        <v>1915</v>
      </c>
      <c r="G377" t="s">
        <v>1271</v>
      </c>
      <c r="I377" t="s">
        <v>1916</v>
      </c>
      <c r="J377">
        <f>57-305-418-36</f>
        <v>-702</v>
      </c>
      <c r="K377" t="s">
        <v>1917</v>
      </c>
      <c r="N377" t="s">
        <v>1918</v>
      </c>
      <c r="Z377" t="s">
        <v>43</v>
      </c>
    </row>
    <row r="378" spans="1:26" x14ac:dyDescent="0.25">
      <c r="A378">
        <v>377</v>
      </c>
      <c r="B378" t="s">
        <v>30</v>
      </c>
      <c r="C378" t="s">
        <v>1919</v>
      </c>
      <c r="D378" t="s">
        <v>1920</v>
      </c>
      <c r="E378" t="s">
        <v>64</v>
      </c>
      <c r="F378" t="s">
        <v>1921</v>
      </c>
      <c r="G378" t="s">
        <v>65</v>
      </c>
      <c r="I378" t="s">
        <v>1922</v>
      </c>
      <c r="K378" t="s">
        <v>1923</v>
      </c>
      <c r="N378" t="s">
        <v>1924</v>
      </c>
      <c r="Z378" t="s">
        <v>43</v>
      </c>
    </row>
    <row r="379" spans="1:26" x14ac:dyDescent="0.25">
      <c r="A379">
        <v>378</v>
      </c>
      <c r="B379" t="s">
        <v>30</v>
      </c>
      <c r="C379" t="s">
        <v>1925</v>
      </c>
      <c r="D379" t="s">
        <v>1926</v>
      </c>
      <c r="E379" t="s">
        <v>1155</v>
      </c>
      <c r="F379" t="s">
        <v>1927</v>
      </c>
      <c r="G379" t="s">
        <v>1157</v>
      </c>
      <c r="I379" t="s">
        <v>1928</v>
      </c>
      <c r="K379" t="s">
        <v>1929</v>
      </c>
      <c r="N379" t="s">
        <v>1930</v>
      </c>
      <c r="Z379" t="s">
        <v>43</v>
      </c>
    </row>
    <row r="380" spans="1:26" x14ac:dyDescent="0.25">
      <c r="A380">
        <v>379</v>
      </c>
      <c r="B380" t="s">
        <v>30</v>
      </c>
      <c r="C380" t="s">
        <v>1931</v>
      </c>
      <c r="D380" t="s">
        <v>64</v>
      </c>
      <c r="E380" t="s">
        <v>64</v>
      </c>
      <c r="F380" t="s">
        <v>65</v>
      </c>
      <c r="G380" t="s">
        <v>65</v>
      </c>
      <c r="I380" t="s">
        <v>1932</v>
      </c>
      <c r="K380" t="s">
        <v>1933</v>
      </c>
      <c r="N380" t="s">
        <v>1934</v>
      </c>
      <c r="Z380" t="s">
        <v>43</v>
      </c>
    </row>
    <row r="381" spans="1:26" x14ac:dyDescent="0.25">
      <c r="A381">
        <v>380</v>
      </c>
      <c r="B381" t="s">
        <v>30</v>
      </c>
      <c r="C381" t="s">
        <v>1935</v>
      </c>
      <c r="D381" t="s">
        <v>1936</v>
      </c>
      <c r="E381" t="s">
        <v>800</v>
      </c>
      <c r="F381" t="s">
        <v>1937</v>
      </c>
      <c r="G381" t="s">
        <v>802</v>
      </c>
      <c r="I381" t="s">
        <v>1938</v>
      </c>
      <c r="K381" t="s">
        <v>1939</v>
      </c>
      <c r="N381" t="s">
        <v>1940</v>
      </c>
      <c r="Z381" t="s">
        <v>43</v>
      </c>
    </row>
    <row r="382" spans="1:26" x14ac:dyDescent="0.25">
      <c r="A382">
        <v>381</v>
      </c>
      <c r="B382" t="s">
        <v>30</v>
      </c>
      <c r="C382" t="s">
        <v>1941</v>
      </c>
      <c r="D382" t="s">
        <v>1942</v>
      </c>
      <c r="E382" t="s">
        <v>1943</v>
      </c>
      <c r="F382" t="s">
        <v>1944</v>
      </c>
      <c r="G382" t="s">
        <v>1945</v>
      </c>
      <c r="I382" t="s">
        <v>1946</v>
      </c>
      <c r="K382" t="s">
        <v>1947</v>
      </c>
      <c r="N382" t="s">
        <v>1948</v>
      </c>
      <c r="Z382" t="s">
        <v>43</v>
      </c>
    </row>
    <row r="383" spans="1:26" x14ac:dyDescent="0.25">
      <c r="A383">
        <v>382</v>
      </c>
      <c r="B383" t="s">
        <v>30</v>
      </c>
      <c r="C383" t="s">
        <v>1949</v>
      </c>
      <c r="D383" t="s">
        <v>1950</v>
      </c>
      <c r="E383" t="s">
        <v>64</v>
      </c>
      <c r="F383" t="s">
        <v>1951</v>
      </c>
      <c r="G383" t="s">
        <v>65</v>
      </c>
      <c r="I383" t="s">
        <v>1952</v>
      </c>
      <c r="K383" t="s">
        <v>1953</v>
      </c>
      <c r="N383" t="s">
        <v>1954</v>
      </c>
      <c r="Z383" t="s">
        <v>43</v>
      </c>
    </row>
    <row r="384" spans="1:26" x14ac:dyDescent="0.25">
      <c r="A384">
        <v>383</v>
      </c>
      <c r="B384" t="s">
        <v>30</v>
      </c>
      <c r="C384" t="s">
        <v>1955</v>
      </c>
      <c r="D384" t="s">
        <v>1956</v>
      </c>
      <c r="E384" t="s">
        <v>72</v>
      </c>
      <c r="F384" t="s">
        <v>1957</v>
      </c>
      <c r="G384" t="s">
        <v>73</v>
      </c>
      <c r="I384" t="s">
        <v>1958</v>
      </c>
      <c r="J384">
        <f>57-301-387-3449</f>
        <v>-4080</v>
      </c>
      <c r="K384" t="s">
        <v>1959</v>
      </c>
      <c r="N384" t="s">
        <v>1960</v>
      </c>
      <c r="Z384" t="s">
        <v>43</v>
      </c>
    </row>
    <row r="385" spans="1:26" x14ac:dyDescent="0.25">
      <c r="A385">
        <v>384</v>
      </c>
      <c r="B385" t="s">
        <v>30</v>
      </c>
      <c r="C385" t="s">
        <v>1961</v>
      </c>
      <c r="D385" t="s">
        <v>1962</v>
      </c>
      <c r="E385" t="s">
        <v>1658</v>
      </c>
      <c r="F385" t="s">
        <v>1963</v>
      </c>
      <c r="G385" t="s">
        <v>1660</v>
      </c>
      <c r="I385" t="s">
        <v>1964</v>
      </c>
      <c r="K385" t="s">
        <v>1965</v>
      </c>
      <c r="N385" t="s">
        <v>1966</v>
      </c>
      <c r="Z385" t="s">
        <v>43</v>
      </c>
    </row>
    <row r="386" spans="1:26" x14ac:dyDescent="0.25">
      <c r="A386">
        <v>385</v>
      </c>
      <c r="B386" t="s">
        <v>30</v>
      </c>
      <c r="C386" t="s">
        <v>1967</v>
      </c>
      <c r="D386" t="s">
        <v>1908</v>
      </c>
      <c r="E386" t="s">
        <v>56</v>
      </c>
      <c r="F386" t="s">
        <v>1909</v>
      </c>
      <c r="G386" t="s">
        <v>57</v>
      </c>
      <c r="I386" t="s">
        <v>1968</v>
      </c>
      <c r="K386" t="s">
        <v>1969</v>
      </c>
      <c r="N386" t="s">
        <v>1970</v>
      </c>
      <c r="Z386" t="s">
        <v>43</v>
      </c>
    </row>
    <row r="387" spans="1:26" x14ac:dyDescent="0.25">
      <c r="A387">
        <v>386</v>
      </c>
      <c r="B387" t="s">
        <v>30</v>
      </c>
      <c r="C387" t="s">
        <v>1971</v>
      </c>
      <c r="D387" t="s">
        <v>1719</v>
      </c>
      <c r="E387" t="s">
        <v>1402</v>
      </c>
      <c r="F387" t="s">
        <v>1720</v>
      </c>
      <c r="G387" t="s">
        <v>1404</v>
      </c>
      <c r="I387" t="s">
        <v>1972</v>
      </c>
      <c r="J387">
        <f>57-318-841-9682</f>
        <v>-10784</v>
      </c>
      <c r="K387" t="s">
        <v>1973</v>
      </c>
      <c r="N387" t="s">
        <v>1974</v>
      </c>
      <c r="Z387" t="s">
        <v>43</v>
      </c>
    </row>
    <row r="388" spans="1:26" x14ac:dyDescent="0.25">
      <c r="A388">
        <v>387</v>
      </c>
      <c r="B388" t="s">
        <v>30</v>
      </c>
      <c r="C388" t="s">
        <v>1975</v>
      </c>
      <c r="D388" t="s">
        <v>1976</v>
      </c>
      <c r="E388" t="s">
        <v>471</v>
      </c>
      <c r="F388" t="s">
        <v>1977</v>
      </c>
      <c r="G388" t="s">
        <v>47</v>
      </c>
      <c r="I388" t="s">
        <v>1978</v>
      </c>
      <c r="K388" t="s">
        <v>1979</v>
      </c>
      <c r="N388" t="s">
        <v>1980</v>
      </c>
      <c r="Z388" t="s">
        <v>43</v>
      </c>
    </row>
    <row r="389" spans="1:26" x14ac:dyDescent="0.25">
      <c r="A389">
        <v>388</v>
      </c>
      <c r="B389" t="s">
        <v>30</v>
      </c>
      <c r="C389" t="s">
        <v>1981</v>
      </c>
      <c r="D389" t="s">
        <v>1982</v>
      </c>
      <c r="E389" t="s">
        <v>1269</v>
      </c>
      <c r="F389" t="s">
        <v>1983</v>
      </c>
      <c r="G389" t="s">
        <v>1271</v>
      </c>
      <c r="I389" t="s">
        <v>1984</v>
      </c>
      <c r="K389" t="s">
        <v>1985</v>
      </c>
      <c r="N389" t="s">
        <v>1986</v>
      </c>
      <c r="Z389" t="s">
        <v>43</v>
      </c>
    </row>
    <row r="390" spans="1:26" x14ac:dyDescent="0.25">
      <c r="A390">
        <v>389</v>
      </c>
      <c r="B390" t="s">
        <v>30</v>
      </c>
      <c r="C390" t="s">
        <v>1987</v>
      </c>
      <c r="D390" t="s">
        <v>909</v>
      </c>
      <c r="E390" t="s">
        <v>471</v>
      </c>
      <c r="F390" t="s">
        <v>1659</v>
      </c>
      <c r="G390" t="s">
        <v>47</v>
      </c>
      <c r="I390" t="s">
        <v>1988</v>
      </c>
      <c r="K390" t="s">
        <v>1989</v>
      </c>
      <c r="N390" t="s">
        <v>1990</v>
      </c>
      <c r="Z390" t="s">
        <v>43</v>
      </c>
    </row>
    <row r="391" spans="1:26" x14ac:dyDescent="0.25">
      <c r="A391">
        <v>390</v>
      </c>
      <c r="B391" t="s">
        <v>30</v>
      </c>
      <c r="C391" t="s">
        <v>1991</v>
      </c>
      <c r="D391" t="s">
        <v>1992</v>
      </c>
      <c r="E391" t="s">
        <v>1879</v>
      </c>
      <c r="F391" t="s">
        <v>1993</v>
      </c>
      <c r="G391" t="s">
        <v>1881</v>
      </c>
      <c r="I391" t="s">
        <v>1994</v>
      </c>
      <c r="K391" t="s">
        <v>1995</v>
      </c>
      <c r="N391" t="s">
        <v>1996</v>
      </c>
      <c r="Z391" t="s">
        <v>43</v>
      </c>
    </row>
    <row r="392" spans="1:26" x14ac:dyDescent="0.25">
      <c r="A392">
        <v>391</v>
      </c>
      <c r="B392" t="s">
        <v>30</v>
      </c>
      <c r="C392" t="s">
        <v>1997</v>
      </c>
      <c r="D392" t="s">
        <v>64</v>
      </c>
      <c r="E392" t="s">
        <v>64</v>
      </c>
      <c r="F392" t="s">
        <v>65</v>
      </c>
      <c r="G392" t="s">
        <v>65</v>
      </c>
      <c r="I392" t="s">
        <v>1998</v>
      </c>
      <c r="J392">
        <f>57-60-1-257-3867</f>
        <v>-4128</v>
      </c>
      <c r="K392" t="s">
        <v>1999</v>
      </c>
      <c r="N392" t="s">
        <v>2000</v>
      </c>
      <c r="Z392" t="s">
        <v>43</v>
      </c>
    </row>
    <row r="393" spans="1:26" x14ac:dyDescent="0.25">
      <c r="A393">
        <v>392</v>
      </c>
      <c r="B393" t="s">
        <v>30</v>
      </c>
      <c r="C393" t="s">
        <v>2001</v>
      </c>
      <c r="D393" t="s">
        <v>909</v>
      </c>
      <c r="E393" t="s">
        <v>471</v>
      </c>
      <c r="F393" t="s">
        <v>1659</v>
      </c>
      <c r="G393" t="s">
        <v>47</v>
      </c>
      <c r="I393" t="s">
        <v>2002</v>
      </c>
      <c r="K393" t="s">
        <v>2003</v>
      </c>
      <c r="N393" t="s">
        <v>2004</v>
      </c>
      <c r="Z393" t="s">
        <v>43</v>
      </c>
    </row>
    <row r="394" spans="1:26" x14ac:dyDescent="0.25">
      <c r="A394">
        <v>393</v>
      </c>
      <c r="B394" t="s">
        <v>30</v>
      </c>
      <c r="C394" t="s">
        <v>2005</v>
      </c>
      <c r="D394" t="s">
        <v>2006</v>
      </c>
      <c r="E394" t="s">
        <v>2007</v>
      </c>
      <c r="F394" t="s">
        <v>2008</v>
      </c>
      <c r="G394" t="s">
        <v>2009</v>
      </c>
      <c r="I394" t="s">
        <v>2010</v>
      </c>
      <c r="J394">
        <f>57-301-783-7696</f>
        <v>-8723</v>
      </c>
      <c r="K394" t="s">
        <v>2011</v>
      </c>
      <c r="N394" t="s">
        <v>2012</v>
      </c>
      <c r="Z394" t="s">
        <v>43</v>
      </c>
    </row>
    <row r="395" spans="1:26" x14ac:dyDescent="0.25">
      <c r="A395">
        <v>394</v>
      </c>
      <c r="B395" t="s">
        <v>30</v>
      </c>
      <c r="C395" t="s">
        <v>2013</v>
      </c>
      <c r="D395" t="s">
        <v>2014</v>
      </c>
      <c r="E395" t="s">
        <v>1658</v>
      </c>
      <c r="F395" t="s">
        <v>2015</v>
      </c>
      <c r="G395" t="s">
        <v>1660</v>
      </c>
      <c r="I395" t="s">
        <v>2016</v>
      </c>
      <c r="K395" t="s">
        <v>2017</v>
      </c>
      <c r="N395" t="s">
        <v>2018</v>
      </c>
      <c r="Z395" t="s">
        <v>43</v>
      </c>
    </row>
    <row r="396" spans="1:26" x14ac:dyDescent="0.25">
      <c r="A396">
        <v>395</v>
      </c>
      <c r="B396" t="s">
        <v>30</v>
      </c>
      <c r="C396" t="s">
        <v>2019</v>
      </c>
      <c r="D396" t="s">
        <v>46</v>
      </c>
      <c r="E396" t="s">
        <v>471</v>
      </c>
      <c r="F396" t="s">
        <v>820</v>
      </c>
      <c r="G396" t="s">
        <v>47</v>
      </c>
      <c r="I396" t="s">
        <v>2020</v>
      </c>
      <c r="J396">
        <f>57-313-324-8986</f>
        <v>-9566</v>
      </c>
      <c r="K396" t="s">
        <v>2021</v>
      </c>
      <c r="N396" t="s">
        <v>2022</v>
      </c>
      <c r="Z396" t="s">
        <v>43</v>
      </c>
    </row>
    <row r="397" spans="1:26" x14ac:dyDescent="0.25">
      <c r="A397">
        <v>396</v>
      </c>
      <c r="B397" t="s">
        <v>30</v>
      </c>
      <c r="C397" t="s">
        <v>2023</v>
      </c>
      <c r="D397" t="s">
        <v>2024</v>
      </c>
      <c r="E397" t="s">
        <v>56</v>
      </c>
      <c r="F397" t="s">
        <v>2025</v>
      </c>
      <c r="G397" t="s">
        <v>57</v>
      </c>
      <c r="I397" t="s">
        <v>2026</v>
      </c>
      <c r="K397" t="s">
        <v>2027</v>
      </c>
      <c r="N397" t="s">
        <v>2028</v>
      </c>
      <c r="Z397" t="s">
        <v>43</v>
      </c>
    </row>
    <row r="398" spans="1:26" x14ac:dyDescent="0.25">
      <c r="A398">
        <v>397</v>
      </c>
      <c r="B398" t="s">
        <v>30</v>
      </c>
      <c r="C398" t="s">
        <v>2029</v>
      </c>
      <c r="D398" t="s">
        <v>2030</v>
      </c>
      <c r="E398" t="s">
        <v>1879</v>
      </c>
      <c r="F398" t="s">
        <v>2031</v>
      </c>
      <c r="G398" t="s">
        <v>1881</v>
      </c>
      <c r="I398" t="s">
        <v>2032</v>
      </c>
      <c r="J398">
        <f>57-310-263-7415</f>
        <v>-7931</v>
      </c>
      <c r="K398" t="s">
        <v>2033</v>
      </c>
      <c r="N398" t="s">
        <v>2034</v>
      </c>
      <c r="Z398" t="s">
        <v>43</v>
      </c>
    </row>
    <row r="399" spans="1:26" x14ac:dyDescent="0.25">
      <c r="A399">
        <v>398</v>
      </c>
      <c r="B399" t="s">
        <v>30</v>
      </c>
      <c r="C399" t="s">
        <v>2035</v>
      </c>
      <c r="D399" t="s">
        <v>2014</v>
      </c>
      <c r="E399" t="s">
        <v>800</v>
      </c>
      <c r="F399" t="s">
        <v>2015</v>
      </c>
      <c r="G399" t="s">
        <v>802</v>
      </c>
      <c r="I399" t="s">
        <v>2036</v>
      </c>
      <c r="K399" t="s">
        <v>2037</v>
      </c>
      <c r="N399" t="s">
        <v>2038</v>
      </c>
      <c r="Z399" t="s">
        <v>43</v>
      </c>
    </row>
    <row r="400" spans="1:26" x14ac:dyDescent="0.25">
      <c r="A400">
        <v>399</v>
      </c>
      <c r="B400" t="s">
        <v>30</v>
      </c>
      <c r="C400" t="s">
        <v>2039</v>
      </c>
      <c r="D400" t="s">
        <v>2040</v>
      </c>
      <c r="E400" t="s">
        <v>64</v>
      </c>
      <c r="F400" t="s">
        <v>2041</v>
      </c>
      <c r="G400" t="s">
        <v>65</v>
      </c>
      <c r="I400" t="s">
        <v>2042</v>
      </c>
      <c r="K400" t="s">
        <v>2043</v>
      </c>
      <c r="N400" t="s">
        <v>2044</v>
      </c>
      <c r="Z400" t="s">
        <v>43</v>
      </c>
    </row>
    <row r="401" spans="1:26" x14ac:dyDescent="0.25">
      <c r="A401">
        <v>400</v>
      </c>
      <c r="B401" t="s">
        <v>30</v>
      </c>
      <c r="C401" t="s">
        <v>2045</v>
      </c>
      <c r="D401" t="s">
        <v>64</v>
      </c>
      <c r="E401" t="s">
        <v>64</v>
      </c>
      <c r="F401" t="s">
        <v>65</v>
      </c>
      <c r="G401" t="s">
        <v>65</v>
      </c>
      <c r="I401" t="s">
        <v>2046</v>
      </c>
      <c r="J401">
        <f>57-60-1-429-6529</f>
        <v>-6962</v>
      </c>
      <c r="K401" t="s">
        <v>2047</v>
      </c>
      <c r="N401" t="s">
        <v>2048</v>
      </c>
      <c r="Z401" t="s">
        <v>43</v>
      </c>
    </row>
    <row r="402" spans="1:26" x14ac:dyDescent="0.25">
      <c r="A402">
        <v>401</v>
      </c>
      <c r="B402" t="s">
        <v>30</v>
      </c>
      <c r="C402" t="s">
        <v>2049</v>
      </c>
      <c r="D402" t="s">
        <v>2050</v>
      </c>
      <c r="E402" t="s">
        <v>2051</v>
      </c>
      <c r="F402" t="s">
        <v>2052</v>
      </c>
      <c r="G402" t="s">
        <v>2053</v>
      </c>
      <c r="I402" t="s">
        <v>2054</v>
      </c>
      <c r="J402">
        <f>57-311-207-5017</f>
        <v>-5478</v>
      </c>
      <c r="K402" t="s">
        <v>2055</v>
      </c>
      <c r="N402" t="s">
        <v>2056</v>
      </c>
      <c r="Z402" t="s">
        <v>43</v>
      </c>
    </row>
    <row r="403" spans="1:26" x14ac:dyDescent="0.25">
      <c r="A403">
        <v>402</v>
      </c>
      <c r="B403" t="s">
        <v>30</v>
      </c>
      <c r="C403" t="s">
        <v>2057</v>
      </c>
      <c r="D403" t="s">
        <v>2058</v>
      </c>
      <c r="E403" t="s">
        <v>56</v>
      </c>
      <c r="F403" t="s">
        <v>2059</v>
      </c>
      <c r="G403" t="s">
        <v>57</v>
      </c>
      <c r="I403" t="s">
        <v>2060</v>
      </c>
      <c r="K403" t="s">
        <v>2061</v>
      </c>
      <c r="N403" t="s">
        <v>2062</v>
      </c>
      <c r="Z403" t="s">
        <v>43</v>
      </c>
    </row>
    <row r="404" spans="1:26" x14ac:dyDescent="0.25">
      <c r="A404">
        <v>403</v>
      </c>
      <c r="B404" t="s">
        <v>30</v>
      </c>
      <c r="C404" t="s">
        <v>2063</v>
      </c>
      <c r="D404" t="s">
        <v>2064</v>
      </c>
      <c r="E404" t="s">
        <v>471</v>
      </c>
      <c r="F404" t="s">
        <v>2065</v>
      </c>
      <c r="G404" t="s">
        <v>47</v>
      </c>
      <c r="I404" t="s">
        <v>2066</v>
      </c>
      <c r="K404" t="s">
        <v>2067</v>
      </c>
      <c r="N404" t="s">
        <v>2068</v>
      </c>
      <c r="Z404" t="s">
        <v>43</v>
      </c>
    </row>
    <row r="405" spans="1:26" x14ac:dyDescent="0.25">
      <c r="A405">
        <v>404</v>
      </c>
      <c r="B405" t="s">
        <v>30</v>
      </c>
      <c r="C405" t="s">
        <v>2069</v>
      </c>
      <c r="D405" t="s">
        <v>2070</v>
      </c>
      <c r="E405" t="s">
        <v>471</v>
      </c>
      <c r="F405" t="s">
        <v>2071</v>
      </c>
      <c r="G405" t="s">
        <v>47</v>
      </c>
      <c r="I405" t="s">
        <v>2072</v>
      </c>
      <c r="J405">
        <f>57-304-452-4045</f>
        <v>-4744</v>
      </c>
      <c r="K405" t="s">
        <v>2073</v>
      </c>
      <c r="N405" t="s">
        <v>2074</v>
      </c>
      <c r="Z405" t="s">
        <v>43</v>
      </c>
    </row>
    <row r="406" spans="1:26" x14ac:dyDescent="0.25">
      <c r="A406">
        <v>405</v>
      </c>
      <c r="B406" t="s">
        <v>30</v>
      </c>
      <c r="C406" t="s">
        <v>2075</v>
      </c>
      <c r="D406" t="s">
        <v>2076</v>
      </c>
      <c r="E406" t="s">
        <v>2077</v>
      </c>
      <c r="F406" t="s">
        <v>2078</v>
      </c>
      <c r="G406" t="s">
        <v>2079</v>
      </c>
      <c r="I406" t="s">
        <v>2080</v>
      </c>
      <c r="K406" t="s">
        <v>2081</v>
      </c>
      <c r="N406" t="s">
        <v>2082</v>
      </c>
      <c r="Z406" t="s">
        <v>43</v>
      </c>
    </row>
    <row r="407" spans="1:26" x14ac:dyDescent="0.25">
      <c r="A407">
        <v>406</v>
      </c>
      <c r="B407" t="s">
        <v>30</v>
      </c>
      <c r="C407" t="s">
        <v>2083</v>
      </c>
      <c r="D407" t="s">
        <v>1260</v>
      </c>
      <c r="E407" t="s">
        <v>471</v>
      </c>
      <c r="F407" t="s">
        <v>2084</v>
      </c>
      <c r="G407" t="s">
        <v>47</v>
      </c>
      <c r="I407" t="s">
        <v>2085</v>
      </c>
      <c r="J407">
        <f>57-324-289-2412</f>
        <v>-2968</v>
      </c>
      <c r="K407" t="s">
        <v>2086</v>
      </c>
      <c r="N407" t="s">
        <v>2087</v>
      </c>
      <c r="Z407" t="s">
        <v>43</v>
      </c>
    </row>
    <row r="408" spans="1:26" x14ac:dyDescent="0.25">
      <c r="A408">
        <v>407</v>
      </c>
      <c r="B408" t="s">
        <v>30</v>
      </c>
      <c r="C408" t="s">
        <v>2088</v>
      </c>
      <c r="D408" t="s">
        <v>1713</v>
      </c>
      <c r="E408" t="s">
        <v>471</v>
      </c>
      <c r="F408" t="s">
        <v>2089</v>
      </c>
      <c r="G408" t="s">
        <v>47</v>
      </c>
      <c r="I408" t="s">
        <v>2090</v>
      </c>
      <c r="J408">
        <f>57-301-455-1523</f>
        <v>-2222</v>
      </c>
      <c r="K408" t="s">
        <v>2091</v>
      </c>
      <c r="N408" t="s">
        <v>2092</v>
      </c>
      <c r="Z408" t="s">
        <v>43</v>
      </c>
    </row>
    <row r="409" spans="1:26" x14ac:dyDescent="0.25">
      <c r="A409">
        <v>408</v>
      </c>
      <c r="B409" t="s">
        <v>30</v>
      </c>
      <c r="C409" t="s">
        <v>2093</v>
      </c>
      <c r="D409" t="s">
        <v>1260</v>
      </c>
      <c r="E409" t="s">
        <v>471</v>
      </c>
      <c r="F409" t="s">
        <v>2084</v>
      </c>
      <c r="G409" t="s">
        <v>47</v>
      </c>
      <c r="I409" t="s">
        <v>2094</v>
      </c>
      <c r="J409">
        <f>57-301-359-494</f>
        <v>-1097</v>
      </c>
      <c r="K409" t="s">
        <v>2095</v>
      </c>
      <c r="N409" t="s">
        <v>2096</v>
      </c>
      <c r="Z409" t="s">
        <v>43</v>
      </c>
    </row>
    <row r="410" spans="1:26" x14ac:dyDescent="0.25">
      <c r="A410">
        <v>409</v>
      </c>
      <c r="B410" t="s">
        <v>30</v>
      </c>
      <c r="C410" t="s">
        <v>2097</v>
      </c>
      <c r="D410" t="s">
        <v>2098</v>
      </c>
      <c r="E410" t="s">
        <v>56</v>
      </c>
      <c r="F410" t="s">
        <v>2099</v>
      </c>
      <c r="G410" t="s">
        <v>57</v>
      </c>
      <c r="I410" t="s">
        <v>2100</v>
      </c>
      <c r="K410" t="s">
        <v>2101</v>
      </c>
      <c r="N410" t="s">
        <v>2102</v>
      </c>
      <c r="Z410" t="s">
        <v>43</v>
      </c>
    </row>
    <row r="411" spans="1:26" x14ac:dyDescent="0.25">
      <c r="A411">
        <v>410</v>
      </c>
      <c r="B411" t="s">
        <v>30</v>
      </c>
      <c r="C411" t="s">
        <v>2103</v>
      </c>
      <c r="D411" t="s">
        <v>2104</v>
      </c>
      <c r="E411" t="s">
        <v>2105</v>
      </c>
      <c r="F411" t="s">
        <v>2106</v>
      </c>
      <c r="G411" t="s">
        <v>2107</v>
      </c>
      <c r="I411" t="s">
        <v>2108</v>
      </c>
      <c r="J411">
        <f>57-310-608-6786</f>
        <v>-7647</v>
      </c>
      <c r="K411" t="s">
        <v>2109</v>
      </c>
      <c r="N411" t="s">
        <v>2110</v>
      </c>
      <c r="Z411" t="s">
        <v>43</v>
      </c>
    </row>
    <row r="412" spans="1:26" x14ac:dyDescent="0.25">
      <c r="A412">
        <v>411</v>
      </c>
      <c r="B412" t="s">
        <v>30</v>
      </c>
      <c r="C412" t="s">
        <v>2111</v>
      </c>
      <c r="D412" t="s">
        <v>772</v>
      </c>
      <c r="E412" t="s">
        <v>471</v>
      </c>
      <c r="F412" t="s">
        <v>773</v>
      </c>
      <c r="G412" t="s">
        <v>47</v>
      </c>
      <c r="I412" t="s">
        <v>2112</v>
      </c>
      <c r="J412">
        <f>57-313-498-3360</f>
        <v>-4114</v>
      </c>
      <c r="K412" t="s">
        <v>2113</v>
      </c>
      <c r="N412" t="s">
        <v>2114</v>
      </c>
      <c r="Z412" t="s">
        <v>43</v>
      </c>
    </row>
    <row r="413" spans="1:26" x14ac:dyDescent="0.25">
      <c r="A413">
        <v>412</v>
      </c>
      <c r="B413" t="s">
        <v>30</v>
      </c>
      <c r="C413" t="s">
        <v>2115</v>
      </c>
      <c r="D413" t="s">
        <v>2116</v>
      </c>
      <c r="E413" t="s">
        <v>2117</v>
      </c>
      <c r="F413" t="s">
        <v>2118</v>
      </c>
      <c r="G413" t="s">
        <v>2119</v>
      </c>
      <c r="I413" t="s">
        <v>2120</v>
      </c>
      <c r="K413" t="s">
        <v>2121</v>
      </c>
      <c r="N413" t="s">
        <v>2122</v>
      </c>
      <c r="Z413" t="s">
        <v>43</v>
      </c>
    </row>
    <row r="414" spans="1:26" x14ac:dyDescent="0.25">
      <c r="A414">
        <v>413</v>
      </c>
      <c r="B414" t="s">
        <v>30</v>
      </c>
      <c r="C414" t="s">
        <v>2123</v>
      </c>
      <c r="D414" t="s">
        <v>2124</v>
      </c>
      <c r="E414" t="s">
        <v>56</v>
      </c>
      <c r="F414" t="s">
        <v>2125</v>
      </c>
      <c r="G414" t="s">
        <v>57</v>
      </c>
      <c r="I414" t="s">
        <v>2126</v>
      </c>
      <c r="J414">
        <f>57-317-519-7580</f>
        <v>-8359</v>
      </c>
      <c r="K414" t="s">
        <v>2127</v>
      </c>
      <c r="N414" t="s">
        <v>2128</v>
      </c>
      <c r="Z414" t="s">
        <v>43</v>
      </c>
    </row>
    <row r="415" spans="1:26" x14ac:dyDescent="0.25">
      <c r="A415">
        <v>414</v>
      </c>
      <c r="B415" t="s">
        <v>30</v>
      </c>
      <c r="C415" t="s">
        <v>2129</v>
      </c>
      <c r="D415" t="s">
        <v>2130</v>
      </c>
      <c r="E415" t="s">
        <v>1217</v>
      </c>
      <c r="F415" t="s">
        <v>2131</v>
      </c>
      <c r="G415" t="s">
        <v>2132</v>
      </c>
      <c r="I415" t="s">
        <v>2133</v>
      </c>
      <c r="K415" t="s">
        <v>2134</v>
      </c>
      <c r="N415" t="s">
        <v>2135</v>
      </c>
      <c r="Z415" t="s">
        <v>43</v>
      </c>
    </row>
    <row r="416" spans="1:26" x14ac:dyDescent="0.25">
      <c r="A416">
        <v>415</v>
      </c>
      <c r="B416" t="s">
        <v>30</v>
      </c>
      <c r="C416" t="s">
        <v>2136</v>
      </c>
      <c r="D416" t="s">
        <v>1816</v>
      </c>
      <c r="E416" t="s">
        <v>56</v>
      </c>
      <c r="F416" t="s">
        <v>1857</v>
      </c>
      <c r="G416" t="s">
        <v>57</v>
      </c>
      <c r="I416" t="s">
        <v>2137</v>
      </c>
      <c r="J416">
        <f>57-60-1-479-6093</f>
        <v>-6576</v>
      </c>
      <c r="K416" t="s">
        <v>2138</v>
      </c>
      <c r="N416" t="s">
        <v>2139</v>
      </c>
      <c r="Z416" t="s">
        <v>43</v>
      </c>
    </row>
    <row r="417" spans="1:26" x14ac:dyDescent="0.25">
      <c r="A417">
        <v>416</v>
      </c>
      <c r="B417" t="s">
        <v>30</v>
      </c>
      <c r="C417" t="s">
        <v>2140</v>
      </c>
      <c r="D417" t="s">
        <v>2141</v>
      </c>
      <c r="E417" t="s">
        <v>56</v>
      </c>
      <c r="F417" t="s">
        <v>2142</v>
      </c>
      <c r="G417" t="s">
        <v>57</v>
      </c>
      <c r="I417" t="s">
        <v>2143</v>
      </c>
      <c r="J417">
        <f>57-311-891-2804</f>
        <v>-3949</v>
      </c>
      <c r="K417" t="s">
        <v>2144</v>
      </c>
      <c r="N417" t="s">
        <v>2145</v>
      </c>
      <c r="Z417" t="s">
        <v>43</v>
      </c>
    </row>
    <row r="418" spans="1:26" x14ac:dyDescent="0.25">
      <c r="A418">
        <v>417</v>
      </c>
      <c r="B418" t="s">
        <v>30</v>
      </c>
      <c r="C418" t="s">
        <v>2146</v>
      </c>
      <c r="D418" t="s">
        <v>1816</v>
      </c>
      <c r="E418" t="s">
        <v>56</v>
      </c>
      <c r="F418" t="s">
        <v>1857</v>
      </c>
      <c r="G418" t="s">
        <v>57</v>
      </c>
      <c r="I418" t="s">
        <v>2147</v>
      </c>
      <c r="J418">
        <f>57-60-1-804-6928</f>
        <v>-7736</v>
      </c>
      <c r="K418" t="s">
        <v>2148</v>
      </c>
      <c r="N418" t="s">
        <v>1526</v>
      </c>
      <c r="Z418" t="s">
        <v>43</v>
      </c>
    </row>
    <row r="419" spans="1:26" x14ac:dyDescent="0.25">
      <c r="A419">
        <v>418</v>
      </c>
      <c r="B419" t="s">
        <v>30</v>
      </c>
      <c r="C419" t="s">
        <v>2149</v>
      </c>
      <c r="D419" t="s">
        <v>2150</v>
      </c>
      <c r="E419" t="s">
        <v>755</v>
      </c>
      <c r="F419" t="s">
        <v>2151</v>
      </c>
      <c r="G419" t="s">
        <v>757</v>
      </c>
      <c r="I419" t="s">
        <v>2152</v>
      </c>
      <c r="J419">
        <f>57-315-234-5413</f>
        <v>-5905</v>
      </c>
      <c r="K419" t="s">
        <v>2153</v>
      </c>
      <c r="N419" t="s">
        <v>2154</v>
      </c>
      <c r="Z419" t="s">
        <v>43</v>
      </c>
    </row>
    <row r="420" spans="1:26" x14ac:dyDescent="0.25">
      <c r="A420">
        <v>419</v>
      </c>
      <c r="B420" t="s">
        <v>30</v>
      </c>
      <c r="C420" t="s">
        <v>2155</v>
      </c>
      <c r="D420" t="s">
        <v>2156</v>
      </c>
      <c r="E420" t="s">
        <v>2157</v>
      </c>
      <c r="F420" t="s">
        <v>2158</v>
      </c>
      <c r="G420" t="s">
        <v>2159</v>
      </c>
      <c r="I420" t="s">
        <v>2160</v>
      </c>
      <c r="K420" t="s">
        <v>2161</v>
      </c>
      <c r="N420" t="s">
        <v>2162</v>
      </c>
      <c r="Z420" t="s">
        <v>43</v>
      </c>
    </row>
    <row r="421" spans="1:26" x14ac:dyDescent="0.25">
      <c r="A421">
        <v>420</v>
      </c>
      <c r="B421" t="s">
        <v>30</v>
      </c>
      <c r="C421" t="s">
        <v>2163</v>
      </c>
      <c r="D421" t="s">
        <v>1816</v>
      </c>
      <c r="E421" t="s">
        <v>64</v>
      </c>
      <c r="F421" t="s">
        <v>1857</v>
      </c>
      <c r="G421" t="s">
        <v>65</v>
      </c>
      <c r="I421" t="s">
        <v>2164</v>
      </c>
      <c r="K421" t="s">
        <v>2165</v>
      </c>
      <c r="N421" t="s">
        <v>2166</v>
      </c>
      <c r="Z421" t="s">
        <v>43</v>
      </c>
    </row>
    <row r="422" spans="1:26" x14ac:dyDescent="0.25">
      <c r="A422">
        <v>421</v>
      </c>
      <c r="B422" t="s">
        <v>30</v>
      </c>
      <c r="C422" t="s">
        <v>2167</v>
      </c>
      <c r="D422" t="s">
        <v>2168</v>
      </c>
      <c r="E422" t="s">
        <v>64</v>
      </c>
      <c r="F422" t="s">
        <v>2169</v>
      </c>
      <c r="G422" t="s">
        <v>65</v>
      </c>
      <c r="I422" t="s">
        <v>2170</v>
      </c>
      <c r="K422" t="s">
        <v>2171</v>
      </c>
      <c r="N422" t="s">
        <v>2172</v>
      </c>
      <c r="Z422" t="s">
        <v>43</v>
      </c>
    </row>
    <row r="423" spans="1:26" x14ac:dyDescent="0.25">
      <c r="A423">
        <v>422</v>
      </c>
      <c r="B423" t="s">
        <v>30</v>
      </c>
      <c r="C423" t="s">
        <v>2173</v>
      </c>
      <c r="D423" t="s">
        <v>772</v>
      </c>
      <c r="E423" t="s">
        <v>471</v>
      </c>
      <c r="F423" t="s">
        <v>773</v>
      </c>
      <c r="G423" t="s">
        <v>47</v>
      </c>
      <c r="I423" t="s">
        <v>2174</v>
      </c>
      <c r="J423">
        <f>57-316-538-1766</f>
        <v>-2563</v>
      </c>
      <c r="K423" t="s">
        <v>2175</v>
      </c>
      <c r="N423" t="s">
        <v>2176</v>
      </c>
      <c r="Z423" t="s">
        <v>43</v>
      </c>
    </row>
    <row r="424" spans="1:26" x14ac:dyDescent="0.25">
      <c r="A424">
        <v>423</v>
      </c>
      <c r="B424" t="s">
        <v>30</v>
      </c>
      <c r="C424" t="s">
        <v>2177</v>
      </c>
      <c r="D424" t="s">
        <v>1260</v>
      </c>
      <c r="E424" t="s">
        <v>471</v>
      </c>
      <c r="F424" t="s">
        <v>2178</v>
      </c>
      <c r="G424" t="s">
        <v>47</v>
      </c>
      <c r="I424" t="s">
        <v>2179</v>
      </c>
      <c r="K424" t="s">
        <v>2180</v>
      </c>
      <c r="N424" t="s">
        <v>2181</v>
      </c>
      <c r="Z424" t="s">
        <v>43</v>
      </c>
    </row>
    <row r="425" spans="1:26" x14ac:dyDescent="0.25">
      <c r="A425">
        <v>424</v>
      </c>
      <c r="B425" t="s">
        <v>30</v>
      </c>
      <c r="C425" t="s">
        <v>2182</v>
      </c>
      <c r="D425" t="s">
        <v>2183</v>
      </c>
      <c r="E425" t="s">
        <v>1155</v>
      </c>
      <c r="F425" t="s">
        <v>2184</v>
      </c>
      <c r="G425" t="s">
        <v>1157</v>
      </c>
      <c r="I425" t="s">
        <v>2185</v>
      </c>
      <c r="K425" t="s">
        <v>2186</v>
      </c>
      <c r="N425" t="s">
        <v>2187</v>
      </c>
      <c r="Z425" t="s">
        <v>43</v>
      </c>
    </row>
    <row r="426" spans="1:26" x14ac:dyDescent="0.25">
      <c r="A426">
        <v>425</v>
      </c>
      <c r="B426" t="s">
        <v>30</v>
      </c>
      <c r="C426" t="s">
        <v>2188</v>
      </c>
      <c r="D426" t="s">
        <v>2189</v>
      </c>
      <c r="E426" t="s">
        <v>2190</v>
      </c>
      <c r="F426" t="s">
        <v>2191</v>
      </c>
      <c r="G426" t="s">
        <v>2192</v>
      </c>
      <c r="I426" t="s">
        <v>2193</v>
      </c>
      <c r="J426">
        <f>57-315-875-8925</f>
        <v>-10058</v>
      </c>
      <c r="K426" t="s">
        <v>2194</v>
      </c>
      <c r="N426" t="s">
        <v>2195</v>
      </c>
      <c r="Z426" t="s">
        <v>43</v>
      </c>
    </row>
    <row r="427" spans="1:26" x14ac:dyDescent="0.25">
      <c r="A427">
        <v>426</v>
      </c>
      <c r="B427" t="s">
        <v>30</v>
      </c>
      <c r="C427" t="s">
        <v>2196</v>
      </c>
      <c r="D427" t="s">
        <v>2197</v>
      </c>
      <c r="E427" t="s">
        <v>755</v>
      </c>
      <c r="F427" t="s">
        <v>2198</v>
      </c>
      <c r="G427" t="s">
        <v>2199</v>
      </c>
      <c r="I427" t="s">
        <v>2200</v>
      </c>
      <c r="J427">
        <f>57-311-210-7277</f>
        <v>-7741</v>
      </c>
      <c r="K427" t="s">
        <v>2201</v>
      </c>
      <c r="N427" t="s">
        <v>2202</v>
      </c>
      <c r="Z427" t="s">
        <v>43</v>
      </c>
    </row>
    <row r="428" spans="1:26" x14ac:dyDescent="0.25">
      <c r="A428">
        <v>427</v>
      </c>
      <c r="B428" t="s">
        <v>30</v>
      </c>
      <c r="C428" t="s">
        <v>2203</v>
      </c>
      <c r="D428" t="s">
        <v>1260</v>
      </c>
      <c r="E428" t="s">
        <v>471</v>
      </c>
      <c r="F428" t="s">
        <v>2204</v>
      </c>
      <c r="G428" t="s">
        <v>47</v>
      </c>
      <c r="I428" t="s">
        <v>2205</v>
      </c>
      <c r="J428">
        <f>57-322-265-5305</f>
        <v>-5835</v>
      </c>
      <c r="K428" t="s">
        <v>2206</v>
      </c>
      <c r="N428" t="s">
        <v>2207</v>
      </c>
      <c r="Z428" t="s">
        <v>43</v>
      </c>
    </row>
    <row r="429" spans="1:26" x14ac:dyDescent="0.25">
      <c r="A429">
        <v>428</v>
      </c>
      <c r="B429" t="s">
        <v>30</v>
      </c>
      <c r="C429" t="s">
        <v>2208</v>
      </c>
      <c r="D429" t="s">
        <v>2209</v>
      </c>
      <c r="E429" t="s">
        <v>2210</v>
      </c>
      <c r="F429" t="s">
        <v>2211</v>
      </c>
      <c r="G429" t="s">
        <v>2212</v>
      </c>
      <c r="I429" t="s">
        <v>2213</v>
      </c>
      <c r="J429">
        <f>57-321-219-778</f>
        <v>-1261</v>
      </c>
      <c r="K429" t="s">
        <v>2214</v>
      </c>
      <c r="N429" t="s">
        <v>2215</v>
      </c>
      <c r="Z429" t="s">
        <v>43</v>
      </c>
    </row>
    <row r="430" spans="1:26" x14ac:dyDescent="0.25">
      <c r="A430">
        <v>429</v>
      </c>
      <c r="B430" t="s">
        <v>30</v>
      </c>
      <c r="C430" t="s">
        <v>2216</v>
      </c>
      <c r="D430" t="s">
        <v>2217</v>
      </c>
      <c r="E430" t="s">
        <v>1269</v>
      </c>
      <c r="F430" t="s">
        <v>2218</v>
      </c>
      <c r="G430" t="s">
        <v>1271</v>
      </c>
      <c r="I430" t="s">
        <v>2219</v>
      </c>
      <c r="J430">
        <f>57-321-832-2480</f>
        <v>-3576</v>
      </c>
      <c r="K430" t="s">
        <v>2220</v>
      </c>
      <c r="N430" t="s">
        <v>2221</v>
      </c>
      <c r="Z430" t="s">
        <v>43</v>
      </c>
    </row>
    <row r="431" spans="1:26" x14ac:dyDescent="0.25">
      <c r="A431">
        <v>430</v>
      </c>
      <c r="B431" t="s">
        <v>30</v>
      </c>
      <c r="C431" t="s">
        <v>2222</v>
      </c>
      <c r="D431" t="s">
        <v>1713</v>
      </c>
      <c r="E431" t="s">
        <v>471</v>
      </c>
      <c r="F431" t="s">
        <v>2223</v>
      </c>
      <c r="G431" t="s">
        <v>966</v>
      </c>
      <c r="I431" t="s">
        <v>2224</v>
      </c>
      <c r="J431">
        <f>57-323-210-1016</f>
        <v>-1492</v>
      </c>
      <c r="K431" t="s">
        <v>2225</v>
      </c>
      <c r="N431" t="s">
        <v>2226</v>
      </c>
      <c r="Z431" t="s">
        <v>43</v>
      </c>
    </row>
    <row r="432" spans="1:26" x14ac:dyDescent="0.25">
      <c r="A432">
        <v>431</v>
      </c>
      <c r="B432" t="s">
        <v>30</v>
      </c>
      <c r="C432" t="s">
        <v>2227</v>
      </c>
      <c r="D432" t="s">
        <v>799</v>
      </c>
      <c r="E432" t="s">
        <v>64</v>
      </c>
      <c r="F432" t="s">
        <v>2228</v>
      </c>
      <c r="G432" t="s">
        <v>65</v>
      </c>
      <c r="I432" t="s">
        <v>2229</v>
      </c>
      <c r="J432">
        <f>57-312-400-4378</f>
        <v>-5033</v>
      </c>
      <c r="K432" t="s">
        <v>2230</v>
      </c>
      <c r="N432" t="s">
        <v>2231</v>
      </c>
      <c r="Z432" t="s">
        <v>43</v>
      </c>
    </row>
    <row r="433" spans="1:26" x14ac:dyDescent="0.25">
      <c r="A433">
        <v>432</v>
      </c>
      <c r="B433" t="s">
        <v>30</v>
      </c>
      <c r="C433" t="s">
        <v>2232</v>
      </c>
      <c r="D433" t="s">
        <v>909</v>
      </c>
      <c r="E433" t="s">
        <v>471</v>
      </c>
      <c r="F433" t="s">
        <v>2233</v>
      </c>
      <c r="G433" t="s">
        <v>47</v>
      </c>
      <c r="I433" t="s">
        <v>2234</v>
      </c>
      <c r="J433">
        <f>57-317-286-530</f>
        <v>-1076</v>
      </c>
      <c r="K433" t="s">
        <v>2235</v>
      </c>
      <c r="N433" t="s">
        <v>2236</v>
      </c>
      <c r="Z433" t="s">
        <v>43</v>
      </c>
    </row>
    <row r="434" spans="1:26" x14ac:dyDescent="0.25">
      <c r="A434">
        <v>433</v>
      </c>
      <c r="B434" t="s">
        <v>30</v>
      </c>
      <c r="C434" t="s">
        <v>2237</v>
      </c>
      <c r="D434" t="s">
        <v>46</v>
      </c>
      <c r="E434" t="s">
        <v>471</v>
      </c>
      <c r="F434" t="s">
        <v>1708</v>
      </c>
      <c r="G434" t="s">
        <v>47</v>
      </c>
      <c r="I434" t="s">
        <v>2238</v>
      </c>
      <c r="K434" t="s">
        <v>2239</v>
      </c>
      <c r="N434" t="s">
        <v>2240</v>
      </c>
      <c r="Z434" t="s">
        <v>43</v>
      </c>
    </row>
    <row r="435" spans="1:26" x14ac:dyDescent="0.25">
      <c r="A435">
        <v>434</v>
      </c>
      <c r="B435" t="s">
        <v>30</v>
      </c>
      <c r="C435" t="s">
        <v>2241</v>
      </c>
      <c r="D435" t="s">
        <v>2242</v>
      </c>
      <c r="E435" t="s">
        <v>1269</v>
      </c>
      <c r="F435" t="s">
        <v>2243</v>
      </c>
      <c r="G435" t="s">
        <v>1271</v>
      </c>
      <c r="I435" t="s">
        <v>2244</v>
      </c>
      <c r="J435">
        <f>57-316-472-8635</f>
        <v>-9366</v>
      </c>
      <c r="K435" t="s">
        <v>2245</v>
      </c>
      <c r="N435" t="s">
        <v>2246</v>
      </c>
      <c r="Z435" t="s">
        <v>43</v>
      </c>
    </row>
    <row r="436" spans="1:26" x14ac:dyDescent="0.25">
      <c r="A436">
        <v>435</v>
      </c>
      <c r="B436" t="s">
        <v>30</v>
      </c>
      <c r="C436" t="s">
        <v>2247</v>
      </c>
      <c r="D436" t="s">
        <v>2248</v>
      </c>
      <c r="E436" t="s">
        <v>1571</v>
      </c>
      <c r="F436" t="s">
        <v>2249</v>
      </c>
      <c r="G436" t="s">
        <v>1573</v>
      </c>
      <c r="I436" t="s">
        <v>2250</v>
      </c>
      <c r="J436">
        <f>57-316-823-5522</f>
        <v>-6604</v>
      </c>
      <c r="K436" t="s">
        <v>2251</v>
      </c>
      <c r="N436" t="s">
        <v>2252</v>
      </c>
      <c r="Z436" t="s">
        <v>43</v>
      </c>
    </row>
    <row r="437" spans="1:26" x14ac:dyDescent="0.25">
      <c r="A437">
        <v>436</v>
      </c>
      <c r="B437" t="s">
        <v>30</v>
      </c>
      <c r="C437" t="s">
        <v>2253</v>
      </c>
      <c r="D437" t="s">
        <v>2254</v>
      </c>
      <c r="E437" t="s">
        <v>56</v>
      </c>
      <c r="F437" t="s">
        <v>2255</v>
      </c>
      <c r="G437" t="s">
        <v>57</v>
      </c>
      <c r="I437" t="s">
        <v>2256</v>
      </c>
      <c r="K437" t="s">
        <v>2257</v>
      </c>
      <c r="N437" t="s">
        <v>2258</v>
      </c>
      <c r="Z437" t="s">
        <v>43</v>
      </c>
    </row>
    <row r="438" spans="1:26" x14ac:dyDescent="0.25">
      <c r="A438">
        <v>437</v>
      </c>
      <c r="B438" t="s">
        <v>30</v>
      </c>
      <c r="C438" t="s">
        <v>2259</v>
      </c>
      <c r="D438" t="s">
        <v>2260</v>
      </c>
      <c r="E438" t="s">
        <v>385</v>
      </c>
      <c r="F438" t="s">
        <v>2261</v>
      </c>
      <c r="G438" t="s">
        <v>387</v>
      </c>
      <c r="I438" t="s">
        <v>2262</v>
      </c>
      <c r="K438" t="s">
        <v>2263</v>
      </c>
      <c r="N438" t="s">
        <v>2264</v>
      </c>
      <c r="Z438" t="s">
        <v>43</v>
      </c>
    </row>
    <row r="439" spans="1:26" x14ac:dyDescent="0.25">
      <c r="A439">
        <v>438</v>
      </c>
      <c r="B439" t="s">
        <v>30</v>
      </c>
      <c r="C439" t="s">
        <v>2265</v>
      </c>
      <c r="D439" t="s">
        <v>1260</v>
      </c>
      <c r="E439" t="s">
        <v>471</v>
      </c>
      <c r="F439" t="s">
        <v>2084</v>
      </c>
      <c r="G439" t="s">
        <v>47</v>
      </c>
      <c r="I439" t="s">
        <v>2266</v>
      </c>
      <c r="K439" t="s">
        <v>2267</v>
      </c>
      <c r="N439" t="s">
        <v>2268</v>
      </c>
      <c r="Z439" t="s">
        <v>43</v>
      </c>
    </row>
    <row r="440" spans="1:26" x14ac:dyDescent="0.25">
      <c r="A440">
        <v>439</v>
      </c>
      <c r="B440" t="s">
        <v>30</v>
      </c>
      <c r="C440" t="s">
        <v>2269</v>
      </c>
      <c r="D440" t="s">
        <v>2270</v>
      </c>
      <c r="E440" t="s">
        <v>1402</v>
      </c>
      <c r="F440" t="s">
        <v>2271</v>
      </c>
      <c r="G440" t="s">
        <v>1404</v>
      </c>
      <c r="I440" t="s">
        <v>2272</v>
      </c>
      <c r="K440" t="s">
        <v>2273</v>
      </c>
      <c r="N440" t="s">
        <v>2274</v>
      </c>
      <c r="Z440" t="s">
        <v>43</v>
      </c>
    </row>
    <row r="441" spans="1:26" x14ac:dyDescent="0.25">
      <c r="A441">
        <v>440</v>
      </c>
      <c r="B441" t="s">
        <v>30</v>
      </c>
      <c r="C441" t="s">
        <v>2275</v>
      </c>
      <c r="D441" t="s">
        <v>64</v>
      </c>
      <c r="E441" t="s">
        <v>64</v>
      </c>
      <c r="F441" t="s">
        <v>65</v>
      </c>
      <c r="G441" t="s">
        <v>65</v>
      </c>
      <c r="I441" t="s">
        <v>2276</v>
      </c>
      <c r="K441" t="s">
        <v>2277</v>
      </c>
      <c r="N441" t="s">
        <v>2278</v>
      </c>
      <c r="Z441" t="s">
        <v>43</v>
      </c>
    </row>
    <row r="442" spans="1:26" x14ac:dyDescent="0.25">
      <c r="A442">
        <v>441</v>
      </c>
      <c r="B442" t="s">
        <v>30</v>
      </c>
      <c r="C442" t="s">
        <v>2279</v>
      </c>
      <c r="D442" t="s">
        <v>46</v>
      </c>
      <c r="E442" t="s">
        <v>471</v>
      </c>
      <c r="F442" t="s">
        <v>941</v>
      </c>
      <c r="G442" t="s">
        <v>47</v>
      </c>
      <c r="I442" t="s">
        <v>2280</v>
      </c>
      <c r="K442" t="s">
        <v>2281</v>
      </c>
      <c r="N442" t="s">
        <v>2282</v>
      </c>
      <c r="Z442" t="s">
        <v>43</v>
      </c>
    </row>
    <row r="443" spans="1:26" x14ac:dyDescent="0.25">
      <c r="A443">
        <v>442</v>
      </c>
      <c r="B443" t="s">
        <v>30</v>
      </c>
      <c r="C443" t="s">
        <v>2283</v>
      </c>
      <c r="D443" t="s">
        <v>867</v>
      </c>
      <c r="E443" t="s">
        <v>471</v>
      </c>
      <c r="F443" t="s">
        <v>1024</v>
      </c>
      <c r="G443" t="s">
        <v>47</v>
      </c>
      <c r="I443" t="s">
        <v>2284</v>
      </c>
      <c r="J443">
        <f>57-322-598-4708</f>
        <v>-5571</v>
      </c>
      <c r="K443" t="s">
        <v>2285</v>
      </c>
      <c r="N443" t="s">
        <v>2286</v>
      </c>
      <c r="Z443" t="s">
        <v>43</v>
      </c>
    </row>
    <row r="444" spans="1:26" x14ac:dyDescent="0.25">
      <c r="A444">
        <v>443</v>
      </c>
      <c r="B444" t="s">
        <v>30</v>
      </c>
      <c r="C444" t="s">
        <v>2287</v>
      </c>
      <c r="D444" t="s">
        <v>2288</v>
      </c>
      <c r="E444" t="s">
        <v>471</v>
      </c>
      <c r="F444" t="s">
        <v>2289</v>
      </c>
      <c r="G444" t="s">
        <v>47</v>
      </c>
      <c r="I444" t="s">
        <v>2290</v>
      </c>
      <c r="K444" t="s">
        <v>2291</v>
      </c>
      <c r="N444" t="s">
        <v>2292</v>
      </c>
      <c r="Z444" t="s">
        <v>43</v>
      </c>
    </row>
    <row r="445" spans="1:26" x14ac:dyDescent="0.25">
      <c r="A445">
        <v>444</v>
      </c>
      <c r="B445" t="s">
        <v>30</v>
      </c>
      <c r="C445" t="s">
        <v>2293</v>
      </c>
      <c r="D445" t="s">
        <v>2294</v>
      </c>
      <c r="E445" t="s">
        <v>2295</v>
      </c>
      <c r="F445" t="s">
        <v>2296</v>
      </c>
      <c r="G445" t="s">
        <v>2297</v>
      </c>
      <c r="I445" t="s">
        <v>2298</v>
      </c>
      <c r="K445" t="s">
        <v>2299</v>
      </c>
      <c r="N445" t="s">
        <v>2300</v>
      </c>
      <c r="Z445" t="s">
        <v>43</v>
      </c>
    </row>
    <row r="446" spans="1:26" x14ac:dyDescent="0.25">
      <c r="A446">
        <v>445</v>
      </c>
      <c r="B446" t="s">
        <v>30</v>
      </c>
      <c r="C446" t="s">
        <v>2301</v>
      </c>
      <c r="D446" t="s">
        <v>384</v>
      </c>
      <c r="E446" t="s">
        <v>385</v>
      </c>
      <c r="F446" t="s">
        <v>386</v>
      </c>
      <c r="G446" t="s">
        <v>387</v>
      </c>
      <c r="I446" t="s">
        <v>2302</v>
      </c>
      <c r="J446">
        <f>57-314-393-3022</f>
        <v>-3672</v>
      </c>
      <c r="K446" t="s">
        <v>2303</v>
      </c>
      <c r="N446" t="s">
        <v>390</v>
      </c>
      <c r="Z446" t="s">
        <v>43</v>
      </c>
    </row>
    <row r="447" spans="1:26" x14ac:dyDescent="0.25">
      <c r="A447">
        <v>446</v>
      </c>
      <c r="B447" t="s">
        <v>30</v>
      </c>
      <c r="C447" t="s">
        <v>2304</v>
      </c>
      <c r="D447" t="s">
        <v>46</v>
      </c>
      <c r="E447" t="s">
        <v>471</v>
      </c>
      <c r="F447" t="s">
        <v>820</v>
      </c>
      <c r="G447" t="s">
        <v>47</v>
      </c>
      <c r="I447" t="s">
        <v>2305</v>
      </c>
      <c r="J447">
        <f>57-319-537-286</f>
        <v>-1085</v>
      </c>
      <c r="K447" t="s">
        <v>2306</v>
      </c>
      <c r="N447" t="s">
        <v>2307</v>
      </c>
      <c r="Z447" t="s">
        <v>43</v>
      </c>
    </row>
    <row r="448" spans="1:26" x14ac:dyDescent="0.25">
      <c r="A448">
        <v>447</v>
      </c>
      <c r="B448" t="s">
        <v>30</v>
      </c>
      <c r="C448" t="s">
        <v>2308</v>
      </c>
      <c r="D448" t="s">
        <v>46</v>
      </c>
      <c r="E448" t="s">
        <v>56</v>
      </c>
      <c r="F448" t="s">
        <v>820</v>
      </c>
      <c r="G448" t="s">
        <v>57</v>
      </c>
      <c r="I448" t="s">
        <v>2309</v>
      </c>
      <c r="J448">
        <f>57-301-567-2478</f>
        <v>-3289</v>
      </c>
      <c r="K448" t="s">
        <v>2310</v>
      </c>
      <c r="N448" t="s">
        <v>2311</v>
      </c>
      <c r="Z448" t="s">
        <v>43</v>
      </c>
    </row>
    <row r="449" spans="1:26" x14ac:dyDescent="0.25">
      <c r="A449">
        <v>448</v>
      </c>
      <c r="B449" t="s">
        <v>30</v>
      </c>
      <c r="C449" t="s">
        <v>2312</v>
      </c>
      <c r="D449" t="s">
        <v>1781</v>
      </c>
      <c r="E449" t="s">
        <v>2105</v>
      </c>
      <c r="F449" t="s">
        <v>2313</v>
      </c>
      <c r="G449" t="s">
        <v>2107</v>
      </c>
      <c r="I449" t="s">
        <v>2314</v>
      </c>
      <c r="J449">
        <f>57-60-1-924-7426</f>
        <v>-8354</v>
      </c>
      <c r="K449" t="s">
        <v>2315</v>
      </c>
      <c r="N449" t="s">
        <v>2316</v>
      </c>
      <c r="Z449" t="s">
        <v>43</v>
      </c>
    </row>
    <row r="450" spans="1:26" x14ac:dyDescent="0.25">
      <c r="A450">
        <v>449</v>
      </c>
      <c r="B450" t="s">
        <v>30</v>
      </c>
      <c r="C450" t="s">
        <v>2317</v>
      </c>
      <c r="D450" t="s">
        <v>2318</v>
      </c>
      <c r="E450" t="s">
        <v>2319</v>
      </c>
      <c r="F450" t="s">
        <v>2320</v>
      </c>
      <c r="G450" t="s">
        <v>2321</v>
      </c>
      <c r="I450" t="s">
        <v>2322</v>
      </c>
      <c r="J450">
        <f>57-321-464-5953</f>
        <v>-6681</v>
      </c>
      <c r="K450" t="s">
        <v>2323</v>
      </c>
      <c r="N450" t="s">
        <v>2324</v>
      </c>
      <c r="Z450" t="s">
        <v>43</v>
      </c>
    </row>
    <row r="451" spans="1:26" x14ac:dyDescent="0.25">
      <c r="A451">
        <v>450</v>
      </c>
      <c r="B451" t="s">
        <v>30</v>
      </c>
      <c r="C451" t="s">
        <v>2325</v>
      </c>
      <c r="D451" t="s">
        <v>909</v>
      </c>
      <c r="E451" t="s">
        <v>56</v>
      </c>
      <c r="F451" t="s">
        <v>1659</v>
      </c>
      <c r="G451" t="s">
        <v>57</v>
      </c>
      <c r="I451" t="s">
        <v>2326</v>
      </c>
      <c r="J451">
        <f>57-300-882-912</f>
        <v>-2037</v>
      </c>
      <c r="K451" t="s">
        <v>2327</v>
      </c>
      <c r="N451" t="s">
        <v>2328</v>
      </c>
      <c r="Z451" t="s">
        <v>43</v>
      </c>
    </row>
    <row r="452" spans="1:26" x14ac:dyDescent="0.25">
      <c r="A452">
        <v>451</v>
      </c>
      <c r="B452" t="s">
        <v>30</v>
      </c>
      <c r="C452" t="s">
        <v>2329</v>
      </c>
      <c r="D452" t="s">
        <v>2330</v>
      </c>
      <c r="E452" t="s">
        <v>64</v>
      </c>
      <c r="F452" t="s">
        <v>2331</v>
      </c>
      <c r="G452" t="s">
        <v>65</v>
      </c>
      <c r="I452" t="s">
        <v>2332</v>
      </c>
      <c r="K452" t="s">
        <v>2333</v>
      </c>
      <c r="N452" t="s">
        <v>2334</v>
      </c>
      <c r="Z452" t="s">
        <v>43</v>
      </c>
    </row>
    <row r="453" spans="1:26" x14ac:dyDescent="0.25">
      <c r="A453">
        <v>452</v>
      </c>
      <c r="B453" t="s">
        <v>30</v>
      </c>
      <c r="C453" t="s">
        <v>2335</v>
      </c>
      <c r="D453" t="s">
        <v>2336</v>
      </c>
      <c r="E453" t="s">
        <v>56</v>
      </c>
      <c r="F453" t="s">
        <v>2337</v>
      </c>
      <c r="G453" t="s">
        <v>57</v>
      </c>
      <c r="I453" t="s">
        <v>2338</v>
      </c>
      <c r="J453">
        <f>57-60-1-704-2639</f>
        <v>-3347</v>
      </c>
      <c r="K453" t="s">
        <v>2339</v>
      </c>
      <c r="N453" t="s">
        <v>2340</v>
      </c>
      <c r="Z453" t="s">
        <v>43</v>
      </c>
    </row>
    <row r="454" spans="1:26" x14ac:dyDescent="0.25">
      <c r="A454">
        <v>453</v>
      </c>
      <c r="B454" t="s">
        <v>30</v>
      </c>
      <c r="C454" t="s">
        <v>2341</v>
      </c>
      <c r="D454" t="s">
        <v>772</v>
      </c>
      <c r="E454" t="s">
        <v>72</v>
      </c>
      <c r="F454" t="s">
        <v>773</v>
      </c>
      <c r="G454" t="s">
        <v>73</v>
      </c>
      <c r="I454" t="s">
        <v>2342</v>
      </c>
      <c r="K454" t="s">
        <v>2343</v>
      </c>
      <c r="N454" t="s">
        <v>2344</v>
      </c>
      <c r="Z454" t="s">
        <v>43</v>
      </c>
    </row>
    <row r="455" spans="1:26" x14ac:dyDescent="0.25">
      <c r="A455">
        <v>454</v>
      </c>
      <c r="B455" t="s">
        <v>30</v>
      </c>
      <c r="C455" t="s">
        <v>2345</v>
      </c>
      <c r="D455" t="s">
        <v>2346</v>
      </c>
      <c r="E455" t="s">
        <v>471</v>
      </c>
      <c r="F455" t="s">
        <v>2347</v>
      </c>
      <c r="G455" t="s">
        <v>47</v>
      </c>
      <c r="I455" t="s">
        <v>2348</v>
      </c>
      <c r="K455" t="s">
        <v>2349</v>
      </c>
      <c r="N455" t="s">
        <v>2350</v>
      </c>
      <c r="Z455" t="s">
        <v>43</v>
      </c>
    </row>
    <row r="456" spans="1:26" x14ac:dyDescent="0.25">
      <c r="A456">
        <v>455</v>
      </c>
      <c r="B456" t="s">
        <v>30</v>
      </c>
      <c r="C456" t="s">
        <v>2351</v>
      </c>
      <c r="D456" t="s">
        <v>2352</v>
      </c>
      <c r="E456" t="s">
        <v>72</v>
      </c>
      <c r="F456" t="s">
        <v>2353</v>
      </c>
      <c r="G456" t="s">
        <v>73</v>
      </c>
      <c r="I456" t="s">
        <v>2354</v>
      </c>
      <c r="K456" t="s">
        <v>2355</v>
      </c>
      <c r="N456" t="s">
        <v>2356</v>
      </c>
      <c r="Z456" t="s">
        <v>43</v>
      </c>
    </row>
    <row r="457" spans="1:26" x14ac:dyDescent="0.25">
      <c r="A457">
        <v>456</v>
      </c>
      <c r="B457" t="s">
        <v>30</v>
      </c>
      <c r="C457" t="s">
        <v>2357</v>
      </c>
      <c r="D457" t="s">
        <v>2358</v>
      </c>
      <c r="E457" t="s">
        <v>948</v>
      </c>
      <c r="F457" t="s">
        <v>2359</v>
      </c>
      <c r="G457" t="s">
        <v>950</v>
      </c>
      <c r="I457" t="s">
        <v>2360</v>
      </c>
      <c r="J457">
        <f>57-301-564-1542</f>
        <v>-2350</v>
      </c>
      <c r="K457" t="s">
        <v>2361</v>
      </c>
      <c r="N457" t="s">
        <v>2362</v>
      </c>
      <c r="Z457" t="s">
        <v>43</v>
      </c>
    </row>
    <row r="458" spans="1:26" x14ac:dyDescent="0.25">
      <c r="A458">
        <v>457</v>
      </c>
      <c r="B458" t="s">
        <v>30</v>
      </c>
      <c r="C458" t="s">
        <v>2363</v>
      </c>
      <c r="D458" t="s">
        <v>46</v>
      </c>
      <c r="E458" t="s">
        <v>471</v>
      </c>
      <c r="F458" t="s">
        <v>820</v>
      </c>
      <c r="G458" t="s">
        <v>47</v>
      </c>
      <c r="I458" t="s">
        <v>2364</v>
      </c>
      <c r="J458">
        <f>57-312-460-8403</f>
        <v>-9118</v>
      </c>
      <c r="K458" t="s">
        <v>2365</v>
      </c>
      <c r="N458" t="s">
        <v>2366</v>
      </c>
      <c r="Z458" t="s">
        <v>43</v>
      </c>
    </row>
    <row r="459" spans="1:26" x14ac:dyDescent="0.25">
      <c r="A459">
        <v>458</v>
      </c>
      <c r="B459" t="s">
        <v>30</v>
      </c>
      <c r="C459" t="s">
        <v>2367</v>
      </c>
      <c r="D459" t="s">
        <v>2368</v>
      </c>
      <c r="E459" t="s">
        <v>1269</v>
      </c>
      <c r="F459" t="s">
        <v>2369</v>
      </c>
      <c r="G459" t="s">
        <v>1271</v>
      </c>
      <c r="I459" t="s">
        <v>2370</v>
      </c>
      <c r="J459">
        <f>57-60-1-347-4558</f>
        <v>-4909</v>
      </c>
      <c r="K459" t="s">
        <v>183</v>
      </c>
      <c r="N459" t="s">
        <v>2371</v>
      </c>
      <c r="Z459" t="s">
        <v>43</v>
      </c>
    </row>
    <row r="460" spans="1:26" x14ac:dyDescent="0.25">
      <c r="A460">
        <v>459</v>
      </c>
      <c r="B460" t="s">
        <v>30</v>
      </c>
      <c r="C460" t="s">
        <v>2372</v>
      </c>
      <c r="D460" t="s">
        <v>772</v>
      </c>
      <c r="E460" t="s">
        <v>471</v>
      </c>
      <c r="F460" t="s">
        <v>1822</v>
      </c>
      <c r="G460" t="s">
        <v>966</v>
      </c>
      <c r="I460" t="s">
        <v>2373</v>
      </c>
      <c r="J460">
        <f>57-320-306-9193</f>
        <v>-9762</v>
      </c>
      <c r="K460" t="s">
        <v>2374</v>
      </c>
      <c r="N460" t="s">
        <v>2375</v>
      </c>
      <c r="Z460" t="s">
        <v>43</v>
      </c>
    </row>
    <row r="461" spans="1:26" x14ac:dyDescent="0.25">
      <c r="A461">
        <v>460</v>
      </c>
      <c r="B461" t="s">
        <v>30</v>
      </c>
      <c r="C461" t="s">
        <v>2376</v>
      </c>
      <c r="D461" t="s">
        <v>46</v>
      </c>
      <c r="E461" t="s">
        <v>56</v>
      </c>
      <c r="F461" t="s">
        <v>820</v>
      </c>
      <c r="G461" t="s">
        <v>57</v>
      </c>
      <c r="I461" t="s">
        <v>2377</v>
      </c>
      <c r="J461">
        <f>57-321-319-2100</f>
        <v>-2683</v>
      </c>
      <c r="K461" t="s">
        <v>2378</v>
      </c>
      <c r="N461" t="s">
        <v>2379</v>
      </c>
      <c r="Z461" t="s">
        <v>43</v>
      </c>
    </row>
    <row r="462" spans="1:26" x14ac:dyDescent="0.25">
      <c r="A462">
        <v>461</v>
      </c>
      <c r="B462" t="s">
        <v>30</v>
      </c>
      <c r="C462" t="s">
        <v>2380</v>
      </c>
      <c r="D462" t="s">
        <v>72</v>
      </c>
      <c r="E462" t="s">
        <v>72</v>
      </c>
      <c r="F462" t="s">
        <v>73</v>
      </c>
      <c r="G462" t="s">
        <v>73</v>
      </c>
      <c r="I462" t="s">
        <v>2381</v>
      </c>
      <c r="K462" t="s">
        <v>2382</v>
      </c>
      <c r="N462" t="s">
        <v>2383</v>
      </c>
      <c r="Z462" t="s">
        <v>43</v>
      </c>
    </row>
    <row r="463" spans="1:26" x14ac:dyDescent="0.25">
      <c r="A463">
        <v>462</v>
      </c>
      <c r="B463" t="s">
        <v>30</v>
      </c>
      <c r="C463" t="s">
        <v>2384</v>
      </c>
      <c r="D463" t="s">
        <v>979</v>
      </c>
      <c r="E463" t="s">
        <v>56</v>
      </c>
      <c r="F463" t="s">
        <v>2385</v>
      </c>
      <c r="G463" t="s">
        <v>57</v>
      </c>
      <c r="I463" t="s">
        <v>2386</v>
      </c>
      <c r="K463" t="s">
        <v>2387</v>
      </c>
      <c r="N463" t="s">
        <v>2388</v>
      </c>
      <c r="Z463" t="s">
        <v>43</v>
      </c>
    </row>
    <row r="464" spans="1:26" x14ac:dyDescent="0.25">
      <c r="A464">
        <v>463</v>
      </c>
      <c r="B464" t="s">
        <v>30</v>
      </c>
      <c r="C464" t="s">
        <v>2389</v>
      </c>
      <c r="D464" t="s">
        <v>1260</v>
      </c>
      <c r="E464" t="s">
        <v>64</v>
      </c>
      <c r="F464" t="s">
        <v>2178</v>
      </c>
      <c r="G464" t="s">
        <v>65</v>
      </c>
      <c r="I464" t="s">
        <v>2390</v>
      </c>
      <c r="K464" t="s">
        <v>2391</v>
      </c>
      <c r="N464" t="s">
        <v>2392</v>
      </c>
      <c r="Z464" t="s">
        <v>43</v>
      </c>
    </row>
    <row r="465" spans="1:26" x14ac:dyDescent="0.25">
      <c r="A465">
        <v>464</v>
      </c>
      <c r="B465" t="s">
        <v>30</v>
      </c>
      <c r="C465" t="s">
        <v>2393</v>
      </c>
      <c r="D465" t="s">
        <v>2394</v>
      </c>
      <c r="E465" t="s">
        <v>64</v>
      </c>
      <c r="F465" t="s">
        <v>2395</v>
      </c>
      <c r="G465" t="s">
        <v>65</v>
      </c>
      <c r="I465" t="s">
        <v>2396</v>
      </c>
      <c r="K465" t="s">
        <v>2397</v>
      </c>
      <c r="N465" t="s">
        <v>2398</v>
      </c>
      <c r="Z465" t="s">
        <v>43</v>
      </c>
    </row>
    <row r="466" spans="1:26" x14ac:dyDescent="0.25">
      <c r="A466">
        <v>465</v>
      </c>
      <c r="B466" t="s">
        <v>30</v>
      </c>
      <c r="C466" t="s">
        <v>2399</v>
      </c>
      <c r="D466" t="s">
        <v>64</v>
      </c>
      <c r="E466" t="s">
        <v>64</v>
      </c>
      <c r="F466" t="s">
        <v>65</v>
      </c>
      <c r="G466" t="s">
        <v>65</v>
      </c>
      <c r="H466" t="s">
        <v>2400</v>
      </c>
      <c r="I466" t="s">
        <v>2401</v>
      </c>
      <c r="J466">
        <f>57-60-1-523-1211</f>
        <v>-1738</v>
      </c>
      <c r="K466" t="s">
        <v>2402</v>
      </c>
      <c r="L466" t="s">
        <v>2403</v>
      </c>
      <c r="N466" t="s">
        <v>2404</v>
      </c>
      <c r="O466" t="s">
        <v>2405</v>
      </c>
      <c r="Z466" t="s">
        <v>43</v>
      </c>
    </row>
    <row r="467" spans="1:26" x14ac:dyDescent="0.25">
      <c r="A467">
        <v>466</v>
      </c>
      <c r="B467" t="s">
        <v>30</v>
      </c>
      <c r="C467" t="s">
        <v>2406</v>
      </c>
      <c r="D467" t="s">
        <v>2336</v>
      </c>
      <c r="E467" t="s">
        <v>471</v>
      </c>
      <c r="F467" t="s">
        <v>2337</v>
      </c>
      <c r="G467" t="s">
        <v>47</v>
      </c>
      <c r="I467" t="s">
        <v>2407</v>
      </c>
      <c r="K467" t="s">
        <v>2408</v>
      </c>
      <c r="N467" t="s">
        <v>2409</v>
      </c>
      <c r="Z467" t="s">
        <v>43</v>
      </c>
    </row>
    <row r="468" spans="1:26" x14ac:dyDescent="0.25">
      <c r="A468">
        <v>467</v>
      </c>
      <c r="B468" t="s">
        <v>30</v>
      </c>
      <c r="C468" t="s">
        <v>2410</v>
      </c>
      <c r="D468" t="s">
        <v>772</v>
      </c>
      <c r="E468" t="s">
        <v>72</v>
      </c>
      <c r="F468" t="s">
        <v>773</v>
      </c>
      <c r="G468" t="s">
        <v>73</v>
      </c>
      <c r="I468" t="s">
        <v>2411</v>
      </c>
      <c r="J468">
        <f>57-313-803-4960</f>
        <v>-6019</v>
      </c>
      <c r="K468" t="s">
        <v>2412</v>
      </c>
      <c r="N468" t="s">
        <v>2413</v>
      </c>
      <c r="Z468" t="s">
        <v>43</v>
      </c>
    </row>
    <row r="469" spans="1:26" x14ac:dyDescent="0.25">
      <c r="A469">
        <v>468</v>
      </c>
      <c r="B469" t="s">
        <v>30</v>
      </c>
      <c r="C469" t="s">
        <v>2414</v>
      </c>
      <c r="D469" t="s">
        <v>2415</v>
      </c>
      <c r="E469" t="s">
        <v>2416</v>
      </c>
      <c r="F469" t="s">
        <v>2417</v>
      </c>
      <c r="G469" t="s">
        <v>2418</v>
      </c>
      <c r="I469" t="s">
        <v>2419</v>
      </c>
      <c r="J469">
        <f>57-314-367-6960</f>
        <v>-7584</v>
      </c>
      <c r="K469" t="s">
        <v>2420</v>
      </c>
      <c r="N469" t="s">
        <v>2421</v>
      </c>
      <c r="Z469" t="s">
        <v>43</v>
      </c>
    </row>
    <row r="470" spans="1:26" x14ac:dyDescent="0.25">
      <c r="A470">
        <v>469</v>
      </c>
      <c r="B470" t="s">
        <v>30</v>
      </c>
      <c r="C470" t="s">
        <v>2422</v>
      </c>
      <c r="D470" t="s">
        <v>2423</v>
      </c>
      <c r="E470" t="s">
        <v>1571</v>
      </c>
      <c r="F470" t="s">
        <v>2424</v>
      </c>
      <c r="G470" t="s">
        <v>1573</v>
      </c>
      <c r="I470" t="s">
        <v>2425</v>
      </c>
      <c r="J470">
        <f>57-322-809-2001</f>
        <v>-3075</v>
      </c>
      <c r="K470" t="s">
        <v>2426</v>
      </c>
      <c r="N470" t="s">
        <v>2427</v>
      </c>
      <c r="Z470" t="s">
        <v>43</v>
      </c>
    </row>
    <row r="471" spans="1:26" x14ac:dyDescent="0.25">
      <c r="A471">
        <v>470</v>
      </c>
      <c r="B471" t="s">
        <v>30</v>
      </c>
      <c r="C471" t="s">
        <v>2428</v>
      </c>
      <c r="D471" t="s">
        <v>1982</v>
      </c>
      <c r="E471" t="s">
        <v>1269</v>
      </c>
      <c r="F471" t="s">
        <v>1983</v>
      </c>
      <c r="G471" t="s">
        <v>1271</v>
      </c>
      <c r="I471" t="s">
        <v>2429</v>
      </c>
      <c r="K471" t="s">
        <v>2430</v>
      </c>
      <c r="N471" t="s">
        <v>2431</v>
      </c>
      <c r="Z471" t="s">
        <v>43</v>
      </c>
    </row>
    <row r="472" spans="1:26" x14ac:dyDescent="0.25">
      <c r="A472">
        <v>471</v>
      </c>
      <c r="B472" t="s">
        <v>30</v>
      </c>
      <c r="C472" t="s">
        <v>2432</v>
      </c>
      <c r="D472" t="s">
        <v>2433</v>
      </c>
      <c r="E472" t="s">
        <v>1155</v>
      </c>
      <c r="F472" t="s">
        <v>2434</v>
      </c>
      <c r="G472" t="s">
        <v>1157</v>
      </c>
      <c r="I472" t="s">
        <v>2435</v>
      </c>
      <c r="K472" t="s">
        <v>2436</v>
      </c>
      <c r="N472" t="s">
        <v>2437</v>
      </c>
      <c r="Z472" t="s">
        <v>43</v>
      </c>
    </row>
    <row r="473" spans="1:26" x14ac:dyDescent="0.25">
      <c r="A473">
        <v>472</v>
      </c>
      <c r="B473" t="s">
        <v>30</v>
      </c>
      <c r="C473" t="s">
        <v>2438</v>
      </c>
      <c r="D473" t="s">
        <v>384</v>
      </c>
      <c r="E473" t="s">
        <v>471</v>
      </c>
      <c r="F473" t="s">
        <v>2439</v>
      </c>
      <c r="G473" t="s">
        <v>47</v>
      </c>
      <c r="I473" t="s">
        <v>2440</v>
      </c>
      <c r="J473">
        <f>57-60-1-671-5964</f>
        <v>-6639</v>
      </c>
      <c r="K473" t="s">
        <v>2441</v>
      </c>
      <c r="N473" t="s">
        <v>2442</v>
      </c>
      <c r="Z473" t="s">
        <v>43</v>
      </c>
    </row>
    <row r="474" spans="1:26" x14ac:dyDescent="0.25">
      <c r="A474">
        <v>473</v>
      </c>
      <c r="B474" t="s">
        <v>30</v>
      </c>
      <c r="C474" t="s">
        <v>2443</v>
      </c>
      <c r="D474" t="s">
        <v>2444</v>
      </c>
      <c r="E474" t="s">
        <v>1338</v>
      </c>
      <c r="F474" t="s">
        <v>2445</v>
      </c>
      <c r="G474" t="s">
        <v>2446</v>
      </c>
      <c r="I474" t="s">
        <v>2447</v>
      </c>
      <c r="K474" t="s">
        <v>2448</v>
      </c>
      <c r="N474" t="s">
        <v>2449</v>
      </c>
      <c r="Z474" t="s">
        <v>43</v>
      </c>
    </row>
    <row r="475" spans="1:26" x14ac:dyDescent="0.25">
      <c r="A475">
        <v>474</v>
      </c>
      <c r="B475" t="s">
        <v>30</v>
      </c>
      <c r="C475" t="s">
        <v>2450</v>
      </c>
      <c r="D475" t="s">
        <v>46</v>
      </c>
      <c r="E475" t="s">
        <v>471</v>
      </c>
      <c r="F475" t="s">
        <v>2451</v>
      </c>
      <c r="G475" t="s">
        <v>966</v>
      </c>
      <c r="I475" t="s">
        <v>2452</v>
      </c>
      <c r="K475" t="s">
        <v>2453</v>
      </c>
      <c r="N475" t="s">
        <v>2454</v>
      </c>
      <c r="Z475" t="s">
        <v>43</v>
      </c>
    </row>
    <row r="476" spans="1:26" x14ac:dyDescent="0.25">
      <c r="A476">
        <v>475</v>
      </c>
      <c r="B476" t="s">
        <v>30</v>
      </c>
      <c r="C476" t="s">
        <v>2455</v>
      </c>
      <c r="D476" t="s">
        <v>899</v>
      </c>
      <c r="E476" t="s">
        <v>1217</v>
      </c>
      <c r="F476" t="s">
        <v>2456</v>
      </c>
      <c r="G476" t="s">
        <v>2132</v>
      </c>
      <c r="I476" t="s">
        <v>2457</v>
      </c>
      <c r="K476" t="s">
        <v>2458</v>
      </c>
      <c r="N476" t="s">
        <v>2459</v>
      </c>
      <c r="Z476" t="s">
        <v>43</v>
      </c>
    </row>
    <row r="477" spans="1:26" x14ac:dyDescent="0.25">
      <c r="A477">
        <v>476</v>
      </c>
      <c r="B477" t="s">
        <v>30</v>
      </c>
      <c r="C477" t="s">
        <v>2460</v>
      </c>
      <c r="D477" t="s">
        <v>2461</v>
      </c>
      <c r="E477" t="s">
        <v>1879</v>
      </c>
      <c r="F477" t="s">
        <v>2462</v>
      </c>
      <c r="G477" t="s">
        <v>1881</v>
      </c>
      <c r="I477" t="s">
        <v>2463</v>
      </c>
      <c r="K477" t="s">
        <v>2464</v>
      </c>
      <c r="N477" t="s">
        <v>2465</v>
      </c>
      <c r="Z477" t="s">
        <v>43</v>
      </c>
    </row>
    <row r="478" spans="1:26" x14ac:dyDescent="0.25">
      <c r="A478">
        <v>477</v>
      </c>
      <c r="B478" t="s">
        <v>30</v>
      </c>
      <c r="C478" t="s">
        <v>2466</v>
      </c>
      <c r="D478" t="s">
        <v>2467</v>
      </c>
      <c r="E478" t="s">
        <v>1585</v>
      </c>
      <c r="F478" t="s">
        <v>2468</v>
      </c>
      <c r="G478" t="s">
        <v>1587</v>
      </c>
      <c r="I478" t="s">
        <v>2469</v>
      </c>
      <c r="J478">
        <f>57-315-652-9429</f>
        <v>-10339</v>
      </c>
      <c r="K478" t="s">
        <v>2470</v>
      </c>
      <c r="N478" t="s">
        <v>2471</v>
      </c>
      <c r="Z478" t="s">
        <v>43</v>
      </c>
    </row>
    <row r="479" spans="1:26" x14ac:dyDescent="0.25">
      <c r="A479">
        <v>478</v>
      </c>
      <c r="B479" t="s">
        <v>30</v>
      </c>
      <c r="C479" t="s">
        <v>2472</v>
      </c>
      <c r="D479" t="s">
        <v>1260</v>
      </c>
      <c r="E479" t="s">
        <v>471</v>
      </c>
      <c r="F479" t="s">
        <v>2204</v>
      </c>
      <c r="G479" t="s">
        <v>47</v>
      </c>
      <c r="I479" t="s">
        <v>2473</v>
      </c>
      <c r="J479">
        <f>57-313-450-1433</f>
        <v>-2139</v>
      </c>
      <c r="K479" t="s">
        <v>2474</v>
      </c>
      <c r="N479" t="s">
        <v>2475</v>
      </c>
      <c r="Z479" t="s">
        <v>43</v>
      </c>
    </row>
    <row r="480" spans="1:26" x14ac:dyDescent="0.25">
      <c r="A480">
        <v>479</v>
      </c>
      <c r="B480" t="s">
        <v>30</v>
      </c>
      <c r="C480" t="s">
        <v>2476</v>
      </c>
      <c r="D480" t="s">
        <v>2477</v>
      </c>
      <c r="E480" t="s">
        <v>56</v>
      </c>
      <c r="F480" t="s">
        <v>2478</v>
      </c>
      <c r="G480" t="s">
        <v>57</v>
      </c>
      <c r="I480" t="s">
        <v>2479</v>
      </c>
      <c r="K480" t="s">
        <v>2480</v>
      </c>
      <c r="N480" t="s">
        <v>2481</v>
      </c>
      <c r="Z480" t="s">
        <v>43</v>
      </c>
    </row>
    <row r="481" spans="1:26" x14ac:dyDescent="0.25">
      <c r="A481">
        <v>480</v>
      </c>
      <c r="B481" t="s">
        <v>30</v>
      </c>
      <c r="C481" t="s">
        <v>2482</v>
      </c>
      <c r="D481" t="s">
        <v>2483</v>
      </c>
      <c r="E481" t="s">
        <v>471</v>
      </c>
      <c r="F481" t="s">
        <v>2484</v>
      </c>
      <c r="G481" t="s">
        <v>47</v>
      </c>
      <c r="I481" t="s">
        <v>2485</v>
      </c>
      <c r="K481" t="s">
        <v>2486</v>
      </c>
      <c r="N481" t="s">
        <v>2487</v>
      </c>
      <c r="Z481" t="s">
        <v>43</v>
      </c>
    </row>
    <row r="482" spans="1:26" x14ac:dyDescent="0.25">
      <c r="A482">
        <v>481</v>
      </c>
      <c r="B482" t="s">
        <v>30</v>
      </c>
      <c r="C482" t="s">
        <v>2488</v>
      </c>
      <c r="D482" t="s">
        <v>2489</v>
      </c>
      <c r="E482" t="s">
        <v>2117</v>
      </c>
      <c r="F482" t="s">
        <v>2490</v>
      </c>
      <c r="G482" t="s">
        <v>2119</v>
      </c>
      <c r="I482" t="s">
        <v>2491</v>
      </c>
      <c r="K482" t="s">
        <v>2492</v>
      </c>
      <c r="N482" t="s">
        <v>2493</v>
      </c>
      <c r="Z482" t="s">
        <v>43</v>
      </c>
    </row>
    <row r="483" spans="1:26" x14ac:dyDescent="0.25">
      <c r="A483">
        <v>482</v>
      </c>
      <c r="B483" t="s">
        <v>30</v>
      </c>
      <c r="C483" t="s">
        <v>2494</v>
      </c>
      <c r="D483" t="s">
        <v>46</v>
      </c>
      <c r="E483" t="s">
        <v>471</v>
      </c>
      <c r="F483" t="s">
        <v>820</v>
      </c>
      <c r="G483" t="s">
        <v>47</v>
      </c>
      <c r="I483" t="s">
        <v>2495</v>
      </c>
      <c r="J483">
        <f>57-318-710-3195</f>
        <v>-4166</v>
      </c>
      <c r="K483" t="s">
        <v>2496</v>
      </c>
      <c r="N483" t="s">
        <v>2497</v>
      </c>
      <c r="Z483" t="s">
        <v>43</v>
      </c>
    </row>
    <row r="484" spans="1:26" x14ac:dyDescent="0.25">
      <c r="A484">
        <v>483</v>
      </c>
      <c r="B484" t="s">
        <v>30</v>
      </c>
      <c r="C484" t="s">
        <v>2498</v>
      </c>
      <c r="D484" t="s">
        <v>2499</v>
      </c>
      <c r="E484" t="s">
        <v>2210</v>
      </c>
      <c r="F484" t="s">
        <v>2500</v>
      </c>
      <c r="G484" t="s">
        <v>2212</v>
      </c>
      <c r="I484" t="s">
        <v>2501</v>
      </c>
      <c r="J484">
        <f>57-317-577-7633</f>
        <v>-8470</v>
      </c>
      <c r="K484" t="s">
        <v>2502</v>
      </c>
      <c r="N484" t="s">
        <v>2503</v>
      </c>
      <c r="Z484" t="s">
        <v>43</v>
      </c>
    </row>
    <row r="485" spans="1:26" x14ac:dyDescent="0.25">
      <c r="A485">
        <v>484</v>
      </c>
      <c r="B485" t="s">
        <v>30</v>
      </c>
      <c r="C485" t="s">
        <v>2504</v>
      </c>
      <c r="D485" t="s">
        <v>2505</v>
      </c>
      <c r="E485" t="s">
        <v>471</v>
      </c>
      <c r="F485" t="s">
        <v>2506</v>
      </c>
      <c r="G485" t="s">
        <v>47</v>
      </c>
      <c r="I485" t="s">
        <v>2507</v>
      </c>
      <c r="K485" t="s">
        <v>2508</v>
      </c>
      <c r="N485" t="s">
        <v>2509</v>
      </c>
      <c r="Z485" t="s">
        <v>43</v>
      </c>
    </row>
    <row r="486" spans="1:26" x14ac:dyDescent="0.25">
      <c r="A486">
        <v>485</v>
      </c>
      <c r="B486" t="s">
        <v>30</v>
      </c>
      <c r="C486" t="s">
        <v>2510</v>
      </c>
      <c r="D486" t="s">
        <v>2511</v>
      </c>
      <c r="E486" t="s">
        <v>1248</v>
      </c>
      <c r="F486" t="s">
        <v>2512</v>
      </c>
      <c r="G486" t="s">
        <v>1250</v>
      </c>
      <c r="I486" t="s">
        <v>2513</v>
      </c>
      <c r="J486">
        <f>57-301-527-699</f>
        <v>-1470</v>
      </c>
      <c r="K486" t="s">
        <v>2514</v>
      </c>
      <c r="N486" t="s">
        <v>2515</v>
      </c>
      <c r="Z486" t="s">
        <v>43</v>
      </c>
    </row>
    <row r="487" spans="1:26" x14ac:dyDescent="0.25">
      <c r="A487">
        <v>486</v>
      </c>
      <c r="B487" t="s">
        <v>30</v>
      </c>
      <c r="C487" t="s">
        <v>2516</v>
      </c>
      <c r="D487" t="s">
        <v>2517</v>
      </c>
      <c r="E487" t="s">
        <v>471</v>
      </c>
      <c r="F487" t="s">
        <v>2518</v>
      </c>
      <c r="G487" t="s">
        <v>47</v>
      </c>
      <c r="I487" t="s">
        <v>2519</v>
      </c>
      <c r="J487">
        <f>57-320-293-7401</f>
        <v>-7957</v>
      </c>
      <c r="K487" t="s">
        <v>2520</v>
      </c>
      <c r="N487" t="s">
        <v>2521</v>
      </c>
      <c r="Z487" t="s">
        <v>43</v>
      </c>
    </row>
    <row r="488" spans="1:26" x14ac:dyDescent="0.25">
      <c r="A488">
        <v>487</v>
      </c>
      <c r="B488" t="s">
        <v>30</v>
      </c>
      <c r="C488" t="s">
        <v>2522</v>
      </c>
      <c r="D488" t="s">
        <v>46</v>
      </c>
      <c r="E488" t="s">
        <v>471</v>
      </c>
      <c r="F488" t="s">
        <v>2523</v>
      </c>
      <c r="G488" t="s">
        <v>47</v>
      </c>
      <c r="I488" t="s">
        <v>2524</v>
      </c>
      <c r="K488" t="s">
        <v>2525</v>
      </c>
      <c r="N488" t="s">
        <v>2526</v>
      </c>
      <c r="Z488" t="s">
        <v>43</v>
      </c>
    </row>
    <row r="489" spans="1:26" x14ac:dyDescent="0.25">
      <c r="A489">
        <v>488</v>
      </c>
      <c r="B489" t="s">
        <v>30</v>
      </c>
      <c r="C489" t="s">
        <v>2527</v>
      </c>
      <c r="D489" t="s">
        <v>46</v>
      </c>
      <c r="E489" t="s">
        <v>471</v>
      </c>
      <c r="F489" t="s">
        <v>2523</v>
      </c>
      <c r="G489" t="s">
        <v>47</v>
      </c>
      <c r="I489" t="s">
        <v>2528</v>
      </c>
      <c r="J489">
        <f>57-310-868-6683</f>
        <v>-7804</v>
      </c>
      <c r="K489" t="s">
        <v>2529</v>
      </c>
      <c r="N489" t="s">
        <v>2530</v>
      </c>
      <c r="Z489" t="s">
        <v>43</v>
      </c>
    </row>
    <row r="490" spans="1:26" x14ac:dyDescent="0.25">
      <c r="A490">
        <v>489</v>
      </c>
      <c r="B490" t="s">
        <v>30</v>
      </c>
      <c r="C490" t="s">
        <v>2531</v>
      </c>
      <c r="D490" t="s">
        <v>64</v>
      </c>
      <c r="E490" t="s">
        <v>64</v>
      </c>
      <c r="F490" t="s">
        <v>65</v>
      </c>
      <c r="G490" t="s">
        <v>65</v>
      </c>
      <c r="I490" t="s">
        <v>2532</v>
      </c>
      <c r="K490" t="s">
        <v>2533</v>
      </c>
      <c r="N490" t="s">
        <v>2534</v>
      </c>
      <c r="Z490" t="s">
        <v>43</v>
      </c>
    </row>
    <row r="491" spans="1:26" x14ac:dyDescent="0.25">
      <c r="A491">
        <v>490</v>
      </c>
      <c r="B491" t="s">
        <v>30</v>
      </c>
      <c r="C491" t="s">
        <v>2535</v>
      </c>
      <c r="D491" t="s">
        <v>1260</v>
      </c>
      <c r="E491" t="s">
        <v>471</v>
      </c>
      <c r="F491" t="s">
        <v>2084</v>
      </c>
      <c r="G491" t="s">
        <v>47</v>
      </c>
      <c r="I491" t="s">
        <v>2536</v>
      </c>
      <c r="J491">
        <f>57-310-304-6709</f>
        <v>-7266</v>
      </c>
      <c r="K491" t="s">
        <v>2537</v>
      </c>
      <c r="N491" t="s">
        <v>2538</v>
      </c>
      <c r="Z491" t="s">
        <v>43</v>
      </c>
    </row>
    <row r="492" spans="1:26" x14ac:dyDescent="0.25">
      <c r="A492">
        <v>491</v>
      </c>
      <c r="B492" t="s">
        <v>30</v>
      </c>
      <c r="C492" t="s">
        <v>2539</v>
      </c>
      <c r="D492" t="s">
        <v>2540</v>
      </c>
      <c r="E492" t="s">
        <v>64</v>
      </c>
      <c r="F492" t="s">
        <v>2541</v>
      </c>
      <c r="G492" t="s">
        <v>65</v>
      </c>
      <c r="I492" t="s">
        <v>2542</v>
      </c>
      <c r="K492" t="s">
        <v>2543</v>
      </c>
      <c r="N492" t="s">
        <v>2544</v>
      </c>
      <c r="Z492" t="s">
        <v>43</v>
      </c>
    </row>
    <row r="493" spans="1:26" x14ac:dyDescent="0.25">
      <c r="A493">
        <v>492</v>
      </c>
      <c r="B493" t="s">
        <v>30</v>
      </c>
      <c r="C493" t="s">
        <v>2545</v>
      </c>
      <c r="D493" t="s">
        <v>2546</v>
      </c>
      <c r="E493" t="s">
        <v>2007</v>
      </c>
      <c r="F493" t="s">
        <v>2547</v>
      </c>
      <c r="G493" t="s">
        <v>2009</v>
      </c>
      <c r="I493" t="s">
        <v>2548</v>
      </c>
      <c r="J493">
        <f>57-310-300-8092</f>
        <v>-8645</v>
      </c>
      <c r="N493" t="s">
        <v>2549</v>
      </c>
      <c r="Z493" t="s">
        <v>43</v>
      </c>
    </row>
    <row r="494" spans="1:26" x14ac:dyDescent="0.25">
      <c r="A494">
        <v>493</v>
      </c>
      <c r="B494" t="s">
        <v>30</v>
      </c>
      <c r="C494" t="s">
        <v>2550</v>
      </c>
      <c r="D494" t="s">
        <v>2551</v>
      </c>
      <c r="E494" t="s">
        <v>755</v>
      </c>
      <c r="F494" t="s">
        <v>2552</v>
      </c>
      <c r="G494" t="s">
        <v>2199</v>
      </c>
      <c r="I494" t="s">
        <v>2553</v>
      </c>
      <c r="J494">
        <f>57-320-816-894</f>
        <v>-1973</v>
      </c>
      <c r="K494" t="s">
        <v>2554</v>
      </c>
      <c r="N494" t="s">
        <v>2555</v>
      </c>
      <c r="Z494" t="s">
        <v>43</v>
      </c>
    </row>
    <row r="495" spans="1:26" x14ac:dyDescent="0.25">
      <c r="A495">
        <v>494</v>
      </c>
      <c r="B495" t="s">
        <v>30</v>
      </c>
      <c r="C495" t="s">
        <v>2556</v>
      </c>
      <c r="D495" t="s">
        <v>2557</v>
      </c>
      <c r="E495" t="s">
        <v>56</v>
      </c>
      <c r="F495" t="s">
        <v>2558</v>
      </c>
      <c r="G495" t="s">
        <v>57</v>
      </c>
      <c r="I495" t="s">
        <v>2559</v>
      </c>
      <c r="J495">
        <f>57-320-995-6444</f>
        <v>-7702</v>
      </c>
      <c r="K495" t="s">
        <v>2560</v>
      </c>
      <c r="N495" t="s">
        <v>2561</v>
      </c>
      <c r="Z495" t="s">
        <v>43</v>
      </c>
    </row>
    <row r="496" spans="1:26" x14ac:dyDescent="0.25">
      <c r="A496">
        <v>495</v>
      </c>
      <c r="B496" t="s">
        <v>30</v>
      </c>
      <c r="C496" t="s">
        <v>2562</v>
      </c>
      <c r="D496" t="s">
        <v>46</v>
      </c>
      <c r="E496" t="s">
        <v>56</v>
      </c>
      <c r="F496" t="s">
        <v>820</v>
      </c>
      <c r="G496" t="s">
        <v>57</v>
      </c>
      <c r="I496" t="s">
        <v>2563</v>
      </c>
      <c r="K496" t="s">
        <v>2564</v>
      </c>
      <c r="N496" t="s">
        <v>2565</v>
      </c>
      <c r="Z496" t="s">
        <v>43</v>
      </c>
    </row>
    <row r="497" spans="1:26" x14ac:dyDescent="0.25">
      <c r="A497">
        <v>496</v>
      </c>
      <c r="B497" t="s">
        <v>30</v>
      </c>
      <c r="C497" t="s">
        <v>2566</v>
      </c>
      <c r="D497" t="s">
        <v>2567</v>
      </c>
      <c r="E497" t="s">
        <v>1217</v>
      </c>
      <c r="F497" t="s">
        <v>2568</v>
      </c>
      <c r="G497" t="s">
        <v>2132</v>
      </c>
      <c r="I497" t="s">
        <v>2569</v>
      </c>
      <c r="J497">
        <f>57-60-1-303-5889</f>
        <v>-6196</v>
      </c>
      <c r="K497" t="s">
        <v>2570</v>
      </c>
      <c r="N497" t="s">
        <v>2571</v>
      </c>
      <c r="Z497" t="s">
        <v>43</v>
      </c>
    </row>
    <row r="498" spans="1:26" x14ac:dyDescent="0.25">
      <c r="A498">
        <v>497</v>
      </c>
      <c r="B498" t="s">
        <v>30</v>
      </c>
      <c r="C498" t="s">
        <v>2572</v>
      </c>
      <c r="D498" t="s">
        <v>2573</v>
      </c>
      <c r="E498" t="s">
        <v>471</v>
      </c>
      <c r="F498" t="s">
        <v>2574</v>
      </c>
      <c r="G498" t="s">
        <v>47</v>
      </c>
      <c r="I498" t="s">
        <v>2575</v>
      </c>
      <c r="K498" t="s">
        <v>2576</v>
      </c>
      <c r="N498" t="s">
        <v>2577</v>
      </c>
      <c r="Z498" t="s">
        <v>43</v>
      </c>
    </row>
    <row r="499" spans="1:26" x14ac:dyDescent="0.25">
      <c r="A499">
        <v>498</v>
      </c>
      <c r="B499" t="s">
        <v>30</v>
      </c>
      <c r="C499" t="s">
        <v>2578</v>
      </c>
      <c r="D499" t="s">
        <v>2579</v>
      </c>
      <c r="E499" t="s">
        <v>64</v>
      </c>
      <c r="F499" t="s">
        <v>2580</v>
      </c>
      <c r="G499" t="s">
        <v>65</v>
      </c>
      <c r="I499" t="s">
        <v>2581</v>
      </c>
      <c r="J499">
        <f>57-300-208-4234</f>
        <v>-4685</v>
      </c>
      <c r="K499" t="s">
        <v>2582</v>
      </c>
      <c r="N499" t="s">
        <v>2583</v>
      </c>
      <c r="Z499" t="s">
        <v>43</v>
      </c>
    </row>
    <row r="500" spans="1:26" x14ac:dyDescent="0.25">
      <c r="A500">
        <v>499</v>
      </c>
      <c r="B500" t="s">
        <v>30</v>
      </c>
      <c r="C500" t="s">
        <v>2584</v>
      </c>
      <c r="D500" t="s">
        <v>2585</v>
      </c>
      <c r="E500" t="s">
        <v>56</v>
      </c>
      <c r="F500" t="s">
        <v>2586</v>
      </c>
      <c r="G500" t="s">
        <v>57</v>
      </c>
      <c r="I500" t="s">
        <v>2587</v>
      </c>
      <c r="J500">
        <f>57-319-234-6262</f>
        <v>-6758</v>
      </c>
      <c r="K500" t="s">
        <v>2588</v>
      </c>
      <c r="N500" t="s">
        <v>2589</v>
      </c>
      <c r="Z500" t="s">
        <v>43</v>
      </c>
    </row>
    <row r="501" spans="1:26" x14ac:dyDescent="0.25">
      <c r="A501">
        <v>500</v>
      </c>
      <c r="B501" t="s">
        <v>30</v>
      </c>
      <c r="C501" t="s">
        <v>2590</v>
      </c>
      <c r="D501" t="s">
        <v>2591</v>
      </c>
      <c r="E501" t="s">
        <v>2592</v>
      </c>
      <c r="F501" t="s">
        <v>2593</v>
      </c>
      <c r="G501" t="s">
        <v>2594</v>
      </c>
      <c r="I501" t="s">
        <v>2587</v>
      </c>
      <c r="J501">
        <f>57-300-855-4340</f>
        <v>-5438</v>
      </c>
      <c r="K501" t="s">
        <v>2588</v>
      </c>
      <c r="N501" t="s">
        <v>2589</v>
      </c>
      <c r="Z501" t="s">
        <v>43</v>
      </c>
    </row>
    <row r="502" spans="1:26" x14ac:dyDescent="0.25">
      <c r="A502">
        <v>501</v>
      </c>
      <c r="B502" t="s">
        <v>30</v>
      </c>
      <c r="C502" t="s">
        <v>2595</v>
      </c>
      <c r="D502" t="s">
        <v>2596</v>
      </c>
      <c r="E502" t="s">
        <v>471</v>
      </c>
      <c r="F502" t="s">
        <v>2597</v>
      </c>
      <c r="G502" t="s">
        <v>47</v>
      </c>
      <c r="I502" t="s">
        <v>2598</v>
      </c>
      <c r="J502">
        <f>57-350-642-317</f>
        <v>-1252</v>
      </c>
      <c r="K502" t="s">
        <v>2599</v>
      </c>
      <c r="N502" t="s">
        <v>2600</v>
      </c>
      <c r="Z502" t="s">
        <v>43</v>
      </c>
    </row>
    <row r="503" spans="1:26" x14ac:dyDescent="0.25">
      <c r="A503">
        <v>502</v>
      </c>
      <c r="B503" t="s">
        <v>30</v>
      </c>
      <c r="C503" t="s">
        <v>2601</v>
      </c>
      <c r="D503" t="s">
        <v>46</v>
      </c>
      <c r="E503" t="s">
        <v>471</v>
      </c>
      <c r="F503" t="s">
        <v>820</v>
      </c>
      <c r="G503" t="s">
        <v>47</v>
      </c>
      <c r="I503" t="s">
        <v>2602</v>
      </c>
      <c r="K503" t="s">
        <v>2603</v>
      </c>
      <c r="N503" t="s">
        <v>2604</v>
      </c>
      <c r="Z503" t="s">
        <v>43</v>
      </c>
    </row>
    <row r="504" spans="1:26" x14ac:dyDescent="0.25">
      <c r="A504">
        <v>503</v>
      </c>
      <c r="B504" t="s">
        <v>30</v>
      </c>
      <c r="C504" t="s">
        <v>2605</v>
      </c>
      <c r="D504" t="s">
        <v>72</v>
      </c>
      <c r="E504" t="s">
        <v>72</v>
      </c>
      <c r="F504" t="s">
        <v>73</v>
      </c>
      <c r="G504" t="s">
        <v>73</v>
      </c>
      <c r="I504" t="s">
        <v>2606</v>
      </c>
      <c r="J504">
        <f>57-311-532-7945</f>
        <v>-8731</v>
      </c>
      <c r="K504" t="s">
        <v>2607</v>
      </c>
      <c r="N504" t="s">
        <v>2608</v>
      </c>
      <c r="Z504" t="s">
        <v>43</v>
      </c>
    </row>
    <row r="505" spans="1:26" x14ac:dyDescent="0.25">
      <c r="A505">
        <v>504</v>
      </c>
      <c r="B505" t="s">
        <v>30</v>
      </c>
      <c r="C505" t="s">
        <v>2609</v>
      </c>
      <c r="D505" t="s">
        <v>2168</v>
      </c>
      <c r="E505" t="s">
        <v>64</v>
      </c>
      <c r="F505" t="s">
        <v>2169</v>
      </c>
      <c r="G505" t="s">
        <v>65</v>
      </c>
      <c r="I505" t="s">
        <v>2610</v>
      </c>
      <c r="J505">
        <f>57-310-625-7741</f>
        <v>-8619</v>
      </c>
      <c r="K505" t="s">
        <v>2611</v>
      </c>
      <c r="N505" t="s">
        <v>2612</v>
      </c>
      <c r="Z505" t="s">
        <v>43</v>
      </c>
    </row>
    <row r="506" spans="1:26" x14ac:dyDescent="0.25">
      <c r="A506">
        <v>505</v>
      </c>
      <c r="B506" t="s">
        <v>30</v>
      </c>
      <c r="C506" t="s">
        <v>2613</v>
      </c>
      <c r="D506" t="s">
        <v>2614</v>
      </c>
      <c r="E506" t="s">
        <v>1217</v>
      </c>
      <c r="F506" t="s">
        <v>2615</v>
      </c>
      <c r="G506" t="s">
        <v>1219</v>
      </c>
      <c r="I506" t="s">
        <v>2616</v>
      </c>
      <c r="K506" t="s">
        <v>2617</v>
      </c>
      <c r="N506" t="s">
        <v>2618</v>
      </c>
      <c r="Z506" t="s">
        <v>43</v>
      </c>
    </row>
    <row r="507" spans="1:26" x14ac:dyDescent="0.25">
      <c r="A507">
        <v>506</v>
      </c>
      <c r="B507" t="s">
        <v>30</v>
      </c>
      <c r="C507" t="s">
        <v>2619</v>
      </c>
      <c r="D507" t="s">
        <v>2098</v>
      </c>
      <c r="E507" t="s">
        <v>1269</v>
      </c>
      <c r="F507" t="s">
        <v>2099</v>
      </c>
      <c r="G507" t="s">
        <v>1271</v>
      </c>
      <c r="I507" t="s">
        <v>2620</v>
      </c>
      <c r="J507">
        <f>57-314-382-7830</f>
        <v>-8469</v>
      </c>
      <c r="K507" t="s">
        <v>2621</v>
      </c>
      <c r="N507" t="s">
        <v>2622</v>
      </c>
      <c r="Z507" t="s">
        <v>43</v>
      </c>
    </row>
    <row r="508" spans="1:26" x14ac:dyDescent="0.25">
      <c r="A508">
        <v>507</v>
      </c>
      <c r="B508" t="s">
        <v>30</v>
      </c>
      <c r="C508" t="s">
        <v>2623</v>
      </c>
      <c r="D508" t="s">
        <v>384</v>
      </c>
      <c r="E508" t="s">
        <v>471</v>
      </c>
      <c r="F508" t="s">
        <v>386</v>
      </c>
      <c r="G508" t="s">
        <v>47</v>
      </c>
      <c r="I508" t="s">
        <v>2624</v>
      </c>
      <c r="K508" t="s">
        <v>2625</v>
      </c>
      <c r="N508" t="s">
        <v>2626</v>
      </c>
      <c r="Z508" t="s">
        <v>43</v>
      </c>
    </row>
    <row r="509" spans="1:26" x14ac:dyDescent="0.25">
      <c r="A509">
        <v>508</v>
      </c>
      <c r="B509" t="s">
        <v>30</v>
      </c>
      <c r="C509" t="s">
        <v>2627</v>
      </c>
      <c r="D509" t="s">
        <v>2628</v>
      </c>
      <c r="E509" t="s">
        <v>2117</v>
      </c>
      <c r="F509" t="s">
        <v>2629</v>
      </c>
      <c r="G509" t="s">
        <v>2119</v>
      </c>
      <c r="I509" t="s">
        <v>2630</v>
      </c>
      <c r="J509">
        <f>57-321-326-231</f>
        <v>-821</v>
      </c>
      <c r="K509" t="s">
        <v>2631</v>
      </c>
      <c r="N509" t="s">
        <v>2632</v>
      </c>
      <c r="Z509" t="s">
        <v>43</v>
      </c>
    </row>
    <row r="510" spans="1:26" x14ac:dyDescent="0.25">
      <c r="A510">
        <v>509</v>
      </c>
      <c r="B510" t="s">
        <v>30</v>
      </c>
      <c r="C510" t="s">
        <v>2633</v>
      </c>
      <c r="D510" t="s">
        <v>384</v>
      </c>
      <c r="E510" t="s">
        <v>471</v>
      </c>
      <c r="F510" t="s">
        <v>2439</v>
      </c>
      <c r="G510" t="s">
        <v>47</v>
      </c>
      <c r="I510" t="s">
        <v>2634</v>
      </c>
      <c r="J510">
        <f>57-320-341-5166</f>
        <v>-5770</v>
      </c>
      <c r="K510" t="s">
        <v>2635</v>
      </c>
      <c r="N510" t="s">
        <v>2636</v>
      </c>
      <c r="Z510" t="s">
        <v>43</v>
      </c>
    </row>
    <row r="511" spans="1:26" x14ac:dyDescent="0.25">
      <c r="A511">
        <v>510</v>
      </c>
      <c r="B511" t="s">
        <v>30</v>
      </c>
      <c r="C511" t="s">
        <v>2637</v>
      </c>
      <c r="D511" t="s">
        <v>2638</v>
      </c>
      <c r="E511" t="s">
        <v>1850</v>
      </c>
      <c r="F511" t="s">
        <v>2639</v>
      </c>
      <c r="G511" t="s">
        <v>1852</v>
      </c>
      <c r="I511" t="s">
        <v>2640</v>
      </c>
      <c r="K511" t="s">
        <v>2641</v>
      </c>
      <c r="N511" t="s">
        <v>2642</v>
      </c>
      <c r="Z511" t="s">
        <v>43</v>
      </c>
    </row>
    <row r="512" spans="1:26" x14ac:dyDescent="0.25">
      <c r="A512">
        <v>511</v>
      </c>
      <c r="B512" t="s">
        <v>30</v>
      </c>
      <c r="C512" t="s">
        <v>2643</v>
      </c>
      <c r="D512" t="s">
        <v>2644</v>
      </c>
      <c r="E512" t="s">
        <v>64</v>
      </c>
      <c r="F512" t="s">
        <v>2645</v>
      </c>
      <c r="G512" t="s">
        <v>65</v>
      </c>
      <c r="I512" t="s">
        <v>2646</v>
      </c>
      <c r="K512" t="s">
        <v>2647</v>
      </c>
      <c r="N512" t="s">
        <v>2648</v>
      </c>
      <c r="Z512" t="s">
        <v>43</v>
      </c>
    </row>
    <row r="513" spans="1:26" x14ac:dyDescent="0.25">
      <c r="A513">
        <v>512</v>
      </c>
      <c r="B513" t="s">
        <v>30</v>
      </c>
      <c r="C513" t="s">
        <v>2649</v>
      </c>
      <c r="D513" t="s">
        <v>772</v>
      </c>
      <c r="E513" t="s">
        <v>471</v>
      </c>
      <c r="F513" t="s">
        <v>773</v>
      </c>
      <c r="G513" t="s">
        <v>47</v>
      </c>
      <c r="I513" t="s">
        <v>2650</v>
      </c>
      <c r="K513" t="s">
        <v>2651</v>
      </c>
      <c r="N513" t="s">
        <v>2652</v>
      </c>
      <c r="Z513" t="s">
        <v>43</v>
      </c>
    </row>
    <row r="514" spans="1:26" x14ac:dyDescent="0.25">
      <c r="A514">
        <v>513</v>
      </c>
      <c r="B514" t="s">
        <v>30</v>
      </c>
      <c r="C514" t="s">
        <v>2653</v>
      </c>
      <c r="D514" t="s">
        <v>2654</v>
      </c>
      <c r="E514" t="s">
        <v>385</v>
      </c>
      <c r="F514" t="s">
        <v>2655</v>
      </c>
      <c r="G514" t="s">
        <v>387</v>
      </c>
      <c r="I514" t="s">
        <v>2656</v>
      </c>
      <c r="K514" t="s">
        <v>2657</v>
      </c>
      <c r="N514" t="s">
        <v>2658</v>
      </c>
      <c r="Z514" t="s">
        <v>43</v>
      </c>
    </row>
    <row r="515" spans="1:26" x14ac:dyDescent="0.25">
      <c r="A515">
        <v>514</v>
      </c>
      <c r="B515" t="s">
        <v>30</v>
      </c>
      <c r="C515" t="s">
        <v>2659</v>
      </c>
      <c r="D515" t="s">
        <v>867</v>
      </c>
      <c r="E515" t="s">
        <v>471</v>
      </c>
      <c r="F515" t="s">
        <v>2660</v>
      </c>
      <c r="G515" t="s">
        <v>47</v>
      </c>
      <c r="I515" t="s">
        <v>2661</v>
      </c>
      <c r="K515" t="s">
        <v>2662</v>
      </c>
      <c r="N515" t="s">
        <v>2663</v>
      </c>
      <c r="Z515" t="s">
        <v>43</v>
      </c>
    </row>
    <row r="516" spans="1:26" x14ac:dyDescent="0.25">
      <c r="A516">
        <v>515</v>
      </c>
      <c r="B516" t="s">
        <v>30</v>
      </c>
      <c r="C516" t="s">
        <v>2664</v>
      </c>
      <c r="D516" t="s">
        <v>2665</v>
      </c>
      <c r="E516" t="s">
        <v>2666</v>
      </c>
      <c r="F516" t="s">
        <v>2667</v>
      </c>
      <c r="G516" t="s">
        <v>2668</v>
      </c>
      <c r="I516" t="s">
        <v>2669</v>
      </c>
      <c r="J516">
        <f>57-60-1-759-563</f>
        <v>-1326</v>
      </c>
      <c r="K516" t="s">
        <v>2670</v>
      </c>
      <c r="N516" t="s">
        <v>2671</v>
      </c>
      <c r="Z516" t="s">
        <v>43</v>
      </c>
    </row>
    <row r="517" spans="1:26" x14ac:dyDescent="0.25">
      <c r="A517">
        <v>516</v>
      </c>
      <c r="B517" t="s">
        <v>30</v>
      </c>
      <c r="C517" t="s">
        <v>2672</v>
      </c>
      <c r="D517" t="s">
        <v>2673</v>
      </c>
      <c r="E517" t="s">
        <v>1338</v>
      </c>
      <c r="F517" t="s">
        <v>2674</v>
      </c>
      <c r="G517" t="s">
        <v>1340</v>
      </c>
      <c r="I517" t="s">
        <v>2675</v>
      </c>
      <c r="J517">
        <f>57-320-812-1318</f>
        <v>-2393</v>
      </c>
      <c r="K517" t="s">
        <v>2676</v>
      </c>
      <c r="N517" t="s">
        <v>2677</v>
      </c>
      <c r="Z517" t="s">
        <v>43</v>
      </c>
    </row>
    <row r="518" spans="1:26" x14ac:dyDescent="0.25">
      <c r="A518">
        <v>517</v>
      </c>
      <c r="B518" t="s">
        <v>30</v>
      </c>
      <c r="C518" t="s">
        <v>2678</v>
      </c>
      <c r="D518" t="s">
        <v>2679</v>
      </c>
      <c r="E518" t="s">
        <v>56</v>
      </c>
      <c r="F518" t="s">
        <v>2680</v>
      </c>
      <c r="G518" t="s">
        <v>57</v>
      </c>
      <c r="I518" t="s">
        <v>2681</v>
      </c>
      <c r="J518">
        <f>57-311-278-7193</f>
        <v>-7725</v>
      </c>
      <c r="K518" t="s">
        <v>2682</v>
      </c>
      <c r="N518" t="s">
        <v>2683</v>
      </c>
      <c r="Z518" t="s">
        <v>43</v>
      </c>
    </row>
    <row r="519" spans="1:26" x14ac:dyDescent="0.25">
      <c r="A519">
        <v>518</v>
      </c>
      <c r="B519" t="s">
        <v>30</v>
      </c>
      <c r="C519" t="s">
        <v>2684</v>
      </c>
      <c r="D519" t="s">
        <v>46</v>
      </c>
      <c r="E519" t="s">
        <v>471</v>
      </c>
      <c r="F519" t="s">
        <v>820</v>
      </c>
      <c r="G519" t="s">
        <v>47</v>
      </c>
      <c r="I519" t="s">
        <v>2685</v>
      </c>
      <c r="K519" t="s">
        <v>2686</v>
      </c>
      <c r="N519" t="s">
        <v>2687</v>
      </c>
      <c r="Z519" t="s">
        <v>43</v>
      </c>
    </row>
    <row r="520" spans="1:26" x14ac:dyDescent="0.25">
      <c r="A520">
        <v>519</v>
      </c>
      <c r="B520" t="s">
        <v>30</v>
      </c>
      <c r="C520" t="s">
        <v>2688</v>
      </c>
      <c r="D520" t="s">
        <v>46</v>
      </c>
      <c r="E520" t="s">
        <v>471</v>
      </c>
      <c r="F520" t="s">
        <v>820</v>
      </c>
      <c r="G520" t="s">
        <v>47</v>
      </c>
      <c r="I520" t="s">
        <v>2689</v>
      </c>
      <c r="J520">
        <f>57-60-1-702-7773</f>
        <v>-8479</v>
      </c>
      <c r="K520" t="s">
        <v>2690</v>
      </c>
      <c r="N520" t="s">
        <v>2691</v>
      </c>
      <c r="Z520" t="s">
        <v>43</v>
      </c>
    </row>
    <row r="521" spans="1:26" x14ac:dyDescent="0.25">
      <c r="A521">
        <v>520</v>
      </c>
      <c r="B521" t="s">
        <v>30</v>
      </c>
      <c r="C521" t="s">
        <v>2692</v>
      </c>
      <c r="D521" t="s">
        <v>2693</v>
      </c>
      <c r="E521" t="s">
        <v>72</v>
      </c>
      <c r="F521" t="s">
        <v>2694</v>
      </c>
      <c r="G521" t="s">
        <v>73</v>
      </c>
      <c r="I521" t="s">
        <v>2695</v>
      </c>
      <c r="J521">
        <f>57-314-442-7854</f>
        <v>-8553</v>
      </c>
      <c r="K521" t="s">
        <v>2696</v>
      </c>
      <c r="N521" t="s">
        <v>2697</v>
      </c>
      <c r="Z521" t="s">
        <v>43</v>
      </c>
    </row>
    <row r="522" spans="1:26" x14ac:dyDescent="0.25">
      <c r="A522">
        <v>521</v>
      </c>
      <c r="B522" t="s">
        <v>30</v>
      </c>
      <c r="C522" t="s">
        <v>2698</v>
      </c>
      <c r="D522" t="s">
        <v>2699</v>
      </c>
      <c r="E522" t="s">
        <v>1155</v>
      </c>
      <c r="F522" t="s">
        <v>2700</v>
      </c>
      <c r="G522" t="s">
        <v>1157</v>
      </c>
      <c r="I522" t="s">
        <v>2701</v>
      </c>
      <c r="J522">
        <f>57-60-1-785-2170</f>
        <v>-2959</v>
      </c>
      <c r="K522" t="s">
        <v>2702</v>
      </c>
      <c r="N522" t="s">
        <v>2703</v>
      </c>
      <c r="Z522" t="s">
        <v>43</v>
      </c>
    </row>
    <row r="523" spans="1:26" x14ac:dyDescent="0.25">
      <c r="A523">
        <v>522</v>
      </c>
      <c r="B523" t="s">
        <v>30</v>
      </c>
      <c r="C523" t="s">
        <v>2704</v>
      </c>
      <c r="D523" t="s">
        <v>2705</v>
      </c>
      <c r="E523" t="s">
        <v>2706</v>
      </c>
      <c r="F523" t="s">
        <v>2707</v>
      </c>
      <c r="G523" t="s">
        <v>2708</v>
      </c>
      <c r="I523" t="s">
        <v>2709</v>
      </c>
      <c r="K523" t="s">
        <v>2710</v>
      </c>
      <c r="N523" t="s">
        <v>2711</v>
      </c>
      <c r="Z523" t="s">
        <v>43</v>
      </c>
    </row>
    <row r="524" spans="1:26" x14ac:dyDescent="0.25">
      <c r="A524">
        <v>523</v>
      </c>
      <c r="B524" t="s">
        <v>30</v>
      </c>
      <c r="C524" t="s">
        <v>2712</v>
      </c>
      <c r="D524" t="s">
        <v>2713</v>
      </c>
      <c r="E524" t="s">
        <v>64</v>
      </c>
      <c r="F524" t="s">
        <v>2714</v>
      </c>
      <c r="G524" t="s">
        <v>65</v>
      </c>
      <c r="I524" t="s">
        <v>2715</v>
      </c>
      <c r="K524" t="s">
        <v>2716</v>
      </c>
      <c r="N524" t="s">
        <v>2717</v>
      </c>
      <c r="Z524" t="s">
        <v>43</v>
      </c>
    </row>
    <row r="525" spans="1:26" x14ac:dyDescent="0.25">
      <c r="A525">
        <v>524</v>
      </c>
      <c r="B525" t="s">
        <v>30</v>
      </c>
      <c r="C525" t="s">
        <v>2718</v>
      </c>
      <c r="D525" t="s">
        <v>72</v>
      </c>
      <c r="E525" t="s">
        <v>72</v>
      </c>
      <c r="F525" t="s">
        <v>73</v>
      </c>
      <c r="G525" t="s">
        <v>73</v>
      </c>
      <c r="I525" t="s">
        <v>2719</v>
      </c>
      <c r="K525" t="s">
        <v>2720</v>
      </c>
      <c r="N525" t="s">
        <v>2721</v>
      </c>
      <c r="Z525" t="s">
        <v>43</v>
      </c>
    </row>
    <row r="526" spans="1:26" x14ac:dyDescent="0.25">
      <c r="A526">
        <v>525</v>
      </c>
      <c r="B526" t="s">
        <v>30</v>
      </c>
      <c r="C526" t="s">
        <v>2722</v>
      </c>
      <c r="D526" t="s">
        <v>2723</v>
      </c>
      <c r="E526" t="s">
        <v>471</v>
      </c>
      <c r="F526" t="s">
        <v>2724</v>
      </c>
      <c r="G526" t="s">
        <v>47</v>
      </c>
      <c r="I526" t="s">
        <v>2725</v>
      </c>
      <c r="J526">
        <f>57-316-435-9053</f>
        <v>-9747</v>
      </c>
      <c r="K526" t="s">
        <v>2726</v>
      </c>
      <c r="N526" t="s">
        <v>2727</v>
      </c>
      <c r="Z526" t="s">
        <v>43</v>
      </c>
    </row>
    <row r="527" spans="1:26" x14ac:dyDescent="0.25">
      <c r="A527">
        <v>526</v>
      </c>
      <c r="B527" t="s">
        <v>30</v>
      </c>
      <c r="C527" t="s">
        <v>2728</v>
      </c>
      <c r="D527" t="s">
        <v>772</v>
      </c>
      <c r="E527" t="s">
        <v>471</v>
      </c>
      <c r="F527" t="s">
        <v>773</v>
      </c>
      <c r="G527" t="s">
        <v>47</v>
      </c>
      <c r="I527" t="s">
        <v>2729</v>
      </c>
      <c r="K527" t="s">
        <v>2730</v>
      </c>
      <c r="N527" t="s">
        <v>2731</v>
      </c>
      <c r="Z527" t="s">
        <v>43</v>
      </c>
    </row>
    <row r="528" spans="1:26" x14ac:dyDescent="0.25">
      <c r="A528">
        <v>527</v>
      </c>
      <c r="B528" t="s">
        <v>30</v>
      </c>
      <c r="C528" t="s">
        <v>2732</v>
      </c>
      <c r="D528" t="s">
        <v>909</v>
      </c>
      <c r="E528" t="s">
        <v>471</v>
      </c>
      <c r="F528" t="s">
        <v>910</v>
      </c>
      <c r="G528" t="s">
        <v>47</v>
      </c>
      <c r="I528" t="s">
        <v>2733</v>
      </c>
      <c r="K528" t="s">
        <v>2734</v>
      </c>
      <c r="N528" t="s">
        <v>2735</v>
      </c>
      <c r="Z528" t="s">
        <v>43</v>
      </c>
    </row>
    <row r="529" spans="1:26" x14ac:dyDescent="0.25">
      <c r="A529">
        <v>528</v>
      </c>
      <c r="B529" t="s">
        <v>30</v>
      </c>
      <c r="C529" t="s">
        <v>2736</v>
      </c>
      <c r="D529" t="s">
        <v>2737</v>
      </c>
      <c r="E529" t="s">
        <v>56</v>
      </c>
      <c r="F529" t="s">
        <v>2738</v>
      </c>
      <c r="G529" t="s">
        <v>57</v>
      </c>
      <c r="I529" t="s">
        <v>2739</v>
      </c>
      <c r="K529" t="s">
        <v>2740</v>
      </c>
      <c r="N529" t="s">
        <v>2741</v>
      </c>
      <c r="Z529" t="s">
        <v>43</v>
      </c>
    </row>
    <row r="530" spans="1:26" x14ac:dyDescent="0.25">
      <c r="A530">
        <v>529</v>
      </c>
      <c r="B530" t="s">
        <v>30</v>
      </c>
      <c r="C530" t="s">
        <v>2742</v>
      </c>
      <c r="D530" t="s">
        <v>46</v>
      </c>
      <c r="E530" t="s">
        <v>56</v>
      </c>
      <c r="F530" t="s">
        <v>820</v>
      </c>
      <c r="G530" t="s">
        <v>57</v>
      </c>
      <c r="I530" t="s">
        <v>2743</v>
      </c>
      <c r="J530">
        <f>57-314-334-7951</f>
        <v>-8542</v>
      </c>
      <c r="K530" t="s">
        <v>2744</v>
      </c>
      <c r="N530" t="s">
        <v>2745</v>
      </c>
      <c r="Z530" t="s">
        <v>43</v>
      </c>
    </row>
    <row r="531" spans="1:26" x14ac:dyDescent="0.25">
      <c r="A531">
        <v>530</v>
      </c>
      <c r="B531" t="s">
        <v>30</v>
      </c>
      <c r="C531" t="s">
        <v>2746</v>
      </c>
      <c r="D531" t="s">
        <v>2747</v>
      </c>
      <c r="E531" t="s">
        <v>1402</v>
      </c>
      <c r="F531" t="s">
        <v>2748</v>
      </c>
      <c r="G531" t="s">
        <v>1404</v>
      </c>
      <c r="I531" t="s">
        <v>2749</v>
      </c>
      <c r="K531" t="s">
        <v>2750</v>
      </c>
      <c r="N531" t="s">
        <v>2751</v>
      </c>
      <c r="Z531" t="s">
        <v>43</v>
      </c>
    </row>
    <row r="532" spans="1:26" x14ac:dyDescent="0.25">
      <c r="A532">
        <v>531</v>
      </c>
      <c r="B532" t="s">
        <v>30</v>
      </c>
      <c r="C532" t="s">
        <v>2752</v>
      </c>
      <c r="D532" t="s">
        <v>2753</v>
      </c>
      <c r="E532" t="s">
        <v>800</v>
      </c>
      <c r="F532" t="s">
        <v>2754</v>
      </c>
      <c r="G532" t="s">
        <v>802</v>
      </c>
      <c r="I532" t="s">
        <v>2755</v>
      </c>
      <c r="K532" t="s">
        <v>2756</v>
      </c>
      <c r="N532" t="s">
        <v>2757</v>
      </c>
      <c r="Z532" t="s">
        <v>43</v>
      </c>
    </row>
    <row r="533" spans="1:26" x14ac:dyDescent="0.25">
      <c r="A533">
        <v>532</v>
      </c>
      <c r="B533" t="s">
        <v>30</v>
      </c>
      <c r="C533" t="s">
        <v>2758</v>
      </c>
      <c r="D533" t="s">
        <v>384</v>
      </c>
      <c r="E533" t="s">
        <v>385</v>
      </c>
      <c r="F533" t="s">
        <v>386</v>
      </c>
      <c r="G533" t="s">
        <v>387</v>
      </c>
      <c r="I533" t="s">
        <v>2759</v>
      </c>
      <c r="J533">
        <f>57-302-266-8832</f>
        <v>-9343</v>
      </c>
      <c r="K533" t="s">
        <v>2760</v>
      </c>
      <c r="N533" t="s">
        <v>2761</v>
      </c>
      <c r="Z533" t="s">
        <v>43</v>
      </c>
    </row>
    <row r="534" spans="1:26" x14ac:dyDescent="0.25">
      <c r="A534">
        <v>533</v>
      </c>
      <c r="B534" t="s">
        <v>30</v>
      </c>
      <c r="C534" t="s">
        <v>2762</v>
      </c>
      <c r="D534" t="s">
        <v>384</v>
      </c>
      <c r="E534" t="s">
        <v>385</v>
      </c>
      <c r="F534" t="s">
        <v>386</v>
      </c>
      <c r="G534" t="s">
        <v>387</v>
      </c>
      <c r="I534" t="s">
        <v>2763</v>
      </c>
      <c r="K534" t="s">
        <v>2764</v>
      </c>
      <c r="N534" t="s">
        <v>2765</v>
      </c>
      <c r="Z534" t="s">
        <v>43</v>
      </c>
    </row>
    <row r="535" spans="1:26" x14ac:dyDescent="0.25">
      <c r="A535">
        <v>534</v>
      </c>
      <c r="B535" t="s">
        <v>30</v>
      </c>
      <c r="C535" t="s">
        <v>2766</v>
      </c>
      <c r="D535" t="s">
        <v>909</v>
      </c>
      <c r="E535" t="s">
        <v>471</v>
      </c>
      <c r="F535" t="s">
        <v>1659</v>
      </c>
      <c r="G535" t="s">
        <v>47</v>
      </c>
      <c r="I535" t="s">
        <v>2767</v>
      </c>
      <c r="J535">
        <f>57-311-473-796</f>
        <v>-1523</v>
      </c>
      <c r="K535" t="s">
        <v>2768</v>
      </c>
      <c r="N535" t="s">
        <v>2769</v>
      </c>
      <c r="Z535" t="s">
        <v>43</v>
      </c>
    </row>
    <row r="536" spans="1:26" x14ac:dyDescent="0.25">
      <c r="A536">
        <v>535</v>
      </c>
      <c r="B536" t="s">
        <v>30</v>
      </c>
      <c r="C536" t="s">
        <v>2770</v>
      </c>
      <c r="D536" t="s">
        <v>72</v>
      </c>
      <c r="E536" t="s">
        <v>72</v>
      </c>
      <c r="F536" t="s">
        <v>73</v>
      </c>
      <c r="G536" t="s">
        <v>73</v>
      </c>
      <c r="I536" t="s">
        <v>2771</v>
      </c>
      <c r="J536">
        <f>57-60-1-460-2326</f>
        <v>-2790</v>
      </c>
      <c r="K536" t="s">
        <v>2772</v>
      </c>
      <c r="N536" t="s">
        <v>2773</v>
      </c>
      <c r="Z536" t="s">
        <v>43</v>
      </c>
    </row>
    <row r="537" spans="1:26" x14ac:dyDescent="0.25">
      <c r="A537">
        <v>536</v>
      </c>
      <c r="B537" t="s">
        <v>30</v>
      </c>
      <c r="C537" t="s">
        <v>2774</v>
      </c>
      <c r="D537" t="s">
        <v>46</v>
      </c>
      <c r="E537" t="s">
        <v>471</v>
      </c>
      <c r="F537" t="s">
        <v>941</v>
      </c>
      <c r="G537" t="s">
        <v>47</v>
      </c>
      <c r="I537" t="s">
        <v>2775</v>
      </c>
      <c r="J537">
        <f>57-321-472-1358</f>
        <v>-2094</v>
      </c>
      <c r="K537" t="s">
        <v>2776</v>
      </c>
      <c r="N537" t="s">
        <v>2777</v>
      </c>
      <c r="Z537" t="s">
        <v>43</v>
      </c>
    </row>
    <row r="538" spans="1:26" x14ac:dyDescent="0.25">
      <c r="A538">
        <v>537</v>
      </c>
      <c r="B538" t="s">
        <v>30</v>
      </c>
      <c r="C538" t="s">
        <v>2778</v>
      </c>
      <c r="D538" t="s">
        <v>2779</v>
      </c>
      <c r="E538" t="s">
        <v>800</v>
      </c>
      <c r="F538" t="s">
        <v>2780</v>
      </c>
      <c r="G538" t="s">
        <v>802</v>
      </c>
      <c r="I538" t="s">
        <v>2781</v>
      </c>
      <c r="K538" t="s">
        <v>2782</v>
      </c>
      <c r="N538" t="s">
        <v>2783</v>
      </c>
      <c r="Z538" t="s">
        <v>43</v>
      </c>
    </row>
    <row r="539" spans="1:26" x14ac:dyDescent="0.25">
      <c r="A539">
        <v>538</v>
      </c>
      <c r="B539" t="s">
        <v>30</v>
      </c>
      <c r="C539" t="s">
        <v>2784</v>
      </c>
      <c r="D539" t="s">
        <v>867</v>
      </c>
      <c r="E539" t="s">
        <v>72</v>
      </c>
      <c r="F539" t="s">
        <v>2660</v>
      </c>
      <c r="G539" t="s">
        <v>73</v>
      </c>
      <c r="I539" t="s">
        <v>2785</v>
      </c>
      <c r="J539">
        <f>57-312-525-520</f>
        <v>-1300</v>
      </c>
      <c r="K539" t="s">
        <v>2786</v>
      </c>
      <c r="N539" t="s">
        <v>2787</v>
      </c>
      <c r="Z539" t="s">
        <v>43</v>
      </c>
    </row>
    <row r="540" spans="1:26" x14ac:dyDescent="0.25">
      <c r="A540">
        <v>539</v>
      </c>
      <c r="B540" t="s">
        <v>30</v>
      </c>
      <c r="C540" t="s">
        <v>2788</v>
      </c>
      <c r="D540" t="s">
        <v>772</v>
      </c>
      <c r="E540" t="s">
        <v>471</v>
      </c>
      <c r="F540" t="s">
        <v>773</v>
      </c>
      <c r="G540" t="s">
        <v>47</v>
      </c>
      <c r="I540" t="s">
        <v>2789</v>
      </c>
      <c r="J540">
        <f>57-60-1-606-1763</f>
        <v>-2373</v>
      </c>
      <c r="K540" t="s">
        <v>2790</v>
      </c>
      <c r="N540" t="s">
        <v>2791</v>
      </c>
      <c r="Z540" t="s">
        <v>43</v>
      </c>
    </row>
    <row r="541" spans="1:26" x14ac:dyDescent="0.25">
      <c r="A541">
        <v>540</v>
      </c>
      <c r="B541" t="s">
        <v>30</v>
      </c>
      <c r="C541" t="s">
        <v>2792</v>
      </c>
      <c r="D541" t="s">
        <v>2098</v>
      </c>
      <c r="E541" t="s">
        <v>56</v>
      </c>
      <c r="F541" t="s">
        <v>2099</v>
      </c>
      <c r="G541" t="s">
        <v>57</v>
      </c>
      <c r="I541" t="s">
        <v>2793</v>
      </c>
      <c r="K541" t="s">
        <v>2794</v>
      </c>
      <c r="N541" t="s">
        <v>2795</v>
      </c>
      <c r="Z541" t="s">
        <v>43</v>
      </c>
    </row>
    <row r="542" spans="1:26" x14ac:dyDescent="0.25">
      <c r="A542">
        <v>541</v>
      </c>
      <c r="B542" t="s">
        <v>30</v>
      </c>
      <c r="C542" t="s">
        <v>2796</v>
      </c>
      <c r="D542" t="s">
        <v>2150</v>
      </c>
      <c r="E542" t="s">
        <v>755</v>
      </c>
      <c r="F542" t="s">
        <v>2151</v>
      </c>
      <c r="G542" t="s">
        <v>757</v>
      </c>
      <c r="I542" t="s">
        <v>2797</v>
      </c>
      <c r="K542" t="s">
        <v>2798</v>
      </c>
      <c r="N542" t="s">
        <v>2799</v>
      </c>
      <c r="Z542" t="s">
        <v>43</v>
      </c>
    </row>
    <row r="543" spans="1:26" x14ac:dyDescent="0.25">
      <c r="A543">
        <v>542</v>
      </c>
      <c r="B543" t="s">
        <v>30</v>
      </c>
      <c r="C543" t="s">
        <v>2800</v>
      </c>
      <c r="D543" t="s">
        <v>2801</v>
      </c>
      <c r="E543" t="s">
        <v>471</v>
      </c>
      <c r="F543" t="s">
        <v>2802</v>
      </c>
      <c r="G543" t="s">
        <v>47</v>
      </c>
      <c r="I543" t="s">
        <v>2803</v>
      </c>
      <c r="J543">
        <f>57-313-251-4077</f>
        <v>-4584</v>
      </c>
      <c r="K543" t="s">
        <v>2804</v>
      </c>
      <c r="N543" t="s">
        <v>2805</v>
      </c>
      <c r="Z543" t="s">
        <v>43</v>
      </c>
    </row>
    <row r="544" spans="1:26" x14ac:dyDescent="0.25">
      <c r="A544">
        <v>543</v>
      </c>
      <c r="B544" t="s">
        <v>30</v>
      </c>
      <c r="C544" t="s">
        <v>2806</v>
      </c>
      <c r="D544" t="s">
        <v>2807</v>
      </c>
      <c r="E544" t="s">
        <v>471</v>
      </c>
      <c r="F544" t="s">
        <v>2808</v>
      </c>
      <c r="G544" t="s">
        <v>47</v>
      </c>
      <c r="I544" t="s">
        <v>2809</v>
      </c>
      <c r="K544" t="s">
        <v>2810</v>
      </c>
      <c r="N544" t="s">
        <v>2811</v>
      </c>
      <c r="Z544" t="s">
        <v>43</v>
      </c>
    </row>
    <row r="545" spans="1:26" x14ac:dyDescent="0.25">
      <c r="A545">
        <v>544</v>
      </c>
      <c r="B545" t="s">
        <v>30</v>
      </c>
      <c r="C545" t="s">
        <v>2812</v>
      </c>
      <c r="D545" t="s">
        <v>2813</v>
      </c>
      <c r="E545" t="s">
        <v>2814</v>
      </c>
      <c r="F545" t="s">
        <v>2815</v>
      </c>
      <c r="G545" t="s">
        <v>2816</v>
      </c>
      <c r="I545" t="s">
        <v>2817</v>
      </c>
      <c r="J545">
        <f>57-312-433-8634</f>
        <v>-9322</v>
      </c>
      <c r="K545" t="s">
        <v>2818</v>
      </c>
      <c r="N545" t="s">
        <v>2819</v>
      </c>
      <c r="Z545" t="s">
        <v>43</v>
      </c>
    </row>
    <row r="546" spans="1:26" x14ac:dyDescent="0.25">
      <c r="A546">
        <v>545</v>
      </c>
      <c r="B546" t="s">
        <v>30</v>
      </c>
      <c r="C546" t="s">
        <v>2820</v>
      </c>
      <c r="D546" t="s">
        <v>1371</v>
      </c>
      <c r="E546" t="s">
        <v>471</v>
      </c>
      <c r="F546" t="s">
        <v>1372</v>
      </c>
      <c r="G546" t="s">
        <v>47</v>
      </c>
      <c r="I546" t="s">
        <v>2821</v>
      </c>
      <c r="K546" t="s">
        <v>2822</v>
      </c>
      <c r="N546" t="s">
        <v>2823</v>
      </c>
      <c r="Z546" t="s">
        <v>43</v>
      </c>
    </row>
    <row r="547" spans="1:26" x14ac:dyDescent="0.25">
      <c r="A547">
        <v>546</v>
      </c>
      <c r="B547" t="s">
        <v>30</v>
      </c>
      <c r="C547" t="s">
        <v>2824</v>
      </c>
      <c r="D547" t="s">
        <v>72</v>
      </c>
      <c r="E547" t="s">
        <v>72</v>
      </c>
      <c r="F547" t="s">
        <v>73</v>
      </c>
      <c r="G547" t="s">
        <v>73</v>
      </c>
      <c r="I547" t="s">
        <v>2825</v>
      </c>
      <c r="J547">
        <f>57-323-795-583</f>
        <v>-1644</v>
      </c>
      <c r="K547" t="s">
        <v>2826</v>
      </c>
      <c r="N547" t="s">
        <v>2827</v>
      </c>
      <c r="Z547" t="s">
        <v>43</v>
      </c>
    </row>
    <row r="548" spans="1:26" x14ac:dyDescent="0.25">
      <c r="A548">
        <v>547</v>
      </c>
      <c r="B548" t="s">
        <v>30</v>
      </c>
      <c r="C548" t="s">
        <v>2828</v>
      </c>
      <c r="D548" t="s">
        <v>2014</v>
      </c>
      <c r="E548" t="s">
        <v>800</v>
      </c>
      <c r="F548" t="s">
        <v>2015</v>
      </c>
      <c r="G548" t="s">
        <v>802</v>
      </c>
      <c r="I548" t="s">
        <v>2829</v>
      </c>
      <c r="K548" t="s">
        <v>2830</v>
      </c>
      <c r="N548" t="s">
        <v>2831</v>
      </c>
      <c r="Z548" t="s">
        <v>43</v>
      </c>
    </row>
    <row r="549" spans="1:26" x14ac:dyDescent="0.25">
      <c r="A549">
        <v>548</v>
      </c>
      <c r="B549" t="s">
        <v>30</v>
      </c>
      <c r="C549" t="s">
        <v>2832</v>
      </c>
      <c r="D549" t="s">
        <v>2833</v>
      </c>
      <c r="E549" t="s">
        <v>2814</v>
      </c>
      <c r="F549" t="s">
        <v>2834</v>
      </c>
      <c r="G549" t="s">
        <v>2816</v>
      </c>
      <c r="I549" t="s">
        <v>2835</v>
      </c>
      <c r="K549" t="s">
        <v>2836</v>
      </c>
      <c r="N549" t="s">
        <v>2837</v>
      </c>
      <c r="Z549" t="s">
        <v>43</v>
      </c>
    </row>
    <row r="550" spans="1:26" x14ac:dyDescent="0.25">
      <c r="A550">
        <v>549</v>
      </c>
      <c r="B550" t="s">
        <v>30</v>
      </c>
      <c r="C550" t="s">
        <v>2838</v>
      </c>
      <c r="D550" t="s">
        <v>2839</v>
      </c>
      <c r="E550" t="s">
        <v>72</v>
      </c>
      <c r="F550" t="s">
        <v>2840</v>
      </c>
      <c r="G550" t="s">
        <v>73</v>
      </c>
      <c r="I550" t="s">
        <v>2841</v>
      </c>
      <c r="J550">
        <f>57-317-576-777</f>
        <v>-1613</v>
      </c>
      <c r="K550" t="s">
        <v>2842</v>
      </c>
      <c r="N550" t="s">
        <v>2843</v>
      </c>
      <c r="Z550" t="s">
        <v>43</v>
      </c>
    </row>
    <row r="551" spans="1:26" x14ac:dyDescent="0.25">
      <c r="A551">
        <v>550</v>
      </c>
      <c r="B551" t="s">
        <v>30</v>
      </c>
      <c r="C551" t="s">
        <v>2844</v>
      </c>
      <c r="D551" t="s">
        <v>2336</v>
      </c>
      <c r="E551" t="s">
        <v>1402</v>
      </c>
      <c r="F551" t="s">
        <v>2337</v>
      </c>
      <c r="G551" t="s">
        <v>1404</v>
      </c>
      <c r="I551" t="s">
        <v>2845</v>
      </c>
      <c r="K551" t="s">
        <v>2846</v>
      </c>
      <c r="N551" t="s">
        <v>2847</v>
      </c>
      <c r="Z551" t="s">
        <v>43</v>
      </c>
    </row>
    <row r="552" spans="1:26" x14ac:dyDescent="0.25">
      <c r="A552">
        <v>551</v>
      </c>
      <c r="B552" t="s">
        <v>30</v>
      </c>
      <c r="C552" t="s">
        <v>2848</v>
      </c>
      <c r="D552" t="s">
        <v>2104</v>
      </c>
      <c r="E552" t="s">
        <v>2105</v>
      </c>
      <c r="F552" t="s">
        <v>2849</v>
      </c>
      <c r="G552" t="s">
        <v>2107</v>
      </c>
      <c r="I552" t="s">
        <v>2850</v>
      </c>
      <c r="K552" t="s">
        <v>2851</v>
      </c>
      <c r="N552" t="s">
        <v>2852</v>
      </c>
      <c r="Z552" t="s">
        <v>43</v>
      </c>
    </row>
    <row r="553" spans="1:26" x14ac:dyDescent="0.25">
      <c r="A553">
        <v>552</v>
      </c>
      <c r="B553" t="s">
        <v>30</v>
      </c>
      <c r="C553" t="s">
        <v>2853</v>
      </c>
      <c r="D553" t="s">
        <v>46</v>
      </c>
      <c r="E553" t="s">
        <v>471</v>
      </c>
      <c r="F553" t="s">
        <v>820</v>
      </c>
      <c r="G553" t="s">
        <v>47</v>
      </c>
      <c r="I553" t="s">
        <v>2854</v>
      </c>
      <c r="J553">
        <f>57-60-1-310-1455</f>
        <v>-1769</v>
      </c>
      <c r="K553" t="s">
        <v>2855</v>
      </c>
      <c r="N553" t="s">
        <v>2856</v>
      </c>
      <c r="Z553" t="s">
        <v>43</v>
      </c>
    </row>
    <row r="554" spans="1:26" x14ac:dyDescent="0.25">
      <c r="A554">
        <v>553</v>
      </c>
      <c r="B554" t="s">
        <v>30</v>
      </c>
      <c r="C554" t="s">
        <v>2857</v>
      </c>
      <c r="D554" t="s">
        <v>909</v>
      </c>
      <c r="E554" t="s">
        <v>471</v>
      </c>
      <c r="F554" t="s">
        <v>1659</v>
      </c>
      <c r="G554" t="s">
        <v>47</v>
      </c>
      <c r="I554" t="s">
        <v>2858</v>
      </c>
      <c r="K554" t="s">
        <v>2859</v>
      </c>
      <c r="N554" t="s">
        <v>2860</v>
      </c>
      <c r="Z554" t="s">
        <v>43</v>
      </c>
    </row>
    <row r="555" spans="1:26" x14ac:dyDescent="0.25">
      <c r="A555">
        <v>554</v>
      </c>
      <c r="B555" t="s">
        <v>30</v>
      </c>
      <c r="C555" t="s">
        <v>2861</v>
      </c>
      <c r="D555" t="s">
        <v>2862</v>
      </c>
      <c r="E555" t="s">
        <v>56</v>
      </c>
      <c r="F555" t="s">
        <v>2863</v>
      </c>
      <c r="G555" t="s">
        <v>57</v>
      </c>
      <c r="I555" t="s">
        <v>2864</v>
      </c>
      <c r="K555" t="s">
        <v>2865</v>
      </c>
      <c r="N555" t="s">
        <v>2866</v>
      </c>
      <c r="Z555" t="s">
        <v>43</v>
      </c>
    </row>
    <row r="556" spans="1:26" x14ac:dyDescent="0.25">
      <c r="A556">
        <v>555</v>
      </c>
      <c r="B556" t="s">
        <v>30</v>
      </c>
      <c r="C556" t="s">
        <v>2867</v>
      </c>
      <c r="D556" t="s">
        <v>72</v>
      </c>
      <c r="E556" t="s">
        <v>72</v>
      </c>
      <c r="F556" t="s">
        <v>73</v>
      </c>
      <c r="G556" t="s">
        <v>73</v>
      </c>
      <c r="I556" t="s">
        <v>2868</v>
      </c>
      <c r="K556" t="s">
        <v>2869</v>
      </c>
      <c r="N556" t="s">
        <v>2870</v>
      </c>
      <c r="Z556" t="s">
        <v>43</v>
      </c>
    </row>
    <row r="557" spans="1:26" x14ac:dyDescent="0.25">
      <c r="A557">
        <v>556</v>
      </c>
      <c r="B557" t="s">
        <v>30</v>
      </c>
      <c r="C557" t="s">
        <v>2871</v>
      </c>
      <c r="D557" t="s">
        <v>46</v>
      </c>
      <c r="E557" t="s">
        <v>471</v>
      </c>
      <c r="F557" t="s">
        <v>820</v>
      </c>
      <c r="G557" t="s">
        <v>47</v>
      </c>
      <c r="I557" t="s">
        <v>2872</v>
      </c>
      <c r="K557" t="s">
        <v>2873</v>
      </c>
      <c r="N557" t="s">
        <v>2874</v>
      </c>
      <c r="Z557" t="s">
        <v>43</v>
      </c>
    </row>
    <row r="558" spans="1:26" x14ac:dyDescent="0.25">
      <c r="A558">
        <v>557</v>
      </c>
      <c r="B558" t="s">
        <v>30</v>
      </c>
      <c r="C558" t="s">
        <v>2875</v>
      </c>
      <c r="D558" t="s">
        <v>772</v>
      </c>
      <c r="E558" t="s">
        <v>72</v>
      </c>
      <c r="F558" t="s">
        <v>773</v>
      </c>
      <c r="G558" t="s">
        <v>73</v>
      </c>
      <c r="I558" t="s">
        <v>2876</v>
      </c>
      <c r="J558">
        <f>57-317-511-3458</f>
        <v>-4229</v>
      </c>
      <c r="K558" t="s">
        <v>2877</v>
      </c>
      <c r="N558" t="s">
        <v>2878</v>
      </c>
      <c r="Z558" t="s">
        <v>43</v>
      </c>
    </row>
    <row r="559" spans="1:26" x14ac:dyDescent="0.25">
      <c r="A559">
        <v>558</v>
      </c>
      <c r="B559" t="s">
        <v>30</v>
      </c>
      <c r="C559" t="s">
        <v>2879</v>
      </c>
      <c r="D559" t="s">
        <v>2880</v>
      </c>
      <c r="E559" t="s">
        <v>1269</v>
      </c>
      <c r="F559" t="s">
        <v>2881</v>
      </c>
      <c r="G559" t="s">
        <v>1271</v>
      </c>
      <c r="I559" t="s">
        <v>2882</v>
      </c>
      <c r="K559" t="s">
        <v>2883</v>
      </c>
      <c r="N559" t="s">
        <v>2884</v>
      </c>
      <c r="Z559" t="s">
        <v>43</v>
      </c>
    </row>
    <row r="560" spans="1:26" x14ac:dyDescent="0.25">
      <c r="A560">
        <v>559</v>
      </c>
      <c r="B560" t="s">
        <v>30</v>
      </c>
      <c r="C560" t="s">
        <v>2885</v>
      </c>
      <c r="D560" t="s">
        <v>2886</v>
      </c>
      <c r="E560" t="s">
        <v>1055</v>
      </c>
      <c r="F560" t="s">
        <v>2887</v>
      </c>
      <c r="G560" t="s">
        <v>1057</v>
      </c>
      <c r="I560" t="s">
        <v>2888</v>
      </c>
      <c r="J560">
        <f>57-350-873-9094</f>
        <v>-10260</v>
      </c>
      <c r="K560" t="s">
        <v>2889</v>
      </c>
      <c r="N560" t="s">
        <v>2890</v>
      </c>
      <c r="Z560" t="s">
        <v>43</v>
      </c>
    </row>
    <row r="561" spans="1:26" x14ac:dyDescent="0.25">
      <c r="A561">
        <v>560</v>
      </c>
      <c r="B561" t="s">
        <v>30</v>
      </c>
      <c r="C561" t="s">
        <v>2891</v>
      </c>
      <c r="D561" t="s">
        <v>46</v>
      </c>
      <c r="E561" t="s">
        <v>56</v>
      </c>
      <c r="F561" t="s">
        <v>820</v>
      </c>
      <c r="G561" t="s">
        <v>57</v>
      </c>
      <c r="I561" t="s">
        <v>2892</v>
      </c>
      <c r="K561" t="s">
        <v>2893</v>
      </c>
      <c r="N561" t="s">
        <v>2894</v>
      </c>
      <c r="Z561" t="s">
        <v>43</v>
      </c>
    </row>
    <row r="562" spans="1:26" x14ac:dyDescent="0.25">
      <c r="A562">
        <v>561</v>
      </c>
      <c r="B562" t="s">
        <v>30</v>
      </c>
      <c r="C562" t="s">
        <v>2895</v>
      </c>
      <c r="D562" t="s">
        <v>2896</v>
      </c>
      <c r="E562" t="s">
        <v>1338</v>
      </c>
      <c r="F562" t="s">
        <v>2897</v>
      </c>
      <c r="G562" t="s">
        <v>1340</v>
      </c>
      <c r="I562" t="s">
        <v>2898</v>
      </c>
      <c r="K562" t="s">
        <v>2899</v>
      </c>
      <c r="N562" t="s">
        <v>2900</v>
      </c>
      <c r="Z562" t="s">
        <v>43</v>
      </c>
    </row>
    <row r="563" spans="1:26" x14ac:dyDescent="0.25">
      <c r="A563">
        <v>562</v>
      </c>
      <c r="B563" t="s">
        <v>30</v>
      </c>
      <c r="C563" t="s">
        <v>2901</v>
      </c>
      <c r="D563" t="s">
        <v>46</v>
      </c>
      <c r="E563" t="s">
        <v>471</v>
      </c>
      <c r="F563" t="s">
        <v>820</v>
      </c>
      <c r="G563" t="s">
        <v>47</v>
      </c>
      <c r="I563" t="s">
        <v>2902</v>
      </c>
      <c r="J563">
        <f>57-311-313-1281</f>
        <v>-1848</v>
      </c>
      <c r="K563" t="s">
        <v>2903</v>
      </c>
      <c r="N563" t="s">
        <v>2904</v>
      </c>
      <c r="Z563" t="s">
        <v>43</v>
      </c>
    </row>
    <row r="564" spans="1:26" x14ac:dyDescent="0.25">
      <c r="A564">
        <v>563</v>
      </c>
      <c r="B564" t="s">
        <v>30</v>
      </c>
      <c r="C564" t="s">
        <v>2905</v>
      </c>
      <c r="D564" t="s">
        <v>46</v>
      </c>
      <c r="E564" t="s">
        <v>471</v>
      </c>
      <c r="F564" t="s">
        <v>820</v>
      </c>
      <c r="G564" t="s">
        <v>47</v>
      </c>
      <c r="I564" t="s">
        <v>2906</v>
      </c>
      <c r="J564">
        <f>57-311-213-1281</f>
        <v>-1748</v>
      </c>
      <c r="K564" t="s">
        <v>2903</v>
      </c>
      <c r="N564" t="s">
        <v>2904</v>
      </c>
      <c r="Z564" t="s">
        <v>43</v>
      </c>
    </row>
    <row r="565" spans="1:26" x14ac:dyDescent="0.25">
      <c r="A565">
        <v>564</v>
      </c>
      <c r="B565" t="s">
        <v>30</v>
      </c>
      <c r="C565" t="s">
        <v>2907</v>
      </c>
      <c r="D565" t="s">
        <v>46</v>
      </c>
      <c r="E565" t="s">
        <v>56</v>
      </c>
      <c r="F565" t="s">
        <v>820</v>
      </c>
      <c r="G565" t="s">
        <v>57</v>
      </c>
      <c r="I565" t="s">
        <v>2908</v>
      </c>
      <c r="K565" t="s">
        <v>2909</v>
      </c>
      <c r="N565" t="s">
        <v>2910</v>
      </c>
      <c r="Z565" t="s">
        <v>43</v>
      </c>
    </row>
    <row r="566" spans="1:26" x14ac:dyDescent="0.25">
      <c r="A566">
        <v>565</v>
      </c>
      <c r="B566" t="s">
        <v>30</v>
      </c>
      <c r="C566" t="s">
        <v>2911</v>
      </c>
      <c r="D566" t="s">
        <v>46</v>
      </c>
      <c r="E566" t="s">
        <v>471</v>
      </c>
      <c r="F566" t="s">
        <v>820</v>
      </c>
      <c r="G566" t="s">
        <v>47</v>
      </c>
      <c r="I566" t="s">
        <v>2912</v>
      </c>
      <c r="J566">
        <f>57-301-304-593</f>
        <v>-1141</v>
      </c>
      <c r="K566" t="s">
        <v>2913</v>
      </c>
      <c r="N566" t="s">
        <v>2904</v>
      </c>
      <c r="Z566" t="s">
        <v>43</v>
      </c>
    </row>
    <row r="567" spans="1:26" x14ac:dyDescent="0.25">
      <c r="A567">
        <v>566</v>
      </c>
      <c r="B567" t="s">
        <v>30</v>
      </c>
      <c r="C567" t="s">
        <v>2914</v>
      </c>
      <c r="D567" t="s">
        <v>2915</v>
      </c>
      <c r="E567" t="s">
        <v>2916</v>
      </c>
      <c r="F567" t="s">
        <v>2917</v>
      </c>
      <c r="G567" t="s">
        <v>2918</v>
      </c>
      <c r="I567" t="s">
        <v>2919</v>
      </c>
      <c r="J567">
        <f>57-314-305-3225</f>
        <v>-3787</v>
      </c>
      <c r="K567" t="s">
        <v>2920</v>
      </c>
      <c r="N567" t="s">
        <v>2921</v>
      </c>
      <c r="Z567" t="s">
        <v>43</v>
      </c>
    </row>
    <row r="568" spans="1:26" x14ac:dyDescent="0.25">
      <c r="A568">
        <v>567</v>
      </c>
      <c r="B568" t="s">
        <v>30</v>
      </c>
      <c r="C568" t="s">
        <v>2922</v>
      </c>
      <c r="D568" t="s">
        <v>2923</v>
      </c>
      <c r="E568" t="s">
        <v>2916</v>
      </c>
      <c r="F568" t="s">
        <v>2924</v>
      </c>
      <c r="G568" t="s">
        <v>2918</v>
      </c>
      <c r="I568" t="s">
        <v>2925</v>
      </c>
      <c r="J568">
        <f>57-312-444-7396</f>
        <v>-8095</v>
      </c>
      <c r="K568" t="s">
        <v>2920</v>
      </c>
      <c r="N568" t="s">
        <v>2921</v>
      </c>
      <c r="Z568" t="s">
        <v>43</v>
      </c>
    </row>
    <row r="569" spans="1:26" x14ac:dyDescent="0.25">
      <c r="A569">
        <v>568</v>
      </c>
      <c r="B569" t="s">
        <v>30</v>
      </c>
      <c r="C569" t="s">
        <v>2926</v>
      </c>
      <c r="D569" t="s">
        <v>46</v>
      </c>
      <c r="E569" t="s">
        <v>471</v>
      </c>
      <c r="F569" t="s">
        <v>820</v>
      </c>
      <c r="G569" t="s">
        <v>47</v>
      </c>
      <c r="I569" t="s">
        <v>2927</v>
      </c>
      <c r="K569" t="s">
        <v>2928</v>
      </c>
      <c r="N569" t="s">
        <v>2929</v>
      </c>
      <c r="Z569" t="s">
        <v>43</v>
      </c>
    </row>
    <row r="570" spans="1:26" x14ac:dyDescent="0.25">
      <c r="A570">
        <v>569</v>
      </c>
      <c r="B570" t="s">
        <v>30</v>
      </c>
      <c r="C570" t="s">
        <v>2930</v>
      </c>
      <c r="D570" t="s">
        <v>2467</v>
      </c>
      <c r="E570" t="s">
        <v>1585</v>
      </c>
      <c r="F570" t="s">
        <v>2468</v>
      </c>
      <c r="G570" t="s">
        <v>1587</v>
      </c>
      <c r="I570" t="s">
        <v>2931</v>
      </c>
      <c r="K570" t="s">
        <v>2932</v>
      </c>
      <c r="N570" t="s">
        <v>2933</v>
      </c>
      <c r="Z570" t="s">
        <v>43</v>
      </c>
    </row>
    <row r="571" spans="1:26" x14ac:dyDescent="0.25">
      <c r="A571">
        <v>570</v>
      </c>
      <c r="B571" t="s">
        <v>30</v>
      </c>
      <c r="C571" t="s">
        <v>2934</v>
      </c>
      <c r="D571" t="s">
        <v>2935</v>
      </c>
      <c r="E571" t="s">
        <v>2936</v>
      </c>
      <c r="F571" t="s">
        <v>2937</v>
      </c>
      <c r="G571" t="s">
        <v>2938</v>
      </c>
      <c r="I571" t="s">
        <v>2939</v>
      </c>
      <c r="J571">
        <f>57-310-268-5987</f>
        <v>-6508</v>
      </c>
      <c r="K571" t="s">
        <v>2940</v>
      </c>
      <c r="N571" t="s">
        <v>2941</v>
      </c>
      <c r="Z571" t="s">
        <v>43</v>
      </c>
    </row>
    <row r="572" spans="1:26" x14ac:dyDescent="0.25">
      <c r="A572">
        <v>571</v>
      </c>
      <c r="B572" t="s">
        <v>30</v>
      </c>
      <c r="C572" t="s">
        <v>2942</v>
      </c>
      <c r="D572" t="s">
        <v>2943</v>
      </c>
      <c r="E572" t="s">
        <v>1558</v>
      </c>
      <c r="F572" t="s">
        <v>2944</v>
      </c>
      <c r="G572" t="s">
        <v>1560</v>
      </c>
      <c r="I572" t="s">
        <v>2945</v>
      </c>
      <c r="K572" t="s">
        <v>2946</v>
      </c>
      <c r="N572" t="s">
        <v>2947</v>
      </c>
      <c r="Z572" t="s">
        <v>43</v>
      </c>
    </row>
    <row r="573" spans="1:26" x14ac:dyDescent="0.25">
      <c r="A573">
        <v>572</v>
      </c>
      <c r="B573" t="s">
        <v>30</v>
      </c>
      <c r="C573" t="s">
        <v>2948</v>
      </c>
      <c r="D573" t="s">
        <v>2511</v>
      </c>
      <c r="E573" t="s">
        <v>471</v>
      </c>
      <c r="F573" t="s">
        <v>2949</v>
      </c>
      <c r="G573" t="s">
        <v>47</v>
      </c>
      <c r="I573" t="s">
        <v>2950</v>
      </c>
      <c r="J573">
        <f>57-312-454-5124</f>
        <v>-5833</v>
      </c>
      <c r="K573" t="s">
        <v>2951</v>
      </c>
      <c r="N573" t="s">
        <v>2952</v>
      </c>
      <c r="Z573" t="s">
        <v>43</v>
      </c>
    </row>
    <row r="574" spans="1:26" x14ac:dyDescent="0.25">
      <c r="A574">
        <v>573</v>
      </c>
      <c r="B574" t="s">
        <v>30</v>
      </c>
      <c r="C574" t="s">
        <v>2953</v>
      </c>
      <c r="D574" t="s">
        <v>2467</v>
      </c>
      <c r="E574" t="s">
        <v>1585</v>
      </c>
      <c r="F574" t="s">
        <v>2468</v>
      </c>
      <c r="G574" t="s">
        <v>1587</v>
      </c>
      <c r="I574" t="s">
        <v>2954</v>
      </c>
      <c r="K574" t="s">
        <v>2955</v>
      </c>
      <c r="N574" t="s">
        <v>2956</v>
      </c>
      <c r="Z574" t="s">
        <v>43</v>
      </c>
    </row>
    <row r="575" spans="1:26" x14ac:dyDescent="0.25">
      <c r="A575">
        <v>574</v>
      </c>
      <c r="B575" t="s">
        <v>30</v>
      </c>
      <c r="C575" t="s">
        <v>2957</v>
      </c>
      <c r="D575" t="s">
        <v>2958</v>
      </c>
      <c r="E575" t="s">
        <v>471</v>
      </c>
      <c r="F575" t="s">
        <v>2959</v>
      </c>
      <c r="G575" t="s">
        <v>47</v>
      </c>
      <c r="I575" t="s">
        <v>2960</v>
      </c>
      <c r="J575">
        <f>57-312-289-8418</f>
        <v>-8962</v>
      </c>
      <c r="K575" t="s">
        <v>2961</v>
      </c>
      <c r="N575" t="s">
        <v>2962</v>
      </c>
      <c r="Z575" t="s">
        <v>43</v>
      </c>
    </row>
    <row r="576" spans="1:26" x14ac:dyDescent="0.25">
      <c r="A576">
        <v>575</v>
      </c>
      <c r="B576" t="s">
        <v>30</v>
      </c>
      <c r="C576" t="s">
        <v>2963</v>
      </c>
      <c r="D576" t="s">
        <v>56</v>
      </c>
      <c r="E576" t="s">
        <v>56</v>
      </c>
      <c r="F576" t="s">
        <v>57</v>
      </c>
      <c r="G576" t="s">
        <v>57</v>
      </c>
      <c r="I576" t="s">
        <v>2964</v>
      </c>
      <c r="J576">
        <f>57-313-213-6894</f>
        <v>-7363</v>
      </c>
      <c r="K576" t="s">
        <v>2965</v>
      </c>
      <c r="N576" t="s">
        <v>2966</v>
      </c>
      <c r="Z576" t="s">
        <v>43</v>
      </c>
    </row>
    <row r="577" spans="1:26" x14ac:dyDescent="0.25">
      <c r="A577">
        <v>576</v>
      </c>
      <c r="B577" t="s">
        <v>30</v>
      </c>
      <c r="C577" t="s">
        <v>2967</v>
      </c>
      <c r="D577" t="s">
        <v>2336</v>
      </c>
      <c r="E577" t="s">
        <v>56</v>
      </c>
      <c r="F577" t="s">
        <v>2337</v>
      </c>
      <c r="G577" t="s">
        <v>57</v>
      </c>
      <c r="I577" t="s">
        <v>2968</v>
      </c>
      <c r="K577" t="s">
        <v>2969</v>
      </c>
      <c r="N577" t="s">
        <v>558</v>
      </c>
      <c r="Z577" t="s">
        <v>43</v>
      </c>
    </row>
    <row r="578" spans="1:26" x14ac:dyDescent="0.25">
      <c r="A578">
        <v>577</v>
      </c>
      <c r="B578" t="s">
        <v>30</v>
      </c>
      <c r="C578" t="s">
        <v>2970</v>
      </c>
      <c r="D578" t="s">
        <v>2971</v>
      </c>
      <c r="E578" t="s">
        <v>1402</v>
      </c>
      <c r="F578" t="s">
        <v>2972</v>
      </c>
      <c r="G578" t="s">
        <v>1404</v>
      </c>
      <c r="I578" t="s">
        <v>2973</v>
      </c>
      <c r="J578">
        <f>57-302-861-5012</f>
        <v>-6118</v>
      </c>
      <c r="K578" t="s">
        <v>2974</v>
      </c>
      <c r="N578" t="s">
        <v>2975</v>
      </c>
      <c r="Z578" t="s">
        <v>43</v>
      </c>
    </row>
    <row r="579" spans="1:26" x14ac:dyDescent="0.25">
      <c r="A579">
        <v>578</v>
      </c>
      <c r="B579" t="s">
        <v>30</v>
      </c>
      <c r="C579" t="s">
        <v>2976</v>
      </c>
      <c r="D579" t="s">
        <v>2394</v>
      </c>
      <c r="E579" t="s">
        <v>471</v>
      </c>
      <c r="F579" t="s">
        <v>2395</v>
      </c>
      <c r="G579" t="s">
        <v>47</v>
      </c>
      <c r="I579" t="s">
        <v>2977</v>
      </c>
      <c r="J579">
        <f>57-321-456-1906</f>
        <v>-2626</v>
      </c>
      <c r="K579" t="s">
        <v>2978</v>
      </c>
      <c r="N579" t="s">
        <v>2979</v>
      </c>
      <c r="Z579" t="s">
        <v>43</v>
      </c>
    </row>
    <row r="580" spans="1:26" x14ac:dyDescent="0.25">
      <c r="A580">
        <v>579</v>
      </c>
      <c r="B580" t="s">
        <v>30</v>
      </c>
      <c r="C580" t="s">
        <v>2980</v>
      </c>
      <c r="D580" t="s">
        <v>2981</v>
      </c>
      <c r="E580" t="s">
        <v>2982</v>
      </c>
      <c r="F580" t="s">
        <v>2983</v>
      </c>
      <c r="G580" t="s">
        <v>2984</v>
      </c>
      <c r="I580" t="s">
        <v>2985</v>
      </c>
      <c r="J580">
        <f>57-60-1-672-3864</f>
        <v>-4540</v>
      </c>
      <c r="K580" t="s">
        <v>2986</v>
      </c>
      <c r="N580" t="s">
        <v>2987</v>
      </c>
      <c r="Z580" t="s">
        <v>43</v>
      </c>
    </row>
    <row r="581" spans="1:26" x14ac:dyDescent="0.25">
      <c r="A581">
        <v>580</v>
      </c>
      <c r="B581" t="s">
        <v>30</v>
      </c>
      <c r="C581" t="s">
        <v>2988</v>
      </c>
      <c r="D581" t="s">
        <v>2989</v>
      </c>
      <c r="E581" t="s">
        <v>1269</v>
      </c>
      <c r="F581" t="s">
        <v>2990</v>
      </c>
      <c r="G581" t="s">
        <v>1271</v>
      </c>
      <c r="I581" t="s">
        <v>2991</v>
      </c>
      <c r="K581" t="s">
        <v>2992</v>
      </c>
      <c r="N581" t="s">
        <v>2993</v>
      </c>
      <c r="Z581" t="s">
        <v>43</v>
      </c>
    </row>
    <row r="582" spans="1:26" x14ac:dyDescent="0.25">
      <c r="A582">
        <v>581</v>
      </c>
      <c r="B582" t="s">
        <v>30</v>
      </c>
      <c r="C582" t="s">
        <v>2994</v>
      </c>
      <c r="D582" t="s">
        <v>2995</v>
      </c>
      <c r="E582" t="s">
        <v>72</v>
      </c>
      <c r="F582" t="s">
        <v>2996</v>
      </c>
      <c r="G582" t="s">
        <v>73</v>
      </c>
      <c r="I582" t="s">
        <v>2997</v>
      </c>
      <c r="J582">
        <f>57-305-813-7098</f>
        <v>-8159</v>
      </c>
      <c r="K582" t="s">
        <v>2998</v>
      </c>
      <c r="N582" t="s">
        <v>2999</v>
      </c>
      <c r="Z582" t="s">
        <v>43</v>
      </c>
    </row>
    <row r="583" spans="1:26" x14ac:dyDescent="0.25">
      <c r="A583">
        <v>582</v>
      </c>
      <c r="B583" t="s">
        <v>30</v>
      </c>
      <c r="C583" t="s">
        <v>3000</v>
      </c>
      <c r="D583" t="s">
        <v>3001</v>
      </c>
      <c r="E583" t="s">
        <v>2295</v>
      </c>
      <c r="F583" t="s">
        <v>3002</v>
      </c>
      <c r="G583" t="s">
        <v>2297</v>
      </c>
      <c r="I583" t="s">
        <v>3003</v>
      </c>
      <c r="K583" t="s">
        <v>3004</v>
      </c>
      <c r="N583" t="s">
        <v>3005</v>
      </c>
      <c r="Z583" t="s">
        <v>43</v>
      </c>
    </row>
    <row r="584" spans="1:26" x14ac:dyDescent="0.25">
      <c r="A584">
        <v>583</v>
      </c>
      <c r="B584" t="s">
        <v>30</v>
      </c>
      <c r="C584" t="s">
        <v>3006</v>
      </c>
      <c r="D584" t="s">
        <v>772</v>
      </c>
      <c r="E584" t="s">
        <v>471</v>
      </c>
      <c r="F584" t="s">
        <v>773</v>
      </c>
      <c r="G584" t="s">
        <v>47</v>
      </c>
      <c r="I584" t="s">
        <v>3007</v>
      </c>
      <c r="K584" t="s">
        <v>3008</v>
      </c>
      <c r="N584" t="s">
        <v>3009</v>
      </c>
      <c r="Z584" t="s">
        <v>43</v>
      </c>
    </row>
    <row r="585" spans="1:26" x14ac:dyDescent="0.25">
      <c r="A585">
        <v>584</v>
      </c>
      <c r="B585" t="s">
        <v>30</v>
      </c>
      <c r="C585" t="s">
        <v>3010</v>
      </c>
      <c r="D585" t="s">
        <v>2433</v>
      </c>
      <c r="E585" t="s">
        <v>72</v>
      </c>
      <c r="F585" t="s">
        <v>2434</v>
      </c>
      <c r="G585" t="s">
        <v>73</v>
      </c>
      <c r="I585" t="s">
        <v>3011</v>
      </c>
      <c r="J585">
        <f>57-60-1-756-8558</f>
        <v>-9318</v>
      </c>
      <c r="K585" t="s">
        <v>3012</v>
      </c>
      <c r="N585" t="s">
        <v>3013</v>
      </c>
      <c r="Z585" t="s">
        <v>43</v>
      </c>
    </row>
    <row r="586" spans="1:26" x14ac:dyDescent="0.25">
      <c r="A586">
        <v>585</v>
      </c>
      <c r="B586" t="s">
        <v>30</v>
      </c>
      <c r="C586" t="s">
        <v>3014</v>
      </c>
      <c r="D586" t="s">
        <v>46</v>
      </c>
      <c r="E586" t="s">
        <v>471</v>
      </c>
      <c r="F586" t="s">
        <v>820</v>
      </c>
      <c r="G586" t="s">
        <v>47</v>
      </c>
      <c r="I586" t="s">
        <v>3015</v>
      </c>
      <c r="J586">
        <f>57-312-413-4116</f>
        <v>-4784</v>
      </c>
      <c r="K586" t="s">
        <v>3016</v>
      </c>
      <c r="N586" t="s">
        <v>3017</v>
      </c>
      <c r="Z586" t="s">
        <v>43</v>
      </c>
    </row>
    <row r="587" spans="1:26" x14ac:dyDescent="0.25">
      <c r="A587">
        <v>586</v>
      </c>
      <c r="B587" t="s">
        <v>30</v>
      </c>
      <c r="C587" t="s">
        <v>3018</v>
      </c>
      <c r="D587" t="s">
        <v>3019</v>
      </c>
      <c r="E587" t="s">
        <v>471</v>
      </c>
      <c r="F587" t="s">
        <v>3020</v>
      </c>
      <c r="G587" t="s">
        <v>47</v>
      </c>
      <c r="I587" t="s">
        <v>3021</v>
      </c>
      <c r="K587" t="s">
        <v>3022</v>
      </c>
      <c r="N587" t="s">
        <v>3023</v>
      </c>
      <c r="Z587" t="s">
        <v>43</v>
      </c>
    </row>
    <row r="588" spans="1:26" x14ac:dyDescent="0.25">
      <c r="A588">
        <v>587</v>
      </c>
      <c r="B588" t="s">
        <v>30</v>
      </c>
      <c r="C588" t="s">
        <v>3024</v>
      </c>
      <c r="D588" t="s">
        <v>46</v>
      </c>
      <c r="E588" t="s">
        <v>471</v>
      </c>
      <c r="F588" t="s">
        <v>820</v>
      </c>
      <c r="G588" t="s">
        <v>47</v>
      </c>
      <c r="I588" t="s">
        <v>3025</v>
      </c>
      <c r="J588">
        <f>57-60-1-257-2160</f>
        <v>-2421</v>
      </c>
      <c r="K588" t="s">
        <v>3026</v>
      </c>
      <c r="N588" t="s">
        <v>3027</v>
      </c>
      <c r="Z588" t="s">
        <v>43</v>
      </c>
    </row>
    <row r="589" spans="1:26" x14ac:dyDescent="0.25">
      <c r="A589">
        <v>588</v>
      </c>
      <c r="B589" t="s">
        <v>30</v>
      </c>
      <c r="C589" t="s">
        <v>3028</v>
      </c>
      <c r="D589" t="s">
        <v>46</v>
      </c>
      <c r="E589" t="s">
        <v>56</v>
      </c>
      <c r="F589" t="s">
        <v>820</v>
      </c>
      <c r="G589" t="s">
        <v>57</v>
      </c>
      <c r="I589" t="s">
        <v>3029</v>
      </c>
      <c r="K589" t="s">
        <v>3030</v>
      </c>
      <c r="N589" t="s">
        <v>3031</v>
      </c>
      <c r="Z589" t="s">
        <v>43</v>
      </c>
    </row>
    <row r="590" spans="1:26" x14ac:dyDescent="0.25">
      <c r="A590">
        <v>589</v>
      </c>
      <c r="B590" t="s">
        <v>30</v>
      </c>
      <c r="C590" t="s">
        <v>3032</v>
      </c>
      <c r="D590" t="s">
        <v>56</v>
      </c>
      <c r="E590" t="s">
        <v>56</v>
      </c>
      <c r="F590" t="s">
        <v>57</v>
      </c>
      <c r="G590" t="s">
        <v>57</v>
      </c>
      <c r="I590" t="s">
        <v>3033</v>
      </c>
      <c r="J590">
        <f>57-318-390-5798</f>
        <v>-6449</v>
      </c>
      <c r="K590" t="s">
        <v>3034</v>
      </c>
      <c r="N590" t="s">
        <v>3035</v>
      </c>
      <c r="Z590" t="s">
        <v>43</v>
      </c>
    </row>
    <row r="591" spans="1:26" x14ac:dyDescent="0.25">
      <c r="A591">
        <v>590</v>
      </c>
      <c r="B591" t="s">
        <v>30</v>
      </c>
      <c r="C591" t="s">
        <v>3036</v>
      </c>
      <c r="D591" t="s">
        <v>3037</v>
      </c>
      <c r="E591" t="s">
        <v>64</v>
      </c>
      <c r="F591" t="s">
        <v>3038</v>
      </c>
      <c r="G591" t="s">
        <v>65</v>
      </c>
      <c r="I591" t="s">
        <v>3039</v>
      </c>
      <c r="K591" t="s">
        <v>3040</v>
      </c>
      <c r="N591" t="s">
        <v>3041</v>
      </c>
      <c r="Z591" t="s">
        <v>43</v>
      </c>
    </row>
    <row r="592" spans="1:26" x14ac:dyDescent="0.25">
      <c r="A592">
        <v>591</v>
      </c>
      <c r="B592" t="s">
        <v>30</v>
      </c>
      <c r="C592" t="s">
        <v>3042</v>
      </c>
      <c r="D592" t="s">
        <v>2168</v>
      </c>
      <c r="E592" t="s">
        <v>800</v>
      </c>
      <c r="F592" t="s">
        <v>2169</v>
      </c>
      <c r="G592" t="s">
        <v>802</v>
      </c>
      <c r="I592" t="s">
        <v>3043</v>
      </c>
      <c r="J592">
        <f>57-310-287-3942</f>
        <v>-4482</v>
      </c>
      <c r="K592" t="s">
        <v>3044</v>
      </c>
      <c r="N592" t="s">
        <v>3045</v>
      </c>
      <c r="Z592" t="s">
        <v>43</v>
      </c>
    </row>
    <row r="593" spans="1:26" x14ac:dyDescent="0.25">
      <c r="A593">
        <v>592</v>
      </c>
      <c r="B593" t="s">
        <v>30</v>
      </c>
      <c r="C593" t="s">
        <v>3046</v>
      </c>
      <c r="D593" t="s">
        <v>3047</v>
      </c>
      <c r="E593" t="s">
        <v>755</v>
      </c>
      <c r="F593" t="s">
        <v>3048</v>
      </c>
      <c r="G593" t="s">
        <v>2199</v>
      </c>
      <c r="I593" t="s">
        <v>3049</v>
      </c>
      <c r="J593">
        <f>57-60-1-683-5108</f>
        <v>-5795</v>
      </c>
      <c r="K593" t="s">
        <v>3050</v>
      </c>
      <c r="N593" t="s">
        <v>3051</v>
      </c>
      <c r="Z593" t="s">
        <v>43</v>
      </c>
    </row>
    <row r="594" spans="1:26" x14ac:dyDescent="0.25">
      <c r="A594">
        <v>593</v>
      </c>
      <c r="B594" t="s">
        <v>30</v>
      </c>
      <c r="C594" t="s">
        <v>3052</v>
      </c>
      <c r="D594" t="s">
        <v>3053</v>
      </c>
      <c r="E594" t="s">
        <v>1055</v>
      </c>
      <c r="F594" t="s">
        <v>3054</v>
      </c>
      <c r="G594" t="s">
        <v>1057</v>
      </c>
      <c r="I594" t="s">
        <v>3055</v>
      </c>
      <c r="J594">
        <f>57-60-1-245-5834</f>
        <v>-6083</v>
      </c>
      <c r="K594" t="s">
        <v>3056</v>
      </c>
      <c r="N594" t="s">
        <v>3057</v>
      </c>
      <c r="Z594" t="s">
        <v>43</v>
      </c>
    </row>
    <row r="595" spans="1:26" x14ac:dyDescent="0.25">
      <c r="A595">
        <v>594</v>
      </c>
      <c r="B595" t="s">
        <v>30</v>
      </c>
      <c r="C595" t="s">
        <v>3058</v>
      </c>
      <c r="D595" t="s">
        <v>2336</v>
      </c>
      <c r="E595" t="s">
        <v>56</v>
      </c>
      <c r="F595" t="s">
        <v>2337</v>
      </c>
      <c r="G595" t="s">
        <v>57</v>
      </c>
      <c r="I595" t="s">
        <v>3059</v>
      </c>
      <c r="K595" t="s">
        <v>3060</v>
      </c>
      <c r="N595" t="s">
        <v>3061</v>
      </c>
      <c r="Z595" t="s">
        <v>43</v>
      </c>
    </row>
    <row r="596" spans="1:26" x14ac:dyDescent="0.25">
      <c r="A596">
        <v>595</v>
      </c>
      <c r="B596" t="s">
        <v>30</v>
      </c>
      <c r="C596" t="s">
        <v>3062</v>
      </c>
      <c r="D596" t="s">
        <v>46</v>
      </c>
      <c r="E596" t="s">
        <v>471</v>
      </c>
      <c r="F596" t="s">
        <v>820</v>
      </c>
      <c r="G596" t="s">
        <v>47</v>
      </c>
      <c r="I596" t="s">
        <v>3063</v>
      </c>
      <c r="J596">
        <f>57-311-283-2470</f>
        <v>-3007</v>
      </c>
      <c r="K596" t="s">
        <v>3064</v>
      </c>
      <c r="N596" t="s">
        <v>3065</v>
      </c>
      <c r="Z596" t="s">
        <v>43</v>
      </c>
    </row>
    <row r="597" spans="1:26" x14ac:dyDescent="0.25">
      <c r="A597">
        <v>596</v>
      </c>
      <c r="B597" t="s">
        <v>30</v>
      </c>
      <c r="C597" t="s">
        <v>3066</v>
      </c>
      <c r="D597" t="s">
        <v>3067</v>
      </c>
      <c r="E597" t="s">
        <v>2210</v>
      </c>
      <c r="F597" t="s">
        <v>3068</v>
      </c>
      <c r="G597" t="s">
        <v>2212</v>
      </c>
      <c r="I597" t="s">
        <v>3069</v>
      </c>
      <c r="J597">
        <f>57-60-1-421-2790</f>
        <v>-3215</v>
      </c>
      <c r="K597" t="s">
        <v>3070</v>
      </c>
      <c r="N597" t="s">
        <v>3071</v>
      </c>
      <c r="Z597" t="s">
        <v>43</v>
      </c>
    </row>
    <row r="598" spans="1:26" x14ac:dyDescent="0.25">
      <c r="A598">
        <v>597</v>
      </c>
      <c r="B598" t="s">
        <v>30</v>
      </c>
      <c r="C598" t="s">
        <v>3072</v>
      </c>
      <c r="D598" t="s">
        <v>3073</v>
      </c>
      <c r="E598" t="s">
        <v>471</v>
      </c>
      <c r="F598" t="s">
        <v>3074</v>
      </c>
      <c r="G598" t="s">
        <v>47</v>
      </c>
      <c r="I598" t="s">
        <v>3075</v>
      </c>
      <c r="K598" t="s">
        <v>3076</v>
      </c>
      <c r="N598" t="s">
        <v>3077</v>
      </c>
      <c r="Z598" t="s">
        <v>43</v>
      </c>
    </row>
    <row r="599" spans="1:26" x14ac:dyDescent="0.25">
      <c r="A599">
        <v>598</v>
      </c>
      <c r="B599" t="s">
        <v>30</v>
      </c>
      <c r="C599" t="s">
        <v>3078</v>
      </c>
      <c r="D599" t="s">
        <v>1713</v>
      </c>
      <c r="E599" t="s">
        <v>64</v>
      </c>
      <c r="F599" t="s">
        <v>3079</v>
      </c>
      <c r="G599" t="s">
        <v>65</v>
      </c>
      <c r="I599" t="s">
        <v>3080</v>
      </c>
      <c r="J599">
        <f>57-60-1-564-2667</f>
        <v>-3235</v>
      </c>
      <c r="K599" t="s">
        <v>3081</v>
      </c>
      <c r="N599" t="s">
        <v>3082</v>
      </c>
      <c r="Z599" t="s">
        <v>43</v>
      </c>
    </row>
    <row r="600" spans="1:26" x14ac:dyDescent="0.25">
      <c r="A600">
        <v>599</v>
      </c>
      <c r="B600" t="s">
        <v>30</v>
      </c>
      <c r="C600" t="s">
        <v>3083</v>
      </c>
      <c r="D600" t="s">
        <v>1260</v>
      </c>
      <c r="E600" t="s">
        <v>64</v>
      </c>
      <c r="F600" t="s">
        <v>1653</v>
      </c>
      <c r="G600" t="s">
        <v>65</v>
      </c>
      <c r="I600" t="s">
        <v>3084</v>
      </c>
      <c r="K600" t="s">
        <v>3085</v>
      </c>
      <c r="N600" t="s">
        <v>3086</v>
      </c>
      <c r="Z600" t="s">
        <v>43</v>
      </c>
    </row>
    <row r="601" spans="1:26" x14ac:dyDescent="0.25">
      <c r="A601">
        <v>600</v>
      </c>
      <c r="B601" t="s">
        <v>30</v>
      </c>
      <c r="C601" t="s">
        <v>3087</v>
      </c>
      <c r="D601" t="s">
        <v>3088</v>
      </c>
      <c r="E601" t="s">
        <v>385</v>
      </c>
      <c r="F601" t="s">
        <v>3089</v>
      </c>
      <c r="G601" t="s">
        <v>387</v>
      </c>
      <c r="I601" t="s">
        <v>3090</v>
      </c>
      <c r="K601" t="s">
        <v>3091</v>
      </c>
      <c r="N601" t="s">
        <v>3092</v>
      </c>
      <c r="Z601" t="s">
        <v>43</v>
      </c>
    </row>
    <row r="602" spans="1:26" x14ac:dyDescent="0.25">
      <c r="A602">
        <v>601</v>
      </c>
      <c r="B602" t="s">
        <v>30</v>
      </c>
      <c r="C602" t="s">
        <v>3093</v>
      </c>
      <c r="D602" t="s">
        <v>46</v>
      </c>
      <c r="E602" t="s">
        <v>56</v>
      </c>
      <c r="F602" t="s">
        <v>820</v>
      </c>
      <c r="G602" t="s">
        <v>57</v>
      </c>
      <c r="I602" t="s">
        <v>3094</v>
      </c>
      <c r="J602">
        <f>57-311-208-6251</f>
        <v>-6713</v>
      </c>
      <c r="K602" t="s">
        <v>3095</v>
      </c>
      <c r="N602" t="s">
        <v>3096</v>
      </c>
      <c r="Z602" t="s">
        <v>43</v>
      </c>
    </row>
    <row r="603" spans="1:26" x14ac:dyDescent="0.25">
      <c r="A603">
        <v>602</v>
      </c>
      <c r="B603" t="s">
        <v>30</v>
      </c>
      <c r="C603" t="s">
        <v>3097</v>
      </c>
      <c r="D603" t="s">
        <v>72</v>
      </c>
      <c r="E603" t="s">
        <v>72</v>
      </c>
      <c r="F603" t="s">
        <v>73</v>
      </c>
      <c r="G603" t="s">
        <v>73</v>
      </c>
      <c r="I603" t="s">
        <v>3098</v>
      </c>
      <c r="K603" t="s">
        <v>3099</v>
      </c>
      <c r="N603" t="s">
        <v>3100</v>
      </c>
      <c r="Z603" t="s">
        <v>43</v>
      </c>
    </row>
    <row r="604" spans="1:26" x14ac:dyDescent="0.25">
      <c r="A604">
        <v>603</v>
      </c>
      <c r="B604" t="s">
        <v>30</v>
      </c>
      <c r="C604" t="s">
        <v>3101</v>
      </c>
      <c r="D604" t="s">
        <v>46</v>
      </c>
      <c r="E604" t="s">
        <v>471</v>
      </c>
      <c r="F604" t="s">
        <v>820</v>
      </c>
      <c r="G604" t="s">
        <v>47</v>
      </c>
      <c r="I604" t="s">
        <v>3102</v>
      </c>
      <c r="K604" t="s">
        <v>3103</v>
      </c>
      <c r="N604" t="s">
        <v>3104</v>
      </c>
      <c r="Z604" t="s">
        <v>43</v>
      </c>
    </row>
    <row r="605" spans="1:26" x14ac:dyDescent="0.25">
      <c r="A605">
        <v>604</v>
      </c>
      <c r="B605" t="s">
        <v>30</v>
      </c>
      <c r="C605" t="s">
        <v>3105</v>
      </c>
      <c r="D605" t="s">
        <v>72</v>
      </c>
      <c r="E605" t="s">
        <v>72</v>
      </c>
      <c r="F605" t="s">
        <v>73</v>
      </c>
      <c r="G605" t="s">
        <v>73</v>
      </c>
      <c r="I605" t="s">
        <v>3106</v>
      </c>
      <c r="K605" t="s">
        <v>3107</v>
      </c>
      <c r="N605" t="s">
        <v>3108</v>
      </c>
      <c r="Z605" t="s">
        <v>43</v>
      </c>
    </row>
    <row r="606" spans="1:26" x14ac:dyDescent="0.25">
      <c r="A606">
        <v>605</v>
      </c>
      <c r="B606" t="s">
        <v>30</v>
      </c>
      <c r="C606" t="s">
        <v>3109</v>
      </c>
      <c r="D606" t="s">
        <v>3110</v>
      </c>
      <c r="E606" t="s">
        <v>3111</v>
      </c>
      <c r="F606" t="s">
        <v>3112</v>
      </c>
      <c r="G606" t="s">
        <v>3113</v>
      </c>
      <c r="I606" t="s">
        <v>3114</v>
      </c>
      <c r="J606">
        <f>57-300-420-9994</f>
        <v>-10657</v>
      </c>
      <c r="K606" t="s">
        <v>3115</v>
      </c>
      <c r="N606" t="s">
        <v>3116</v>
      </c>
      <c r="Z606" t="s">
        <v>43</v>
      </c>
    </row>
    <row r="607" spans="1:26" x14ac:dyDescent="0.25">
      <c r="A607">
        <v>606</v>
      </c>
      <c r="B607" t="s">
        <v>30</v>
      </c>
      <c r="C607" t="s">
        <v>3117</v>
      </c>
      <c r="D607" t="s">
        <v>3118</v>
      </c>
      <c r="E607" t="s">
        <v>471</v>
      </c>
      <c r="F607" t="s">
        <v>3119</v>
      </c>
      <c r="G607" t="s">
        <v>47</v>
      </c>
      <c r="I607" t="s">
        <v>3120</v>
      </c>
      <c r="K607" t="s">
        <v>3121</v>
      </c>
      <c r="N607" t="s">
        <v>3122</v>
      </c>
      <c r="Z607" t="s">
        <v>43</v>
      </c>
    </row>
    <row r="608" spans="1:26" x14ac:dyDescent="0.25">
      <c r="A608">
        <v>607</v>
      </c>
      <c r="B608" t="s">
        <v>30</v>
      </c>
      <c r="C608" t="s">
        <v>3123</v>
      </c>
      <c r="D608" t="s">
        <v>46</v>
      </c>
      <c r="E608" t="s">
        <v>471</v>
      </c>
      <c r="F608" t="s">
        <v>820</v>
      </c>
      <c r="G608" t="s">
        <v>47</v>
      </c>
      <c r="I608" t="s">
        <v>3124</v>
      </c>
      <c r="J608">
        <f>57-321-347-881</f>
        <v>-1492</v>
      </c>
      <c r="K608" t="s">
        <v>3125</v>
      </c>
      <c r="N608" t="s">
        <v>3126</v>
      </c>
      <c r="Z608" t="s">
        <v>43</v>
      </c>
    </row>
    <row r="609" spans="1:26" x14ac:dyDescent="0.25">
      <c r="A609">
        <v>608</v>
      </c>
      <c r="B609" t="s">
        <v>30</v>
      </c>
      <c r="C609" t="s">
        <v>3127</v>
      </c>
      <c r="D609" t="s">
        <v>899</v>
      </c>
      <c r="E609" t="s">
        <v>1217</v>
      </c>
      <c r="F609" t="s">
        <v>2456</v>
      </c>
      <c r="G609" t="s">
        <v>2132</v>
      </c>
      <c r="I609" t="s">
        <v>3128</v>
      </c>
      <c r="K609" t="s">
        <v>3129</v>
      </c>
      <c r="N609" t="s">
        <v>3130</v>
      </c>
      <c r="Z609" t="s">
        <v>43</v>
      </c>
    </row>
    <row r="610" spans="1:26" x14ac:dyDescent="0.25">
      <c r="A610">
        <v>609</v>
      </c>
      <c r="B610" t="s">
        <v>30</v>
      </c>
      <c r="C610" t="s">
        <v>3131</v>
      </c>
      <c r="D610" t="s">
        <v>3132</v>
      </c>
      <c r="E610" t="s">
        <v>3133</v>
      </c>
      <c r="F610" t="s">
        <v>3134</v>
      </c>
      <c r="G610" t="s">
        <v>3135</v>
      </c>
      <c r="I610" t="s">
        <v>3136</v>
      </c>
      <c r="K610" t="s">
        <v>3137</v>
      </c>
      <c r="N610" t="s">
        <v>3138</v>
      </c>
      <c r="Z610" t="s">
        <v>43</v>
      </c>
    </row>
    <row r="611" spans="1:26" x14ac:dyDescent="0.25">
      <c r="A611">
        <v>610</v>
      </c>
      <c r="B611" t="s">
        <v>30</v>
      </c>
      <c r="C611" t="s">
        <v>3139</v>
      </c>
      <c r="D611" t="s">
        <v>772</v>
      </c>
      <c r="E611" t="s">
        <v>72</v>
      </c>
      <c r="F611" t="s">
        <v>773</v>
      </c>
      <c r="G611" t="s">
        <v>73</v>
      </c>
      <c r="I611" t="s">
        <v>3140</v>
      </c>
      <c r="K611" t="s">
        <v>3141</v>
      </c>
      <c r="N611" t="s">
        <v>3142</v>
      </c>
      <c r="Z611" t="s">
        <v>43</v>
      </c>
    </row>
    <row r="612" spans="1:26" x14ac:dyDescent="0.25">
      <c r="A612">
        <v>611</v>
      </c>
      <c r="B612" t="s">
        <v>30</v>
      </c>
      <c r="C612" t="s">
        <v>3143</v>
      </c>
      <c r="D612" t="s">
        <v>64</v>
      </c>
      <c r="E612" t="s">
        <v>64</v>
      </c>
      <c r="F612" t="s">
        <v>65</v>
      </c>
      <c r="G612" t="s">
        <v>65</v>
      </c>
      <c r="I612" t="s">
        <v>3144</v>
      </c>
      <c r="J612">
        <f>57-318-765-2674</f>
        <v>-3700</v>
      </c>
      <c r="K612" t="s">
        <v>3145</v>
      </c>
      <c r="N612" t="s">
        <v>3146</v>
      </c>
      <c r="Z612" t="s">
        <v>43</v>
      </c>
    </row>
    <row r="613" spans="1:26" x14ac:dyDescent="0.25">
      <c r="A613">
        <v>612</v>
      </c>
      <c r="B613" t="s">
        <v>30</v>
      </c>
      <c r="C613" t="s">
        <v>3147</v>
      </c>
      <c r="D613" t="s">
        <v>3148</v>
      </c>
      <c r="E613" t="s">
        <v>2592</v>
      </c>
      <c r="F613" t="s">
        <v>3149</v>
      </c>
      <c r="G613" t="s">
        <v>3150</v>
      </c>
      <c r="I613" t="s">
        <v>3151</v>
      </c>
      <c r="J613">
        <f>57-304-332-2955</f>
        <v>-3534</v>
      </c>
      <c r="K613" t="s">
        <v>3152</v>
      </c>
      <c r="N613" t="s">
        <v>3153</v>
      </c>
      <c r="Z613" t="s">
        <v>43</v>
      </c>
    </row>
    <row r="614" spans="1:26" x14ac:dyDescent="0.25">
      <c r="A614">
        <v>613</v>
      </c>
      <c r="B614" t="s">
        <v>30</v>
      </c>
      <c r="C614" t="s">
        <v>3154</v>
      </c>
      <c r="D614" t="s">
        <v>899</v>
      </c>
      <c r="E614" t="s">
        <v>471</v>
      </c>
      <c r="F614" t="s">
        <v>2456</v>
      </c>
      <c r="G614" t="s">
        <v>47</v>
      </c>
      <c r="I614" t="s">
        <v>3155</v>
      </c>
      <c r="J614">
        <f>57-318-618-2048</f>
        <v>-2927</v>
      </c>
      <c r="K614" t="s">
        <v>3156</v>
      </c>
      <c r="N614" t="s">
        <v>3157</v>
      </c>
      <c r="Z614" t="s">
        <v>43</v>
      </c>
    </row>
    <row r="615" spans="1:26" x14ac:dyDescent="0.25">
      <c r="A615">
        <v>614</v>
      </c>
      <c r="B615" t="s">
        <v>30</v>
      </c>
      <c r="C615" t="s">
        <v>3158</v>
      </c>
      <c r="D615" t="s">
        <v>1713</v>
      </c>
      <c r="E615" t="s">
        <v>1658</v>
      </c>
      <c r="F615" t="s">
        <v>3159</v>
      </c>
      <c r="G615" t="s">
        <v>1660</v>
      </c>
      <c r="I615" t="s">
        <v>3160</v>
      </c>
      <c r="J615">
        <f>57-317-439-3913</f>
        <v>-4612</v>
      </c>
      <c r="K615" t="s">
        <v>3161</v>
      </c>
      <c r="N615" t="s">
        <v>3162</v>
      </c>
      <c r="Z615" t="s">
        <v>43</v>
      </c>
    </row>
    <row r="616" spans="1:26" x14ac:dyDescent="0.25">
      <c r="A616">
        <v>615</v>
      </c>
      <c r="B616" t="s">
        <v>30</v>
      </c>
      <c r="C616" t="s">
        <v>3163</v>
      </c>
      <c r="D616" t="s">
        <v>1260</v>
      </c>
      <c r="E616" t="s">
        <v>471</v>
      </c>
      <c r="F616" t="s">
        <v>2204</v>
      </c>
      <c r="G616" t="s">
        <v>47</v>
      </c>
      <c r="I616" t="s">
        <v>3164</v>
      </c>
      <c r="K616" t="s">
        <v>3165</v>
      </c>
      <c r="N616" t="s">
        <v>3166</v>
      </c>
      <c r="Z616" t="s">
        <v>43</v>
      </c>
    </row>
    <row r="617" spans="1:26" x14ac:dyDescent="0.25">
      <c r="A617">
        <v>616</v>
      </c>
      <c r="B617" t="s">
        <v>30</v>
      </c>
      <c r="C617" t="s">
        <v>3167</v>
      </c>
      <c r="D617" t="s">
        <v>3168</v>
      </c>
      <c r="E617" t="s">
        <v>56</v>
      </c>
      <c r="F617" t="s">
        <v>3169</v>
      </c>
      <c r="G617" t="s">
        <v>57</v>
      </c>
      <c r="I617" t="s">
        <v>3170</v>
      </c>
      <c r="J617">
        <f>57-316-267-899</f>
        <v>-1425</v>
      </c>
      <c r="K617" t="s">
        <v>3171</v>
      </c>
      <c r="N617" t="s">
        <v>3172</v>
      </c>
      <c r="Z617" t="s">
        <v>43</v>
      </c>
    </row>
    <row r="618" spans="1:26" x14ac:dyDescent="0.25">
      <c r="A618">
        <v>617</v>
      </c>
      <c r="B618" t="s">
        <v>30</v>
      </c>
      <c r="C618" t="s">
        <v>3173</v>
      </c>
      <c r="D618" t="s">
        <v>64</v>
      </c>
      <c r="E618" t="s">
        <v>64</v>
      </c>
      <c r="F618" t="s">
        <v>65</v>
      </c>
      <c r="G618" t="s">
        <v>65</v>
      </c>
      <c r="I618" t="s">
        <v>3174</v>
      </c>
      <c r="J618">
        <f>57-60-1-311-2437</f>
        <v>-2752</v>
      </c>
      <c r="K618" t="s">
        <v>3175</v>
      </c>
      <c r="N618" t="s">
        <v>3176</v>
      </c>
      <c r="Z618" t="s">
        <v>43</v>
      </c>
    </row>
    <row r="619" spans="1:26" x14ac:dyDescent="0.25">
      <c r="A619">
        <v>618</v>
      </c>
      <c r="B619" t="s">
        <v>30</v>
      </c>
      <c r="C619" t="s">
        <v>3177</v>
      </c>
      <c r="D619" t="s">
        <v>2242</v>
      </c>
      <c r="E619" t="s">
        <v>1269</v>
      </c>
      <c r="F619" t="s">
        <v>2243</v>
      </c>
      <c r="G619" t="s">
        <v>1271</v>
      </c>
      <c r="I619" t="s">
        <v>3178</v>
      </c>
      <c r="K619" t="s">
        <v>3179</v>
      </c>
      <c r="N619" t="s">
        <v>3180</v>
      </c>
      <c r="Z619" t="s">
        <v>43</v>
      </c>
    </row>
    <row r="620" spans="1:26" x14ac:dyDescent="0.25">
      <c r="A620">
        <v>619</v>
      </c>
      <c r="B620" t="s">
        <v>30</v>
      </c>
      <c r="C620" t="s">
        <v>3181</v>
      </c>
      <c r="D620" t="s">
        <v>1982</v>
      </c>
      <c r="E620" t="s">
        <v>64</v>
      </c>
      <c r="F620" t="s">
        <v>3182</v>
      </c>
      <c r="G620" t="s">
        <v>65</v>
      </c>
      <c r="I620" t="s">
        <v>3183</v>
      </c>
      <c r="K620" t="s">
        <v>3184</v>
      </c>
      <c r="N620" t="s">
        <v>3185</v>
      </c>
      <c r="Z620" t="s">
        <v>43</v>
      </c>
    </row>
    <row r="621" spans="1:26" x14ac:dyDescent="0.25">
      <c r="A621">
        <v>620</v>
      </c>
      <c r="B621" t="s">
        <v>30</v>
      </c>
      <c r="C621" t="s">
        <v>3186</v>
      </c>
      <c r="D621" t="s">
        <v>384</v>
      </c>
      <c r="E621" t="s">
        <v>471</v>
      </c>
      <c r="F621" t="s">
        <v>2439</v>
      </c>
      <c r="G621" t="s">
        <v>47</v>
      </c>
      <c r="I621" t="s">
        <v>3187</v>
      </c>
      <c r="J621">
        <f>57-312-506-2192</f>
        <v>-2953</v>
      </c>
      <c r="K621" t="s">
        <v>3188</v>
      </c>
      <c r="N621" t="s">
        <v>3189</v>
      </c>
      <c r="Z621" t="s">
        <v>43</v>
      </c>
    </row>
    <row r="622" spans="1:26" x14ac:dyDescent="0.25">
      <c r="A622">
        <v>621</v>
      </c>
      <c r="B622" t="s">
        <v>30</v>
      </c>
      <c r="C622" t="s">
        <v>3190</v>
      </c>
      <c r="D622" t="s">
        <v>3191</v>
      </c>
      <c r="E622" t="s">
        <v>3192</v>
      </c>
      <c r="F622" t="s">
        <v>3193</v>
      </c>
      <c r="G622" t="s">
        <v>3194</v>
      </c>
      <c r="I622" t="s">
        <v>3195</v>
      </c>
      <c r="K622" t="s">
        <v>3196</v>
      </c>
      <c r="N622" t="s">
        <v>3197</v>
      </c>
      <c r="Z622" t="s">
        <v>43</v>
      </c>
    </row>
    <row r="623" spans="1:26" x14ac:dyDescent="0.25">
      <c r="A623">
        <v>622</v>
      </c>
      <c r="B623" t="s">
        <v>30</v>
      </c>
      <c r="C623" t="s">
        <v>3198</v>
      </c>
      <c r="D623" t="s">
        <v>3199</v>
      </c>
      <c r="E623" t="s">
        <v>56</v>
      </c>
      <c r="F623" t="s">
        <v>3200</v>
      </c>
      <c r="G623" t="s">
        <v>57</v>
      </c>
      <c r="I623" t="s">
        <v>3201</v>
      </c>
      <c r="K623" t="s">
        <v>3202</v>
      </c>
      <c r="N623" t="s">
        <v>3203</v>
      </c>
      <c r="Z623" t="s">
        <v>43</v>
      </c>
    </row>
    <row r="624" spans="1:26" x14ac:dyDescent="0.25">
      <c r="A624">
        <v>623</v>
      </c>
      <c r="B624" t="s">
        <v>30</v>
      </c>
      <c r="C624" t="s">
        <v>3204</v>
      </c>
      <c r="D624" t="s">
        <v>2098</v>
      </c>
      <c r="E624" t="s">
        <v>1269</v>
      </c>
      <c r="F624" t="s">
        <v>2099</v>
      </c>
      <c r="G624" t="s">
        <v>1271</v>
      </c>
      <c r="I624" t="s">
        <v>3205</v>
      </c>
      <c r="J624">
        <f>57-60-1-255-4534</f>
        <v>-4793</v>
      </c>
      <c r="K624" t="s">
        <v>3206</v>
      </c>
      <c r="N624" t="s">
        <v>3207</v>
      </c>
      <c r="Z624" t="s">
        <v>43</v>
      </c>
    </row>
    <row r="625" spans="1:26" x14ac:dyDescent="0.25">
      <c r="A625">
        <v>624</v>
      </c>
      <c r="B625" t="s">
        <v>30</v>
      </c>
      <c r="C625" t="s">
        <v>3208</v>
      </c>
      <c r="D625" t="s">
        <v>3209</v>
      </c>
      <c r="E625" t="s">
        <v>3210</v>
      </c>
      <c r="F625" t="s">
        <v>3211</v>
      </c>
      <c r="G625" t="s">
        <v>3212</v>
      </c>
      <c r="I625" t="s">
        <v>3213</v>
      </c>
      <c r="J625">
        <f>57-314-259-3392</f>
        <v>-3908</v>
      </c>
      <c r="K625" t="s">
        <v>3214</v>
      </c>
      <c r="N625" t="s">
        <v>3215</v>
      </c>
      <c r="Z625" t="s">
        <v>43</v>
      </c>
    </row>
    <row r="626" spans="1:26" x14ac:dyDescent="0.25">
      <c r="A626">
        <v>625</v>
      </c>
      <c r="B626" t="s">
        <v>30</v>
      </c>
      <c r="C626" t="s">
        <v>3216</v>
      </c>
      <c r="D626" t="s">
        <v>1276</v>
      </c>
      <c r="E626" t="s">
        <v>64</v>
      </c>
      <c r="F626" t="s">
        <v>1277</v>
      </c>
      <c r="G626" t="s">
        <v>65</v>
      </c>
      <c r="I626" t="s">
        <v>3217</v>
      </c>
      <c r="J626">
        <f>57-310-218-3983</f>
        <v>-4454</v>
      </c>
      <c r="K626" t="s">
        <v>3218</v>
      </c>
      <c r="N626" t="s">
        <v>3219</v>
      </c>
      <c r="Z626" t="s">
        <v>43</v>
      </c>
    </row>
    <row r="627" spans="1:26" x14ac:dyDescent="0.25">
      <c r="A627">
        <v>626</v>
      </c>
      <c r="B627" t="s">
        <v>30</v>
      </c>
      <c r="C627" t="s">
        <v>3220</v>
      </c>
      <c r="D627" t="s">
        <v>3221</v>
      </c>
      <c r="E627" t="s">
        <v>1338</v>
      </c>
      <c r="F627" t="s">
        <v>3222</v>
      </c>
      <c r="G627" t="s">
        <v>1340</v>
      </c>
      <c r="I627" t="s">
        <v>3223</v>
      </c>
      <c r="J627">
        <f>57-323-585-3259</f>
        <v>-4110</v>
      </c>
      <c r="K627" t="s">
        <v>3224</v>
      </c>
      <c r="N627" t="s">
        <v>3225</v>
      </c>
      <c r="Z627" t="s">
        <v>43</v>
      </c>
    </row>
    <row r="628" spans="1:26" x14ac:dyDescent="0.25">
      <c r="A628">
        <v>627</v>
      </c>
      <c r="B628" t="s">
        <v>30</v>
      </c>
      <c r="C628" t="s">
        <v>3226</v>
      </c>
      <c r="D628" t="s">
        <v>3227</v>
      </c>
      <c r="E628" t="s">
        <v>1658</v>
      </c>
      <c r="F628" t="s">
        <v>3228</v>
      </c>
      <c r="G628" t="s">
        <v>1660</v>
      </c>
      <c r="I628" t="s">
        <v>3229</v>
      </c>
      <c r="J628">
        <f>57-310-784-626</f>
        <v>-1663</v>
      </c>
      <c r="K628" t="s">
        <v>3230</v>
      </c>
      <c r="N628" t="s">
        <v>3231</v>
      </c>
      <c r="Z628" t="s">
        <v>43</v>
      </c>
    </row>
    <row r="629" spans="1:26" x14ac:dyDescent="0.25">
      <c r="A629">
        <v>628</v>
      </c>
      <c r="B629" t="s">
        <v>30</v>
      </c>
      <c r="C629" t="s">
        <v>3232</v>
      </c>
      <c r="D629" t="s">
        <v>3233</v>
      </c>
      <c r="E629" t="s">
        <v>3234</v>
      </c>
      <c r="F629" t="s">
        <v>3235</v>
      </c>
      <c r="G629" t="s">
        <v>3236</v>
      </c>
      <c r="I629" t="s">
        <v>3237</v>
      </c>
      <c r="J629">
        <f>57-310-561-1040</f>
        <v>-1854</v>
      </c>
      <c r="K629" t="s">
        <v>3238</v>
      </c>
      <c r="N629" t="s">
        <v>3239</v>
      </c>
      <c r="Z629" t="s">
        <v>43</v>
      </c>
    </row>
    <row r="630" spans="1:26" x14ac:dyDescent="0.25">
      <c r="A630">
        <v>629</v>
      </c>
      <c r="B630" t="s">
        <v>30</v>
      </c>
      <c r="C630" t="s">
        <v>3240</v>
      </c>
      <c r="D630" t="s">
        <v>3241</v>
      </c>
      <c r="E630" t="s">
        <v>1792</v>
      </c>
      <c r="F630" t="s">
        <v>3242</v>
      </c>
      <c r="G630" t="s">
        <v>1794</v>
      </c>
      <c r="I630" t="s">
        <v>3243</v>
      </c>
      <c r="J630">
        <f>57-60-1-289-6730</f>
        <v>-7023</v>
      </c>
      <c r="K630" t="s">
        <v>3244</v>
      </c>
      <c r="N630" t="s">
        <v>3245</v>
      </c>
      <c r="Z630" t="s">
        <v>43</v>
      </c>
    </row>
    <row r="631" spans="1:26" x14ac:dyDescent="0.25">
      <c r="A631">
        <v>630</v>
      </c>
      <c r="B631" t="s">
        <v>30</v>
      </c>
      <c r="C631" t="s">
        <v>3246</v>
      </c>
      <c r="D631" t="s">
        <v>2242</v>
      </c>
      <c r="E631" t="s">
        <v>1269</v>
      </c>
      <c r="F631" t="s">
        <v>2243</v>
      </c>
      <c r="G631" t="s">
        <v>1271</v>
      </c>
      <c r="I631" t="s">
        <v>3247</v>
      </c>
      <c r="J631">
        <f>57-60-1-755-7402</f>
        <v>-8161</v>
      </c>
      <c r="K631" t="s">
        <v>3248</v>
      </c>
      <c r="N631" t="s">
        <v>3249</v>
      </c>
      <c r="Z631" t="s">
        <v>43</v>
      </c>
    </row>
    <row r="632" spans="1:26" x14ac:dyDescent="0.25">
      <c r="A632">
        <v>631</v>
      </c>
      <c r="B632" t="s">
        <v>30</v>
      </c>
      <c r="C632" t="s">
        <v>3250</v>
      </c>
      <c r="D632" t="s">
        <v>1260</v>
      </c>
      <c r="E632" t="s">
        <v>471</v>
      </c>
      <c r="F632" t="s">
        <v>3251</v>
      </c>
      <c r="G632" t="s">
        <v>47</v>
      </c>
      <c r="I632" t="s">
        <v>3252</v>
      </c>
      <c r="J632">
        <f>57-310-689-9710</f>
        <v>-10652</v>
      </c>
      <c r="K632" t="s">
        <v>3253</v>
      </c>
      <c r="N632" t="s">
        <v>3254</v>
      </c>
      <c r="Z632" t="s">
        <v>43</v>
      </c>
    </row>
    <row r="633" spans="1:26" x14ac:dyDescent="0.25">
      <c r="A633">
        <v>632</v>
      </c>
      <c r="B633" t="s">
        <v>30</v>
      </c>
      <c r="C633" t="s">
        <v>3255</v>
      </c>
      <c r="D633" t="s">
        <v>72</v>
      </c>
      <c r="E633" t="s">
        <v>72</v>
      </c>
      <c r="F633" t="s">
        <v>73</v>
      </c>
      <c r="G633" t="s">
        <v>73</v>
      </c>
      <c r="I633" t="s">
        <v>3256</v>
      </c>
      <c r="J633">
        <f>57-313-862-4569</f>
        <v>-5687</v>
      </c>
      <c r="K633" t="s">
        <v>3257</v>
      </c>
      <c r="N633" t="s">
        <v>3258</v>
      </c>
      <c r="Z633" t="s">
        <v>43</v>
      </c>
    </row>
    <row r="634" spans="1:26" x14ac:dyDescent="0.25">
      <c r="A634">
        <v>633</v>
      </c>
      <c r="B634" t="s">
        <v>30</v>
      </c>
      <c r="C634" t="s">
        <v>3259</v>
      </c>
      <c r="D634" t="s">
        <v>64</v>
      </c>
      <c r="E634" t="s">
        <v>64</v>
      </c>
      <c r="F634" t="s">
        <v>65</v>
      </c>
      <c r="G634" t="s">
        <v>65</v>
      </c>
      <c r="I634" t="s">
        <v>3260</v>
      </c>
      <c r="J634">
        <f>57-60-1-263-3190</f>
        <v>-3457</v>
      </c>
      <c r="K634" t="s">
        <v>3261</v>
      </c>
      <c r="N634" t="s">
        <v>3262</v>
      </c>
      <c r="Z634" t="s">
        <v>43</v>
      </c>
    </row>
    <row r="635" spans="1:26" x14ac:dyDescent="0.25">
      <c r="A635">
        <v>634</v>
      </c>
      <c r="B635" t="s">
        <v>30</v>
      </c>
      <c r="C635" t="s">
        <v>3263</v>
      </c>
      <c r="D635" t="s">
        <v>772</v>
      </c>
      <c r="E635" t="s">
        <v>471</v>
      </c>
      <c r="F635" t="s">
        <v>773</v>
      </c>
      <c r="G635" t="s">
        <v>47</v>
      </c>
      <c r="I635" t="s">
        <v>3264</v>
      </c>
      <c r="J635">
        <f>57-322-833-6858</f>
        <v>-7956</v>
      </c>
      <c r="K635" t="s">
        <v>3265</v>
      </c>
      <c r="N635" t="s">
        <v>3266</v>
      </c>
      <c r="Z635" t="s">
        <v>43</v>
      </c>
    </row>
    <row r="636" spans="1:26" x14ac:dyDescent="0.25">
      <c r="A636">
        <v>635</v>
      </c>
      <c r="B636" t="s">
        <v>30</v>
      </c>
      <c r="C636" t="s">
        <v>3267</v>
      </c>
      <c r="D636" t="s">
        <v>3268</v>
      </c>
      <c r="E636" t="s">
        <v>72</v>
      </c>
      <c r="F636" t="s">
        <v>3269</v>
      </c>
      <c r="G636" t="s">
        <v>73</v>
      </c>
      <c r="I636" t="s">
        <v>3270</v>
      </c>
      <c r="J636">
        <f>57-60-1-429-7819</f>
        <v>-8252</v>
      </c>
      <c r="K636" t="s">
        <v>3271</v>
      </c>
      <c r="N636" t="s">
        <v>3272</v>
      </c>
      <c r="Z636" t="s">
        <v>43</v>
      </c>
    </row>
    <row r="637" spans="1:26" x14ac:dyDescent="0.25">
      <c r="A637">
        <v>636</v>
      </c>
      <c r="B637" t="s">
        <v>30</v>
      </c>
      <c r="C637" t="s">
        <v>3273</v>
      </c>
      <c r="D637" t="s">
        <v>3274</v>
      </c>
      <c r="E637" t="s">
        <v>471</v>
      </c>
      <c r="F637" t="s">
        <v>3275</v>
      </c>
      <c r="G637" t="s">
        <v>47</v>
      </c>
      <c r="I637" t="s">
        <v>3276</v>
      </c>
      <c r="J637">
        <f>57-305-245-6459</f>
        <v>-6952</v>
      </c>
      <c r="K637" t="s">
        <v>3277</v>
      </c>
      <c r="N637" t="s">
        <v>3278</v>
      </c>
      <c r="Z637" t="s">
        <v>43</v>
      </c>
    </row>
    <row r="638" spans="1:26" x14ac:dyDescent="0.25">
      <c r="A638">
        <v>637</v>
      </c>
      <c r="B638" t="s">
        <v>30</v>
      </c>
      <c r="C638" t="s">
        <v>3279</v>
      </c>
      <c r="D638" t="s">
        <v>470</v>
      </c>
      <c r="E638" t="s">
        <v>1402</v>
      </c>
      <c r="F638" t="s">
        <v>472</v>
      </c>
      <c r="G638" t="s">
        <v>1404</v>
      </c>
      <c r="I638" t="s">
        <v>3280</v>
      </c>
      <c r="K638" t="s">
        <v>3281</v>
      </c>
      <c r="N638" t="s">
        <v>3282</v>
      </c>
      <c r="Z638" t="s">
        <v>43</v>
      </c>
    </row>
    <row r="639" spans="1:26" x14ac:dyDescent="0.25">
      <c r="A639">
        <v>638</v>
      </c>
      <c r="B639" t="s">
        <v>30</v>
      </c>
      <c r="C639" t="s">
        <v>3283</v>
      </c>
      <c r="D639" t="s">
        <v>470</v>
      </c>
      <c r="E639" t="s">
        <v>1402</v>
      </c>
      <c r="F639" t="s">
        <v>472</v>
      </c>
      <c r="G639" t="s">
        <v>1404</v>
      </c>
      <c r="I639" t="s">
        <v>3284</v>
      </c>
      <c r="J639">
        <f>57-311-296-4534</f>
        <v>-5084</v>
      </c>
      <c r="K639" t="s">
        <v>3285</v>
      </c>
      <c r="N639" t="s">
        <v>3282</v>
      </c>
      <c r="Z639" t="s">
        <v>43</v>
      </c>
    </row>
    <row r="640" spans="1:26" x14ac:dyDescent="0.25">
      <c r="A640">
        <v>639</v>
      </c>
      <c r="B640" t="s">
        <v>30</v>
      </c>
      <c r="C640" t="s">
        <v>3286</v>
      </c>
      <c r="D640" t="s">
        <v>3287</v>
      </c>
      <c r="E640" t="s">
        <v>72</v>
      </c>
      <c r="F640" t="s">
        <v>3288</v>
      </c>
      <c r="G640" t="s">
        <v>73</v>
      </c>
      <c r="I640" t="s">
        <v>3289</v>
      </c>
      <c r="J640">
        <f>57-300-221-1249</f>
        <v>-1713</v>
      </c>
      <c r="K640" t="s">
        <v>3290</v>
      </c>
      <c r="N640" t="s">
        <v>3291</v>
      </c>
      <c r="Z640" t="s">
        <v>43</v>
      </c>
    </row>
    <row r="641" spans="1:26" x14ac:dyDescent="0.25">
      <c r="A641">
        <v>640</v>
      </c>
      <c r="B641" t="s">
        <v>30</v>
      </c>
      <c r="C641" t="s">
        <v>3292</v>
      </c>
      <c r="D641" t="s">
        <v>3293</v>
      </c>
      <c r="E641" t="s">
        <v>1774</v>
      </c>
      <c r="F641" t="s">
        <v>3294</v>
      </c>
      <c r="G641" t="s">
        <v>1776</v>
      </c>
      <c r="I641" t="s">
        <v>3295</v>
      </c>
      <c r="K641" t="s">
        <v>3296</v>
      </c>
      <c r="N641" t="s">
        <v>3297</v>
      </c>
      <c r="Z641" t="s">
        <v>43</v>
      </c>
    </row>
    <row r="642" spans="1:26" x14ac:dyDescent="0.25">
      <c r="A642">
        <v>641</v>
      </c>
      <c r="B642" t="s">
        <v>30</v>
      </c>
      <c r="C642" t="s">
        <v>3298</v>
      </c>
      <c r="D642" t="s">
        <v>2807</v>
      </c>
      <c r="E642" t="s">
        <v>471</v>
      </c>
      <c r="F642" t="s">
        <v>3299</v>
      </c>
      <c r="G642" t="s">
        <v>47</v>
      </c>
      <c r="I642" t="s">
        <v>3300</v>
      </c>
      <c r="K642" t="s">
        <v>3301</v>
      </c>
      <c r="N642" t="s">
        <v>3302</v>
      </c>
      <c r="Z642" t="s">
        <v>43</v>
      </c>
    </row>
    <row r="643" spans="1:26" x14ac:dyDescent="0.25">
      <c r="A643">
        <v>642</v>
      </c>
      <c r="B643" t="s">
        <v>30</v>
      </c>
      <c r="C643" t="s">
        <v>3303</v>
      </c>
      <c r="D643" t="s">
        <v>2511</v>
      </c>
      <c r="E643" t="s">
        <v>471</v>
      </c>
      <c r="F643" t="s">
        <v>3304</v>
      </c>
      <c r="G643" t="s">
        <v>47</v>
      </c>
      <c r="I643" t="s">
        <v>3305</v>
      </c>
      <c r="J643">
        <f>57-60-1-245-6301</f>
        <v>-6550</v>
      </c>
      <c r="K643" t="s">
        <v>3306</v>
      </c>
      <c r="N643" t="s">
        <v>3307</v>
      </c>
      <c r="Z643" t="s">
        <v>43</v>
      </c>
    </row>
    <row r="644" spans="1:26" x14ac:dyDescent="0.25">
      <c r="A644">
        <v>643</v>
      </c>
      <c r="B644" t="s">
        <v>30</v>
      </c>
      <c r="C644" t="s">
        <v>3308</v>
      </c>
      <c r="D644" t="s">
        <v>979</v>
      </c>
      <c r="E644" t="s">
        <v>1269</v>
      </c>
      <c r="F644" t="s">
        <v>980</v>
      </c>
      <c r="G644" t="s">
        <v>1271</v>
      </c>
      <c r="I644" t="s">
        <v>3309</v>
      </c>
      <c r="K644" t="s">
        <v>3310</v>
      </c>
      <c r="N644" t="s">
        <v>3311</v>
      </c>
      <c r="Z644" t="s">
        <v>43</v>
      </c>
    </row>
    <row r="645" spans="1:26" x14ac:dyDescent="0.25">
      <c r="A645">
        <v>644</v>
      </c>
      <c r="B645" t="s">
        <v>30</v>
      </c>
      <c r="C645" t="s">
        <v>3312</v>
      </c>
      <c r="D645" t="s">
        <v>2585</v>
      </c>
      <c r="E645" t="s">
        <v>1217</v>
      </c>
      <c r="F645" t="s">
        <v>2586</v>
      </c>
      <c r="G645" t="s">
        <v>2132</v>
      </c>
      <c r="I645" t="s">
        <v>3313</v>
      </c>
      <c r="K645" t="s">
        <v>3314</v>
      </c>
      <c r="N645" t="s">
        <v>3315</v>
      </c>
      <c r="Z645" t="s">
        <v>43</v>
      </c>
    </row>
    <row r="646" spans="1:26" x14ac:dyDescent="0.25">
      <c r="A646">
        <v>645</v>
      </c>
      <c r="B646" t="s">
        <v>30</v>
      </c>
      <c r="C646" t="s">
        <v>3316</v>
      </c>
      <c r="D646" t="s">
        <v>813</v>
      </c>
      <c r="E646" t="s">
        <v>72</v>
      </c>
      <c r="F646" t="s">
        <v>814</v>
      </c>
      <c r="G646" t="s">
        <v>73</v>
      </c>
      <c r="I646" t="s">
        <v>3317</v>
      </c>
      <c r="J646">
        <f>57-311-282-5953</f>
        <v>-6489</v>
      </c>
      <c r="K646" t="s">
        <v>3318</v>
      </c>
      <c r="N646" t="s">
        <v>3319</v>
      </c>
      <c r="Z646" t="s">
        <v>43</v>
      </c>
    </row>
    <row r="647" spans="1:26" x14ac:dyDescent="0.25">
      <c r="A647">
        <v>646</v>
      </c>
      <c r="B647" t="s">
        <v>30</v>
      </c>
      <c r="C647" t="s">
        <v>3320</v>
      </c>
      <c r="D647" t="s">
        <v>813</v>
      </c>
      <c r="E647" t="s">
        <v>3321</v>
      </c>
      <c r="F647" t="s">
        <v>3322</v>
      </c>
      <c r="G647" t="s">
        <v>3323</v>
      </c>
      <c r="I647" t="s">
        <v>3324</v>
      </c>
      <c r="K647" t="s">
        <v>3325</v>
      </c>
      <c r="N647" t="s">
        <v>3326</v>
      </c>
      <c r="Z647" t="s">
        <v>43</v>
      </c>
    </row>
    <row r="648" spans="1:26" x14ac:dyDescent="0.25">
      <c r="A648">
        <v>647</v>
      </c>
      <c r="B648" t="s">
        <v>30</v>
      </c>
      <c r="C648" t="s">
        <v>3327</v>
      </c>
      <c r="D648" t="s">
        <v>384</v>
      </c>
      <c r="E648" t="s">
        <v>471</v>
      </c>
      <c r="F648" t="s">
        <v>386</v>
      </c>
      <c r="G648" t="s">
        <v>47</v>
      </c>
      <c r="I648" t="s">
        <v>3328</v>
      </c>
      <c r="J648">
        <f>57-301-560-3702</f>
        <v>-4506</v>
      </c>
      <c r="K648" t="s">
        <v>3329</v>
      </c>
      <c r="N648" t="s">
        <v>3330</v>
      </c>
      <c r="Z648" t="s">
        <v>43</v>
      </c>
    </row>
    <row r="649" spans="1:26" x14ac:dyDescent="0.25">
      <c r="A649">
        <v>648</v>
      </c>
      <c r="B649" t="s">
        <v>30</v>
      </c>
      <c r="C649" t="s">
        <v>3331</v>
      </c>
      <c r="D649" t="s">
        <v>3332</v>
      </c>
      <c r="E649" t="s">
        <v>3333</v>
      </c>
      <c r="F649" t="s">
        <v>3334</v>
      </c>
      <c r="G649" t="s">
        <v>3335</v>
      </c>
      <c r="I649" t="s">
        <v>3336</v>
      </c>
      <c r="K649" t="s">
        <v>3337</v>
      </c>
      <c r="N649" t="s">
        <v>3338</v>
      </c>
      <c r="Z649" t="s">
        <v>43</v>
      </c>
    </row>
    <row r="650" spans="1:26" x14ac:dyDescent="0.25">
      <c r="A650">
        <v>649</v>
      </c>
      <c r="B650" t="s">
        <v>30</v>
      </c>
      <c r="C650" t="s">
        <v>3339</v>
      </c>
      <c r="D650" t="s">
        <v>1976</v>
      </c>
      <c r="E650" t="s">
        <v>471</v>
      </c>
      <c r="F650" t="s">
        <v>3340</v>
      </c>
      <c r="G650" t="s">
        <v>47</v>
      </c>
      <c r="I650" t="s">
        <v>3341</v>
      </c>
      <c r="K650" t="s">
        <v>3342</v>
      </c>
      <c r="N650" t="s">
        <v>3343</v>
      </c>
      <c r="Z650" t="s">
        <v>43</v>
      </c>
    </row>
    <row r="651" spans="1:26" x14ac:dyDescent="0.25">
      <c r="A651">
        <v>650</v>
      </c>
      <c r="B651" t="s">
        <v>30</v>
      </c>
      <c r="C651" t="s">
        <v>3344</v>
      </c>
      <c r="D651" t="s">
        <v>3345</v>
      </c>
      <c r="E651" t="s">
        <v>385</v>
      </c>
      <c r="F651" t="s">
        <v>3346</v>
      </c>
      <c r="G651" t="s">
        <v>387</v>
      </c>
      <c r="I651" t="s">
        <v>3347</v>
      </c>
      <c r="K651" t="s">
        <v>3348</v>
      </c>
      <c r="N651" t="s">
        <v>3349</v>
      </c>
      <c r="Z651" t="s">
        <v>43</v>
      </c>
    </row>
    <row r="652" spans="1:26" x14ac:dyDescent="0.25">
      <c r="A652">
        <v>651</v>
      </c>
      <c r="B652" t="s">
        <v>30</v>
      </c>
      <c r="C652" t="s">
        <v>3350</v>
      </c>
      <c r="D652" t="s">
        <v>2862</v>
      </c>
      <c r="E652" t="s">
        <v>56</v>
      </c>
      <c r="F652" t="s">
        <v>2863</v>
      </c>
      <c r="G652" t="s">
        <v>57</v>
      </c>
      <c r="I652" t="s">
        <v>3351</v>
      </c>
      <c r="J652">
        <f>57-313-481-7915</f>
        <v>-8652</v>
      </c>
      <c r="K652" t="s">
        <v>3352</v>
      </c>
      <c r="N652" t="s">
        <v>3353</v>
      </c>
      <c r="Z652" t="s">
        <v>43</v>
      </c>
    </row>
    <row r="653" spans="1:26" x14ac:dyDescent="0.25">
      <c r="A653">
        <v>652</v>
      </c>
      <c r="B653" t="s">
        <v>30</v>
      </c>
      <c r="C653" t="s">
        <v>3354</v>
      </c>
      <c r="D653" t="s">
        <v>46</v>
      </c>
      <c r="E653" t="s">
        <v>471</v>
      </c>
      <c r="F653" t="s">
        <v>820</v>
      </c>
      <c r="G653" t="s">
        <v>47</v>
      </c>
      <c r="I653" t="s">
        <v>3355</v>
      </c>
      <c r="J653">
        <f>57-310-737-3145</f>
        <v>-4135</v>
      </c>
      <c r="K653" t="s">
        <v>3356</v>
      </c>
      <c r="N653" t="s">
        <v>3357</v>
      </c>
      <c r="Z653" t="s">
        <v>43</v>
      </c>
    </row>
    <row r="654" spans="1:26" x14ac:dyDescent="0.25">
      <c r="A654">
        <v>653</v>
      </c>
      <c r="B654" t="s">
        <v>30</v>
      </c>
      <c r="C654" t="s">
        <v>3358</v>
      </c>
      <c r="D654" t="s">
        <v>3359</v>
      </c>
      <c r="E654" t="s">
        <v>1402</v>
      </c>
      <c r="F654" t="s">
        <v>3360</v>
      </c>
      <c r="G654" t="s">
        <v>1404</v>
      </c>
      <c r="I654" t="s">
        <v>3280</v>
      </c>
      <c r="K654" t="s">
        <v>3361</v>
      </c>
      <c r="N654" t="s">
        <v>3362</v>
      </c>
      <c r="Z654" t="s">
        <v>43</v>
      </c>
    </row>
    <row r="655" spans="1:26" x14ac:dyDescent="0.25">
      <c r="A655">
        <v>654</v>
      </c>
      <c r="B655" t="s">
        <v>30</v>
      </c>
      <c r="C655" t="s">
        <v>3363</v>
      </c>
      <c r="D655" t="s">
        <v>3364</v>
      </c>
      <c r="E655" t="s">
        <v>471</v>
      </c>
      <c r="F655" t="s">
        <v>3365</v>
      </c>
      <c r="G655" t="s">
        <v>47</v>
      </c>
      <c r="I655" t="s">
        <v>3366</v>
      </c>
      <c r="K655" t="s">
        <v>3367</v>
      </c>
      <c r="N655" t="s">
        <v>3368</v>
      </c>
      <c r="Z655" t="s">
        <v>43</v>
      </c>
    </row>
    <row r="656" spans="1:26" x14ac:dyDescent="0.25">
      <c r="A656">
        <v>655</v>
      </c>
      <c r="B656" t="s">
        <v>30</v>
      </c>
      <c r="C656" t="s">
        <v>3369</v>
      </c>
      <c r="D656" t="s">
        <v>46</v>
      </c>
      <c r="E656" t="s">
        <v>471</v>
      </c>
      <c r="F656" t="s">
        <v>820</v>
      </c>
      <c r="G656" t="s">
        <v>47</v>
      </c>
      <c r="I656" t="s">
        <v>3370</v>
      </c>
      <c r="K656" t="s">
        <v>3371</v>
      </c>
      <c r="N656" t="s">
        <v>3372</v>
      </c>
      <c r="Z656" t="s">
        <v>43</v>
      </c>
    </row>
    <row r="657" spans="1:26" x14ac:dyDescent="0.25">
      <c r="A657">
        <v>656</v>
      </c>
      <c r="B657" t="s">
        <v>30</v>
      </c>
      <c r="C657" t="s">
        <v>3373</v>
      </c>
      <c r="D657" t="s">
        <v>3374</v>
      </c>
      <c r="E657" t="s">
        <v>1248</v>
      </c>
      <c r="F657" t="s">
        <v>3375</v>
      </c>
      <c r="G657" t="s">
        <v>1250</v>
      </c>
      <c r="I657" t="s">
        <v>3376</v>
      </c>
      <c r="K657" t="s">
        <v>3377</v>
      </c>
      <c r="N657" t="s">
        <v>3378</v>
      </c>
      <c r="Z657" t="s">
        <v>43</v>
      </c>
    </row>
    <row r="658" spans="1:26" x14ac:dyDescent="0.25">
      <c r="A658">
        <v>657</v>
      </c>
      <c r="B658" t="s">
        <v>30</v>
      </c>
      <c r="C658" t="s">
        <v>3379</v>
      </c>
      <c r="D658" t="s">
        <v>3380</v>
      </c>
      <c r="E658" t="s">
        <v>1217</v>
      </c>
      <c r="F658" t="s">
        <v>3381</v>
      </c>
      <c r="G658" t="s">
        <v>1530</v>
      </c>
      <c r="I658" t="s">
        <v>3382</v>
      </c>
      <c r="J658">
        <f>57-311-830-5774</f>
        <v>-6858</v>
      </c>
      <c r="K658" t="s">
        <v>3383</v>
      </c>
      <c r="N658" t="s">
        <v>3384</v>
      </c>
      <c r="Z658" t="s">
        <v>43</v>
      </c>
    </row>
    <row r="659" spans="1:26" x14ac:dyDescent="0.25">
      <c r="A659">
        <v>658</v>
      </c>
      <c r="B659" t="s">
        <v>30</v>
      </c>
      <c r="C659" t="s">
        <v>3385</v>
      </c>
      <c r="D659" t="s">
        <v>2644</v>
      </c>
      <c r="E659" t="s">
        <v>800</v>
      </c>
      <c r="F659" t="s">
        <v>3386</v>
      </c>
      <c r="G659" t="s">
        <v>802</v>
      </c>
      <c r="I659" t="s">
        <v>3387</v>
      </c>
      <c r="K659" t="s">
        <v>3388</v>
      </c>
      <c r="N659" t="s">
        <v>3389</v>
      </c>
      <c r="Z659" t="s">
        <v>43</v>
      </c>
    </row>
    <row r="660" spans="1:26" x14ac:dyDescent="0.25">
      <c r="A660">
        <v>659</v>
      </c>
      <c r="B660" t="s">
        <v>30</v>
      </c>
      <c r="C660" t="s">
        <v>3390</v>
      </c>
      <c r="D660" t="s">
        <v>3391</v>
      </c>
      <c r="E660" t="s">
        <v>2117</v>
      </c>
      <c r="F660" t="s">
        <v>3392</v>
      </c>
      <c r="G660" t="s">
        <v>2119</v>
      </c>
      <c r="I660" t="s">
        <v>3393</v>
      </c>
      <c r="K660" t="s">
        <v>3394</v>
      </c>
      <c r="N660" t="s">
        <v>3395</v>
      </c>
      <c r="Z660" t="s">
        <v>43</v>
      </c>
    </row>
    <row r="661" spans="1:26" x14ac:dyDescent="0.25">
      <c r="A661">
        <v>660</v>
      </c>
      <c r="B661" t="s">
        <v>30</v>
      </c>
      <c r="C661" t="s">
        <v>3396</v>
      </c>
      <c r="D661" t="s">
        <v>46</v>
      </c>
      <c r="E661" t="s">
        <v>471</v>
      </c>
      <c r="F661" t="s">
        <v>820</v>
      </c>
      <c r="G661" t="s">
        <v>47</v>
      </c>
      <c r="I661" t="s">
        <v>3397</v>
      </c>
      <c r="K661" t="s">
        <v>3398</v>
      </c>
      <c r="N661" t="s">
        <v>3399</v>
      </c>
      <c r="Z661" t="s">
        <v>43</v>
      </c>
    </row>
    <row r="662" spans="1:26" x14ac:dyDescent="0.25">
      <c r="A662">
        <v>661</v>
      </c>
      <c r="B662" t="s">
        <v>30</v>
      </c>
      <c r="C662" t="s">
        <v>3400</v>
      </c>
      <c r="D662" t="s">
        <v>3401</v>
      </c>
      <c r="E662" t="s">
        <v>64</v>
      </c>
      <c r="F662" t="s">
        <v>3402</v>
      </c>
      <c r="G662" t="s">
        <v>65</v>
      </c>
      <c r="I662" t="s">
        <v>3403</v>
      </c>
      <c r="K662" t="s">
        <v>3404</v>
      </c>
      <c r="N662" t="s">
        <v>3405</v>
      </c>
      <c r="Z662" t="s">
        <v>43</v>
      </c>
    </row>
    <row r="663" spans="1:26" x14ac:dyDescent="0.25">
      <c r="A663">
        <v>662</v>
      </c>
      <c r="B663" t="s">
        <v>30</v>
      </c>
      <c r="C663" t="s">
        <v>3406</v>
      </c>
      <c r="D663" t="s">
        <v>3407</v>
      </c>
      <c r="E663" t="s">
        <v>3408</v>
      </c>
      <c r="F663" t="s">
        <v>3409</v>
      </c>
      <c r="G663" t="s">
        <v>3410</v>
      </c>
      <c r="I663" t="s">
        <v>3411</v>
      </c>
      <c r="K663" t="s">
        <v>3412</v>
      </c>
      <c r="N663" t="s">
        <v>3413</v>
      </c>
      <c r="Z663" t="s">
        <v>43</v>
      </c>
    </row>
    <row r="664" spans="1:26" x14ac:dyDescent="0.25">
      <c r="A664">
        <v>663</v>
      </c>
      <c r="B664" t="s">
        <v>30</v>
      </c>
      <c r="C664" t="s">
        <v>3414</v>
      </c>
      <c r="D664" t="s">
        <v>3415</v>
      </c>
      <c r="E664" t="s">
        <v>3416</v>
      </c>
      <c r="F664" t="s">
        <v>3417</v>
      </c>
      <c r="G664" t="s">
        <v>3418</v>
      </c>
      <c r="I664" t="s">
        <v>3419</v>
      </c>
      <c r="J664">
        <f>57-304-481-7694</f>
        <v>-8422</v>
      </c>
      <c r="K664" t="s">
        <v>3420</v>
      </c>
      <c r="N664" t="s">
        <v>3421</v>
      </c>
      <c r="Z664" t="s">
        <v>43</v>
      </c>
    </row>
    <row r="665" spans="1:26" x14ac:dyDescent="0.25">
      <c r="A665">
        <v>664</v>
      </c>
      <c r="B665" t="s">
        <v>30</v>
      </c>
      <c r="C665" t="s">
        <v>3422</v>
      </c>
      <c r="D665" t="s">
        <v>3423</v>
      </c>
      <c r="E665" t="s">
        <v>2077</v>
      </c>
      <c r="F665" t="s">
        <v>3424</v>
      </c>
      <c r="G665" t="s">
        <v>3425</v>
      </c>
      <c r="I665" t="s">
        <v>3426</v>
      </c>
      <c r="J665">
        <f>57-312-482-5020</f>
        <v>-5757</v>
      </c>
      <c r="K665" t="s">
        <v>3427</v>
      </c>
      <c r="N665" t="s">
        <v>3428</v>
      </c>
      <c r="Z665" t="s">
        <v>43</v>
      </c>
    </row>
    <row r="666" spans="1:26" x14ac:dyDescent="0.25">
      <c r="A666">
        <v>665</v>
      </c>
      <c r="B666" t="s">
        <v>30</v>
      </c>
      <c r="C666" t="s">
        <v>3429</v>
      </c>
      <c r="D666" t="s">
        <v>46</v>
      </c>
      <c r="E666" t="s">
        <v>471</v>
      </c>
      <c r="F666" t="s">
        <v>820</v>
      </c>
      <c r="G666" t="s">
        <v>47</v>
      </c>
      <c r="I666" t="s">
        <v>3430</v>
      </c>
      <c r="J666">
        <f>57-321-904-9584</f>
        <v>-10752</v>
      </c>
      <c r="K666" t="s">
        <v>3431</v>
      </c>
      <c r="N666" t="s">
        <v>3432</v>
      </c>
      <c r="Z666" t="s">
        <v>43</v>
      </c>
    </row>
    <row r="667" spans="1:26" x14ac:dyDescent="0.25">
      <c r="A667">
        <v>666</v>
      </c>
      <c r="B667" t="s">
        <v>30</v>
      </c>
      <c r="C667" t="s">
        <v>3433</v>
      </c>
      <c r="D667" t="s">
        <v>2336</v>
      </c>
      <c r="E667" t="s">
        <v>471</v>
      </c>
      <c r="F667" t="s">
        <v>2337</v>
      </c>
      <c r="G667" t="s">
        <v>47</v>
      </c>
      <c r="I667" t="s">
        <v>3434</v>
      </c>
      <c r="J667">
        <f>57-310-852-4180</f>
        <v>-5285</v>
      </c>
      <c r="K667" t="s">
        <v>3435</v>
      </c>
      <c r="N667" t="s">
        <v>3436</v>
      </c>
      <c r="Z667" t="s">
        <v>43</v>
      </c>
    </row>
    <row r="668" spans="1:26" x14ac:dyDescent="0.25">
      <c r="A668">
        <v>667</v>
      </c>
      <c r="B668" t="s">
        <v>30</v>
      </c>
      <c r="C668" t="s">
        <v>3437</v>
      </c>
      <c r="D668" t="s">
        <v>3438</v>
      </c>
      <c r="E668" t="s">
        <v>1155</v>
      </c>
      <c r="F668" t="s">
        <v>3439</v>
      </c>
      <c r="G668" t="s">
        <v>1157</v>
      </c>
      <c r="I668" t="s">
        <v>3440</v>
      </c>
      <c r="J668">
        <f>57-315-275-1371</f>
        <v>-1904</v>
      </c>
      <c r="K668" t="s">
        <v>3441</v>
      </c>
      <c r="N668" t="s">
        <v>3442</v>
      </c>
      <c r="Z668" t="s">
        <v>43</v>
      </c>
    </row>
    <row r="669" spans="1:26" x14ac:dyDescent="0.25">
      <c r="A669">
        <v>668</v>
      </c>
      <c r="B669" t="s">
        <v>30</v>
      </c>
      <c r="C669" t="s">
        <v>3443</v>
      </c>
      <c r="D669" t="s">
        <v>2511</v>
      </c>
      <c r="E669" t="s">
        <v>1248</v>
      </c>
      <c r="F669" t="s">
        <v>3444</v>
      </c>
      <c r="G669" t="s">
        <v>1250</v>
      </c>
      <c r="I669" t="s">
        <v>3445</v>
      </c>
      <c r="J669">
        <f>57-314-554-4636</f>
        <v>-5447</v>
      </c>
      <c r="K669" t="s">
        <v>3446</v>
      </c>
      <c r="N669" t="s">
        <v>3447</v>
      </c>
      <c r="Z669" t="s">
        <v>43</v>
      </c>
    </row>
    <row r="670" spans="1:26" x14ac:dyDescent="0.25">
      <c r="A670">
        <v>669</v>
      </c>
      <c r="B670" t="s">
        <v>30</v>
      </c>
      <c r="C670" t="s">
        <v>3448</v>
      </c>
      <c r="D670" t="s">
        <v>1401</v>
      </c>
      <c r="E670" t="s">
        <v>1248</v>
      </c>
      <c r="F670" t="s">
        <v>1403</v>
      </c>
      <c r="G670" t="s">
        <v>1250</v>
      </c>
      <c r="I670" t="s">
        <v>3449</v>
      </c>
      <c r="J670">
        <f>57-311-258-1760</f>
        <v>-2272</v>
      </c>
      <c r="K670" t="s">
        <v>3450</v>
      </c>
      <c r="N670" t="s">
        <v>3451</v>
      </c>
      <c r="Z670" t="s">
        <v>43</v>
      </c>
    </row>
    <row r="671" spans="1:26" x14ac:dyDescent="0.25">
      <c r="A671">
        <v>670</v>
      </c>
      <c r="B671" t="s">
        <v>30</v>
      </c>
      <c r="C671" t="s">
        <v>3452</v>
      </c>
      <c r="D671" t="s">
        <v>3453</v>
      </c>
      <c r="E671" t="s">
        <v>755</v>
      </c>
      <c r="F671" t="s">
        <v>3454</v>
      </c>
      <c r="G671" t="s">
        <v>2199</v>
      </c>
      <c r="I671" t="s">
        <v>3455</v>
      </c>
      <c r="J671">
        <f>57-316-234-5731</f>
        <v>-6224</v>
      </c>
      <c r="K671" t="s">
        <v>3456</v>
      </c>
      <c r="N671" t="s">
        <v>3457</v>
      </c>
      <c r="Z671" t="s">
        <v>43</v>
      </c>
    </row>
    <row r="672" spans="1:26" x14ac:dyDescent="0.25">
      <c r="A672">
        <v>671</v>
      </c>
      <c r="B672" t="s">
        <v>30</v>
      </c>
      <c r="C672" t="s">
        <v>3458</v>
      </c>
      <c r="D672" t="s">
        <v>3459</v>
      </c>
      <c r="E672" t="s">
        <v>1774</v>
      </c>
      <c r="F672" t="s">
        <v>3460</v>
      </c>
      <c r="G672" t="s">
        <v>1776</v>
      </c>
      <c r="I672" t="s">
        <v>3461</v>
      </c>
      <c r="J672">
        <f>57-60-1-217-7714</f>
        <v>-7935</v>
      </c>
      <c r="K672" t="s">
        <v>3462</v>
      </c>
      <c r="N672" t="s">
        <v>3463</v>
      </c>
      <c r="Z672" t="s">
        <v>43</v>
      </c>
    </row>
    <row r="673" spans="1:26" x14ac:dyDescent="0.25">
      <c r="A673">
        <v>672</v>
      </c>
      <c r="B673" t="s">
        <v>30</v>
      </c>
      <c r="C673" t="s">
        <v>3464</v>
      </c>
      <c r="D673" t="s">
        <v>3465</v>
      </c>
      <c r="E673" t="s">
        <v>1269</v>
      </c>
      <c r="F673" t="s">
        <v>3466</v>
      </c>
      <c r="G673" t="s">
        <v>1271</v>
      </c>
      <c r="I673" t="s">
        <v>3467</v>
      </c>
      <c r="K673" t="s">
        <v>3468</v>
      </c>
      <c r="N673" t="s">
        <v>3469</v>
      </c>
      <c r="Z673" t="s">
        <v>43</v>
      </c>
    </row>
    <row r="674" spans="1:26" x14ac:dyDescent="0.25">
      <c r="A674">
        <v>673</v>
      </c>
      <c r="B674" t="s">
        <v>30</v>
      </c>
      <c r="C674" t="s">
        <v>3470</v>
      </c>
      <c r="D674" t="s">
        <v>3471</v>
      </c>
      <c r="E674" t="s">
        <v>3472</v>
      </c>
      <c r="F674" t="s">
        <v>3473</v>
      </c>
      <c r="G674" t="s">
        <v>3474</v>
      </c>
      <c r="I674" t="s">
        <v>3475</v>
      </c>
      <c r="J674">
        <f>57-60-1-663-9758</f>
        <v>-10425</v>
      </c>
      <c r="K674" t="s">
        <v>3476</v>
      </c>
      <c r="N674" t="s">
        <v>3477</v>
      </c>
      <c r="Z674" t="s">
        <v>43</v>
      </c>
    </row>
    <row r="675" spans="1:26" x14ac:dyDescent="0.25">
      <c r="A675">
        <v>674</v>
      </c>
      <c r="B675" t="s">
        <v>30</v>
      </c>
      <c r="C675" t="s">
        <v>3478</v>
      </c>
      <c r="D675" t="s">
        <v>46</v>
      </c>
      <c r="E675" t="s">
        <v>471</v>
      </c>
      <c r="F675" t="s">
        <v>820</v>
      </c>
      <c r="G675" t="s">
        <v>47</v>
      </c>
      <c r="I675" t="s">
        <v>3479</v>
      </c>
      <c r="J675">
        <f>57-60-1-308-4296</f>
        <v>-4608</v>
      </c>
      <c r="K675" t="s">
        <v>3480</v>
      </c>
      <c r="N675" t="s">
        <v>3481</v>
      </c>
      <c r="Z675" t="s">
        <v>43</v>
      </c>
    </row>
    <row r="676" spans="1:26" x14ac:dyDescent="0.25">
      <c r="A676">
        <v>675</v>
      </c>
      <c r="B676" t="s">
        <v>30</v>
      </c>
      <c r="C676" t="s">
        <v>3482</v>
      </c>
      <c r="D676" t="s">
        <v>2064</v>
      </c>
      <c r="E676" t="s">
        <v>471</v>
      </c>
      <c r="F676" t="s">
        <v>3483</v>
      </c>
      <c r="G676" t="s">
        <v>47</v>
      </c>
      <c r="I676" t="s">
        <v>3484</v>
      </c>
      <c r="K676" t="s">
        <v>3485</v>
      </c>
      <c r="N676" t="s">
        <v>3486</v>
      </c>
      <c r="Z676" t="s">
        <v>43</v>
      </c>
    </row>
    <row r="677" spans="1:26" x14ac:dyDescent="0.25">
      <c r="A677">
        <v>676</v>
      </c>
      <c r="B677" t="s">
        <v>30</v>
      </c>
      <c r="C677" t="s">
        <v>3487</v>
      </c>
      <c r="D677" t="s">
        <v>1260</v>
      </c>
      <c r="E677" t="s">
        <v>471</v>
      </c>
      <c r="F677" t="s">
        <v>2204</v>
      </c>
      <c r="G677" t="s">
        <v>47</v>
      </c>
      <c r="I677" t="s">
        <v>3488</v>
      </c>
      <c r="K677" t="s">
        <v>3489</v>
      </c>
      <c r="N677" t="s">
        <v>3490</v>
      </c>
      <c r="Z677" t="s">
        <v>43</v>
      </c>
    </row>
    <row r="678" spans="1:26" x14ac:dyDescent="0.25">
      <c r="A678">
        <v>677</v>
      </c>
      <c r="B678" t="s">
        <v>30</v>
      </c>
      <c r="C678" t="s">
        <v>3491</v>
      </c>
      <c r="D678" t="s">
        <v>909</v>
      </c>
      <c r="E678" t="s">
        <v>471</v>
      </c>
      <c r="F678" t="s">
        <v>1659</v>
      </c>
      <c r="G678" t="s">
        <v>47</v>
      </c>
      <c r="I678" t="s">
        <v>3492</v>
      </c>
      <c r="J678">
        <f>57-322-307-1457</f>
        <v>-2029</v>
      </c>
      <c r="K678" t="s">
        <v>3493</v>
      </c>
      <c r="N678" t="s">
        <v>3494</v>
      </c>
      <c r="Z678" t="s">
        <v>43</v>
      </c>
    </row>
    <row r="679" spans="1:26" x14ac:dyDescent="0.25">
      <c r="A679">
        <v>678</v>
      </c>
      <c r="B679" t="s">
        <v>30</v>
      </c>
      <c r="C679" t="s">
        <v>3495</v>
      </c>
      <c r="D679" t="s">
        <v>56</v>
      </c>
      <c r="E679" t="s">
        <v>56</v>
      </c>
      <c r="F679" t="s">
        <v>57</v>
      </c>
      <c r="G679" t="s">
        <v>57</v>
      </c>
      <c r="I679" t="s">
        <v>3496</v>
      </c>
      <c r="K679" t="s">
        <v>3497</v>
      </c>
      <c r="N679" t="s">
        <v>3498</v>
      </c>
      <c r="Z679" t="s">
        <v>43</v>
      </c>
    </row>
    <row r="680" spans="1:26" x14ac:dyDescent="0.25">
      <c r="A680">
        <v>679</v>
      </c>
      <c r="B680" t="s">
        <v>30</v>
      </c>
      <c r="C680" t="s">
        <v>3499</v>
      </c>
      <c r="D680" t="s">
        <v>799</v>
      </c>
      <c r="E680" t="s">
        <v>800</v>
      </c>
      <c r="F680" t="s">
        <v>2228</v>
      </c>
      <c r="G680" t="s">
        <v>802</v>
      </c>
      <c r="I680" t="s">
        <v>3500</v>
      </c>
      <c r="J680">
        <f>57-300-320-5286</f>
        <v>-5849</v>
      </c>
      <c r="K680" t="s">
        <v>3501</v>
      </c>
      <c r="N680" t="s">
        <v>3502</v>
      </c>
      <c r="Z680" t="s">
        <v>43</v>
      </c>
    </row>
    <row r="681" spans="1:26" x14ac:dyDescent="0.25">
      <c r="A681">
        <v>680</v>
      </c>
      <c r="B681" t="s">
        <v>30</v>
      </c>
      <c r="C681" t="s">
        <v>3503</v>
      </c>
      <c r="D681" t="s">
        <v>3504</v>
      </c>
      <c r="E681" t="s">
        <v>56</v>
      </c>
      <c r="F681" t="s">
        <v>3505</v>
      </c>
      <c r="G681" t="s">
        <v>57</v>
      </c>
      <c r="I681" t="s">
        <v>3506</v>
      </c>
      <c r="J681">
        <f>57-310-301-9528</f>
        <v>-10082</v>
      </c>
      <c r="K681" t="s">
        <v>3507</v>
      </c>
      <c r="N681" t="s">
        <v>3508</v>
      </c>
      <c r="Z681" t="s">
        <v>43</v>
      </c>
    </row>
    <row r="682" spans="1:26" x14ac:dyDescent="0.25">
      <c r="A682">
        <v>681</v>
      </c>
      <c r="B682" t="s">
        <v>30</v>
      </c>
      <c r="C682" t="s">
        <v>3509</v>
      </c>
      <c r="D682" t="s">
        <v>3510</v>
      </c>
      <c r="E682" t="s">
        <v>471</v>
      </c>
      <c r="F682" t="s">
        <v>3511</v>
      </c>
      <c r="G682" t="s">
        <v>47</v>
      </c>
      <c r="I682" t="s">
        <v>3512</v>
      </c>
      <c r="K682" t="s">
        <v>3513</v>
      </c>
      <c r="N682" t="s">
        <v>1325</v>
      </c>
      <c r="Z682" t="s">
        <v>43</v>
      </c>
    </row>
    <row r="683" spans="1:26" x14ac:dyDescent="0.25">
      <c r="A683">
        <v>682</v>
      </c>
      <c r="B683" t="s">
        <v>30</v>
      </c>
      <c r="C683" t="s">
        <v>3514</v>
      </c>
      <c r="D683" t="s">
        <v>909</v>
      </c>
      <c r="E683" t="s">
        <v>471</v>
      </c>
      <c r="F683" t="s">
        <v>1659</v>
      </c>
      <c r="G683" t="s">
        <v>47</v>
      </c>
      <c r="H683" t="s">
        <v>3515</v>
      </c>
      <c r="I683" t="s">
        <v>3516</v>
      </c>
      <c r="J683">
        <f>57-60-1-240-6022</f>
        <v>-6266</v>
      </c>
      <c r="K683" t="s">
        <v>3517</v>
      </c>
      <c r="N683" t="s">
        <v>3518</v>
      </c>
      <c r="O683" t="s">
        <v>3519</v>
      </c>
      <c r="Z683" t="s">
        <v>43</v>
      </c>
    </row>
    <row r="684" spans="1:26" x14ac:dyDescent="0.25">
      <c r="A684">
        <v>683</v>
      </c>
      <c r="B684" t="s">
        <v>30</v>
      </c>
      <c r="C684" t="s">
        <v>3520</v>
      </c>
      <c r="D684" t="s">
        <v>3521</v>
      </c>
      <c r="E684" t="s">
        <v>72</v>
      </c>
      <c r="F684" t="s">
        <v>3522</v>
      </c>
      <c r="G684" t="s">
        <v>73</v>
      </c>
      <c r="I684" t="s">
        <v>3523</v>
      </c>
      <c r="J684">
        <f>57-60-1-354-2428</f>
        <v>-2786</v>
      </c>
      <c r="K684" t="s">
        <v>3524</v>
      </c>
      <c r="N684" t="s">
        <v>3525</v>
      </c>
      <c r="Z684" t="s">
        <v>43</v>
      </c>
    </row>
    <row r="685" spans="1:26" x14ac:dyDescent="0.25">
      <c r="A685">
        <v>684</v>
      </c>
      <c r="B685" t="s">
        <v>30</v>
      </c>
      <c r="C685" t="s">
        <v>3526</v>
      </c>
      <c r="D685" t="s">
        <v>3527</v>
      </c>
      <c r="E685" t="s">
        <v>3528</v>
      </c>
      <c r="F685" t="s">
        <v>3529</v>
      </c>
      <c r="G685" t="s">
        <v>3530</v>
      </c>
      <c r="I685" t="s">
        <v>3531</v>
      </c>
      <c r="J685">
        <f>57-319-248-5520</f>
        <v>-6030</v>
      </c>
      <c r="K685" t="s">
        <v>3532</v>
      </c>
      <c r="N685" t="s">
        <v>3533</v>
      </c>
      <c r="Z685" t="s">
        <v>43</v>
      </c>
    </row>
    <row r="686" spans="1:26" x14ac:dyDescent="0.25">
      <c r="A686">
        <v>685</v>
      </c>
      <c r="B686" t="s">
        <v>30</v>
      </c>
      <c r="C686" t="s">
        <v>3534</v>
      </c>
      <c r="D686" t="s">
        <v>72</v>
      </c>
      <c r="E686" t="s">
        <v>72</v>
      </c>
      <c r="F686" t="s">
        <v>73</v>
      </c>
      <c r="G686" t="s">
        <v>73</v>
      </c>
      <c r="I686" t="s">
        <v>3535</v>
      </c>
      <c r="K686" t="s">
        <v>3536</v>
      </c>
      <c r="N686" t="s">
        <v>3537</v>
      </c>
      <c r="Z686" t="s">
        <v>43</v>
      </c>
    </row>
    <row r="687" spans="1:26" x14ac:dyDescent="0.25">
      <c r="A687">
        <v>686</v>
      </c>
      <c r="B687" t="s">
        <v>30</v>
      </c>
      <c r="C687" t="s">
        <v>3538</v>
      </c>
      <c r="D687" t="s">
        <v>2346</v>
      </c>
      <c r="E687" t="s">
        <v>385</v>
      </c>
      <c r="F687" t="s">
        <v>2347</v>
      </c>
      <c r="G687" t="s">
        <v>387</v>
      </c>
      <c r="I687" t="s">
        <v>3539</v>
      </c>
      <c r="K687" t="s">
        <v>3540</v>
      </c>
      <c r="N687" t="s">
        <v>3541</v>
      </c>
      <c r="Z687" t="s">
        <v>43</v>
      </c>
    </row>
    <row r="688" spans="1:26" x14ac:dyDescent="0.25">
      <c r="A688">
        <v>687</v>
      </c>
      <c r="B688" t="s">
        <v>30</v>
      </c>
      <c r="C688" t="s">
        <v>3542</v>
      </c>
      <c r="D688" t="s">
        <v>2104</v>
      </c>
      <c r="E688" t="s">
        <v>1774</v>
      </c>
      <c r="F688" t="s">
        <v>2849</v>
      </c>
      <c r="G688" t="s">
        <v>1776</v>
      </c>
      <c r="I688" t="s">
        <v>3543</v>
      </c>
      <c r="K688" t="s">
        <v>3544</v>
      </c>
      <c r="N688" t="s">
        <v>3545</v>
      </c>
      <c r="Z688" t="s">
        <v>43</v>
      </c>
    </row>
    <row r="689" spans="1:26" x14ac:dyDescent="0.25">
      <c r="A689">
        <v>688</v>
      </c>
      <c r="B689" t="s">
        <v>30</v>
      </c>
      <c r="C689" t="s">
        <v>3546</v>
      </c>
      <c r="D689" t="s">
        <v>3547</v>
      </c>
      <c r="E689" t="s">
        <v>1248</v>
      </c>
      <c r="F689" t="s">
        <v>3548</v>
      </c>
      <c r="G689" t="s">
        <v>1250</v>
      </c>
      <c r="I689" t="s">
        <v>3549</v>
      </c>
      <c r="K689" t="s">
        <v>3550</v>
      </c>
      <c r="N689" t="s">
        <v>3551</v>
      </c>
      <c r="Z689" t="s">
        <v>43</v>
      </c>
    </row>
    <row r="690" spans="1:26" x14ac:dyDescent="0.25">
      <c r="A690">
        <v>689</v>
      </c>
      <c r="B690" t="s">
        <v>30</v>
      </c>
      <c r="C690" t="s">
        <v>3552</v>
      </c>
      <c r="D690" t="s">
        <v>3553</v>
      </c>
      <c r="E690" t="s">
        <v>800</v>
      </c>
      <c r="F690" t="s">
        <v>3554</v>
      </c>
      <c r="G690" t="s">
        <v>802</v>
      </c>
      <c r="I690" t="s">
        <v>3555</v>
      </c>
      <c r="K690" t="s">
        <v>3556</v>
      </c>
      <c r="N690" t="s">
        <v>3557</v>
      </c>
      <c r="Z690" t="s">
        <v>43</v>
      </c>
    </row>
    <row r="691" spans="1:26" x14ac:dyDescent="0.25">
      <c r="A691">
        <v>690</v>
      </c>
      <c r="B691" t="s">
        <v>30</v>
      </c>
      <c r="C691" t="s">
        <v>3558</v>
      </c>
      <c r="D691" t="s">
        <v>772</v>
      </c>
      <c r="E691" t="s">
        <v>72</v>
      </c>
      <c r="F691" t="s">
        <v>3559</v>
      </c>
      <c r="G691" t="s">
        <v>73</v>
      </c>
      <c r="I691" t="s">
        <v>3560</v>
      </c>
      <c r="K691" t="s">
        <v>3561</v>
      </c>
      <c r="N691" t="s">
        <v>3562</v>
      </c>
      <c r="Z691" t="s">
        <v>43</v>
      </c>
    </row>
    <row r="692" spans="1:26" x14ac:dyDescent="0.25">
      <c r="A692">
        <v>691</v>
      </c>
      <c r="B692" t="s">
        <v>30</v>
      </c>
      <c r="C692" t="s">
        <v>3563</v>
      </c>
      <c r="D692" t="s">
        <v>799</v>
      </c>
      <c r="E692" t="s">
        <v>800</v>
      </c>
      <c r="F692" t="s">
        <v>801</v>
      </c>
      <c r="G692" t="s">
        <v>802</v>
      </c>
      <c r="I692" t="s">
        <v>3564</v>
      </c>
      <c r="K692" t="s">
        <v>3565</v>
      </c>
      <c r="N692" t="s">
        <v>3566</v>
      </c>
      <c r="Z692" t="s">
        <v>43</v>
      </c>
    </row>
    <row r="693" spans="1:26" x14ac:dyDescent="0.25">
      <c r="A693">
        <v>692</v>
      </c>
      <c r="B693" t="s">
        <v>30</v>
      </c>
      <c r="C693" t="s">
        <v>3567</v>
      </c>
      <c r="D693" t="s">
        <v>1260</v>
      </c>
      <c r="E693" t="s">
        <v>471</v>
      </c>
      <c r="F693" t="s">
        <v>2204</v>
      </c>
      <c r="G693" t="s">
        <v>47</v>
      </c>
      <c r="I693" t="s">
        <v>3568</v>
      </c>
      <c r="K693" t="s">
        <v>3569</v>
      </c>
      <c r="N693" t="s">
        <v>3570</v>
      </c>
      <c r="Z693" t="s">
        <v>43</v>
      </c>
    </row>
    <row r="694" spans="1:26" x14ac:dyDescent="0.25">
      <c r="A694">
        <v>693</v>
      </c>
      <c r="B694" t="s">
        <v>30</v>
      </c>
      <c r="C694" t="s">
        <v>3571</v>
      </c>
      <c r="D694" t="s">
        <v>64</v>
      </c>
      <c r="E694" t="s">
        <v>72</v>
      </c>
      <c r="F694" t="s">
        <v>3572</v>
      </c>
      <c r="G694" t="s">
        <v>73</v>
      </c>
      <c r="I694" t="s">
        <v>3573</v>
      </c>
      <c r="K694" t="s">
        <v>3574</v>
      </c>
      <c r="N694" t="s">
        <v>3575</v>
      </c>
      <c r="Z694" t="s">
        <v>43</v>
      </c>
    </row>
    <row r="695" spans="1:26" x14ac:dyDescent="0.25">
      <c r="A695">
        <v>694</v>
      </c>
      <c r="B695" t="s">
        <v>30</v>
      </c>
      <c r="C695" t="s">
        <v>3576</v>
      </c>
      <c r="D695" t="s">
        <v>1926</v>
      </c>
      <c r="E695" t="s">
        <v>471</v>
      </c>
      <c r="F695" t="s">
        <v>3577</v>
      </c>
      <c r="G695" t="s">
        <v>47</v>
      </c>
      <c r="I695" t="s">
        <v>3578</v>
      </c>
      <c r="K695" t="s">
        <v>3579</v>
      </c>
      <c r="N695" t="s">
        <v>3580</v>
      </c>
      <c r="Z695" t="s">
        <v>43</v>
      </c>
    </row>
    <row r="696" spans="1:26" x14ac:dyDescent="0.25">
      <c r="A696">
        <v>695</v>
      </c>
      <c r="B696" t="s">
        <v>30</v>
      </c>
      <c r="C696" t="s">
        <v>3581</v>
      </c>
      <c r="D696" t="s">
        <v>56</v>
      </c>
      <c r="E696" t="s">
        <v>56</v>
      </c>
      <c r="F696" t="s">
        <v>57</v>
      </c>
      <c r="G696" t="s">
        <v>57</v>
      </c>
      <c r="I696" t="s">
        <v>3582</v>
      </c>
      <c r="J696">
        <f>57-313-497-8971</f>
        <v>-9724</v>
      </c>
      <c r="K696" t="s">
        <v>1324</v>
      </c>
      <c r="N696" t="s">
        <v>1325</v>
      </c>
      <c r="Z696" t="s">
        <v>43</v>
      </c>
    </row>
    <row r="697" spans="1:26" x14ac:dyDescent="0.25">
      <c r="A697">
        <v>696</v>
      </c>
      <c r="B697" t="s">
        <v>30</v>
      </c>
      <c r="C697" t="s">
        <v>3583</v>
      </c>
      <c r="D697" t="s">
        <v>46</v>
      </c>
      <c r="E697" t="s">
        <v>471</v>
      </c>
      <c r="F697" t="s">
        <v>820</v>
      </c>
      <c r="G697" t="s">
        <v>47</v>
      </c>
      <c r="I697" t="s">
        <v>3584</v>
      </c>
      <c r="K697" t="s">
        <v>3585</v>
      </c>
      <c r="N697" t="s">
        <v>3586</v>
      </c>
      <c r="Z697" t="s">
        <v>43</v>
      </c>
    </row>
    <row r="698" spans="1:26" x14ac:dyDescent="0.25">
      <c r="A698">
        <v>697</v>
      </c>
      <c r="B698" t="s">
        <v>30</v>
      </c>
      <c r="C698" t="s">
        <v>3587</v>
      </c>
      <c r="D698" t="s">
        <v>46</v>
      </c>
      <c r="E698" t="s">
        <v>471</v>
      </c>
      <c r="F698" t="s">
        <v>820</v>
      </c>
      <c r="G698" t="s">
        <v>47</v>
      </c>
      <c r="I698" t="s">
        <v>3588</v>
      </c>
      <c r="J698">
        <f>57-316-747-3883</f>
        <v>-4889</v>
      </c>
      <c r="K698" t="s">
        <v>3589</v>
      </c>
      <c r="N698" t="s">
        <v>3590</v>
      </c>
      <c r="Z698" t="s">
        <v>43</v>
      </c>
    </row>
    <row r="699" spans="1:26" x14ac:dyDescent="0.25">
      <c r="A699">
        <v>698</v>
      </c>
      <c r="B699" t="s">
        <v>30</v>
      </c>
      <c r="C699" t="s">
        <v>3591</v>
      </c>
      <c r="D699" t="s">
        <v>1260</v>
      </c>
      <c r="E699" t="s">
        <v>471</v>
      </c>
      <c r="F699" t="s">
        <v>2178</v>
      </c>
      <c r="G699" t="s">
        <v>47</v>
      </c>
      <c r="I699" t="s">
        <v>3592</v>
      </c>
      <c r="K699" t="s">
        <v>3593</v>
      </c>
      <c r="N699" t="s">
        <v>3594</v>
      </c>
      <c r="Z699" t="s">
        <v>43</v>
      </c>
    </row>
    <row r="700" spans="1:26" x14ac:dyDescent="0.25">
      <c r="A700">
        <v>699</v>
      </c>
      <c r="B700" t="s">
        <v>30</v>
      </c>
      <c r="C700" t="s">
        <v>3595</v>
      </c>
      <c r="D700" t="s">
        <v>3596</v>
      </c>
      <c r="E700" t="s">
        <v>755</v>
      </c>
      <c r="F700" t="s">
        <v>3597</v>
      </c>
      <c r="G700" t="s">
        <v>2199</v>
      </c>
      <c r="I700" t="s">
        <v>3598</v>
      </c>
      <c r="K700" t="s">
        <v>3599</v>
      </c>
      <c r="N700" t="s">
        <v>3600</v>
      </c>
      <c r="Z700" t="s">
        <v>43</v>
      </c>
    </row>
    <row r="701" spans="1:26" x14ac:dyDescent="0.25">
      <c r="A701">
        <v>700</v>
      </c>
      <c r="B701" t="s">
        <v>30</v>
      </c>
      <c r="C701" t="s">
        <v>3601</v>
      </c>
      <c r="D701" t="s">
        <v>46</v>
      </c>
      <c r="E701" t="s">
        <v>471</v>
      </c>
      <c r="F701" t="s">
        <v>820</v>
      </c>
      <c r="G701" t="s">
        <v>47</v>
      </c>
      <c r="I701" t="s">
        <v>3602</v>
      </c>
      <c r="K701" t="s">
        <v>3603</v>
      </c>
      <c r="N701" t="s">
        <v>3604</v>
      </c>
      <c r="Z701" t="s">
        <v>43</v>
      </c>
    </row>
    <row r="702" spans="1:26" x14ac:dyDescent="0.25">
      <c r="A702">
        <v>701</v>
      </c>
      <c r="B702" t="s">
        <v>30</v>
      </c>
      <c r="C702" t="s">
        <v>3605</v>
      </c>
      <c r="D702" t="s">
        <v>2098</v>
      </c>
      <c r="E702" t="s">
        <v>1269</v>
      </c>
      <c r="F702" t="s">
        <v>2099</v>
      </c>
      <c r="G702" t="s">
        <v>1271</v>
      </c>
      <c r="I702" t="s">
        <v>3606</v>
      </c>
      <c r="J702">
        <f>57-60-1-258-5456</f>
        <v>-5718</v>
      </c>
      <c r="K702" t="s">
        <v>3607</v>
      </c>
      <c r="N702" t="s">
        <v>3608</v>
      </c>
      <c r="Z702" t="s">
        <v>43</v>
      </c>
    </row>
    <row r="703" spans="1:26" x14ac:dyDescent="0.25">
      <c r="A703">
        <v>702</v>
      </c>
      <c r="B703" t="s">
        <v>30</v>
      </c>
      <c r="C703" t="s">
        <v>3609</v>
      </c>
      <c r="D703" t="s">
        <v>3610</v>
      </c>
      <c r="E703" t="s">
        <v>2916</v>
      </c>
      <c r="F703" t="s">
        <v>3611</v>
      </c>
      <c r="G703" t="s">
        <v>2918</v>
      </c>
      <c r="I703" t="s">
        <v>3612</v>
      </c>
      <c r="K703" t="s">
        <v>3613</v>
      </c>
      <c r="N703" t="s">
        <v>3614</v>
      </c>
      <c r="Z703" t="s">
        <v>43</v>
      </c>
    </row>
    <row r="704" spans="1:26" x14ac:dyDescent="0.25">
      <c r="A704">
        <v>703</v>
      </c>
      <c r="B704" t="s">
        <v>30</v>
      </c>
      <c r="C704" t="s">
        <v>3615</v>
      </c>
      <c r="D704" t="s">
        <v>3616</v>
      </c>
      <c r="E704" t="s">
        <v>800</v>
      </c>
      <c r="F704" t="s">
        <v>3617</v>
      </c>
      <c r="G704" t="s">
        <v>802</v>
      </c>
      <c r="I704" t="s">
        <v>3618</v>
      </c>
      <c r="J704">
        <f>57-320-244-23</f>
        <v>-530</v>
      </c>
      <c r="K704" t="s">
        <v>3619</v>
      </c>
      <c r="N704" t="s">
        <v>3620</v>
      </c>
      <c r="Z704" t="s">
        <v>43</v>
      </c>
    </row>
    <row r="705" spans="1:26" x14ac:dyDescent="0.25">
      <c r="A705">
        <v>704</v>
      </c>
      <c r="B705" t="s">
        <v>30</v>
      </c>
      <c r="C705" t="s">
        <v>3621</v>
      </c>
      <c r="D705" t="s">
        <v>3401</v>
      </c>
      <c r="E705" t="s">
        <v>1760</v>
      </c>
      <c r="F705" t="s">
        <v>3402</v>
      </c>
      <c r="G705" t="s">
        <v>1762</v>
      </c>
      <c r="I705" t="s">
        <v>3622</v>
      </c>
      <c r="J705">
        <f>57-310-873-6314</f>
        <v>-7440</v>
      </c>
      <c r="K705" t="s">
        <v>3623</v>
      </c>
      <c r="N705" t="s">
        <v>3624</v>
      </c>
      <c r="Z705" t="s">
        <v>43</v>
      </c>
    </row>
    <row r="706" spans="1:26" x14ac:dyDescent="0.25">
      <c r="A706">
        <v>705</v>
      </c>
      <c r="B706" t="s">
        <v>30</v>
      </c>
      <c r="C706" t="s">
        <v>3625</v>
      </c>
      <c r="D706" t="s">
        <v>909</v>
      </c>
      <c r="E706" t="s">
        <v>56</v>
      </c>
      <c r="F706" t="s">
        <v>1659</v>
      </c>
      <c r="G706" t="s">
        <v>57</v>
      </c>
      <c r="I706" t="s">
        <v>3626</v>
      </c>
      <c r="K706" t="s">
        <v>3627</v>
      </c>
      <c r="N706" t="s">
        <v>3628</v>
      </c>
      <c r="Z706" t="s">
        <v>43</v>
      </c>
    </row>
    <row r="707" spans="1:26" x14ac:dyDescent="0.25">
      <c r="A707">
        <v>706</v>
      </c>
      <c r="B707" t="s">
        <v>30</v>
      </c>
      <c r="C707" t="s">
        <v>3629</v>
      </c>
      <c r="D707" t="s">
        <v>867</v>
      </c>
      <c r="E707" t="s">
        <v>471</v>
      </c>
      <c r="F707" t="s">
        <v>868</v>
      </c>
      <c r="G707" t="s">
        <v>47</v>
      </c>
      <c r="I707" t="s">
        <v>3630</v>
      </c>
      <c r="J707">
        <f>57-60-1-621-8106</f>
        <v>-8731</v>
      </c>
      <c r="K707" t="s">
        <v>3631</v>
      </c>
      <c r="N707" t="s">
        <v>3632</v>
      </c>
      <c r="Z707" t="s">
        <v>43</v>
      </c>
    </row>
    <row r="708" spans="1:26" x14ac:dyDescent="0.25">
      <c r="A708">
        <v>707</v>
      </c>
      <c r="B708" t="s">
        <v>30</v>
      </c>
      <c r="C708" t="s">
        <v>3633</v>
      </c>
      <c r="D708" t="s">
        <v>3634</v>
      </c>
      <c r="E708" t="s">
        <v>56</v>
      </c>
      <c r="F708" t="s">
        <v>3635</v>
      </c>
      <c r="G708" t="s">
        <v>57</v>
      </c>
      <c r="I708" t="s">
        <v>3636</v>
      </c>
      <c r="K708" t="s">
        <v>3637</v>
      </c>
      <c r="N708" t="s">
        <v>3638</v>
      </c>
      <c r="Z708" t="s">
        <v>43</v>
      </c>
    </row>
    <row r="709" spans="1:26" x14ac:dyDescent="0.25">
      <c r="A709">
        <v>708</v>
      </c>
      <c r="B709" t="s">
        <v>30</v>
      </c>
      <c r="C709" t="s">
        <v>3639</v>
      </c>
      <c r="D709" t="s">
        <v>2517</v>
      </c>
      <c r="E709" t="s">
        <v>56</v>
      </c>
      <c r="F709" t="s">
        <v>3640</v>
      </c>
      <c r="G709" t="s">
        <v>57</v>
      </c>
      <c r="I709" t="s">
        <v>3641</v>
      </c>
      <c r="J709">
        <f>57-304-569-831</f>
        <v>-1647</v>
      </c>
      <c r="K709" t="s">
        <v>3642</v>
      </c>
      <c r="N709" t="s">
        <v>3643</v>
      </c>
      <c r="Z709" t="s">
        <v>43</v>
      </c>
    </row>
    <row r="710" spans="1:26" x14ac:dyDescent="0.25">
      <c r="A710">
        <v>709</v>
      </c>
      <c r="B710" t="s">
        <v>30</v>
      </c>
      <c r="C710" t="s">
        <v>3644</v>
      </c>
      <c r="D710" t="s">
        <v>46</v>
      </c>
      <c r="E710" t="s">
        <v>471</v>
      </c>
      <c r="F710" t="s">
        <v>820</v>
      </c>
      <c r="G710" t="s">
        <v>47</v>
      </c>
      <c r="I710" t="s">
        <v>3645</v>
      </c>
      <c r="J710">
        <f>57-60-1-334-3566</f>
        <v>-3904</v>
      </c>
      <c r="K710" t="s">
        <v>3646</v>
      </c>
      <c r="N710" t="s">
        <v>3647</v>
      </c>
      <c r="Z710" t="s">
        <v>43</v>
      </c>
    </row>
    <row r="711" spans="1:26" x14ac:dyDescent="0.25">
      <c r="A711">
        <v>710</v>
      </c>
      <c r="B711" t="s">
        <v>30</v>
      </c>
      <c r="C711" t="s">
        <v>3648</v>
      </c>
      <c r="D711" t="s">
        <v>46</v>
      </c>
      <c r="E711" t="s">
        <v>471</v>
      </c>
      <c r="F711" t="s">
        <v>820</v>
      </c>
      <c r="G711" t="s">
        <v>47</v>
      </c>
      <c r="I711" t="s">
        <v>3649</v>
      </c>
      <c r="J711">
        <f>57-312-570-8243</f>
        <v>-9068</v>
      </c>
      <c r="K711" t="s">
        <v>3650</v>
      </c>
      <c r="N711" t="s">
        <v>3651</v>
      </c>
      <c r="Z711" t="s">
        <v>43</v>
      </c>
    </row>
    <row r="712" spans="1:26" x14ac:dyDescent="0.25">
      <c r="A712">
        <v>711</v>
      </c>
      <c r="B712" t="s">
        <v>30</v>
      </c>
      <c r="C712" t="s">
        <v>3652</v>
      </c>
      <c r="D712" t="s">
        <v>867</v>
      </c>
      <c r="E712" t="s">
        <v>471</v>
      </c>
      <c r="F712" t="s">
        <v>2660</v>
      </c>
      <c r="G712" t="s">
        <v>47</v>
      </c>
      <c r="I712" t="s">
        <v>3653</v>
      </c>
      <c r="J712">
        <f>57-312-457-6608</f>
        <v>-7320</v>
      </c>
      <c r="K712" t="s">
        <v>3654</v>
      </c>
      <c r="N712" t="s">
        <v>3655</v>
      </c>
      <c r="Z712" t="s">
        <v>43</v>
      </c>
    </row>
    <row r="713" spans="1:26" x14ac:dyDescent="0.25">
      <c r="A713">
        <v>712</v>
      </c>
      <c r="B713" t="s">
        <v>30</v>
      </c>
      <c r="C713" t="s">
        <v>3656</v>
      </c>
      <c r="D713" t="s">
        <v>2585</v>
      </c>
      <c r="E713" t="s">
        <v>3657</v>
      </c>
      <c r="F713" t="s">
        <v>3658</v>
      </c>
      <c r="G713" t="s">
        <v>3659</v>
      </c>
      <c r="I713" t="s">
        <v>3660</v>
      </c>
      <c r="J713">
        <f>57-60-1-679-8686</f>
        <v>-9369</v>
      </c>
      <c r="K713" t="s">
        <v>3661</v>
      </c>
      <c r="N713" t="s">
        <v>3662</v>
      </c>
      <c r="Z713" t="s">
        <v>43</v>
      </c>
    </row>
    <row r="714" spans="1:26" x14ac:dyDescent="0.25">
      <c r="A714">
        <v>713</v>
      </c>
      <c r="B714" t="s">
        <v>30</v>
      </c>
      <c r="C714" t="s">
        <v>3663</v>
      </c>
      <c r="D714" t="s">
        <v>3664</v>
      </c>
      <c r="E714" t="s">
        <v>1760</v>
      </c>
      <c r="F714" t="s">
        <v>3665</v>
      </c>
      <c r="G714" t="s">
        <v>1762</v>
      </c>
      <c r="I714" t="s">
        <v>3666</v>
      </c>
      <c r="J714">
        <f>57-317-419-57</f>
        <v>-736</v>
      </c>
      <c r="K714" t="s">
        <v>3667</v>
      </c>
      <c r="N714" t="s">
        <v>3668</v>
      </c>
      <c r="Z714" t="s">
        <v>43</v>
      </c>
    </row>
    <row r="715" spans="1:26" x14ac:dyDescent="0.25">
      <c r="A715">
        <v>714</v>
      </c>
      <c r="B715" t="s">
        <v>30</v>
      </c>
      <c r="C715" t="s">
        <v>3669</v>
      </c>
      <c r="D715" t="s">
        <v>3670</v>
      </c>
      <c r="E715" t="s">
        <v>755</v>
      </c>
      <c r="F715" t="s">
        <v>3671</v>
      </c>
      <c r="G715" t="s">
        <v>757</v>
      </c>
      <c r="I715" t="s">
        <v>3672</v>
      </c>
      <c r="J715">
        <f>57-60-1-403-8598</f>
        <v>-9005</v>
      </c>
      <c r="K715" t="s">
        <v>3673</v>
      </c>
      <c r="N715" t="s">
        <v>3674</v>
      </c>
      <c r="Z715" t="s">
        <v>43</v>
      </c>
    </row>
    <row r="716" spans="1:26" x14ac:dyDescent="0.25">
      <c r="A716">
        <v>715</v>
      </c>
      <c r="B716" t="s">
        <v>30</v>
      </c>
      <c r="C716" t="s">
        <v>3675</v>
      </c>
      <c r="D716" t="s">
        <v>72</v>
      </c>
      <c r="E716" t="s">
        <v>72</v>
      </c>
      <c r="F716" t="s">
        <v>73</v>
      </c>
      <c r="G716" t="s">
        <v>73</v>
      </c>
      <c r="H716" t="s">
        <v>3676</v>
      </c>
      <c r="I716" t="s">
        <v>3677</v>
      </c>
      <c r="J716">
        <f>57-60-1-420-4008</f>
        <v>-4432</v>
      </c>
      <c r="K716" t="s">
        <v>617</v>
      </c>
      <c r="N716" t="s">
        <v>3678</v>
      </c>
      <c r="Z716" t="s">
        <v>43</v>
      </c>
    </row>
    <row r="717" spans="1:26" x14ac:dyDescent="0.25">
      <c r="A717">
        <v>716</v>
      </c>
      <c r="B717" t="s">
        <v>30</v>
      </c>
      <c r="C717" t="s">
        <v>3679</v>
      </c>
      <c r="D717" t="s">
        <v>772</v>
      </c>
      <c r="E717" t="s">
        <v>3321</v>
      </c>
      <c r="F717" t="s">
        <v>1083</v>
      </c>
      <c r="G717" t="s">
        <v>3323</v>
      </c>
      <c r="I717" t="s">
        <v>3680</v>
      </c>
      <c r="K717" t="s">
        <v>3681</v>
      </c>
      <c r="N717" t="s">
        <v>3682</v>
      </c>
      <c r="Z717" t="s">
        <v>43</v>
      </c>
    </row>
    <row r="718" spans="1:26" x14ac:dyDescent="0.25">
      <c r="A718">
        <v>717</v>
      </c>
      <c r="B718" t="s">
        <v>30</v>
      </c>
      <c r="C718" t="s">
        <v>3683</v>
      </c>
      <c r="D718" t="s">
        <v>1816</v>
      </c>
      <c r="E718" t="s">
        <v>64</v>
      </c>
      <c r="F718" t="s">
        <v>1857</v>
      </c>
      <c r="G718" t="s">
        <v>65</v>
      </c>
      <c r="I718" t="s">
        <v>3684</v>
      </c>
      <c r="K718" t="s">
        <v>3685</v>
      </c>
      <c r="N718" t="s">
        <v>3686</v>
      </c>
      <c r="Z718" t="s">
        <v>43</v>
      </c>
    </row>
    <row r="719" spans="1:26" x14ac:dyDescent="0.25">
      <c r="A719">
        <v>718</v>
      </c>
      <c r="B719" t="s">
        <v>30</v>
      </c>
      <c r="C719" t="s">
        <v>3687</v>
      </c>
      <c r="D719" t="s">
        <v>3688</v>
      </c>
      <c r="E719" t="s">
        <v>2295</v>
      </c>
      <c r="F719" t="s">
        <v>3689</v>
      </c>
      <c r="G719" t="s">
        <v>2297</v>
      </c>
      <c r="I719" t="s">
        <v>3690</v>
      </c>
      <c r="K719" t="s">
        <v>3691</v>
      </c>
      <c r="N719" t="s">
        <v>3692</v>
      </c>
      <c r="Z719" t="s">
        <v>43</v>
      </c>
    </row>
    <row r="720" spans="1:26" x14ac:dyDescent="0.25">
      <c r="A720">
        <v>719</v>
      </c>
      <c r="B720" t="s">
        <v>30</v>
      </c>
      <c r="C720" t="s">
        <v>3693</v>
      </c>
      <c r="D720" t="s">
        <v>72</v>
      </c>
      <c r="E720" t="s">
        <v>72</v>
      </c>
      <c r="F720" t="s">
        <v>73</v>
      </c>
      <c r="G720" t="s">
        <v>73</v>
      </c>
      <c r="H720" t="s">
        <v>3694</v>
      </c>
      <c r="I720" t="s">
        <v>3695</v>
      </c>
      <c r="J720">
        <f>57-60-1-637-9367</f>
        <v>-10008</v>
      </c>
      <c r="K720" t="s">
        <v>3696</v>
      </c>
      <c r="N720" t="s">
        <v>3697</v>
      </c>
      <c r="Z720" t="s">
        <v>43</v>
      </c>
    </row>
    <row r="721" spans="1:26" x14ac:dyDescent="0.25">
      <c r="A721">
        <v>720</v>
      </c>
      <c r="B721" t="s">
        <v>30</v>
      </c>
      <c r="C721" t="s">
        <v>3698</v>
      </c>
      <c r="D721" t="s">
        <v>3699</v>
      </c>
      <c r="E721" t="s">
        <v>1774</v>
      </c>
      <c r="F721" t="s">
        <v>3700</v>
      </c>
      <c r="G721" t="s">
        <v>1776</v>
      </c>
      <c r="I721" t="s">
        <v>3701</v>
      </c>
      <c r="K721" t="s">
        <v>3702</v>
      </c>
      <c r="N721" t="s">
        <v>3703</v>
      </c>
      <c r="Z721" t="s">
        <v>43</v>
      </c>
    </row>
    <row r="722" spans="1:26" x14ac:dyDescent="0.25">
      <c r="A722">
        <v>721</v>
      </c>
      <c r="B722" t="s">
        <v>30</v>
      </c>
      <c r="C722" t="s">
        <v>3704</v>
      </c>
      <c r="D722" t="s">
        <v>2168</v>
      </c>
      <c r="E722" t="s">
        <v>64</v>
      </c>
      <c r="F722" t="s">
        <v>2169</v>
      </c>
      <c r="G722" t="s">
        <v>65</v>
      </c>
      <c r="I722" t="s">
        <v>3705</v>
      </c>
      <c r="K722" t="s">
        <v>3706</v>
      </c>
      <c r="N722" t="s">
        <v>3707</v>
      </c>
      <c r="Z722" t="s">
        <v>43</v>
      </c>
    </row>
    <row r="723" spans="1:26" x14ac:dyDescent="0.25">
      <c r="A723">
        <v>722</v>
      </c>
      <c r="B723" t="s">
        <v>30</v>
      </c>
      <c r="C723" t="s">
        <v>3708</v>
      </c>
      <c r="D723" t="s">
        <v>64</v>
      </c>
      <c r="E723" t="s">
        <v>64</v>
      </c>
      <c r="F723" t="s">
        <v>65</v>
      </c>
      <c r="G723" t="s">
        <v>65</v>
      </c>
      <c r="I723" t="s">
        <v>3709</v>
      </c>
      <c r="J723">
        <f>57-313-334-9017</f>
        <v>-9607</v>
      </c>
      <c r="K723" t="s">
        <v>3710</v>
      </c>
      <c r="N723" t="s">
        <v>3711</v>
      </c>
      <c r="Z723" t="s">
        <v>43</v>
      </c>
    </row>
    <row r="724" spans="1:26" x14ac:dyDescent="0.25">
      <c r="A724">
        <v>723</v>
      </c>
      <c r="B724" t="s">
        <v>30</v>
      </c>
      <c r="C724" t="s">
        <v>3712</v>
      </c>
      <c r="D724" t="s">
        <v>3713</v>
      </c>
      <c r="E724" t="s">
        <v>56</v>
      </c>
      <c r="F724" t="s">
        <v>3714</v>
      </c>
      <c r="G724" t="s">
        <v>57</v>
      </c>
      <c r="I724" t="s">
        <v>3715</v>
      </c>
      <c r="K724" t="s">
        <v>3716</v>
      </c>
      <c r="N724" t="s">
        <v>3717</v>
      </c>
      <c r="Z724" t="s">
        <v>43</v>
      </c>
    </row>
    <row r="725" spans="1:26" x14ac:dyDescent="0.25">
      <c r="A725">
        <v>724</v>
      </c>
      <c r="B725" t="s">
        <v>30</v>
      </c>
      <c r="C725" t="s">
        <v>3718</v>
      </c>
      <c r="D725" t="s">
        <v>1260</v>
      </c>
      <c r="E725" t="s">
        <v>64</v>
      </c>
      <c r="F725" t="s">
        <v>1653</v>
      </c>
      <c r="G725" t="s">
        <v>65</v>
      </c>
      <c r="I725" t="s">
        <v>3719</v>
      </c>
      <c r="K725" t="s">
        <v>3720</v>
      </c>
      <c r="N725" t="s">
        <v>3721</v>
      </c>
      <c r="Z725" t="s">
        <v>43</v>
      </c>
    </row>
    <row r="726" spans="1:26" x14ac:dyDescent="0.25">
      <c r="A726">
        <v>725</v>
      </c>
      <c r="B726" t="s">
        <v>30</v>
      </c>
      <c r="C726" t="s">
        <v>3722</v>
      </c>
      <c r="D726" t="s">
        <v>3723</v>
      </c>
      <c r="E726" t="s">
        <v>72</v>
      </c>
      <c r="F726" t="s">
        <v>3724</v>
      </c>
      <c r="G726" t="s">
        <v>73</v>
      </c>
      <c r="I726" t="s">
        <v>3725</v>
      </c>
      <c r="J726">
        <f>57-60-1-704-883</f>
        <v>-1591</v>
      </c>
      <c r="K726" t="s">
        <v>3726</v>
      </c>
      <c r="N726" t="s">
        <v>3727</v>
      </c>
      <c r="Z726" t="s">
        <v>43</v>
      </c>
    </row>
    <row r="727" spans="1:26" x14ac:dyDescent="0.25">
      <c r="A727">
        <v>726</v>
      </c>
      <c r="B727" t="s">
        <v>30</v>
      </c>
      <c r="C727" t="s">
        <v>3728</v>
      </c>
      <c r="D727" t="s">
        <v>3729</v>
      </c>
      <c r="E727" t="s">
        <v>1217</v>
      </c>
      <c r="F727" t="s">
        <v>3730</v>
      </c>
      <c r="G727" t="s">
        <v>2132</v>
      </c>
      <c r="I727" t="s">
        <v>3731</v>
      </c>
      <c r="J727">
        <f>57-60-1-470-6481</f>
        <v>-6955</v>
      </c>
      <c r="K727" t="s">
        <v>3732</v>
      </c>
      <c r="N727" t="s">
        <v>3733</v>
      </c>
      <c r="Z727" t="s">
        <v>43</v>
      </c>
    </row>
    <row r="728" spans="1:26" x14ac:dyDescent="0.25">
      <c r="A728">
        <v>727</v>
      </c>
      <c r="B728" t="s">
        <v>30</v>
      </c>
      <c r="C728" t="s">
        <v>3734</v>
      </c>
      <c r="D728" t="s">
        <v>813</v>
      </c>
      <c r="E728" t="s">
        <v>471</v>
      </c>
      <c r="F728" t="s">
        <v>3735</v>
      </c>
      <c r="G728" t="s">
        <v>47</v>
      </c>
      <c r="I728" t="s">
        <v>3736</v>
      </c>
      <c r="K728" t="s">
        <v>3737</v>
      </c>
      <c r="N728" t="s">
        <v>3738</v>
      </c>
      <c r="Z728" t="s">
        <v>43</v>
      </c>
    </row>
    <row r="729" spans="1:26" x14ac:dyDescent="0.25">
      <c r="A729">
        <v>728</v>
      </c>
      <c r="B729" t="s">
        <v>30</v>
      </c>
      <c r="C729" t="s">
        <v>3739</v>
      </c>
      <c r="D729" t="s">
        <v>2394</v>
      </c>
      <c r="E729" t="s">
        <v>471</v>
      </c>
      <c r="F729" t="s">
        <v>2395</v>
      </c>
      <c r="G729" t="s">
        <v>47</v>
      </c>
      <c r="I729" t="s">
        <v>3740</v>
      </c>
      <c r="K729" t="s">
        <v>3741</v>
      </c>
      <c r="N729" t="s">
        <v>3742</v>
      </c>
      <c r="Z729" t="s">
        <v>43</v>
      </c>
    </row>
    <row r="730" spans="1:26" x14ac:dyDescent="0.25">
      <c r="A730">
        <v>729</v>
      </c>
      <c r="B730" t="s">
        <v>30</v>
      </c>
      <c r="C730" t="s">
        <v>3743</v>
      </c>
      <c r="D730" t="s">
        <v>46</v>
      </c>
      <c r="E730" t="s">
        <v>471</v>
      </c>
      <c r="F730" t="s">
        <v>941</v>
      </c>
      <c r="G730" t="s">
        <v>47</v>
      </c>
      <c r="I730" t="s">
        <v>3744</v>
      </c>
      <c r="J730">
        <f>57-60-1-256-930</f>
        <v>-1190</v>
      </c>
      <c r="K730" t="s">
        <v>3745</v>
      </c>
      <c r="N730" t="s">
        <v>3746</v>
      </c>
      <c r="Z730" t="s">
        <v>43</v>
      </c>
    </row>
    <row r="731" spans="1:26" x14ac:dyDescent="0.25">
      <c r="A731">
        <v>730</v>
      </c>
      <c r="B731" t="s">
        <v>30</v>
      </c>
      <c r="C731" t="s">
        <v>3747</v>
      </c>
      <c r="D731" t="s">
        <v>46</v>
      </c>
      <c r="E731" t="s">
        <v>471</v>
      </c>
      <c r="F731" t="s">
        <v>820</v>
      </c>
      <c r="G731" t="s">
        <v>47</v>
      </c>
      <c r="I731" t="s">
        <v>3748</v>
      </c>
      <c r="K731" t="s">
        <v>3749</v>
      </c>
      <c r="N731" t="s">
        <v>3750</v>
      </c>
      <c r="Z731" t="s">
        <v>43</v>
      </c>
    </row>
    <row r="732" spans="1:26" x14ac:dyDescent="0.25">
      <c r="A732">
        <v>731</v>
      </c>
      <c r="B732" t="s">
        <v>30</v>
      </c>
      <c r="C732" t="s">
        <v>3751</v>
      </c>
      <c r="D732" t="s">
        <v>1260</v>
      </c>
      <c r="E732" t="s">
        <v>471</v>
      </c>
      <c r="F732" t="s">
        <v>1665</v>
      </c>
      <c r="G732" t="s">
        <v>47</v>
      </c>
      <c r="I732" t="s">
        <v>3752</v>
      </c>
      <c r="K732" t="s">
        <v>3753</v>
      </c>
      <c r="N732" t="s">
        <v>3754</v>
      </c>
      <c r="Z732" t="s">
        <v>43</v>
      </c>
    </row>
    <row r="733" spans="1:26" x14ac:dyDescent="0.25">
      <c r="A733">
        <v>732</v>
      </c>
      <c r="B733" t="s">
        <v>30</v>
      </c>
      <c r="C733" t="s">
        <v>3755</v>
      </c>
      <c r="D733" t="s">
        <v>3756</v>
      </c>
      <c r="E733" t="s">
        <v>64</v>
      </c>
      <c r="F733" t="s">
        <v>3757</v>
      </c>
      <c r="G733" t="s">
        <v>65</v>
      </c>
      <c r="H733" t="s">
        <v>3758</v>
      </c>
      <c r="I733" t="s">
        <v>3759</v>
      </c>
      <c r="J733">
        <f>57-60-1-562-4705</f>
        <v>-5271</v>
      </c>
      <c r="K733" t="s">
        <v>3760</v>
      </c>
      <c r="N733" t="s">
        <v>3761</v>
      </c>
      <c r="O733" t="s">
        <v>3762</v>
      </c>
      <c r="Z733" t="s">
        <v>43</v>
      </c>
    </row>
    <row r="734" spans="1:26" x14ac:dyDescent="0.25">
      <c r="A734">
        <v>733</v>
      </c>
      <c r="B734" t="s">
        <v>30</v>
      </c>
      <c r="C734" t="s">
        <v>3763</v>
      </c>
      <c r="D734" t="s">
        <v>46</v>
      </c>
      <c r="E734" t="s">
        <v>471</v>
      </c>
      <c r="F734" t="s">
        <v>820</v>
      </c>
      <c r="G734" t="s">
        <v>47</v>
      </c>
      <c r="I734" t="s">
        <v>3764</v>
      </c>
      <c r="J734">
        <f>57-312-479-7151</f>
        <v>-7885</v>
      </c>
      <c r="K734" t="s">
        <v>3765</v>
      </c>
      <c r="N734" t="s">
        <v>3766</v>
      </c>
      <c r="Z734" t="s">
        <v>43</v>
      </c>
    </row>
    <row r="735" spans="1:26" x14ac:dyDescent="0.25">
      <c r="A735">
        <v>734</v>
      </c>
      <c r="B735" t="s">
        <v>30</v>
      </c>
      <c r="C735" t="s">
        <v>3767</v>
      </c>
      <c r="D735" t="s">
        <v>3768</v>
      </c>
      <c r="E735" t="s">
        <v>385</v>
      </c>
      <c r="F735" t="s">
        <v>3769</v>
      </c>
      <c r="G735" t="s">
        <v>387</v>
      </c>
      <c r="I735" t="s">
        <v>3770</v>
      </c>
      <c r="J735">
        <f>57-310-223-7682</f>
        <v>-8158</v>
      </c>
      <c r="K735" t="s">
        <v>3771</v>
      </c>
      <c r="N735" t="s">
        <v>3772</v>
      </c>
      <c r="Z735" t="s">
        <v>43</v>
      </c>
    </row>
    <row r="736" spans="1:26" x14ac:dyDescent="0.25">
      <c r="A736">
        <v>735</v>
      </c>
      <c r="B736" t="s">
        <v>30</v>
      </c>
      <c r="C736" t="s">
        <v>3773</v>
      </c>
      <c r="D736" t="s">
        <v>2394</v>
      </c>
      <c r="E736" t="s">
        <v>471</v>
      </c>
      <c r="F736" t="s">
        <v>2395</v>
      </c>
      <c r="G736" t="s">
        <v>47</v>
      </c>
      <c r="I736" t="s">
        <v>3774</v>
      </c>
      <c r="J736">
        <f>57-321-499-9706</f>
        <v>-10469</v>
      </c>
      <c r="K736" t="s">
        <v>3775</v>
      </c>
      <c r="N736" t="s">
        <v>3776</v>
      </c>
      <c r="Z736" t="s">
        <v>43</v>
      </c>
    </row>
    <row r="737" spans="1:26" x14ac:dyDescent="0.25">
      <c r="A737">
        <v>736</v>
      </c>
      <c r="B737" t="s">
        <v>30</v>
      </c>
      <c r="C737" t="s">
        <v>3777</v>
      </c>
      <c r="D737" t="s">
        <v>3778</v>
      </c>
      <c r="E737" t="s">
        <v>471</v>
      </c>
      <c r="F737" t="s">
        <v>3779</v>
      </c>
      <c r="G737" t="s">
        <v>47</v>
      </c>
      <c r="I737" t="s">
        <v>3780</v>
      </c>
      <c r="J737">
        <f>57-315-770-7037</f>
        <v>-8065</v>
      </c>
      <c r="K737" t="s">
        <v>3781</v>
      </c>
      <c r="N737" t="s">
        <v>3782</v>
      </c>
      <c r="Z737" t="s">
        <v>43</v>
      </c>
    </row>
    <row r="738" spans="1:26" x14ac:dyDescent="0.25">
      <c r="A738">
        <v>737</v>
      </c>
      <c r="B738" t="s">
        <v>30</v>
      </c>
      <c r="C738" t="s">
        <v>3783</v>
      </c>
      <c r="D738" t="s">
        <v>899</v>
      </c>
      <c r="E738" t="s">
        <v>471</v>
      </c>
      <c r="F738" t="s">
        <v>2456</v>
      </c>
      <c r="G738" t="s">
        <v>47</v>
      </c>
      <c r="I738" t="s">
        <v>3784</v>
      </c>
      <c r="J738">
        <f>57-60-1-358-7531</f>
        <v>-7893</v>
      </c>
      <c r="K738" t="s">
        <v>3785</v>
      </c>
      <c r="N738" t="s">
        <v>3786</v>
      </c>
      <c r="Z738" t="s">
        <v>43</v>
      </c>
    </row>
    <row r="739" spans="1:26" x14ac:dyDescent="0.25">
      <c r="A739">
        <v>738</v>
      </c>
      <c r="B739" t="s">
        <v>30</v>
      </c>
      <c r="C739" t="s">
        <v>3787</v>
      </c>
      <c r="D739" t="s">
        <v>72</v>
      </c>
      <c r="E739" t="s">
        <v>72</v>
      </c>
      <c r="F739" t="s">
        <v>73</v>
      </c>
      <c r="G739" t="s">
        <v>73</v>
      </c>
      <c r="I739" t="s">
        <v>3788</v>
      </c>
      <c r="J739">
        <f>57-60-1-923-4377</f>
        <v>-5304</v>
      </c>
      <c r="K739" t="s">
        <v>3789</v>
      </c>
      <c r="N739" t="s">
        <v>3790</v>
      </c>
      <c r="Z739" t="s">
        <v>43</v>
      </c>
    </row>
    <row r="740" spans="1:26" x14ac:dyDescent="0.25">
      <c r="A740">
        <v>739</v>
      </c>
      <c r="B740" t="s">
        <v>30</v>
      </c>
      <c r="C740" t="s">
        <v>3791</v>
      </c>
      <c r="D740" t="s">
        <v>909</v>
      </c>
      <c r="E740" t="s">
        <v>471</v>
      </c>
      <c r="F740" t="s">
        <v>2233</v>
      </c>
      <c r="G740" t="s">
        <v>47</v>
      </c>
      <c r="I740" t="s">
        <v>3792</v>
      </c>
      <c r="J740">
        <f>57-310-870-6698</f>
        <v>-7821</v>
      </c>
      <c r="K740" t="s">
        <v>3793</v>
      </c>
      <c r="N740" t="s">
        <v>3794</v>
      </c>
      <c r="Z740" t="s">
        <v>43</v>
      </c>
    </row>
    <row r="741" spans="1:26" x14ac:dyDescent="0.25">
      <c r="A741">
        <v>740</v>
      </c>
      <c r="B741" t="s">
        <v>30</v>
      </c>
      <c r="C741" t="s">
        <v>3795</v>
      </c>
      <c r="D741" t="s">
        <v>2394</v>
      </c>
      <c r="E741" t="s">
        <v>471</v>
      </c>
      <c r="F741" t="s">
        <v>2395</v>
      </c>
      <c r="G741" t="s">
        <v>47</v>
      </c>
      <c r="I741" t="s">
        <v>3796</v>
      </c>
      <c r="J741">
        <f>57-311-212-6421</f>
        <v>-6887</v>
      </c>
      <c r="K741" t="s">
        <v>3797</v>
      </c>
      <c r="N741" t="s">
        <v>3798</v>
      </c>
      <c r="Z741" t="s">
        <v>43</v>
      </c>
    </row>
    <row r="742" spans="1:26" x14ac:dyDescent="0.25">
      <c r="A742">
        <v>741</v>
      </c>
      <c r="B742" t="s">
        <v>30</v>
      </c>
      <c r="C742" t="s">
        <v>3799</v>
      </c>
      <c r="D742" t="s">
        <v>46</v>
      </c>
      <c r="E742" t="s">
        <v>471</v>
      </c>
      <c r="F742" t="s">
        <v>820</v>
      </c>
      <c r="G742" t="s">
        <v>47</v>
      </c>
      <c r="I742" t="s">
        <v>3800</v>
      </c>
      <c r="K742" t="s">
        <v>3801</v>
      </c>
      <c r="N742" t="s">
        <v>3802</v>
      </c>
      <c r="Z742" t="s">
        <v>43</v>
      </c>
    </row>
    <row r="743" spans="1:26" x14ac:dyDescent="0.25">
      <c r="A743">
        <v>742</v>
      </c>
      <c r="B743" t="s">
        <v>30</v>
      </c>
      <c r="C743" t="s">
        <v>3803</v>
      </c>
      <c r="D743" t="s">
        <v>1713</v>
      </c>
      <c r="E743" t="s">
        <v>471</v>
      </c>
      <c r="F743" t="s">
        <v>2089</v>
      </c>
      <c r="G743" t="s">
        <v>47</v>
      </c>
      <c r="I743" t="s">
        <v>3804</v>
      </c>
      <c r="J743">
        <f>57-300-678-8606</f>
        <v>-9527</v>
      </c>
      <c r="K743" t="s">
        <v>3805</v>
      </c>
      <c r="N743" t="s">
        <v>3806</v>
      </c>
      <c r="Z743" t="s">
        <v>43</v>
      </c>
    </row>
    <row r="744" spans="1:26" x14ac:dyDescent="0.25">
      <c r="A744">
        <v>743</v>
      </c>
      <c r="B744" t="s">
        <v>30</v>
      </c>
      <c r="C744" t="s">
        <v>3807</v>
      </c>
      <c r="D744" t="s">
        <v>46</v>
      </c>
      <c r="E744" t="s">
        <v>471</v>
      </c>
      <c r="F744" t="s">
        <v>820</v>
      </c>
      <c r="G744" t="s">
        <v>47</v>
      </c>
      <c r="I744" t="s">
        <v>3808</v>
      </c>
      <c r="K744" t="s">
        <v>3809</v>
      </c>
      <c r="N744" t="s">
        <v>3810</v>
      </c>
      <c r="Z744" t="s">
        <v>43</v>
      </c>
    </row>
    <row r="745" spans="1:26" x14ac:dyDescent="0.25">
      <c r="A745">
        <v>744</v>
      </c>
      <c r="B745" t="s">
        <v>30</v>
      </c>
      <c r="C745" t="s">
        <v>3811</v>
      </c>
      <c r="D745" t="s">
        <v>1260</v>
      </c>
      <c r="E745" t="s">
        <v>471</v>
      </c>
      <c r="F745" t="s">
        <v>2178</v>
      </c>
      <c r="G745" t="s">
        <v>47</v>
      </c>
      <c r="I745" t="s">
        <v>3812</v>
      </c>
      <c r="K745" t="s">
        <v>3813</v>
      </c>
      <c r="N745" t="s">
        <v>3814</v>
      </c>
      <c r="Z745" t="s">
        <v>43</v>
      </c>
    </row>
    <row r="746" spans="1:26" x14ac:dyDescent="0.25">
      <c r="A746">
        <v>745</v>
      </c>
      <c r="B746" t="s">
        <v>30</v>
      </c>
      <c r="C746" t="s">
        <v>3815</v>
      </c>
      <c r="D746" t="s">
        <v>1260</v>
      </c>
      <c r="E746" t="s">
        <v>471</v>
      </c>
      <c r="F746" t="s">
        <v>2084</v>
      </c>
      <c r="G746" t="s">
        <v>47</v>
      </c>
      <c r="I746" t="s">
        <v>3816</v>
      </c>
      <c r="J746">
        <f>57-60-1-305-2478</f>
        <v>-2787</v>
      </c>
      <c r="K746" t="s">
        <v>3817</v>
      </c>
      <c r="N746" t="s">
        <v>3818</v>
      </c>
      <c r="Z746" t="s">
        <v>43</v>
      </c>
    </row>
    <row r="747" spans="1:26" x14ac:dyDescent="0.25">
      <c r="A747">
        <v>746</v>
      </c>
      <c r="B747" t="s">
        <v>30</v>
      </c>
      <c r="C747" t="s">
        <v>3819</v>
      </c>
      <c r="D747" t="s">
        <v>384</v>
      </c>
      <c r="E747" t="s">
        <v>385</v>
      </c>
      <c r="F747" t="s">
        <v>386</v>
      </c>
      <c r="G747" t="s">
        <v>387</v>
      </c>
      <c r="I747" t="s">
        <v>3820</v>
      </c>
      <c r="K747" t="s">
        <v>3821</v>
      </c>
      <c r="N747" t="s">
        <v>3822</v>
      </c>
      <c r="Z747" t="s">
        <v>43</v>
      </c>
    </row>
    <row r="748" spans="1:26" x14ac:dyDescent="0.25">
      <c r="A748">
        <v>747</v>
      </c>
      <c r="B748" t="s">
        <v>30</v>
      </c>
      <c r="C748" t="s">
        <v>3823</v>
      </c>
      <c r="D748" t="s">
        <v>46</v>
      </c>
      <c r="E748" t="s">
        <v>471</v>
      </c>
      <c r="F748" t="s">
        <v>1708</v>
      </c>
      <c r="G748" t="s">
        <v>47</v>
      </c>
      <c r="I748" t="s">
        <v>3824</v>
      </c>
      <c r="K748" t="s">
        <v>3825</v>
      </c>
      <c r="N748" t="s">
        <v>3826</v>
      </c>
      <c r="Z748" t="s">
        <v>43</v>
      </c>
    </row>
    <row r="749" spans="1:26" x14ac:dyDescent="0.25">
      <c r="A749">
        <v>748</v>
      </c>
      <c r="B749" t="s">
        <v>30</v>
      </c>
      <c r="C749" t="s">
        <v>3827</v>
      </c>
      <c r="D749" t="s">
        <v>46</v>
      </c>
      <c r="E749" t="s">
        <v>471</v>
      </c>
      <c r="F749" t="s">
        <v>820</v>
      </c>
      <c r="G749" t="s">
        <v>47</v>
      </c>
      <c r="I749" t="s">
        <v>3828</v>
      </c>
      <c r="J749">
        <f>57-320-442-5265</f>
        <v>-5970</v>
      </c>
      <c r="K749" t="s">
        <v>3829</v>
      </c>
      <c r="N749" t="s">
        <v>3830</v>
      </c>
      <c r="Z749" t="s">
        <v>43</v>
      </c>
    </row>
    <row r="750" spans="1:26" x14ac:dyDescent="0.25">
      <c r="A750">
        <v>749</v>
      </c>
      <c r="B750" t="s">
        <v>30</v>
      </c>
      <c r="C750" t="s">
        <v>3831</v>
      </c>
      <c r="D750" t="s">
        <v>979</v>
      </c>
      <c r="E750" t="s">
        <v>56</v>
      </c>
      <c r="F750" t="s">
        <v>3832</v>
      </c>
      <c r="G750" t="s">
        <v>57</v>
      </c>
      <c r="I750" t="s">
        <v>3833</v>
      </c>
      <c r="J750">
        <f>57-310-567-8072</f>
        <v>-8892</v>
      </c>
      <c r="K750" t="s">
        <v>3834</v>
      </c>
      <c r="N750" t="s">
        <v>3835</v>
      </c>
      <c r="Z750" t="s">
        <v>43</v>
      </c>
    </row>
    <row r="751" spans="1:26" x14ac:dyDescent="0.25">
      <c r="A751">
        <v>750</v>
      </c>
      <c r="B751" t="s">
        <v>30</v>
      </c>
      <c r="C751" t="s">
        <v>3836</v>
      </c>
      <c r="D751" t="s">
        <v>46</v>
      </c>
      <c r="E751" t="s">
        <v>471</v>
      </c>
      <c r="F751" t="s">
        <v>820</v>
      </c>
      <c r="G751" t="s">
        <v>47</v>
      </c>
      <c r="I751" t="s">
        <v>3837</v>
      </c>
      <c r="K751" t="s">
        <v>3838</v>
      </c>
      <c r="N751" t="s">
        <v>3839</v>
      </c>
      <c r="Z751" t="s">
        <v>43</v>
      </c>
    </row>
    <row r="752" spans="1:26" x14ac:dyDescent="0.25">
      <c r="A752">
        <v>751</v>
      </c>
      <c r="B752" t="s">
        <v>30</v>
      </c>
      <c r="C752" t="s">
        <v>3840</v>
      </c>
      <c r="D752" t="s">
        <v>46</v>
      </c>
      <c r="E752" t="s">
        <v>471</v>
      </c>
      <c r="F752" t="s">
        <v>820</v>
      </c>
      <c r="G752" t="s">
        <v>47</v>
      </c>
      <c r="I752" t="s">
        <v>3841</v>
      </c>
      <c r="K752" t="s">
        <v>3842</v>
      </c>
      <c r="N752" t="s">
        <v>3843</v>
      </c>
      <c r="Z752" t="s">
        <v>43</v>
      </c>
    </row>
    <row r="753" spans="1:26" x14ac:dyDescent="0.25">
      <c r="A753">
        <v>752</v>
      </c>
      <c r="B753" t="s">
        <v>30</v>
      </c>
      <c r="C753" t="s">
        <v>3844</v>
      </c>
      <c r="D753" t="s">
        <v>46</v>
      </c>
      <c r="E753" t="s">
        <v>471</v>
      </c>
      <c r="F753" t="s">
        <v>820</v>
      </c>
      <c r="G753" t="s">
        <v>47</v>
      </c>
      <c r="I753" t="s">
        <v>3845</v>
      </c>
      <c r="K753" t="s">
        <v>3846</v>
      </c>
      <c r="N753" t="s">
        <v>3847</v>
      </c>
      <c r="Z753" t="s">
        <v>43</v>
      </c>
    </row>
    <row r="754" spans="1:26" x14ac:dyDescent="0.25">
      <c r="A754">
        <v>753</v>
      </c>
      <c r="B754" t="s">
        <v>30</v>
      </c>
      <c r="C754" t="s">
        <v>3848</v>
      </c>
      <c r="D754" t="s">
        <v>3849</v>
      </c>
      <c r="E754" t="s">
        <v>755</v>
      </c>
      <c r="F754" t="s">
        <v>3850</v>
      </c>
      <c r="G754" t="s">
        <v>2199</v>
      </c>
      <c r="I754" t="s">
        <v>3851</v>
      </c>
      <c r="J754">
        <f>57-317-371-1288</f>
        <v>-1919</v>
      </c>
      <c r="K754" t="s">
        <v>3852</v>
      </c>
      <c r="N754" t="s">
        <v>3853</v>
      </c>
      <c r="Z754" t="s">
        <v>43</v>
      </c>
    </row>
    <row r="755" spans="1:26" x14ac:dyDescent="0.25">
      <c r="A755">
        <v>754</v>
      </c>
      <c r="B755" t="s">
        <v>30</v>
      </c>
      <c r="C755" t="s">
        <v>3854</v>
      </c>
      <c r="D755" t="s">
        <v>3855</v>
      </c>
      <c r="E755" t="s">
        <v>755</v>
      </c>
      <c r="F755" t="s">
        <v>3856</v>
      </c>
      <c r="G755" t="s">
        <v>3857</v>
      </c>
      <c r="I755" t="s">
        <v>3858</v>
      </c>
      <c r="J755">
        <f>57-60-1-745-4706</f>
        <v>-5455</v>
      </c>
      <c r="K755" t="s">
        <v>3859</v>
      </c>
      <c r="N755" t="s">
        <v>3860</v>
      </c>
      <c r="Z755" t="s">
        <v>43</v>
      </c>
    </row>
    <row r="756" spans="1:26" x14ac:dyDescent="0.25">
      <c r="A756">
        <v>755</v>
      </c>
      <c r="B756" t="s">
        <v>30</v>
      </c>
      <c r="C756" t="s">
        <v>3861</v>
      </c>
      <c r="D756" t="s">
        <v>2168</v>
      </c>
      <c r="E756" t="s">
        <v>800</v>
      </c>
      <c r="F756" t="s">
        <v>2169</v>
      </c>
      <c r="G756" t="s">
        <v>802</v>
      </c>
      <c r="I756" t="s">
        <v>3862</v>
      </c>
      <c r="J756">
        <f>57-60-1-767-2968</f>
        <v>-3739</v>
      </c>
      <c r="K756" t="s">
        <v>3863</v>
      </c>
      <c r="N756" t="s">
        <v>3864</v>
      </c>
      <c r="Z756" t="s">
        <v>43</v>
      </c>
    </row>
    <row r="757" spans="1:26" x14ac:dyDescent="0.25">
      <c r="A757">
        <v>756</v>
      </c>
      <c r="B757" t="s">
        <v>30</v>
      </c>
      <c r="C757" t="s">
        <v>3865</v>
      </c>
      <c r="D757" t="s">
        <v>46</v>
      </c>
      <c r="E757" t="s">
        <v>471</v>
      </c>
      <c r="F757" t="s">
        <v>820</v>
      </c>
      <c r="G757" t="s">
        <v>47</v>
      </c>
      <c r="I757" t="s">
        <v>3866</v>
      </c>
      <c r="K757" t="s">
        <v>3867</v>
      </c>
      <c r="N757" t="s">
        <v>3868</v>
      </c>
      <c r="Z757" t="s">
        <v>43</v>
      </c>
    </row>
    <row r="758" spans="1:26" x14ac:dyDescent="0.25">
      <c r="A758">
        <v>757</v>
      </c>
      <c r="B758" t="s">
        <v>30</v>
      </c>
      <c r="C758" t="s">
        <v>3869</v>
      </c>
      <c r="D758" t="s">
        <v>3664</v>
      </c>
      <c r="E758" t="s">
        <v>1269</v>
      </c>
      <c r="F758" t="s">
        <v>3665</v>
      </c>
      <c r="G758" t="s">
        <v>1271</v>
      </c>
      <c r="I758" t="s">
        <v>3870</v>
      </c>
      <c r="K758" t="s">
        <v>3871</v>
      </c>
      <c r="N758" t="s">
        <v>3872</v>
      </c>
      <c r="Z758" t="s">
        <v>43</v>
      </c>
    </row>
    <row r="759" spans="1:26" x14ac:dyDescent="0.25">
      <c r="A759">
        <v>758</v>
      </c>
      <c r="B759" t="s">
        <v>30</v>
      </c>
      <c r="C759" t="s">
        <v>3873</v>
      </c>
      <c r="D759" t="s">
        <v>3874</v>
      </c>
      <c r="E759" t="s">
        <v>471</v>
      </c>
      <c r="F759" t="s">
        <v>3875</v>
      </c>
      <c r="G759" t="s">
        <v>966</v>
      </c>
      <c r="I759" t="s">
        <v>3876</v>
      </c>
      <c r="K759" t="s">
        <v>3877</v>
      </c>
      <c r="N759" t="s">
        <v>3878</v>
      </c>
      <c r="Z759" t="s">
        <v>43</v>
      </c>
    </row>
    <row r="760" spans="1:26" x14ac:dyDescent="0.25">
      <c r="A760">
        <v>759</v>
      </c>
      <c r="B760" t="s">
        <v>30</v>
      </c>
      <c r="C760" t="s">
        <v>3879</v>
      </c>
      <c r="D760" t="s">
        <v>3880</v>
      </c>
      <c r="E760" t="s">
        <v>3416</v>
      </c>
      <c r="F760" t="s">
        <v>3881</v>
      </c>
      <c r="G760" t="s">
        <v>3418</v>
      </c>
      <c r="I760" t="s">
        <v>3882</v>
      </c>
      <c r="K760" t="s">
        <v>3883</v>
      </c>
      <c r="N760" t="s">
        <v>3884</v>
      </c>
      <c r="Z760" t="s">
        <v>43</v>
      </c>
    </row>
    <row r="761" spans="1:26" x14ac:dyDescent="0.25">
      <c r="A761">
        <v>760</v>
      </c>
      <c r="B761" t="s">
        <v>30</v>
      </c>
      <c r="C761" t="s">
        <v>3885</v>
      </c>
      <c r="D761" t="s">
        <v>3886</v>
      </c>
      <c r="E761" t="s">
        <v>56</v>
      </c>
      <c r="F761" t="s">
        <v>3887</v>
      </c>
      <c r="G761" t="s">
        <v>57</v>
      </c>
      <c r="I761" t="s">
        <v>3888</v>
      </c>
      <c r="J761">
        <f>57-311-677-9638</f>
        <v>-10569</v>
      </c>
      <c r="K761" t="s">
        <v>3889</v>
      </c>
      <c r="N761" t="s">
        <v>3890</v>
      </c>
      <c r="Z761" t="s">
        <v>43</v>
      </c>
    </row>
    <row r="762" spans="1:26" x14ac:dyDescent="0.25">
      <c r="A762">
        <v>761</v>
      </c>
      <c r="B762" t="s">
        <v>30</v>
      </c>
      <c r="C762" t="s">
        <v>3891</v>
      </c>
      <c r="D762" t="s">
        <v>772</v>
      </c>
      <c r="E762" t="s">
        <v>471</v>
      </c>
      <c r="F762" t="s">
        <v>773</v>
      </c>
      <c r="G762" t="s">
        <v>47</v>
      </c>
      <c r="I762" t="s">
        <v>3892</v>
      </c>
      <c r="K762" t="s">
        <v>3893</v>
      </c>
      <c r="N762" t="s">
        <v>3894</v>
      </c>
      <c r="Z762" t="s">
        <v>43</v>
      </c>
    </row>
    <row r="763" spans="1:26" x14ac:dyDescent="0.25">
      <c r="A763">
        <v>762</v>
      </c>
      <c r="B763" t="s">
        <v>30</v>
      </c>
      <c r="C763" t="s">
        <v>3895</v>
      </c>
      <c r="D763" t="s">
        <v>3896</v>
      </c>
      <c r="E763" t="s">
        <v>1402</v>
      </c>
      <c r="F763" t="s">
        <v>3897</v>
      </c>
      <c r="G763" t="s">
        <v>1404</v>
      </c>
      <c r="I763" t="s">
        <v>3898</v>
      </c>
      <c r="K763" t="s">
        <v>3899</v>
      </c>
      <c r="N763" t="s">
        <v>3900</v>
      </c>
      <c r="Z763" t="s">
        <v>43</v>
      </c>
    </row>
    <row r="764" spans="1:26" x14ac:dyDescent="0.25">
      <c r="A764">
        <v>763</v>
      </c>
      <c r="B764" t="s">
        <v>30</v>
      </c>
      <c r="C764" t="s">
        <v>3901</v>
      </c>
      <c r="D764" t="s">
        <v>1276</v>
      </c>
      <c r="E764" t="s">
        <v>471</v>
      </c>
      <c r="F764" t="s">
        <v>1277</v>
      </c>
      <c r="G764" t="s">
        <v>47</v>
      </c>
      <c r="I764" t="s">
        <v>3902</v>
      </c>
      <c r="K764" t="s">
        <v>3903</v>
      </c>
      <c r="N764" t="s">
        <v>3904</v>
      </c>
      <c r="Z764" t="s">
        <v>43</v>
      </c>
    </row>
    <row r="765" spans="1:26" x14ac:dyDescent="0.25">
      <c r="A765">
        <v>764</v>
      </c>
      <c r="B765" t="s">
        <v>30</v>
      </c>
      <c r="C765" t="s">
        <v>3905</v>
      </c>
      <c r="D765" t="s">
        <v>3906</v>
      </c>
      <c r="E765" t="s">
        <v>3907</v>
      </c>
      <c r="F765" t="s">
        <v>3908</v>
      </c>
      <c r="G765" t="s">
        <v>3909</v>
      </c>
      <c r="I765" t="s">
        <v>3910</v>
      </c>
      <c r="K765" t="s">
        <v>3911</v>
      </c>
      <c r="N765" t="s">
        <v>3912</v>
      </c>
      <c r="Z765" t="s">
        <v>43</v>
      </c>
    </row>
    <row r="766" spans="1:26" x14ac:dyDescent="0.25">
      <c r="A766">
        <v>765</v>
      </c>
      <c r="B766" t="s">
        <v>30</v>
      </c>
      <c r="C766" t="s">
        <v>3913</v>
      </c>
      <c r="D766" t="s">
        <v>3914</v>
      </c>
      <c r="E766" t="s">
        <v>2814</v>
      </c>
      <c r="F766" t="s">
        <v>3915</v>
      </c>
      <c r="G766" t="s">
        <v>2816</v>
      </c>
      <c r="I766" t="s">
        <v>3916</v>
      </c>
      <c r="J766">
        <f>57-60-1-756-4841</f>
        <v>-5601</v>
      </c>
      <c r="K766" t="s">
        <v>3917</v>
      </c>
      <c r="N766" t="s">
        <v>3918</v>
      </c>
      <c r="Z766" t="s">
        <v>43</v>
      </c>
    </row>
    <row r="767" spans="1:26" x14ac:dyDescent="0.25">
      <c r="A767">
        <v>766</v>
      </c>
      <c r="B767" t="s">
        <v>30</v>
      </c>
      <c r="C767" t="s">
        <v>3919</v>
      </c>
      <c r="D767" t="s">
        <v>72</v>
      </c>
      <c r="E767" t="s">
        <v>72</v>
      </c>
      <c r="F767" t="s">
        <v>73</v>
      </c>
      <c r="G767" t="s">
        <v>73</v>
      </c>
      <c r="I767" t="s">
        <v>3920</v>
      </c>
      <c r="K767" t="s">
        <v>3921</v>
      </c>
      <c r="N767" t="s">
        <v>3922</v>
      </c>
      <c r="Z767" t="s">
        <v>43</v>
      </c>
    </row>
    <row r="768" spans="1:26" x14ac:dyDescent="0.25">
      <c r="A768">
        <v>767</v>
      </c>
      <c r="B768" t="s">
        <v>30</v>
      </c>
      <c r="C768" t="s">
        <v>3923</v>
      </c>
      <c r="D768" t="s">
        <v>1260</v>
      </c>
      <c r="E768" t="s">
        <v>471</v>
      </c>
      <c r="F768" t="s">
        <v>2178</v>
      </c>
      <c r="G768" t="s">
        <v>47</v>
      </c>
      <c r="I768" t="s">
        <v>3924</v>
      </c>
      <c r="K768" t="s">
        <v>3925</v>
      </c>
      <c r="N768" t="s">
        <v>3926</v>
      </c>
      <c r="Z768" t="s">
        <v>43</v>
      </c>
    </row>
    <row r="769" spans="1:26" x14ac:dyDescent="0.25">
      <c r="A769">
        <v>768</v>
      </c>
      <c r="B769" t="s">
        <v>30</v>
      </c>
      <c r="C769" t="s">
        <v>3927</v>
      </c>
      <c r="D769" t="s">
        <v>3928</v>
      </c>
      <c r="E769" t="s">
        <v>1585</v>
      </c>
      <c r="F769" t="s">
        <v>3929</v>
      </c>
      <c r="G769" t="s">
        <v>1587</v>
      </c>
      <c r="I769" t="s">
        <v>3930</v>
      </c>
      <c r="J769">
        <f>57-350-672-2199</f>
        <v>-3164</v>
      </c>
      <c r="K769" t="s">
        <v>3931</v>
      </c>
      <c r="N769" t="s">
        <v>3932</v>
      </c>
      <c r="Z769" t="s">
        <v>43</v>
      </c>
    </row>
    <row r="770" spans="1:26" x14ac:dyDescent="0.25">
      <c r="A770">
        <v>769</v>
      </c>
      <c r="B770" t="s">
        <v>30</v>
      </c>
      <c r="C770" t="s">
        <v>3933</v>
      </c>
      <c r="D770" t="s">
        <v>72</v>
      </c>
      <c r="E770" t="s">
        <v>3321</v>
      </c>
      <c r="F770" t="s">
        <v>3934</v>
      </c>
      <c r="G770" t="s">
        <v>3323</v>
      </c>
      <c r="I770" t="s">
        <v>3935</v>
      </c>
      <c r="J770">
        <f>57-318-376-878</f>
        <v>-1515</v>
      </c>
      <c r="K770" t="s">
        <v>3936</v>
      </c>
      <c r="N770" t="s">
        <v>3937</v>
      </c>
      <c r="Z770" t="s">
        <v>43</v>
      </c>
    </row>
    <row r="771" spans="1:26" x14ac:dyDescent="0.25">
      <c r="A771">
        <v>770</v>
      </c>
      <c r="B771" t="s">
        <v>30</v>
      </c>
      <c r="C771" t="s">
        <v>3938</v>
      </c>
      <c r="D771" t="s">
        <v>3939</v>
      </c>
      <c r="E771" t="s">
        <v>3940</v>
      </c>
      <c r="F771" t="s">
        <v>3941</v>
      </c>
      <c r="G771" t="s">
        <v>3942</v>
      </c>
      <c r="I771" t="s">
        <v>3943</v>
      </c>
      <c r="K771" t="s">
        <v>3944</v>
      </c>
      <c r="N771" t="s">
        <v>3945</v>
      </c>
      <c r="Z771" t="s">
        <v>43</v>
      </c>
    </row>
    <row r="772" spans="1:26" x14ac:dyDescent="0.25">
      <c r="A772">
        <v>771</v>
      </c>
      <c r="B772" t="s">
        <v>30</v>
      </c>
      <c r="C772" t="s">
        <v>3946</v>
      </c>
      <c r="D772" t="s">
        <v>3947</v>
      </c>
      <c r="E772" t="s">
        <v>64</v>
      </c>
      <c r="F772" t="s">
        <v>3948</v>
      </c>
      <c r="G772" t="s">
        <v>65</v>
      </c>
      <c r="I772" t="s">
        <v>3949</v>
      </c>
      <c r="K772" t="s">
        <v>3950</v>
      </c>
      <c r="N772" t="s">
        <v>3951</v>
      </c>
      <c r="Z772" t="s">
        <v>43</v>
      </c>
    </row>
    <row r="773" spans="1:26" x14ac:dyDescent="0.25">
      <c r="A773">
        <v>772</v>
      </c>
      <c r="B773" t="s">
        <v>30</v>
      </c>
      <c r="C773" t="s">
        <v>3952</v>
      </c>
      <c r="D773" t="s">
        <v>46</v>
      </c>
      <c r="E773" t="s">
        <v>56</v>
      </c>
      <c r="F773" t="s">
        <v>820</v>
      </c>
      <c r="G773" t="s">
        <v>57</v>
      </c>
      <c r="I773" t="s">
        <v>3953</v>
      </c>
      <c r="J773">
        <f>57-319-320-6160</f>
        <v>-6742</v>
      </c>
      <c r="K773" t="s">
        <v>3954</v>
      </c>
      <c r="N773" t="s">
        <v>3955</v>
      </c>
      <c r="Z773" t="s">
        <v>43</v>
      </c>
    </row>
    <row r="774" spans="1:26" x14ac:dyDescent="0.25">
      <c r="A774">
        <v>773</v>
      </c>
      <c r="B774" t="s">
        <v>30</v>
      </c>
      <c r="C774" t="s">
        <v>3956</v>
      </c>
      <c r="D774" t="s">
        <v>3957</v>
      </c>
      <c r="E774" t="s">
        <v>385</v>
      </c>
      <c r="F774" t="s">
        <v>3958</v>
      </c>
      <c r="G774" t="s">
        <v>387</v>
      </c>
      <c r="I774" t="s">
        <v>3959</v>
      </c>
      <c r="K774" t="s">
        <v>3960</v>
      </c>
      <c r="N774" t="s">
        <v>3961</v>
      </c>
      <c r="Z774" t="s">
        <v>43</v>
      </c>
    </row>
    <row r="775" spans="1:26" x14ac:dyDescent="0.25">
      <c r="A775">
        <v>774</v>
      </c>
      <c r="B775" t="s">
        <v>30</v>
      </c>
      <c r="C775" t="s">
        <v>3962</v>
      </c>
      <c r="D775" t="s">
        <v>867</v>
      </c>
      <c r="E775" t="s">
        <v>471</v>
      </c>
      <c r="F775" t="s">
        <v>2660</v>
      </c>
      <c r="G775" t="s">
        <v>47</v>
      </c>
      <c r="I775" t="s">
        <v>3963</v>
      </c>
      <c r="J775">
        <f>57-60-1-629-944</f>
        <v>-1577</v>
      </c>
      <c r="K775" t="s">
        <v>3964</v>
      </c>
      <c r="N775" t="s">
        <v>3965</v>
      </c>
      <c r="Z775" t="s">
        <v>43</v>
      </c>
    </row>
    <row r="776" spans="1:26" x14ac:dyDescent="0.25">
      <c r="A776">
        <v>775</v>
      </c>
      <c r="B776" t="s">
        <v>30</v>
      </c>
      <c r="C776" t="s">
        <v>3966</v>
      </c>
      <c r="D776" t="s">
        <v>3967</v>
      </c>
      <c r="E776" t="s">
        <v>56</v>
      </c>
      <c r="F776" t="s">
        <v>3968</v>
      </c>
      <c r="G776" t="s">
        <v>57</v>
      </c>
      <c r="I776" t="s">
        <v>3969</v>
      </c>
      <c r="J776">
        <f>57-322-219-1907</f>
        <v>-2391</v>
      </c>
      <c r="K776" t="s">
        <v>3970</v>
      </c>
      <c r="N776" t="s">
        <v>3971</v>
      </c>
      <c r="Z776" t="s">
        <v>43</v>
      </c>
    </row>
    <row r="777" spans="1:26" x14ac:dyDescent="0.25">
      <c r="A777">
        <v>776</v>
      </c>
      <c r="B777" t="s">
        <v>30</v>
      </c>
      <c r="C777" t="s">
        <v>3972</v>
      </c>
      <c r="D777" t="s">
        <v>3973</v>
      </c>
      <c r="E777" t="s">
        <v>56</v>
      </c>
      <c r="F777" t="s">
        <v>3974</v>
      </c>
      <c r="G777" t="s">
        <v>57</v>
      </c>
      <c r="I777" t="s">
        <v>3975</v>
      </c>
      <c r="K777" t="s">
        <v>3976</v>
      </c>
      <c r="N777" t="s">
        <v>3977</v>
      </c>
      <c r="Z777" t="s">
        <v>43</v>
      </c>
    </row>
    <row r="778" spans="1:26" x14ac:dyDescent="0.25">
      <c r="A778">
        <v>777</v>
      </c>
      <c r="B778" t="s">
        <v>30</v>
      </c>
      <c r="C778" t="s">
        <v>3978</v>
      </c>
      <c r="D778" t="s">
        <v>72</v>
      </c>
      <c r="E778" t="s">
        <v>72</v>
      </c>
      <c r="F778" t="s">
        <v>73</v>
      </c>
      <c r="G778" t="s">
        <v>73</v>
      </c>
      <c r="I778" t="s">
        <v>3979</v>
      </c>
      <c r="J778">
        <f>57-312-834-1894</f>
        <v>-2983</v>
      </c>
      <c r="K778" t="s">
        <v>3980</v>
      </c>
      <c r="N778" t="s">
        <v>3981</v>
      </c>
      <c r="Z778" t="s">
        <v>43</v>
      </c>
    </row>
    <row r="779" spans="1:26" x14ac:dyDescent="0.25">
      <c r="A779">
        <v>778</v>
      </c>
      <c r="B779" t="s">
        <v>30</v>
      </c>
      <c r="C779" t="s">
        <v>3982</v>
      </c>
      <c r="D779" t="s">
        <v>3983</v>
      </c>
      <c r="E779" t="s">
        <v>3984</v>
      </c>
      <c r="F779" t="s">
        <v>3985</v>
      </c>
      <c r="G779" t="s">
        <v>3986</v>
      </c>
      <c r="I779" t="s">
        <v>3987</v>
      </c>
      <c r="K779" t="s">
        <v>3988</v>
      </c>
      <c r="N779" t="s">
        <v>3989</v>
      </c>
      <c r="Z779" t="s">
        <v>43</v>
      </c>
    </row>
    <row r="780" spans="1:26" x14ac:dyDescent="0.25">
      <c r="A780">
        <v>779</v>
      </c>
      <c r="B780" t="s">
        <v>30</v>
      </c>
      <c r="C780" t="s">
        <v>3990</v>
      </c>
      <c r="D780" t="s">
        <v>813</v>
      </c>
      <c r="E780" t="s">
        <v>1658</v>
      </c>
      <c r="F780" t="s">
        <v>3991</v>
      </c>
      <c r="G780" t="s">
        <v>1660</v>
      </c>
      <c r="I780" t="s">
        <v>3992</v>
      </c>
      <c r="J780">
        <f>57-310-210-8077</f>
        <v>-8540</v>
      </c>
      <c r="K780" t="s">
        <v>3993</v>
      </c>
      <c r="N780" t="s">
        <v>3994</v>
      </c>
      <c r="Z780" t="s">
        <v>43</v>
      </c>
    </row>
    <row r="781" spans="1:26" x14ac:dyDescent="0.25">
      <c r="A781">
        <v>780</v>
      </c>
      <c r="B781" t="s">
        <v>30</v>
      </c>
      <c r="C781" t="s">
        <v>3995</v>
      </c>
      <c r="D781" t="s">
        <v>2394</v>
      </c>
      <c r="E781" t="s">
        <v>64</v>
      </c>
      <c r="F781" t="s">
        <v>3996</v>
      </c>
      <c r="G781" t="s">
        <v>65</v>
      </c>
      <c r="I781" t="s">
        <v>3997</v>
      </c>
      <c r="K781" t="s">
        <v>3998</v>
      </c>
      <c r="N781" t="s">
        <v>3999</v>
      </c>
      <c r="Z781" t="s">
        <v>43</v>
      </c>
    </row>
    <row r="782" spans="1:26" x14ac:dyDescent="0.25">
      <c r="A782">
        <v>781</v>
      </c>
      <c r="B782" t="s">
        <v>30</v>
      </c>
      <c r="C782" t="s">
        <v>4000</v>
      </c>
      <c r="D782" t="s">
        <v>4001</v>
      </c>
      <c r="E782" t="s">
        <v>385</v>
      </c>
      <c r="F782" t="s">
        <v>4002</v>
      </c>
      <c r="G782" t="s">
        <v>387</v>
      </c>
      <c r="I782" t="s">
        <v>4003</v>
      </c>
      <c r="J782">
        <f>57-304-683-1264</f>
        <v>-2194</v>
      </c>
      <c r="K782" t="s">
        <v>4004</v>
      </c>
      <c r="N782" t="s">
        <v>4005</v>
      </c>
      <c r="Z782" t="s">
        <v>43</v>
      </c>
    </row>
    <row r="783" spans="1:26" x14ac:dyDescent="0.25">
      <c r="A783">
        <v>782</v>
      </c>
      <c r="B783" t="s">
        <v>30</v>
      </c>
      <c r="C783" t="s">
        <v>4006</v>
      </c>
      <c r="D783" t="s">
        <v>3957</v>
      </c>
      <c r="E783" t="s">
        <v>72</v>
      </c>
      <c r="F783" t="s">
        <v>4007</v>
      </c>
      <c r="G783" t="s">
        <v>73</v>
      </c>
      <c r="I783" t="s">
        <v>4008</v>
      </c>
      <c r="K783" t="s">
        <v>4009</v>
      </c>
      <c r="N783" t="s">
        <v>4010</v>
      </c>
      <c r="Z783" t="s">
        <v>43</v>
      </c>
    </row>
    <row r="784" spans="1:26" x14ac:dyDescent="0.25">
      <c r="A784">
        <v>783</v>
      </c>
      <c r="B784" t="s">
        <v>30</v>
      </c>
      <c r="C784" t="s">
        <v>4011</v>
      </c>
      <c r="D784" t="s">
        <v>909</v>
      </c>
      <c r="E784" t="s">
        <v>471</v>
      </c>
      <c r="F784" t="s">
        <v>910</v>
      </c>
      <c r="G784" t="s">
        <v>47</v>
      </c>
      <c r="I784" t="s">
        <v>4012</v>
      </c>
      <c r="J784">
        <f>57-312-454-2898</f>
        <v>-3607</v>
      </c>
      <c r="K784" t="s">
        <v>4013</v>
      </c>
      <c r="N784" t="s">
        <v>4014</v>
      </c>
      <c r="Z784" t="s">
        <v>43</v>
      </c>
    </row>
    <row r="785" spans="1:26" x14ac:dyDescent="0.25">
      <c r="A785">
        <v>784</v>
      </c>
      <c r="B785" t="s">
        <v>30</v>
      </c>
      <c r="C785" t="s">
        <v>4015</v>
      </c>
      <c r="D785" t="s">
        <v>4016</v>
      </c>
      <c r="E785" t="s">
        <v>72</v>
      </c>
      <c r="F785" t="s">
        <v>4017</v>
      </c>
      <c r="G785" t="s">
        <v>73</v>
      </c>
      <c r="I785" t="s">
        <v>4018</v>
      </c>
      <c r="J785">
        <f>57-321-455-9823</f>
        <v>-10542</v>
      </c>
      <c r="K785" t="s">
        <v>4019</v>
      </c>
      <c r="N785" t="s">
        <v>4020</v>
      </c>
      <c r="Z785" t="s">
        <v>43</v>
      </c>
    </row>
    <row r="786" spans="1:26" x14ac:dyDescent="0.25">
      <c r="A786">
        <v>785</v>
      </c>
      <c r="B786" t="s">
        <v>30</v>
      </c>
      <c r="C786" t="s">
        <v>4021</v>
      </c>
      <c r="D786" t="s">
        <v>1816</v>
      </c>
      <c r="E786" t="s">
        <v>64</v>
      </c>
      <c r="F786" t="s">
        <v>1857</v>
      </c>
      <c r="G786" t="s">
        <v>65</v>
      </c>
      <c r="I786" t="s">
        <v>4022</v>
      </c>
      <c r="K786" t="s">
        <v>4023</v>
      </c>
      <c r="N786" t="s">
        <v>4024</v>
      </c>
      <c r="Z786" t="s">
        <v>43</v>
      </c>
    </row>
    <row r="787" spans="1:26" x14ac:dyDescent="0.25">
      <c r="A787">
        <v>786</v>
      </c>
      <c r="B787" t="s">
        <v>30</v>
      </c>
      <c r="C787" t="s">
        <v>4025</v>
      </c>
      <c r="D787" t="s">
        <v>4026</v>
      </c>
      <c r="E787" t="s">
        <v>800</v>
      </c>
      <c r="F787" t="s">
        <v>4027</v>
      </c>
      <c r="G787" t="s">
        <v>802</v>
      </c>
      <c r="I787" t="s">
        <v>4028</v>
      </c>
      <c r="K787" t="s">
        <v>4029</v>
      </c>
      <c r="N787" t="s">
        <v>4030</v>
      </c>
      <c r="Z787" t="s">
        <v>43</v>
      </c>
    </row>
    <row r="788" spans="1:26" x14ac:dyDescent="0.25">
      <c r="A788">
        <v>787</v>
      </c>
      <c r="B788" t="s">
        <v>30</v>
      </c>
      <c r="C788" t="s">
        <v>4031</v>
      </c>
      <c r="D788" t="s">
        <v>384</v>
      </c>
      <c r="E788" t="s">
        <v>471</v>
      </c>
      <c r="F788" t="s">
        <v>2439</v>
      </c>
      <c r="G788" t="s">
        <v>47</v>
      </c>
      <c r="I788" t="s">
        <v>4032</v>
      </c>
      <c r="J788">
        <f>57-312-591-8583</f>
        <v>-9429</v>
      </c>
      <c r="K788" t="s">
        <v>4033</v>
      </c>
      <c r="N788" t="s">
        <v>4034</v>
      </c>
      <c r="Z788" t="s">
        <v>43</v>
      </c>
    </row>
    <row r="789" spans="1:26" x14ac:dyDescent="0.25">
      <c r="A789">
        <v>788</v>
      </c>
      <c r="B789" t="s">
        <v>30</v>
      </c>
      <c r="C789" t="s">
        <v>4035</v>
      </c>
      <c r="D789" t="s">
        <v>4036</v>
      </c>
      <c r="E789" t="s">
        <v>471</v>
      </c>
      <c r="F789" t="s">
        <v>4037</v>
      </c>
      <c r="G789" t="s">
        <v>47</v>
      </c>
      <c r="I789" t="s">
        <v>4038</v>
      </c>
      <c r="J789">
        <f>57-300-405-1703</f>
        <v>-2351</v>
      </c>
      <c r="K789" t="s">
        <v>4039</v>
      </c>
      <c r="N789" t="s">
        <v>4040</v>
      </c>
      <c r="Z789" t="s">
        <v>43</v>
      </c>
    </row>
    <row r="790" spans="1:26" x14ac:dyDescent="0.25">
      <c r="A790">
        <v>789</v>
      </c>
      <c r="B790" t="s">
        <v>30</v>
      </c>
      <c r="C790" t="s">
        <v>4041</v>
      </c>
      <c r="D790" t="s">
        <v>4042</v>
      </c>
      <c r="E790" t="s">
        <v>4043</v>
      </c>
      <c r="F790" t="s">
        <v>4044</v>
      </c>
      <c r="G790" t="s">
        <v>4045</v>
      </c>
      <c r="I790" t="s">
        <v>4046</v>
      </c>
      <c r="J790">
        <f>57-304-338-473</f>
        <v>-1058</v>
      </c>
      <c r="K790" t="s">
        <v>4047</v>
      </c>
      <c r="N790" t="s">
        <v>4048</v>
      </c>
      <c r="Z790" t="s">
        <v>43</v>
      </c>
    </row>
    <row r="791" spans="1:26" x14ac:dyDescent="0.25">
      <c r="A791">
        <v>790</v>
      </c>
      <c r="B791" t="s">
        <v>30</v>
      </c>
      <c r="C791" t="s">
        <v>4049</v>
      </c>
      <c r="D791" t="s">
        <v>1260</v>
      </c>
      <c r="E791" t="s">
        <v>471</v>
      </c>
      <c r="F791" t="s">
        <v>1653</v>
      </c>
      <c r="G791" t="s">
        <v>966</v>
      </c>
      <c r="I791" t="s">
        <v>4050</v>
      </c>
      <c r="J791">
        <f>57-301-264-142</f>
        <v>-650</v>
      </c>
      <c r="K791" t="s">
        <v>4051</v>
      </c>
      <c r="N791" t="s">
        <v>4052</v>
      </c>
      <c r="Z791" t="s">
        <v>43</v>
      </c>
    </row>
    <row r="792" spans="1:26" x14ac:dyDescent="0.25">
      <c r="A792">
        <v>791</v>
      </c>
      <c r="B792" t="s">
        <v>30</v>
      </c>
      <c r="C792" t="s">
        <v>4053</v>
      </c>
      <c r="D792" t="s">
        <v>1713</v>
      </c>
      <c r="E792" t="s">
        <v>64</v>
      </c>
      <c r="F792" t="s">
        <v>3079</v>
      </c>
      <c r="G792" t="s">
        <v>65</v>
      </c>
      <c r="I792" t="s">
        <v>4054</v>
      </c>
      <c r="J792">
        <f>57-60-1-404-9632</f>
        <v>-10040</v>
      </c>
      <c r="K792" t="s">
        <v>4055</v>
      </c>
      <c r="N792" t="s">
        <v>4056</v>
      </c>
      <c r="Z792" t="s">
        <v>43</v>
      </c>
    </row>
    <row r="793" spans="1:26" x14ac:dyDescent="0.25">
      <c r="A793">
        <v>792</v>
      </c>
      <c r="B793" t="s">
        <v>30</v>
      </c>
      <c r="C793" t="s">
        <v>4057</v>
      </c>
      <c r="D793" t="s">
        <v>2596</v>
      </c>
      <c r="E793" t="s">
        <v>471</v>
      </c>
      <c r="F793" t="s">
        <v>2597</v>
      </c>
      <c r="G793" t="s">
        <v>47</v>
      </c>
      <c r="I793" t="s">
        <v>4058</v>
      </c>
      <c r="K793" t="s">
        <v>4059</v>
      </c>
      <c r="N793" t="s">
        <v>4060</v>
      </c>
      <c r="Z793" t="s">
        <v>43</v>
      </c>
    </row>
    <row r="794" spans="1:26" x14ac:dyDescent="0.25">
      <c r="A794">
        <v>793</v>
      </c>
      <c r="B794" t="s">
        <v>30</v>
      </c>
      <c r="C794" t="s">
        <v>4061</v>
      </c>
      <c r="D794" t="s">
        <v>64</v>
      </c>
      <c r="E794" t="s">
        <v>64</v>
      </c>
      <c r="F794" t="s">
        <v>65</v>
      </c>
      <c r="G794" t="s">
        <v>65</v>
      </c>
      <c r="I794" t="s">
        <v>4062</v>
      </c>
      <c r="K794" t="s">
        <v>4063</v>
      </c>
      <c r="N794" t="s">
        <v>4064</v>
      </c>
      <c r="Z794" t="s">
        <v>43</v>
      </c>
    </row>
    <row r="795" spans="1:26" x14ac:dyDescent="0.25">
      <c r="A795">
        <v>794</v>
      </c>
      <c r="B795" t="s">
        <v>30</v>
      </c>
      <c r="C795" t="s">
        <v>4065</v>
      </c>
      <c r="D795" t="s">
        <v>384</v>
      </c>
      <c r="E795" t="s">
        <v>471</v>
      </c>
      <c r="F795" t="s">
        <v>2439</v>
      </c>
      <c r="G795" t="s">
        <v>47</v>
      </c>
      <c r="I795" t="s">
        <v>4066</v>
      </c>
      <c r="J795">
        <f>57-311-562-3576</f>
        <v>-4392</v>
      </c>
      <c r="K795" t="s">
        <v>4067</v>
      </c>
      <c r="N795" t="s">
        <v>4068</v>
      </c>
      <c r="Z795" t="s">
        <v>43</v>
      </c>
    </row>
    <row r="796" spans="1:26" x14ac:dyDescent="0.25">
      <c r="A796">
        <v>795</v>
      </c>
      <c r="B796" t="s">
        <v>30</v>
      </c>
      <c r="C796" t="s">
        <v>4069</v>
      </c>
      <c r="D796" t="s">
        <v>772</v>
      </c>
      <c r="E796" t="s">
        <v>471</v>
      </c>
      <c r="F796" t="s">
        <v>1083</v>
      </c>
      <c r="G796" t="s">
        <v>47</v>
      </c>
      <c r="I796" t="s">
        <v>4070</v>
      </c>
      <c r="J796">
        <f>57-317-371-2608</f>
        <v>-3239</v>
      </c>
      <c r="K796" t="s">
        <v>4071</v>
      </c>
      <c r="N796" t="s">
        <v>4072</v>
      </c>
      <c r="Z796" t="s">
        <v>43</v>
      </c>
    </row>
    <row r="797" spans="1:26" x14ac:dyDescent="0.25">
      <c r="A797">
        <v>796</v>
      </c>
      <c r="B797" t="s">
        <v>30</v>
      </c>
      <c r="C797" t="s">
        <v>4073</v>
      </c>
      <c r="D797" t="s">
        <v>4074</v>
      </c>
      <c r="E797" t="s">
        <v>2916</v>
      </c>
      <c r="F797" t="s">
        <v>4075</v>
      </c>
      <c r="G797" t="s">
        <v>2918</v>
      </c>
      <c r="I797" t="s">
        <v>4076</v>
      </c>
      <c r="K797" t="s">
        <v>4077</v>
      </c>
      <c r="N797" t="s">
        <v>4078</v>
      </c>
      <c r="Z797" t="s">
        <v>43</v>
      </c>
    </row>
    <row r="798" spans="1:26" x14ac:dyDescent="0.25">
      <c r="A798">
        <v>797</v>
      </c>
      <c r="B798" t="s">
        <v>30</v>
      </c>
      <c r="C798" t="s">
        <v>4079</v>
      </c>
      <c r="D798" t="s">
        <v>4080</v>
      </c>
      <c r="E798" t="s">
        <v>755</v>
      </c>
      <c r="F798" t="s">
        <v>4081</v>
      </c>
      <c r="G798" t="s">
        <v>757</v>
      </c>
      <c r="I798" t="s">
        <v>4082</v>
      </c>
      <c r="J798">
        <f>57-60-1-311-3250</f>
        <v>-3565</v>
      </c>
      <c r="K798" t="s">
        <v>4083</v>
      </c>
      <c r="N798" t="s">
        <v>4084</v>
      </c>
      <c r="Z798" t="s">
        <v>43</v>
      </c>
    </row>
    <row r="799" spans="1:26" x14ac:dyDescent="0.25">
      <c r="A799">
        <v>798</v>
      </c>
      <c r="B799" t="s">
        <v>30</v>
      </c>
      <c r="C799" t="s">
        <v>4085</v>
      </c>
      <c r="D799" t="s">
        <v>46</v>
      </c>
      <c r="E799" t="s">
        <v>471</v>
      </c>
      <c r="F799" t="s">
        <v>820</v>
      </c>
      <c r="G799" t="s">
        <v>47</v>
      </c>
      <c r="I799" t="s">
        <v>4086</v>
      </c>
      <c r="K799" t="s">
        <v>4087</v>
      </c>
      <c r="N799" t="s">
        <v>4088</v>
      </c>
      <c r="Z799" t="s">
        <v>43</v>
      </c>
    </row>
    <row r="800" spans="1:26" x14ac:dyDescent="0.25">
      <c r="A800">
        <v>799</v>
      </c>
      <c r="B800" t="s">
        <v>30</v>
      </c>
      <c r="C800" t="s">
        <v>4089</v>
      </c>
      <c r="D800" t="s">
        <v>4090</v>
      </c>
      <c r="E800" t="s">
        <v>1850</v>
      </c>
      <c r="F800" t="s">
        <v>4091</v>
      </c>
      <c r="G800" t="s">
        <v>1852</v>
      </c>
      <c r="I800" t="s">
        <v>4092</v>
      </c>
      <c r="K800" t="s">
        <v>4093</v>
      </c>
      <c r="N800" t="s">
        <v>4094</v>
      </c>
      <c r="Z800" t="s">
        <v>43</v>
      </c>
    </row>
    <row r="801" spans="1:26" x14ac:dyDescent="0.25">
      <c r="A801">
        <v>800</v>
      </c>
      <c r="B801" t="s">
        <v>30</v>
      </c>
      <c r="C801" t="s">
        <v>4095</v>
      </c>
      <c r="D801" t="s">
        <v>4096</v>
      </c>
      <c r="E801" t="s">
        <v>2117</v>
      </c>
      <c r="F801" t="s">
        <v>4097</v>
      </c>
      <c r="G801" t="s">
        <v>2119</v>
      </c>
      <c r="I801" t="s">
        <v>4098</v>
      </c>
      <c r="J801">
        <f>57-60-1-298-9510</f>
        <v>-9812</v>
      </c>
      <c r="K801" t="s">
        <v>4099</v>
      </c>
      <c r="N801" t="s">
        <v>4100</v>
      </c>
      <c r="Z801" t="s">
        <v>43</v>
      </c>
    </row>
    <row r="802" spans="1:26" x14ac:dyDescent="0.25">
      <c r="A802">
        <v>801</v>
      </c>
      <c r="B802" t="s">
        <v>30</v>
      </c>
      <c r="C802" t="s">
        <v>4101</v>
      </c>
      <c r="D802" t="s">
        <v>4102</v>
      </c>
      <c r="E802" t="s">
        <v>64</v>
      </c>
      <c r="F802" t="s">
        <v>4103</v>
      </c>
      <c r="G802" t="s">
        <v>65</v>
      </c>
      <c r="I802" t="s">
        <v>4104</v>
      </c>
      <c r="J802">
        <f>57-317-384-1830</f>
        <v>-2474</v>
      </c>
      <c r="K802" t="s">
        <v>4105</v>
      </c>
      <c r="N802" t="s">
        <v>4106</v>
      </c>
      <c r="Z802" t="s">
        <v>43</v>
      </c>
    </row>
    <row r="803" spans="1:26" x14ac:dyDescent="0.25">
      <c r="A803">
        <v>802</v>
      </c>
      <c r="B803" t="s">
        <v>30</v>
      </c>
      <c r="C803" t="s">
        <v>4107</v>
      </c>
      <c r="D803" t="s">
        <v>4108</v>
      </c>
      <c r="E803" t="s">
        <v>64</v>
      </c>
      <c r="F803" t="s">
        <v>4109</v>
      </c>
      <c r="G803" t="s">
        <v>65</v>
      </c>
      <c r="I803" t="s">
        <v>4110</v>
      </c>
      <c r="J803">
        <f>57-60-1-347-201</f>
        <v>-552</v>
      </c>
      <c r="K803" t="s">
        <v>4111</v>
      </c>
      <c r="N803" t="s">
        <v>4112</v>
      </c>
      <c r="Z803" t="s">
        <v>43</v>
      </c>
    </row>
    <row r="804" spans="1:26" x14ac:dyDescent="0.25">
      <c r="A804">
        <v>803</v>
      </c>
      <c r="B804" t="s">
        <v>30</v>
      </c>
      <c r="C804" t="s">
        <v>4113</v>
      </c>
      <c r="D804" t="s">
        <v>4114</v>
      </c>
      <c r="E804" t="s">
        <v>56</v>
      </c>
      <c r="F804" t="s">
        <v>4115</v>
      </c>
      <c r="G804" t="s">
        <v>57</v>
      </c>
      <c r="I804" t="s">
        <v>4116</v>
      </c>
      <c r="J804">
        <f>57-317-253-9378</f>
        <v>-9891</v>
      </c>
      <c r="K804" t="s">
        <v>4117</v>
      </c>
      <c r="N804" t="s">
        <v>4118</v>
      </c>
      <c r="Z804" t="s">
        <v>43</v>
      </c>
    </row>
    <row r="805" spans="1:26" x14ac:dyDescent="0.25">
      <c r="A805">
        <v>804</v>
      </c>
      <c r="B805" t="s">
        <v>30</v>
      </c>
      <c r="C805" t="s">
        <v>4119</v>
      </c>
      <c r="D805" t="s">
        <v>2058</v>
      </c>
      <c r="E805" t="s">
        <v>56</v>
      </c>
      <c r="F805" t="s">
        <v>2059</v>
      </c>
      <c r="G805" t="s">
        <v>57</v>
      </c>
      <c r="I805" t="s">
        <v>4120</v>
      </c>
      <c r="K805" t="s">
        <v>4121</v>
      </c>
      <c r="N805" t="s">
        <v>4122</v>
      </c>
      <c r="Z805" t="s">
        <v>43</v>
      </c>
    </row>
    <row r="806" spans="1:26" x14ac:dyDescent="0.25">
      <c r="A806">
        <v>805</v>
      </c>
      <c r="B806" t="s">
        <v>30</v>
      </c>
      <c r="C806" t="s">
        <v>4123</v>
      </c>
      <c r="D806" t="s">
        <v>2104</v>
      </c>
      <c r="E806" t="s">
        <v>2105</v>
      </c>
      <c r="F806" t="s">
        <v>4124</v>
      </c>
      <c r="G806" t="s">
        <v>2107</v>
      </c>
      <c r="I806" t="s">
        <v>4125</v>
      </c>
      <c r="J806">
        <f>57-315-239-6868</f>
        <v>-7365</v>
      </c>
      <c r="K806" t="s">
        <v>4126</v>
      </c>
      <c r="N806" t="s">
        <v>4127</v>
      </c>
      <c r="Z806" t="s">
        <v>43</v>
      </c>
    </row>
    <row r="807" spans="1:26" x14ac:dyDescent="0.25">
      <c r="A807">
        <v>806</v>
      </c>
      <c r="B807" t="s">
        <v>30</v>
      </c>
      <c r="C807" t="s">
        <v>4128</v>
      </c>
      <c r="D807" t="s">
        <v>4129</v>
      </c>
      <c r="E807" t="s">
        <v>72</v>
      </c>
      <c r="F807" t="s">
        <v>4130</v>
      </c>
      <c r="G807" t="s">
        <v>73</v>
      </c>
      <c r="I807" t="s">
        <v>4131</v>
      </c>
      <c r="K807" t="s">
        <v>4132</v>
      </c>
      <c r="N807" t="s">
        <v>4133</v>
      </c>
      <c r="Z807" t="s">
        <v>43</v>
      </c>
    </row>
    <row r="808" spans="1:26" x14ac:dyDescent="0.25">
      <c r="A808">
        <v>807</v>
      </c>
      <c r="B808" t="s">
        <v>30</v>
      </c>
      <c r="C808" t="s">
        <v>4134</v>
      </c>
      <c r="D808" t="s">
        <v>4135</v>
      </c>
      <c r="E808" t="s">
        <v>471</v>
      </c>
      <c r="F808" t="s">
        <v>4136</v>
      </c>
      <c r="G808" t="s">
        <v>47</v>
      </c>
      <c r="I808" t="s">
        <v>4137</v>
      </c>
      <c r="K808" t="s">
        <v>4138</v>
      </c>
      <c r="N808" t="s">
        <v>4139</v>
      </c>
      <c r="Z808" t="s">
        <v>43</v>
      </c>
    </row>
    <row r="809" spans="1:26" x14ac:dyDescent="0.25">
      <c r="A809">
        <v>808</v>
      </c>
      <c r="B809" t="s">
        <v>30</v>
      </c>
      <c r="C809" t="s">
        <v>4140</v>
      </c>
      <c r="D809" t="s">
        <v>4141</v>
      </c>
      <c r="E809" t="s">
        <v>4142</v>
      </c>
      <c r="F809" t="s">
        <v>4143</v>
      </c>
      <c r="G809" t="s">
        <v>4144</v>
      </c>
      <c r="I809" t="s">
        <v>4145</v>
      </c>
      <c r="K809" t="s">
        <v>4146</v>
      </c>
      <c r="N809" t="s">
        <v>4147</v>
      </c>
      <c r="Z809" t="s">
        <v>43</v>
      </c>
    </row>
    <row r="810" spans="1:26" x14ac:dyDescent="0.25">
      <c r="A810">
        <v>809</v>
      </c>
      <c r="B810" t="s">
        <v>30</v>
      </c>
      <c r="C810" t="s">
        <v>4148</v>
      </c>
      <c r="D810" t="s">
        <v>2098</v>
      </c>
      <c r="E810" t="s">
        <v>1269</v>
      </c>
      <c r="F810" t="s">
        <v>2099</v>
      </c>
      <c r="G810" t="s">
        <v>1271</v>
      </c>
      <c r="I810" t="s">
        <v>4149</v>
      </c>
      <c r="J810">
        <f>57-60-1-215-9020</f>
        <v>-9239</v>
      </c>
      <c r="K810" t="s">
        <v>3607</v>
      </c>
      <c r="N810" t="s">
        <v>3608</v>
      </c>
      <c r="Z810" t="s">
        <v>43</v>
      </c>
    </row>
    <row r="811" spans="1:26" x14ac:dyDescent="0.25">
      <c r="A811">
        <v>810</v>
      </c>
      <c r="B811" t="s">
        <v>30</v>
      </c>
      <c r="C811" t="s">
        <v>4150</v>
      </c>
      <c r="D811" t="s">
        <v>3670</v>
      </c>
      <c r="E811" t="s">
        <v>755</v>
      </c>
      <c r="F811" t="s">
        <v>3671</v>
      </c>
      <c r="G811" t="s">
        <v>757</v>
      </c>
      <c r="I811" t="s">
        <v>4151</v>
      </c>
      <c r="K811" t="s">
        <v>4152</v>
      </c>
      <c r="N811" t="s">
        <v>4153</v>
      </c>
      <c r="Z811" t="s">
        <v>43</v>
      </c>
    </row>
    <row r="812" spans="1:26" x14ac:dyDescent="0.25">
      <c r="A812">
        <v>811</v>
      </c>
      <c r="B812" t="s">
        <v>30</v>
      </c>
      <c r="C812" t="s">
        <v>4154</v>
      </c>
      <c r="D812" t="s">
        <v>754</v>
      </c>
      <c r="E812" t="s">
        <v>755</v>
      </c>
      <c r="F812" t="s">
        <v>1636</v>
      </c>
      <c r="G812" t="s">
        <v>757</v>
      </c>
      <c r="I812" t="s">
        <v>4155</v>
      </c>
      <c r="J812">
        <f>57-60-1-311-4029</f>
        <v>-4344</v>
      </c>
      <c r="K812" t="s">
        <v>4156</v>
      </c>
      <c r="N812" t="s">
        <v>4157</v>
      </c>
      <c r="Z812" t="s">
        <v>43</v>
      </c>
    </row>
    <row r="813" spans="1:26" x14ac:dyDescent="0.25">
      <c r="A813">
        <v>812</v>
      </c>
      <c r="B813" t="s">
        <v>30</v>
      </c>
      <c r="C813" t="s">
        <v>4158</v>
      </c>
      <c r="D813" t="s">
        <v>4159</v>
      </c>
      <c r="E813" t="s">
        <v>72</v>
      </c>
      <c r="F813" t="s">
        <v>4160</v>
      </c>
      <c r="G813" t="s">
        <v>73</v>
      </c>
      <c r="I813" t="s">
        <v>4161</v>
      </c>
      <c r="J813">
        <f>57-300-319-6272</f>
        <v>-6834</v>
      </c>
      <c r="K813" t="s">
        <v>4162</v>
      </c>
      <c r="N813" t="s">
        <v>4163</v>
      </c>
      <c r="Z813" t="s">
        <v>43</v>
      </c>
    </row>
    <row r="814" spans="1:26" x14ac:dyDescent="0.25">
      <c r="A814">
        <v>813</v>
      </c>
      <c r="B814" t="s">
        <v>30</v>
      </c>
      <c r="C814" t="s">
        <v>4164</v>
      </c>
      <c r="D814" t="s">
        <v>4165</v>
      </c>
      <c r="E814" t="s">
        <v>2007</v>
      </c>
      <c r="F814" t="s">
        <v>4166</v>
      </c>
      <c r="G814" t="s">
        <v>2009</v>
      </c>
      <c r="I814" t="s">
        <v>4167</v>
      </c>
      <c r="J814">
        <f>57-60-1-757-8069</f>
        <v>-8830</v>
      </c>
      <c r="K814" t="s">
        <v>4168</v>
      </c>
      <c r="N814" t="s">
        <v>4169</v>
      </c>
      <c r="Z814" t="s">
        <v>43</v>
      </c>
    </row>
    <row r="815" spans="1:26" x14ac:dyDescent="0.25">
      <c r="A815">
        <v>814</v>
      </c>
      <c r="B815" t="s">
        <v>30</v>
      </c>
      <c r="C815" t="s">
        <v>4170</v>
      </c>
      <c r="D815" t="s">
        <v>64</v>
      </c>
      <c r="E815" t="s">
        <v>64</v>
      </c>
      <c r="F815" t="s">
        <v>65</v>
      </c>
      <c r="G815" t="s">
        <v>65</v>
      </c>
      <c r="I815" t="s">
        <v>4171</v>
      </c>
      <c r="J815">
        <f>57-60-1-691-1263</f>
        <v>-1958</v>
      </c>
      <c r="K815" t="s">
        <v>4172</v>
      </c>
      <c r="N815" t="s">
        <v>4173</v>
      </c>
      <c r="Z815" t="s">
        <v>43</v>
      </c>
    </row>
    <row r="816" spans="1:26" x14ac:dyDescent="0.25">
      <c r="A816">
        <v>815</v>
      </c>
      <c r="B816" t="s">
        <v>30</v>
      </c>
      <c r="C816" t="s">
        <v>4174</v>
      </c>
      <c r="D816" t="s">
        <v>4175</v>
      </c>
      <c r="E816" t="s">
        <v>4176</v>
      </c>
      <c r="F816" t="s">
        <v>4177</v>
      </c>
      <c r="G816" t="s">
        <v>4178</v>
      </c>
      <c r="I816" t="s">
        <v>4179</v>
      </c>
      <c r="J816">
        <f>57-300-764-3312</f>
        <v>-4319</v>
      </c>
      <c r="K816" t="s">
        <v>4180</v>
      </c>
      <c r="N816" t="s">
        <v>4181</v>
      </c>
      <c r="Z816" t="s">
        <v>43</v>
      </c>
    </row>
    <row r="817" spans="1:26" x14ac:dyDescent="0.25">
      <c r="A817">
        <v>816</v>
      </c>
      <c r="B817" t="s">
        <v>30</v>
      </c>
      <c r="C817" t="s">
        <v>4182</v>
      </c>
      <c r="D817" t="s">
        <v>2098</v>
      </c>
      <c r="E817" t="s">
        <v>1269</v>
      </c>
      <c r="F817" t="s">
        <v>2099</v>
      </c>
      <c r="G817" t="s">
        <v>1271</v>
      </c>
      <c r="I817" t="s">
        <v>4183</v>
      </c>
      <c r="J817">
        <f>57-60-1-301-6144</f>
        <v>-6449</v>
      </c>
      <c r="K817" t="s">
        <v>1273</v>
      </c>
      <c r="N817" t="s">
        <v>4184</v>
      </c>
      <c r="Z817" t="s">
        <v>43</v>
      </c>
    </row>
    <row r="818" spans="1:26" x14ac:dyDescent="0.25">
      <c r="A818">
        <v>817</v>
      </c>
      <c r="B818" t="s">
        <v>30</v>
      </c>
      <c r="C818" t="s">
        <v>4185</v>
      </c>
      <c r="D818" t="s">
        <v>2242</v>
      </c>
      <c r="E818" t="s">
        <v>72</v>
      </c>
      <c r="F818" t="s">
        <v>2243</v>
      </c>
      <c r="G818" t="s">
        <v>73</v>
      </c>
      <c r="I818" t="s">
        <v>4186</v>
      </c>
      <c r="J818">
        <f>57-60-1-280-8579</f>
        <v>-8863</v>
      </c>
      <c r="K818" t="s">
        <v>4187</v>
      </c>
      <c r="N818" t="s">
        <v>4188</v>
      </c>
      <c r="Z818" t="s">
        <v>43</v>
      </c>
    </row>
    <row r="819" spans="1:26" x14ac:dyDescent="0.25">
      <c r="A819">
        <v>818</v>
      </c>
      <c r="B819" t="s">
        <v>30</v>
      </c>
      <c r="C819" t="s">
        <v>4189</v>
      </c>
      <c r="D819" t="s">
        <v>799</v>
      </c>
      <c r="E819" t="s">
        <v>800</v>
      </c>
      <c r="F819" t="s">
        <v>2228</v>
      </c>
      <c r="G819" t="s">
        <v>802</v>
      </c>
      <c r="I819" t="s">
        <v>4190</v>
      </c>
      <c r="J819">
        <f>57-60-1-244-2207</f>
        <v>-2455</v>
      </c>
      <c r="K819" t="s">
        <v>4191</v>
      </c>
      <c r="N819" t="s">
        <v>4192</v>
      </c>
      <c r="Z819" t="s">
        <v>43</v>
      </c>
    </row>
    <row r="820" spans="1:26" x14ac:dyDescent="0.25">
      <c r="A820">
        <v>819</v>
      </c>
      <c r="B820" t="s">
        <v>30</v>
      </c>
      <c r="C820" t="s">
        <v>4193</v>
      </c>
      <c r="D820" t="s">
        <v>1276</v>
      </c>
      <c r="E820" t="s">
        <v>471</v>
      </c>
      <c r="F820" t="s">
        <v>1277</v>
      </c>
      <c r="G820" t="s">
        <v>47</v>
      </c>
      <c r="I820" t="s">
        <v>4194</v>
      </c>
      <c r="K820" t="s">
        <v>4195</v>
      </c>
      <c r="N820" t="s">
        <v>4196</v>
      </c>
      <c r="Z820" t="s">
        <v>43</v>
      </c>
    </row>
    <row r="821" spans="1:26" x14ac:dyDescent="0.25">
      <c r="A821">
        <v>820</v>
      </c>
      <c r="B821" t="s">
        <v>30</v>
      </c>
      <c r="C821" t="s">
        <v>4197</v>
      </c>
      <c r="D821" t="s">
        <v>72</v>
      </c>
      <c r="E821" t="s">
        <v>72</v>
      </c>
      <c r="F821" t="s">
        <v>73</v>
      </c>
      <c r="G821" t="s">
        <v>73</v>
      </c>
      <c r="I821" t="s">
        <v>4198</v>
      </c>
      <c r="J821">
        <f>57-60-1-472-2397</f>
        <v>-2873</v>
      </c>
      <c r="K821" t="s">
        <v>4199</v>
      </c>
      <c r="N821" t="s">
        <v>4200</v>
      </c>
      <c r="Z821" t="s">
        <v>43</v>
      </c>
    </row>
    <row r="822" spans="1:26" x14ac:dyDescent="0.25">
      <c r="A822">
        <v>821</v>
      </c>
      <c r="B822" t="s">
        <v>30</v>
      </c>
      <c r="C822" t="s">
        <v>4201</v>
      </c>
      <c r="D822" t="s">
        <v>4202</v>
      </c>
      <c r="E822" t="s">
        <v>1155</v>
      </c>
      <c r="F822" t="s">
        <v>4203</v>
      </c>
      <c r="G822" t="s">
        <v>1157</v>
      </c>
      <c r="I822" t="s">
        <v>4204</v>
      </c>
      <c r="J822">
        <f>57-60-1-475-3305</f>
        <v>-3784</v>
      </c>
      <c r="K822" t="s">
        <v>4205</v>
      </c>
      <c r="N822" t="s">
        <v>4206</v>
      </c>
      <c r="Z822" t="s">
        <v>43</v>
      </c>
    </row>
    <row r="823" spans="1:26" x14ac:dyDescent="0.25">
      <c r="A823">
        <v>822</v>
      </c>
      <c r="B823" t="s">
        <v>30</v>
      </c>
      <c r="C823" t="s">
        <v>4207</v>
      </c>
      <c r="D823" t="s">
        <v>1260</v>
      </c>
      <c r="E823" t="s">
        <v>471</v>
      </c>
      <c r="F823" t="s">
        <v>2084</v>
      </c>
      <c r="G823" t="s">
        <v>47</v>
      </c>
      <c r="I823" t="s">
        <v>4208</v>
      </c>
      <c r="J823">
        <f>57-316-691-8570</f>
        <v>-9520</v>
      </c>
      <c r="K823" t="s">
        <v>4209</v>
      </c>
      <c r="N823" t="s">
        <v>4210</v>
      </c>
      <c r="Z823" t="s">
        <v>43</v>
      </c>
    </row>
    <row r="824" spans="1:26" x14ac:dyDescent="0.25">
      <c r="A824">
        <v>823</v>
      </c>
      <c r="B824" t="s">
        <v>30</v>
      </c>
      <c r="C824" t="s">
        <v>4211</v>
      </c>
      <c r="D824" t="s">
        <v>2654</v>
      </c>
      <c r="E824" t="s">
        <v>385</v>
      </c>
      <c r="F824" t="s">
        <v>2655</v>
      </c>
      <c r="G824" t="s">
        <v>387</v>
      </c>
      <c r="I824" t="s">
        <v>4212</v>
      </c>
      <c r="K824" t="s">
        <v>4213</v>
      </c>
      <c r="N824" t="s">
        <v>4214</v>
      </c>
      <c r="Z824" t="s">
        <v>43</v>
      </c>
    </row>
    <row r="825" spans="1:26" x14ac:dyDescent="0.25">
      <c r="A825">
        <v>824</v>
      </c>
      <c r="B825" t="s">
        <v>30</v>
      </c>
      <c r="C825" t="s">
        <v>4215</v>
      </c>
      <c r="D825" t="s">
        <v>4216</v>
      </c>
      <c r="E825" t="s">
        <v>385</v>
      </c>
      <c r="F825" t="s">
        <v>4217</v>
      </c>
      <c r="G825" t="s">
        <v>387</v>
      </c>
      <c r="I825" t="s">
        <v>4218</v>
      </c>
      <c r="J825">
        <f>57-320-228-2752</f>
        <v>-3243</v>
      </c>
      <c r="K825" t="s">
        <v>4219</v>
      </c>
      <c r="N825" t="s">
        <v>4220</v>
      </c>
      <c r="Z825" t="s">
        <v>43</v>
      </c>
    </row>
    <row r="826" spans="1:26" x14ac:dyDescent="0.25">
      <c r="A826">
        <v>825</v>
      </c>
      <c r="B826" t="s">
        <v>30</v>
      </c>
      <c r="C826" t="s">
        <v>4221</v>
      </c>
      <c r="D826" t="s">
        <v>4222</v>
      </c>
      <c r="E826" t="s">
        <v>4176</v>
      </c>
      <c r="F826" t="s">
        <v>4223</v>
      </c>
      <c r="G826" t="s">
        <v>4178</v>
      </c>
      <c r="I826" t="s">
        <v>4224</v>
      </c>
      <c r="K826" t="s">
        <v>4225</v>
      </c>
      <c r="N826" t="s">
        <v>4226</v>
      </c>
      <c r="Z826" t="s">
        <v>43</v>
      </c>
    </row>
    <row r="827" spans="1:26" x14ac:dyDescent="0.25">
      <c r="A827">
        <v>826</v>
      </c>
      <c r="B827" t="s">
        <v>30</v>
      </c>
      <c r="C827" t="s">
        <v>4227</v>
      </c>
      <c r="D827" t="s">
        <v>2394</v>
      </c>
      <c r="E827" t="s">
        <v>471</v>
      </c>
      <c r="F827" t="s">
        <v>2395</v>
      </c>
      <c r="G827" t="s">
        <v>47</v>
      </c>
      <c r="I827" t="s">
        <v>4228</v>
      </c>
      <c r="J827">
        <f>57-321-317-4633</f>
        <v>-5214</v>
      </c>
      <c r="K827" t="s">
        <v>4229</v>
      </c>
      <c r="N827" t="s">
        <v>4230</v>
      </c>
      <c r="Z827" t="s">
        <v>43</v>
      </c>
    </row>
    <row r="828" spans="1:26" x14ac:dyDescent="0.25">
      <c r="A828">
        <v>827</v>
      </c>
      <c r="B828" t="s">
        <v>30</v>
      </c>
      <c r="C828" t="s">
        <v>4231</v>
      </c>
      <c r="D828" t="s">
        <v>2614</v>
      </c>
      <c r="E828" t="s">
        <v>1217</v>
      </c>
      <c r="F828" t="s">
        <v>4232</v>
      </c>
      <c r="G828" t="s">
        <v>2132</v>
      </c>
      <c r="I828" t="s">
        <v>4233</v>
      </c>
      <c r="J828">
        <f>57-321-369-4012</f>
        <v>-4645</v>
      </c>
      <c r="K828" t="s">
        <v>4234</v>
      </c>
      <c r="N828" t="s">
        <v>4235</v>
      </c>
      <c r="Z828" t="s">
        <v>43</v>
      </c>
    </row>
    <row r="829" spans="1:26" x14ac:dyDescent="0.25">
      <c r="A829">
        <v>828</v>
      </c>
      <c r="B829" t="s">
        <v>30</v>
      </c>
      <c r="C829" t="s">
        <v>4236</v>
      </c>
      <c r="D829" t="s">
        <v>470</v>
      </c>
      <c r="E829" t="s">
        <v>1402</v>
      </c>
      <c r="F829" t="s">
        <v>472</v>
      </c>
      <c r="G829" t="s">
        <v>1404</v>
      </c>
      <c r="I829" t="s">
        <v>4237</v>
      </c>
      <c r="J829">
        <f>57-350-392-3282</f>
        <v>-3967</v>
      </c>
      <c r="K829" t="s">
        <v>4238</v>
      </c>
      <c r="N829" t="s">
        <v>4239</v>
      </c>
      <c r="Z829" t="s">
        <v>43</v>
      </c>
    </row>
    <row r="830" spans="1:26" x14ac:dyDescent="0.25">
      <c r="A830">
        <v>829</v>
      </c>
      <c r="B830" t="s">
        <v>30</v>
      </c>
      <c r="C830" t="s">
        <v>4240</v>
      </c>
      <c r="D830" t="s">
        <v>4241</v>
      </c>
      <c r="E830" t="s">
        <v>471</v>
      </c>
      <c r="F830" t="s">
        <v>4242</v>
      </c>
      <c r="G830" t="s">
        <v>47</v>
      </c>
      <c r="I830" t="s">
        <v>4243</v>
      </c>
      <c r="J830">
        <f>57-60-1-218-8458</f>
        <v>-8680</v>
      </c>
      <c r="K830" t="s">
        <v>4244</v>
      </c>
      <c r="N830" t="s">
        <v>4245</v>
      </c>
      <c r="Z830" t="s">
        <v>43</v>
      </c>
    </row>
    <row r="831" spans="1:26" x14ac:dyDescent="0.25">
      <c r="A831">
        <v>830</v>
      </c>
      <c r="B831" t="s">
        <v>30</v>
      </c>
      <c r="C831" t="s">
        <v>4246</v>
      </c>
      <c r="D831" t="s">
        <v>4247</v>
      </c>
      <c r="E831" t="s">
        <v>64</v>
      </c>
      <c r="F831" t="s">
        <v>4248</v>
      </c>
      <c r="G831" t="s">
        <v>65</v>
      </c>
      <c r="I831" t="s">
        <v>4249</v>
      </c>
      <c r="K831" t="s">
        <v>4250</v>
      </c>
      <c r="N831" t="s">
        <v>4251</v>
      </c>
      <c r="Z831" t="s">
        <v>43</v>
      </c>
    </row>
    <row r="832" spans="1:26" x14ac:dyDescent="0.25">
      <c r="A832">
        <v>831</v>
      </c>
      <c r="B832" t="s">
        <v>30</v>
      </c>
      <c r="C832" t="s">
        <v>4252</v>
      </c>
      <c r="D832" t="s">
        <v>4253</v>
      </c>
      <c r="E832" t="s">
        <v>1402</v>
      </c>
      <c r="F832" t="s">
        <v>4254</v>
      </c>
      <c r="G832" t="s">
        <v>1404</v>
      </c>
      <c r="I832" t="s">
        <v>4255</v>
      </c>
      <c r="J832">
        <f>57-305-766-7040</f>
        <v>-8054</v>
      </c>
      <c r="K832" t="s">
        <v>4256</v>
      </c>
      <c r="N832" t="s">
        <v>4257</v>
      </c>
      <c r="Z832" t="s">
        <v>43</v>
      </c>
    </row>
    <row r="833" spans="1:26" x14ac:dyDescent="0.25">
      <c r="A833">
        <v>832</v>
      </c>
      <c r="B833" t="s">
        <v>30</v>
      </c>
      <c r="C833" t="s">
        <v>4258</v>
      </c>
      <c r="D833" t="s">
        <v>4259</v>
      </c>
      <c r="E833" t="s">
        <v>64</v>
      </c>
      <c r="F833" t="s">
        <v>4260</v>
      </c>
      <c r="G833" t="s">
        <v>65</v>
      </c>
      <c r="I833" t="s">
        <v>4261</v>
      </c>
      <c r="J833">
        <f>57-317-382-6369</f>
        <v>-7011</v>
      </c>
      <c r="K833" t="s">
        <v>4262</v>
      </c>
      <c r="N833" t="s">
        <v>4263</v>
      </c>
      <c r="Z833" t="s">
        <v>43</v>
      </c>
    </row>
    <row r="834" spans="1:26" x14ac:dyDescent="0.25">
      <c r="A834">
        <v>833</v>
      </c>
      <c r="B834" t="s">
        <v>30</v>
      </c>
      <c r="C834" t="s">
        <v>4264</v>
      </c>
      <c r="D834" t="s">
        <v>899</v>
      </c>
      <c r="E834" t="s">
        <v>471</v>
      </c>
      <c r="F834" t="s">
        <v>2456</v>
      </c>
      <c r="G834" t="s">
        <v>47</v>
      </c>
      <c r="I834" t="s">
        <v>4265</v>
      </c>
      <c r="K834" t="s">
        <v>4266</v>
      </c>
      <c r="N834" t="s">
        <v>3219</v>
      </c>
      <c r="Z834" t="s">
        <v>43</v>
      </c>
    </row>
    <row r="835" spans="1:26" x14ac:dyDescent="0.25">
      <c r="A835">
        <v>834</v>
      </c>
      <c r="B835" t="s">
        <v>30</v>
      </c>
      <c r="C835" t="s">
        <v>4267</v>
      </c>
      <c r="D835" t="s">
        <v>56</v>
      </c>
      <c r="E835" t="s">
        <v>56</v>
      </c>
      <c r="F835" t="s">
        <v>57</v>
      </c>
      <c r="G835" t="s">
        <v>57</v>
      </c>
      <c r="I835" t="s">
        <v>4268</v>
      </c>
      <c r="J835">
        <f>57-310-761-1832</f>
        <v>-2846</v>
      </c>
      <c r="K835" t="s">
        <v>4269</v>
      </c>
      <c r="N835" t="s">
        <v>4270</v>
      </c>
      <c r="Z835" t="s">
        <v>43</v>
      </c>
    </row>
    <row r="836" spans="1:26" x14ac:dyDescent="0.25">
      <c r="A836">
        <v>835</v>
      </c>
      <c r="B836" t="s">
        <v>30</v>
      </c>
      <c r="C836" t="s">
        <v>4271</v>
      </c>
      <c r="D836" t="s">
        <v>46</v>
      </c>
      <c r="E836" t="s">
        <v>471</v>
      </c>
      <c r="F836" t="s">
        <v>820</v>
      </c>
      <c r="G836" t="s">
        <v>47</v>
      </c>
      <c r="I836" t="s">
        <v>4272</v>
      </c>
      <c r="J836">
        <f>57-313-403-5440</f>
        <v>-6099</v>
      </c>
      <c r="K836" t="s">
        <v>4273</v>
      </c>
      <c r="N836" t="s">
        <v>4274</v>
      </c>
      <c r="Z836" t="s">
        <v>43</v>
      </c>
    </row>
    <row r="837" spans="1:26" x14ac:dyDescent="0.25">
      <c r="A837">
        <v>836</v>
      </c>
      <c r="B837" t="s">
        <v>30</v>
      </c>
      <c r="C837" t="s">
        <v>4275</v>
      </c>
      <c r="D837" t="s">
        <v>909</v>
      </c>
      <c r="E837" t="s">
        <v>471</v>
      </c>
      <c r="F837" t="s">
        <v>1659</v>
      </c>
      <c r="G837" t="s">
        <v>47</v>
      </c>
      <c r="I837" t="s">
        <v>4276</v>
      </c>
      <c r="J837">
        <f>57-312-521-5960</f>
        <v>-6736</v>
      </c>
      <c r="K837" t="s">
        <v>4277</v>
      </c>
      <c r="N837" t="s">
        <v>4278</v>
      </c>
      <c r="Z837" t="s">
        <v>43</v>
      </c>
    </row>
    <row r="838" spans="1:26" x14ac:dyDescent="0.25">
      <c r="A838">
        <v>837</v>
      </c>
      <c r="B838" t="s">
        <v>30</v>
      </c>
      <c r="C838" t="s">
        <v>4279</v>
      </c>
      <c r="D838" t="s">
        <v>899</v>
      </c>
      <c r="E838" t="s">
        <v>471</v>
      </c>
      <c r="F838" t="s">
        <v>2456</v>
      </c>
      <c r="G838" t="s">
        <v>47</v>
      </c>
      <c r="I838" t="s">
        <v>4280</v>
      </c>
      <c r="J838">
        <f>57-310-309-1714</f>
        <v>-2276</v>
      </c>
      <c r="K838" t="s">
        <v>4281</v>
      </c>
      <c r="N838" t="s">
        <v>4282</v>
      </c>
      <c r="Z838" t="s">
        <v>43</v>
      </c>
    </row>
    <row r="839" spans="1:26" x14ac:dyDescent="0.25">
      <c r="A839">
        <v>838</v>
      </c>
      <c r="B839" t="s">
        <v>30</v>
      </c>
      <c r="C839" t="s">
        <v>4283</v>
      </c>
      <c r="D839" t="s">
        <v>64</v>
      </c>
      <c r="E839" t="s">
        <v>64</v>
      </c>
      <c r="F839" t="s">
        <v>65</v>
      </c>
      <c r="G839" t="s">
        <v>65</v>
      </c>
      <c r="I839" t="s">
        <v>4284</v>
      </c>
      <c r="J839">
        <f>57-300-273-937</f>
        <v>-1453</v>
      </c>
      <c r="K839" t="s">
        <v>4285</v>
      </c>
      <c r="N839" t="s">
        <v>4286</v>
      </c>
      <c r="Z839" t="s">
        <v>43</v>
      </c>
    </row>
    <row r="840" spans="1:26" x14ac:dyDescent="0.25">
      <c r="A840">
        <v>839</v>
      </c>
      <c r="B840" t="s">
        <v>30</v>
      </c>
      <c r="C840" t="s">
        <v>4287</v>
      </c>
      <c r="D840" t="s">
        <v>46</v>
      </c>
      <c r="E840" t="s">
        <v>471</v>
      </c>
      <c r="F840" t="s">
        <v>820</v>
      </c>
      <c r="G840" t="s">
        <v>47</v>
      </c>
      <c r="I840" t="s">
        <v>4288</v>
      </c>
      <c r="J840">
        <f>57-319-529-5373</f>
        <v>-6164</v>
      </c>
      <c r="K840" t="s">
        <v>4289</v>
      </c>
      <c r="N840" t="s">
        <v>4290</v>
      </c>
      <c r="Z840" t="s">
        <v>43</v>
      </c>
    </row>
    <row r="841" spans="1:26" x14ac:dyDescent="0.25">
      <c r="A841">
        <v>840</v>
      </c>
      <c r="B841" t="s">
        <v>30</v>
      </c>
      <c r="C841" t="s">
        <v>4291</v>
      </c>
      <c r="D841" t="s">
        <v>4292</v>
      </c>
      <c r="E841" t="s">
        <v>4043</v>
      </c>
      <c r="F841" t="s">
        <v>4293</v>
      </c>
      <c r="G841" t="s">
        <v>4045</v>
      </c>
      <c r="I841" t="s">
        <v>4294</v>
      </c>
      <c r="J841">
        <f>57-310-479-7628</f>
        <v>-8360</v>
      </c>
      <c r="K841" t="s">
        <v>4295</v>
      </c>
      <c r="N841" t="s">
        <v>4296</v>
      </c>
      <c r="Z841" t="s">
        <v>43</v>
      </c>
    </row>
    <row r="842" spans="1:26" x14ac:dyDescent="0.25">
      <c r="A842">
        <v>841</v>
      </c>
      <c r="B842" t="s">
        <v>30</v>
      </c>
      <c r="C842" t="s">
        <v>4297</v>
      </c>
      <c r="D842" t="s">
        <v>4298</v>
      </c>
      <c r="E842" t="s">
        <v>4299</v>
      </c>
      <c r="F842" t="s">
        <v>4300</v>
      </c>
      <c r="G842" t="s">
        <v>4301</v>
      </c>
      <c r="I842" t="s">
        <v>4302</v>
      </c>
      <c r="J842">
        <f>57-310-792-1015</f>
        <v>-2060</v>
      </c>
      <c r="K842" t="s">
        <v>4303</v>
      </c>
      <c r="N842" t="s">
        <v>4304</v>
      </c>
      <c r="Z842" t="s">
        <v>43</v>
      </c>
    </row>
    <row r="843" spans="1:26" x14ac:dyDescent="0.25">
      <c r="A843">
        <v>842</v>
      </c>
      <c r="B843" t="s">
        <v>30</v>
      </c>
      <c r="C843" t="s">
        <v>4305</v>
      </c>
      <c r="D843" t="s">
        <v>2394</v>
      </c>
      <c r="E843" t="s">
        <v>72</v>
      </c>
      <c r="F843" t="s">
        <v>4306</v>
      </c>
      <c r="G843" t="s">
        <v>73</v>
      </c>
      <c r="I843" t="s">
        <v>4307</v>
      </c>
      <c r="K843" t="s">
        <v>4308</v>
      </c>
      <c r="N843" t="s">
        <v>4309</v>
      </c>
      <c r="Z843" t="s">
        <v>43</v>
      </c>
    </row>
    <row r="844" spans="1:26" x14ac:dyDescent="0.25">
      <c r="A844">
        <v>843</v>
      </c>
      <c r="B844" t="s">
        <v>30</v>
      </c>
      <c r="C844" t="s">
        <v>4310</v>
      </c>
      <c r="D844" t="s">
        <v>4311</v>
      </c>
      <c r="E844" t="s">
        <v>4312</v>
      </c>
      <c r="F844" t="s">
        <v>4313</v>
      </c>
      <c r="G844" t="s">
        <v>4314</v>
      </c>
      <c r="I844" t="s">
        <v>4315</v>
      </c>
      <c r="J844">
        <f>57-320-474-6348</f>
        <v>-7085</v>
      </c>
      <c r="K844" t="s">
        <v>4316</v>
      </c>
      <c r="N844" t="s">
        <v>4317</v>
      </c>
      <c r="Z844" t="s">
        <v>43</v>
      </c>
    </row>
    <row r="845" spans="1:26" x14ac:dyDescent="0.25">
      <c r="A845">
        <v>844</v>
      </c>
      <c r="B845" t="s">
        <v>30</v>
      </c>
      <c r="C845" t="s">
        <v>4318</v>
      </c>
      <c r="D845" t="s">
        <v>4319</v>
      </c>
      <c r="E845" t="s">
        <v>2077</v>
      </c>
      <c r="F845" t="s">
        <v>4320</v>
      </c>
      <c r="G845" t="s">
        <v>3425</v>
      </c>
      <c r="I845" t="s">
        <v>4321</v>
      </c>
      <c r="K845" t="s">
        <v>4322</v>
      </c>
      <c r="N845" t="s">
        <v>4323</v>
      </c>
      <c r="Z845" t="s">
        <v>43</v>
      </c>
    </row>
    <row r="846" spans="1:26" x14ac:dyDescent="0.25">
      <c r="A846">
        <v>845</v>
      </c>
      <c r="B846" t="s">
        <v>30</v>
      </c>
      <c r="C846" t="s">
        <v>4324</v>
      </c>
      <c r="D846" t="s">
        <v>4325</v>
      </c>
      <c r="E846" t="s">
        <v>56</v>
      </c>
      <c r="F846" t="s">
        <v>4326</v>
      </c>
      <c r="G846" t="s">
        <v>57</v>
      </c>
      <c r="I846" t="s">
        <v>4327</v>
      </c>
      <c r="K846" t="s">
        <v>4328</v>
      </c>
      <c r="N846" t="s">
        <v>4329</v>
      </c>
      <c r="Z846" t="s">
        <v>43</v>
      </c>
    </row>
    <row r="847" spans="1:26" x14ac:dyDescent="0.25">
      <c r="A847">
        <v>846</v>
      </c>
      <c r="B847" t="s">
        <v>30</v>
      </c>
      <c r="C847" t="s">
        <v>4330</v>
      </c>
      <c r="D847" t="s">
        <v>4331</v>
      </c>
      <c r="E847" t="s">
        <v>1850</v>
      </c>
      <c r="F847" t="s">
        <v>4332</v>
      </c>
      <c r="G847" t="s">
        <v>1852</v>
      </c>
      <c r="I847" t="s">
        <v>4333</v>
      </c>
      <c r="J847">
        <f>57-311-554-4044</f>
        <v>-4852</v>
      </c>
      <c r="K847" t="s">
        <v>4334</v>
      </c>
      <c r="N847" t="s">
        <v>4335</v>
      </c>
      <c r="Z847" t="s">
        <v>43</v>
      </c>
    </row>
    <row r="848" spans="1:26" x14ac:dyDescent="0.25">
      <c r="A848">
        <v>847</v>
      </c>
      <c r="B848" t="s">
        <v>30</v>
      </c>
      <c r="C848" t="s">
        <v>4336</v>
      </c>
      <c r="D848" t="s">
        <v>4337</v>
      </c>
      <c r="E848" t="s">
        <v>2007</v>
      </c>
      <c r="F848" t="s">
        <v>4338</v>
      </c>
      <c r="G848" t="s">
        <v>2009</v>
      </c>
      <c r="I848" t="s">
        <v>4339</v>
      </c>
      <c r="J848">
        <f>57-310-246-8697</f>
        <v>-9196</v>
      </c>
      <c r="K848" t="s">
        <v>4340</v>
      </c>
      <c r="N848" t="s">
        <v>4341</v>
      </c>
      <c r="Z848" t="s">
        <v>43</v>
      </c>
    </row>
    <row r="849" spans="1:26" x14ac:dyDescent="0.25">
      <c r="A849">
        <v>848</v>
      </c>
      <c r="B849" t="s">
        <v>30</v>
      </c>
      <c r="C849" t="s">
        <v>4342</v>
      </c>
      <c r="D849" t="s">
        <v>2585</v>
      </c>
      <c r="E849" t="s">
        <v>1217</v>
      </c>
      <c r="F849" t="s">
        <v>2586</v>
      </c>
      <c r="G849" t="s">
        <v>2132</v>
      </c>
      <c r="I849" t="s">
        <v>4343</v>
      </c>
      <c r="J849">
        <f>57-318-682-8281</f>
        <v>-9224</v>
      </c>
      <c r="K849" t="s">
        <v>4344</v>
      </c>
      <c r="N849" t="s">
        <v>4345</v>
      </c>
      <c r="Z849" t="s">
        <v>43</v>
      </c>
    </row>
    <row r="850" spans="1:26" x14ac:dyDescent="0.25">
      <c r="A850">
        <v>849</v>
      </c>
      <c r="B850" t="s">
        <v>30</v>
      </c>
      <c r="C850" t="s">
        <v>4346</v>
      </c>
      <c r="D850" t="s">
        <v>46</v>
      </c>
      <c r="E850" t="s">
        <v>471</v>
      </c>
      <c r="F850" t="s">
        <v>820</v>
      </c>
      <c r="G850" t="s">
        <v>47</v>
      </c>
      <c r="I850" t="s">
        <v>4347</v>
      </c>
      <c r="J850">
        <f>57-313-376-1460</f>
        <v>-2092</v>
      </c>
      <c r="K850" t="s">
        <v>4348</v>
      </c>
      <c r="N850" t="s">
        <v>4349</v>
      </c>
      <c r="Z850" t="s">
        <v>43</v>
      </c>
    </row>
    <row r="851" spans="1:26" x14ac:dyDescent="0.25">
      <c r="A851">
        <v>850</v>
      </c>
      <c r="B851" t="s">
        <v>30</v>
      </c>
      <c r="C851" t="s">
        <v>4350</v>
      </c>
      <c r="D851" t="s">
        <v>46</v>
      </c>
      <c r="E851" t="s">
        <v>471</v>
      </c>
      <c r="F851" t="s">
        <v>820</v>
      </c>
      <c r="G851" t="s">
        <v>47</v>
      </c>
      <c r="I851" t="s">
        <v>4351</v>
      </c>
      <c r="K851" t="s">
        <v>4352</v>
      </c>
      <c r="N851" t="s">
        <v>4353</v>
      </c>
      <c r="Z851" t="s">
        <v>43</v>
      </c>
    </row>
    <row r="852" spans="1:26" x14ac:dyDescent="0.25">
      <c r="A852">
        <v>851</v>
      </c>
      <c r="B852" t="s">
        <v>30</v>
      </c>
      <c r="C852" t="s">
        <v>4354</v>
      </c>
      <c r="D852" t="s">
        <v>867</v>
      </c>
      <c r="E852" t="s">
        <v>471</v>
      </c>
      <c r="F852" t="s">
        <v>1024</v>
      </c>
      <c r="G852" t="s">
        <v>47</v>
      </c>
      <c r="I852" t="s">
        <v>4355</v>
      </c>
      <c r="J852">
        <f>57-301-784-1600</f>
        <v>-2628</v>
      </c>
      <c r="K852" t="s">
        <v>4356</v>
      </c>
      <c r="N852" t="s">
        <v>4357</v>
      </c>
      <c r="Z852" t="s">
        <v>43</v>
      </c>
    </row>
    <row r="853" spans="1:26" x14ac:dyDescent="0.25">
      <c r="A853">
        <v>852</v>
      </c>
      <c r="B853" t="s">
        <v>30</v>
      </c>
      <c r="C853" t="s">
        <v>4358</v>
      </c>
      <c r="D853" t="s">
        <v>384</v>
      </c>
      <c r="E853" t="s">
        <v>385</v>
      </c>
      <c r="F853" t="s">
        <v>386</v>
      </c>
      <c r="G853" t="s">
        <v>387</v>
      </c>
      <c r="I853" t="s">
        <v>4359</v>
      </c>
      <c r="J853">
        <f>57-313-484-7840</f>
        <v>-8580</v>
      </c>
      <c r="K853" t="s">
        <v>4360</v>
      </c>
      <c r="N853" t="s">
        <v>4361</v>
      </c>
      <c r="Z853" t="s">
        <v>43</v>
      </c>
    </row>
    <row r="854" spans="1:26" x14ac:dyDescent="0.25">
      <c r="A854">
        <v>853</v>
      </c>
      <c r="B854" t="s">
        <v>30</v>
      </c>
      <c r="C854" t="s">
        <v>4362</v>
      </c>
      <c r="D854" t="s">
        <v>2168</v>
      </c>
      <c r="E854" t="s">
        <v>800</v>
      </c>
      <c r="F854" t="s">
        <v>2169</v>
      </c>
      <c r="G854" t="s">
        <v>802</v>
      </c>
      <c r="I854" t="s">
        <v>4363</v>
      </c>
      <c r="J854">
        <f>57-314-794-5853</f>
        <v>-6904</v>
      </c>
      <c r="K854" t="s">
        <v>4364</v>
      </c>
      <c r="N854" t="s">
        <v>4365</v>
      </c>
      <c r="Z854" t="s">
        <v>43</v>
      </c>
    </row>
    <row r="855" spans="1:26" x14ac:dyDescent="0.25">
      <c r="A855">
        <v>854</v>
      </c>
      <c r="B855" t="s">
        <v>30</v>
      </c>
      <c r="C855" t="s">
        <v>4366</v>
      </c>
      <c r="D855" t="s">
        <v>4367</v>
      </c>
      <c r="E855" t="s">
        <v>471</v>
      </c>
      <c r="F855" t="s">
        <v>4368</v>
      </c>
      <c r="G855" t="s">
        <v>47</v>
      </c>
      <c r="I855" t="s">
        <v>4369</v>
      </c>
      <c r="J855">
        <f>57-60-1-298-7830</f>
        <v>-8132</v>
      </c>
      <c r="K855" t="s">
        <v>4370</v>
      </c>
      <c r="N855" t="s">
        <v>4371</v>
      </c>
      <c r="Z855" t="s">
        <v>43</v>
      </c>
    </row>
    <row r="856" spans="1:26" x14ac:dyDescent="0.25">
      <c r="A856">
        <v>855</v>
      </c>
      <c r="B856" t="s">
        <v>30</v>
      </c>
      <c r="C856" t="s">
        <v>4372</v>
      </c>
      <c r="D856" t="s">
        <v>2394</v>
      </c>
      <c r="E856" t="s">
        <v>64</v>
      </c>
      <c r="F856" t="s">
        <v>3996</v>
      </c>
      <c r="G856" t="s">
        <v>65</v>
      </c>
      <c r="I856" t="s">
        <v>4373</v>
      </c>
      <c r="J856">
        <f>57-60-1-923-1270</f>
        <v>-2197</v>
      </c>
      <c r="K856" t="s">
        <v>4374</v>
      </c>
      <c r="N856" t="s">
        <v>4375</v>
      </c>
      <c r="Z856" t="s">
        <v>43</v>
      </c>
    </row>
    <row r="857" spans="1:26" x14ac:dyDescent="0.25">
      <c r="A857">
        <v>856</v>
      </c>
      <c r="B857" t="s">
        <v>30</v>
      </c>
      <c r="C857" t="s">
        <v>4376</v>
      </c>
      <c r="D857" t="s">
        <v>46</v>
      </c>
      <c r="E857" t="s">
        <v>471</v>
      </c>
      <c r="F857" t="s">
        <v>820</v>
      </c>
      <c r="G857" t="s">
        <v>47</v>
      </c>
      <c r="I857" t="s">
        <v>4377</v>
      </c>
      <c r="K857" t="s">
        <v>4378</v>
      </c>
      <c r="N857" t="s">
        <v>4379</v>
      </c>
      <c r="Z857" t="s">
        <v>43</v>
      </c>
    </row>
    <row r="858" spans="1:26" x14ac:dyDescent="0.25">
      <c r="A858">
        <v>857</v>
      </c>
      <c r="B858" t="s">
        <v>30</v>
      </c>
      <c r="C858" t="s">
        <v>4380</v>
      </c>
      <c r="D858" t="s">
        <v>4381</v>
      </c>
      <c r="E858" t="s">
        <v>1402</v>
      </c>
      <c r="F858" t="s">
        <v>4382</v>
      </c>
      <c r="G858" t="s">
        <v>1404</v>
      </c>
      <c r="I858" t="s">
        <v>4383</v>
      </c>
      <c r="K858" t="s">
        <v>4384</v>
      </c>
      <c r="N858" t="s">
        <v>4385</v>
      </c>
      <c r="Z858" t="s">
        <v>43</v>
      </c>
    </row>
    <row r="859" spans="1:26" x14ac:dyDescent="0.25">
      <c r="A859">
        <v>858</v>
      </c>
      <c r="B859" t="s">
        <v>30</v>
      </c>
      <c r="C859" t="s">
        <v>4386</v>
      </c>
      <c r="D859" t="s">
        <v>46</v>
      </c>
      <c r="E859" t="s">
        <v>56</v>
      </c>
      <c r="F859" t="s">
        <v>941</v>
      </c>
      <c r="G859" t="s">
        <v>57</v>
      </c>
      <c r="I859" t="s">
        <v>4387</v>
      </c>
      <c r="K859" t="s">
        <v>4388</v>
      </c>
      <c r="N859" t="s">
        <v>4389</v>
      </c>
      <c r="Z859" t="s">
        <v>43</v>
      </c>
    </row>
    <row r="860" spans="1:26" x14ac:dyDescent="0.25">
      <c r="A860">
        <v>859</v>
      </c>
      <c r="B860" t="s">
        <v>30</v>
      </c>
      <c r="C860" t="s">
        <v>4390</v>
      </c>
      <c r="D860" t="s">
        <v>4391</v>
      </c>
      <c r="E860" t="s">
        <v>64</v>
      </c>
      <c r="F860" t="s">
        <v>4392</v>
      </c>
      <c r="G860" t="s">
        <v>65</v>
      </c>
      <c r="I860" t="s">
        <v>4393</v>
      </c>
      <c r="K860" t="s">
        <v>4394</v>
      </c>
      <c r="N860" t="s">
        <v>4395</v>
      </c>
      <c r="Z860" t="s">
        <v>43</v>
      </c>
    </row>
    <row r="861" spans="1:26" x14ac:dyDescent="0.25">
      <c r="A861">
        <v>860</v>
      </c>
      <c r="B861" t="s">
        <v>30</v>
      </c>
      <c r="C861" t="s">
        <v>4396</v>
      </c>
      <c r="D861" t="s">
        <v>4397</v>
      </c>
      <c r="E861" t="s">
        <v>4398</v>
      </c>
      <c r="F861" t="s">
        <v>4399</v>
      </c>
      <c r="G861" t="s">
        <v>4400</v>
      </c>
      <c r="I861" t="s">
        <v>4401</v>
      </c>
      <c r="J861">
        <f>57-60-1-260-7147</f>
        <v>-7411</v>
      </c>
      <c r="K861" t="s">
        <v>4402</v>
      </c>
      <c r="N861" t="s">
        <v>4403</v>
      </c>
      <c r="Z861" t="s">
        <v>43</v>
      </c>
    </row>
    <row r="862" spans="1:26" x14ac:dyDescent="0.25">
      <c r="A862">
        <v>861</v>
      </c>
      <c r="B862" t="s">
        <v>30</v>
      </c>
      <c r="C862" t="s">
        <v>4404</v>
      </c>
      <c r="D862" t="s">
        <v>46</v>
      </c>
      <c r="E862" t="s">
        <v>56</v>
      </c>
      <c r="F862" t="s">
        <v>820</v>
      </c>
      <c r="G862" t="s">
        <v>57</v>
      </c>
      <c r="I862" t="s">
        <v>4405</v>
      </c>
      <c r="K862" t="s">
        <v>4406</v>
      </c>
      <c r="N862" t="s">
        <v>4407</v>
      </c>
      <c r="Z862" t="s">
        <v>43</v>
      </c>
    </row>
    <row r="863" spans="1:26" x14ac:dyDescent="0.25">
      <c r="A863">
        <v>862</v>
      </c>
      <c r="B863" t="s">
        <v>30</v>
      </c>
      <c r="C863" t="s">
        <v>4408</v>
      </c>
      <c r="D863" t="s">
        <v>4409</v>
      </c>
      <c r="E863" t="s">
        <v>1774</v>
      </c>
      <c r="F863" t="s">
        <v>4410</v>
      </c>
      <c r="G863" t="s">
        <v>1776</v>
      </c>
      <c r="I863" t="s">
        <v>4411</v>
      </c>
      <c r="J863">
        <f>57-321-313-7131</f>
        <v>-7708</v>
      </c>
      <c r="K863" t="s">
        <v>4412</v>
      </c>
      <c r="N863" t="s">
        <v>4413</v>
      </c>
      <c r="Z863" t="s">
        <v>43</v>
      </c>
    </row>
    <row r="864" spans="1:26" x14ac:dyDescent="0.25">
      <c r="A864">
        <v>863</v>
      </c>
      <c r="B864" t="s">
        <v>30</v>
      </c>
      <c r="C864" t="s">
        <v>4414</v>
      </c>
      <c r="D864" t="s">
        <v>4415</v>
      </c>
      <c r="E864" t="s">
        <v>471</v>
      </c>
      <c r="F864" t="s">
        <v>4416</v>
      </c>
      <c r="G864" t="s">
        <v>47</v>
      </c>
      <c r="I864" t="s">
        <v>4417</v>
      </c>
      <c r="K864" t="s">
        <v>4418</v>
      </c>
      <c r="N864" t="s">
        <v>4419</v>
      </c>
      <c r="Z864" t="s">
        <v>43</v>
      </c>
    </row>
    <row r="865" spans="1:26" x14ac:dyDescent="0.25">
      <c r="A865">
        <v>864</v>
      </c>
      <c r="B865" t="s">
        <v>30</v>
      </c>
      <c r="C865" t="s">
        <v>4420</v>
      </c>
      <c r="D865" t="s">
        <v>4421</v>
      </c>
      <c r="E865" t="s">
        <v>56</v>
      </c>
      <c r="F865" t="s">
        <v>4422</v>
      </c>
      <c r="G865" t="s">
        <v>57</v>
      </c>
      <c r="I865" t="s">
        <v>4423</v>
      </c>
      <c r="K865" t="s">
        <v>4424</v>
      </c>
      <c r="N865" t="s">
        <v>4425</v>
      </c>
      <c r="Z865" t="s">
        <v>43</v>
      </c>
    </row>
    <row r="866" spans="1:26" x14ac:dyDescent="0.25">
      <c r="A866">
        <v>865</v>
      </c>
      <c r="B866" t="s">
        <v>30</v>
      </c>
      <c r="C866" t="s">
        <v>4426</v>
      </c>
      <c r="D866" t="s">
        <v>4427</v>
      </c>
      <c r="E866" t="s">
        <v>471</v>
      </c>
      <c r="F866" t="s">
        <v>4428</v>
      </c>
      <c r="G866" t="s">
        <v>47</v>
      </c>
      <c r="I866" t="s">
        <v>4429</v>
      </c>
      <c r="K866" t="s">
        <v>4430</v>
      </c>
      <c r="N866" t="s">
        <v>4431</v>
      </c>
      <c r="Z866" t="s">
        <v>43</v>
      </c>
    </row>
    <row r="867" spans="1:26" x14ac:dyDescent="0.25">
      <c r="A867">
        <v>866</v>
      </c>
      <c r="B867" t="s">
        <v>30</v>
      </c>
      <c r="C867" t="s">
        <v>4432</v>
      </c>
      <c r="D867" t="s">
        <v>46</v>
      </c>
      <c r="E867" t="s">
        <v>471</v>
      </c>
      <c r="F867" t="s">
        <v>820</v>
      </c>
      <c r="G867" t="s">
        <v>47</v>
      </c>
      <c r="I867" t="s">
        <v>4433</v>
      </c>
      <c r="K867" t="s">
        <v>4434</v>
      </c>
      <c r="N867" t="s">
        <v>4435</v>
      </c>
      <c r="Z867" t="s">
        <v>43</v>
      </c>
    </row>
    <row r="868" spans="1:26" x14ac:dyDescent="0.25">
      <c r="A868">
        <v>867</v>
      </c>
      <c r="B868" t="s">
        <v>30</v>
      </c>
      <c r="C868" t="s">
        <v>4436</v>
      </c>
      <c r="D868" t="s">
        <v>3723</v>
      </c>
      <c r="E868" t="s">
        <v>72</v>
      </c>
      <c r="F868" t="s">
        <v>3724</v>
      </c>
      <c r="G868" t="s">
        <v>73</v>
      </c>
      <c r="I868" t="s">
        <v>4437</v>
      </c>
      <c r="J868">
        <f>57-60-1-555-4390</f>
        <v>-4949</v>
      </c>
      <c r="K868" t="s">
        <v>4438</v>
      </c>
      <c r="N868" t="s">
        <v>4439</v>
      </c>
      <c r="Z868" t="s">
        <v>43</v>
      </c>
    </row>
    <row r="869" spans="1:26" x14ac:dyDescent="0.25">
      <c r="A869">
        <v>868</v>
      </c>
      <c r="B869" t="s">
        <v>30</v>
      </c>
      <c r="C869" t="s">
        <v>4440</v>
      </c>
      <c r="D869" t="s">
        <v>72</v>
      </c>
      <c r="E869" t="s">
        <v>72</v>
      </c>
      <c r="F869" t="s">
        <v>73</v>
      </c>
      <c r="G869" t="s">
        <v>73</v>
      </c>
      <c r="I869" t="s">
        <v>4441</v>
      </c>
      <c r="K869" t="s">
        <v>4442</v>
      </c>
      <c r="N869" t="s">
        <v>4443</v>
      </c>
      <c r="Z869" t="s">
        <v>43</v>
      </c>
    </row>
    <row r="870" spans="1:26" x14ac:dyDescent="0.25">
      <c r="A870">
        <v>869</v>
      </c>
      <c r="B870" t="s">
        <v>30</v>
      </c>
      <c r="C870" t="s">
        <v>4444</v>
      </c>
      <c r="D870" t="s">
        <v>72</v>
      </c>
      <c r="E870" t="s">
        <v>72</v>
      </c>
      <c r="F870" t="s">
        <v>73</v>
      </c>
      <c r="G870" t="s">
        <v>73</v>
      </c>
      <c r="I870" t="s">
        <v>4445</v>
      </c>
      <c r="K870" t="s">
        <v>4446</v>
      </c>
      <c r="N870" t="s">
        <v>4447</v>
      </c>
      <c r="Z870" t="s">
        <v>43</v>
      </c>
    </row>
    <row r="871" spans="1:26" x14ac:dyDescent="0.25">
      <c r="A871">
        <v>870</v>
      </c>
      <c r="B871" t="s">
        <v>30</v>
      </c>
      <c r="C871" t="s">
        <v>4448</v>
      </c>
      <c r="D871" t="s">
        <v>4449</v>
      </c>
      <c r="E871" t="s">
        <v>471</v>
      </c>
      <c r="F871" t="s">
        <v>4450</v>
      </c>
      <c r="G871" t="s">
        <v>47</v>
      </c>
      <c r="I871" t="s">
        <v>4451</v>
      </c>
      <c r="K871" t="s">
        <v>4452</v>
      </c>
      <c r="N871" t="s">
        <v>4453</v>
      </c>
      <c r="Z871" t="s">
        <v>43</v>
      </c>
    </row>
    <row r="872" spans="1:26" x14ac:dyDescent="0.25">
      <c r="A872">
        <v>871</v>
      </c>
      <c r="B872" t="s">
        <v>30</v>
      </c>
      <c r="C872" t="s">
        <v>4454</v>
      </c>
      <c r="D872" t="s">
        <v>3364</v>
      </c>
      <c r="E872" t="s">
        <v>471</v>
      </c>
      <c r="F872" t="s">
        <v>3365</v>
      </c>
      <c r="G872" t="s">
        <v>47</v>
      </c>
      <c r="I872" t="s">
        <v>4455</v>
      </c>
      <c r="J872">
        <f>57-350-650-4363</f>
        <v>-5306</v>
      </c>
      <c r="K872" t="s">
        <v>4456</v>
      </c>
      <c r="N872" t="s">
        <v>4457</v>
      </c>
      <c r="Z872" t="s">
        <v>43</v>
      </c>
    </row>
    <row r="873" spans="1:26" x14ac:dyDescent="0.25">
      <c r="A873">
        <v>872</v>
      </c>
      <c r="B873" t="s">
        <v>30</v>
      </c>
      <c r="C873" t="s">
        <v>4458</v>
      </c>
      <c r="D873" t="s">
        <v>1713</v>
      </c>
      <c r="E873" t="s">
        <v>64</v>
      </c>
      <c r="F873" t="s">
        <v>2223</v>
      </c>
      <c r="G873" t="s">
        <v>65</v>
      </c>
      <c r="I873" t="s">
        <v>4459</v>
      </c>
      <c r="K873" t="s">
        <v>4460</v>
      </c>
      <c r="N873" t="s">
        <v>4461</v>
      </c>
      <c r="Z873" t="s">
        <v>43</v>
      </c>
    </row>
    <row r="874" spans="1:26" x14ac:dyDescent="0.25">
      <c r="A874">
        <v>873</v>
      </c>
      <c r="B874" t="s">
        <v>30</v>
      </c>
      <c r="C874" t="s">
        <v>4462</v>
      </c>
      <c r="D874" t="s">
        <v>4463</v>
      </c>
      <c r="E874" t="s">
        <v>471</v>
      </c>
      <c r="F874" t="s">
        <v>4464</v>
      </c>
      <c r="G874" t="s">
        <v>47</v>
      </c>
      <c r="I874" t="s">
        <v>4465</v>
      </c>
      <c r="K874" t="s">
        <v>4466</v>
      </c>
      <c r="N874" t="s">
        <v>4467</v>
      </c>
      <c r="Z874" t="s">
        <v>43</v>
      </c>
    </row>
    <row r="875" spans="1:26" x14ac:dyDescent="0.25">
      <c r="A875">
        <v>874</v>
      </c>
      <c r="B875" t="s">
        <v>30</v>
      </c>
      <c r="C875" t="s">
        <v>4468</v>
      </c>
      <c r="D875" t="s">
        <v>64</v>
      </c>
      <c r="E875" t="s">
        <v>64</v>
      </c>
      <c r="F875" t="s">
        <v>65</v>
      </c>
      <c r="G875" t="s">
        <v>65</v>
      </c>
      <c r="I875" t="s">
        <v>4469</v>
      </c>
      <c r="J875">
        <f>57-60-1-467-4611</f>
        <v>-5082</v>
      </c>
      <c r="K875" t="s">
        <v>4470</v>
      </c>
      <c r="N875" t="s">
        <v>4471</v>
      </c>
      <c r="Z875" t="s">
        <v>43</v>
      </c>
    </row>
    <row r="876" spans="1:26" x14ac:dyDescent="0.25">
      <c r="A876">
        <v>875</v>
      </c>
      <c r="B876" t="s">
        <v>30</v>
      </c>
      <c r="C876" t="s">
        <v>4472</v>
      </c>
      <c r="D876" t="s">
        <v>46</v>
      </c>
      <c r="E876" t="s">
        <v>56</v>
      </c>
      <c r="F876" t="s">
        <v>820</v>
      </c>
      <c r="G876" t="s">
        <v>57</v>
      </c>
      <c r="I876" t="s">
        <v>4473</v>
      </c>
      <c r="K876" t="s">
        <v>4474</v>
      </c>
      <c r="N876" t="s">
        <v>4475</v>
      </c>
      <c r="Z876" t="s">
        <v>43</v>
      </c>
    </row>
    <row r="877" spans="1:26" x14ac:dyDescent="0.25">
      <c r="A877">
        <v>876</v>
      </c>
      <c r="B877" t="s">
        <v>30</v>
      </c>
      <c r="C877" t="s">
        <v>4476</v>
      </c>
      <c r="D877" t="s">
        <v>2336</v>
      </c>
      <c r="E877" t="s">
        <v>471</v>
      </c>
      <c r="F877" t="s">
        <v>2337</v>
      </c>
      <c r="G877" t="s">
        <v>47</v>
      </c>
      <c r="I877" t="s">
        <v>4477</v>
      </c>
      <c r="K877" t="s">
        <v>4478</v>
      </c>
      <c r="N877" t="s">
        <v>4479</v>
      </c>
      <c r="Z877" t="s">
        <v>43</v>
      </c>
    </row>
    <row r="878" spans="1:26" x14ac:dyDescent="0.25">
      <c r="A878">
        <v>877</v>
      </c>
      <c r="B878" t="s">
        <v>30</v>
      </c>
      <c r="C878" t="s">
        <v>4480</v>
      </c>
      <c r="D878" t="s">
        <v>46</v>
      </c>
      <c r="E878" t="s">
        <v>471</v>
      </c>
      <c r="F878" t="s">
        <v>820</v>
      </c>
      <c r="G878" t="s">
        <v>47</v>
      </c>
      <c r="I878" t="s">
        <v>4481</v>
      </c>
      <c r="K878" t="s">
        <v>4482</v>
      </c>
      <c r="N878" t="s">
        <v>4483</v>
      </c>
      <c r="Z878" t="s">
        <v>43</v>
      </c>
    </row>
    <row r="879" spans="1:26" x14ac:dyDescent="0.25">
      <c r="A879">
        <v>878</v>
      </c>
      <c r="B879" t="s">
        <v>30</v>
      </c>
      <c r="C879" t="s">
        <v>4484</v>
      </c>
      <c r="D879" t="s">
        <v>867</v>
      </c>
      <c r="E879" t="s">
        <v>72</v>
      </c>
      <c r="F879" t="s">
        <v>4485</v>
      </c>
      <c r="G879" t="s">
        <v>73</v>
      </c>
      <c r="I879" t="s">
        <v>4486</v>
      </c>
      <c r="J879">
        <f>57-60-1-756-5694</f>
        <v>-6454</v>
      </c>
      <c r="K879" t="s">
        <v>4487</v>
      </c>
      <c r="N879" t="s">
        <v>4488</v>
      </c>
      <c r="Z879" t="s">
        <v>43</v>
      </c>
    </row>
    <row r="880" spans="1:26" x14ac:dyDescent="0.25">
      <c r="A880">
        <v>879</v>
      </c>
      <c r="B880" t="s">
        <v>30</v>
      </c>
      <c r="C880" t="s">
        <v>4489</v>
      </c>
      <c r="D880" t="s">
        <v>4490</v>
      </c>
      <c r="E880" t="s">
        <v>56</v>
      </c>
      <c r="F880" t="s">
        <v>4491</v>
      </c>
      <c r="G880" t="s">
        <v>57</v>
      </c>
      <c r="I880" t="s">
        <v>4492</v>
      </c>
      <c r="J880">
        <f>57-314-294-6824</f>
        <v>-7375</v>
      </c>
      <c r="K880" t="s">
        <v>4493</v>
      </c>
      <c r="N880" t="s">
        <v>4494</v>
      </c>
      <c r="Z880" t="s">
        <v>43</v>
      </c>
    </row>
    <row r="881" spans="1:26" x14ac:dyDescent="0.25">
      <c r="A881">
        <v>880</v>
      </c>
      <c r="B881" t="s">
        <v>30</v>
      </c>
      <c r="C881" t="s">
        <v>4495</v>
      </c>
      <c r="D881" t="s">
        <v>4496</v>
      </c>
      <c r="E881" t="s">
        <v>471</v>
      </c>
      <c r="F881" t="s">
        <v>4497</v>
      </c>
      <c r="G881" t="s">
        <v>47</v>
      </c>
      <c r="I881" t="s">
        <v>4498</v>
      </c>
      <c r="J881">
        <f>57-60-1-341-888</f>
        <v>-1233</v>
      </c>
      <c r="K881" t="s">
        <v>4499</v>
      </c>
      <c r="N881" t="s">
        <v>4500</v>
      </c>
      <c r="Z881" t="s">
        <v>43</v>
      </c>
    </row>
    <row r="882" spans="1:26" x14ac:dyDescent="0.25">
      <c r="A882">
        <v>881</v>
      </c>
      <c r="B882" t="s">
        <v>30</v>
      </c>
      <c r="C882" t="s">
        <v>4501</v>
      </c>
      <c r="D882" t="s">
        <v>4502</v>
      </c>
      <c r="E882" t="s">
        <v>1055</v>
      </c>
      <c r="F882" t="s">
        <v>4503</v>
      </c>
      <c r="G882" t="s">
        <v>1057</v>
      </c>
      <c r="I882" t="s">
        <v>4504</v>
      </c>
      <c r="J882">
        <f>57-60-1-264-9309</f>
        <v>-9577</v>
      </c>
      <c r="K882" t="s">
        <v>4505</v>
      </c>
      <c r="N882" t="s">
        <v>4506</v>
      </c>
      <c r="Z882" t="s">
        <v>43</v>
      </c>
    </row>
    <row r="883" spans="1:26" x14ac:dyDescent="0.25">
      <c r="A883">
        <v>882</v>
      </c>
      <c r="B883" t="s">
        <v>30</v>
      </c>
      <c r="C883" t="s">
        <v>4507</v>
      </c>
      <c r="D883" t="s">
        <v>3465</v>
      </c>
      <c r="E883" t="s">
        <v>64</v>
      </c>
      <c r="F883" t="s">
        <v>3466</v>
      </c>
      <c r="G883" t="s">
        <v>65</v>
      </c>
      <c r="I883" t="s">
        <v>4508</v>
      </c>
      <c r="K883" t="s">
        <v>4509</v>
      </c>
      <c r="N883" t="s">
        <v>4510</v>
      </c>
      <c r="Z883" t="s">
        <v>43</v>
      </c>
    </row>
    <row r="884" spans="1:26" x14ac:dyDescent="0.25">
      <c r="A884">
        <v>883</v>
      </c>
      <c r="B884" t="s">
        <v>30</v>
      </c>
      <c r="C884" t="s">
        <v>4511</v>
      </c>
      <c r="D884" t="s">
        <v>46</v>
      </c>
      <c r="E884" t="s">
        <v>56</v>
      </c>
      <c r="F884" t="s">
        <v>820</v>
      </c>
      <c r="G884" t="s">
        <v>57</v>
      </c>
      <c r="I884" t="s">
        <v>4512</v>
      </c>
      <c r="J884">
        <f>57-317-234-8740</f>
        <v>-9234</v>
      </c>
      <c r="K884" t="s">
        <v>4513</v>
      </c>
      <c r="N884" t="s">
        <v>4514</v>
      </c>
      <c r="Z884" t="s">
        <v>43</v>
      </c>
    </row>
    <row r="885" spans="1:26" x14ac:dyDescent="0.25">
      <c r="A885">
        <v>884</v>
      </c>
      <c r="B885" t="s">
        <v>30</v>
      </c>
      <c r="C885" t="s">
        <v>4515</v>
      </c>
      <c r="D885" t="s">
        <v>72</v>
      </c>
      <c r="E885" t="s">
        <v>72</v>
      </c>
      <c r="F885" t="s">
        <v>73</v>
      </c>
      <c r="G885" t="s">
        <v>73</v>
      </c>
      <c r="H885" t="s">
        <v>4516</v>
      </c>
      <c r="I885" t="s">
        <v>4517</v>
      </c>
      <c r="J885">
        <f>57-60-1-217-4582</f>
        <v>-4803</v>
      </c>
      <c r="K885" t="s">
        <v>4518</v>
      </c>
      <c r="N885" t="s">
        <v>4519</v>
      </c>
      <c r="O885" t="s">
        <v>4520</v>
      </c>
      <c r="Z885" t="s">
        <v>43</v>
      </c>
    </row>
    <row r="886" spans="1:26" x14ac:dyDescent="0.25">
      <c r="A886">
        <v>885</v>
      </c>
      <c r="B886" t="s">
        <v>30</v>
      </c>
      <c r="C886" t="s">
        <v>4521</v>
      </c>
      <c r="D886" t="s">
        <v>2591</v>
      </c>
      <c r="E886" t="s">
        <v>56</v>
      </c>
      <c r="F886" t="s">
        <v>2593</v>
      </c>
      <c r="G886" t="s">
        <v>57</v>
      </c>
      <c r="I886" t="s">
        <v>4522</v>
      </c>
      <c r="K886" t="s">
        <v>1215</v>
      </c>
      <c r="N886" t="s">
        <v>4523</v>
      </c>
      <c r="Z886" t="s">
        <v>43</v>
      </c>
    </row>
    <row r="887" spans="1:26" x14ac:dyDescent="0.25">
      <c r="A887">
        <v>886</v>
      </c>
      <c r="B887" t="s">
        <v>30</v>
      </c>
      <c r="C887" t="s">
        <v>4524</v>
      </c>
      <c r="D887" t="s">
        <v>64</v>
      </c>
      <c r="E887" t="s">
        <v>64</v>
      </c>
      <c r="F887" t="s">
        <v>65</v>
      </c>
      <c r="G887" t="s">
        <v>65</v>
      </c>
      <c r="I887" t="s">
        <v>4525</v>
      </c>
      <c r="K887" t="s">
        <v>4526</v>
      </c>
      <c r="N887" t="s">
        <v>4527</v>
      </c>
      <c r="Z887" t="s">
        <v>43</v>
      </c>
    </row>
    <row r="888" spans="1:26" x14ac:dyDescent="0.25">
      <c r="A888">
        <v>887</v>
      </c>
      <c r="B888" t="s">
        <v>30</v>
      </c>
      <c r="C888" t="s">
        <v>4528</v>
      </c>
      <c r="D888" t="s">
        <v>4165</v>
      </c>
      <c r="E888" t="s">
        <v>2007</v>
      </c>
      <c r="F888" t="s">
        <v>4166</v>
      </c>
      <c r="G888" t="s">
        <v>2009</v>
      </c>
      <c r="I888" t="s">
        <v>4529</v>
      </c>
      <c r="J888">
        <f>57-60-1-476-187</f>
        <v>-667</v>
      </c>
      <c r="K888" t="s">
        <v>4530</v>
      </c>
      <c r="N888" t="s">
        <v>4531</v>
      </c>
      <c r="Z888" t="s">
        <v>43</v>
      </c>
    </row>
    <row r="889" spans="1:26" x14ac:dyDescent="0.25">
      <c r="A889">
        <v>888</v>
      </c>
      <c r="B889" t="s">
        <v>30</v>
      </c>
      <c r="C889" t="s">
        <v>4532</v>
      </c>
      <c r="D889" t="s">
        <v>4533</v>
      </c>
      <c r="E889" t="s">
        <v>64</v>
      </c>
      <c r="F889" t="s">
        <v>4534</v>
      </c>
      <c r="G889" t="s">
        <v>65</v>
      </c>
      <c r="I889" t="s">
        <v>4535</v>
      </c>
      <c r="J889">
        <f>57-311-847-2338</f>
        <v>-3439</v>
      </c>
      <c r="K889" t="s">
        <v>4536</v>
      </c>
      <c r="N889" t="s">
        <v>4537</v>
      </c>
      <c r="Z889" t="s">
        <v>43</v>
      </c>
    </row>
    <row r="890" spans="1:26" x14ac:dyDescent="0.25">
      <c r="A890">
        <v>889</v>
      </c>
      <c r="B890" t="s">
        <v>30</v>
      </c>
      <c r="C890" t="s">
        <v>4538</v>
      </c>
      <c r="D890" t="s">
        <v>384</v>
      </c>
      <c r="E890" t="s">
        <v>471</v>
      </c>
      <c r="F890" t="s">
        <v>386</v>
      </c>
      <c r="G890" t="s">
        <v>47</v>
      </c>
      <c r="I890" t="s">
        <v>4539</v>
      </c>
      <c r="K890" t="s">
        <v>4540</v>
      </c>
      <c r="N890" t="s">
        <v>4541</v>
      </c>
      <c r="Z890" t="s">
        <v>43</v>
      </c>
    </row>
    <row r="891" spans="1:26" x14ac:dyDescent="0.25">
      <c r="A891">
        <v>890</v>
      </c>
      <c r="B891" t="s">
        <v>30</v>
      </c>
      <c r="C891" t="s">
        <v>4542</v>
      </c>
      <c r="D891" t="s">
        <v>3274</v>
      </c>
      <c r="E891" t="s">
        <v>471</v>
      </c>
      <c r="F891" t="s">
        <v>3275</v>
      </c>
      <c r="G891" t="s">
        <v>47</v>
      </c>
      <c r="I891" t="s">
        <v>4543</v>
      </c>
      <c r="J891">
        <f>57-60-1-721-8040</f>
        <v>-8765</v>
      </c>
      <c r="K891" t="s">
        <v>4544</v>
      </c>
      <c r="N891" t="s">
        <v>4545</v>
      </c>
      <c r="Z891" t="s">
        <v>43</v>
      </c>
    </row>
    <row r="892" spans="1:26" x14ac:dyDescent="0.25">
      <c r="A892">
        <v>891</v>
      </c>
      <c r="B892" t="s">
        <v>30</v>
      </c>
      <c r="C892" t="s">
        <v>4546</v>
      </c>
      <c r="D892" t="s">
        <v>46</v>
      </c>
      <c r="E892" t="s">
        <v>471</v>
      </c>
      <c r="F892" t="s">
        <v>820</v>
      </c>
      <c r="G892" t="s">
        <v>47</v>
      </c>
      <c r="I892" t="s">
        <v>4547</v>
      </c>
      <c r="K892" t="s">
        <v>4548</v>
      </c>
      <c r="N892" t="s">
        <v>4549</v>
      </c>
      <c r="Z892" t="s">
        <v>43</v>
      </c>
    </row>
    <row r="893" spans="1:26" x14ac:dyDescent="0.25">
      <c r="A893">
        <v>892</v>
      </c>
      <c r="B893" t="s">
        <v>30</v>
      </c>
      <c r="C893" t="s">
        <v>4550</v>
      </c>
      <c r="D893" t="s">
        <v>979</v>
      </c>
      <c r="E893" t="s">
        <v>471</v>
      </c>
      <c r="F893" t="s">
        <v>980</v>
      </c>
      <c r="G893" t="s">
        <v>47</v>
      </c>
      <c r="I893" t="s">
        <v>4551</v>
      </c>
      <c r="J893">
        <f>57-321-229-4163</f>
        <v>-4656</v>
      </c>
      <c r="K893" t="s">
        <v>4552</v>
      </c>
      <c r="N893" t="s">
        <v>4553</v>
      </c>
      <c r="Z893" t="s">
        <v>43</v>
      </c>
    </row>
    <row r="894" spans="1:26" x14ac:dyDescent="0.25">
      <c r="A894">
        <v>893</v>
      </c>
      <c r="B894" t="s">
        <v>30</v>
      </c>
      <c r="C894" t="s">
        <v>4554</v>
      </c>
      <c r="D894" t="s">
        <v>909</v>
      </c>
      <c r="E894" t="s">
        <v>471</v>
      </c>
      <c r="F894" t="s">
        <v>910</v>
      </c>
      <c r="G894" t="s">
        <v>47</v>
      </c>
      <c r="I894" t="s">
        <v>4555</v>
      </c>
      <c r="K894" t="s">
        <v>4556</v>
      </c>
      <c r="N894" t="s">
        <v>4557</v>
      </c>
      <c r="Z894" t="s">
        <v>43</v>
      </c>
    </row>
    <row r="895" spans="1:26" x14ac:dyDescent="0.25">
      <c r="A895">
        <v>894</v>
      </c>
      <c r="B895" t="s">
        <v>30</v>
      </c>
      <c r="C895" t="s">
        <v>4558</v>
      </c>
      <c r="D895" t="s">
        <v>1260</v>
      </c>
      <c r="E895" t="s">
        <v>471</v>
      </c>
      <c r="F895" t="s">
        <v>2204</v>
      </c>
      <c r="G895" t="s">
        <v>47</v>
      </c>
      <c r="I895" t="s">
        <v>4559</v>
      </c>
      <c r="J895">
        <f>57-305-749-9947</f>
        <v>-10944</v>
      </c>
      <c r="K895" t="s">
        <v>4560</v>
      </c>
      <c r="N895" t="s">
        <v>4561</v>
      </c>
      <c r="Z895" t="s">
        <v>43</v>
      </c>
    </row>
    <row r="896" spans="1:26" x14ac:dyDescent="0.25">
      <c r="A896">
        <v>895</v>
      </c>
      <c r="B896" t="s">
        <v>30</v>
      </c>
      <c r="C896" t="s">
        <v>4562</v>
      </c>
      <c r="D896" t="s">
        <v>46</v>
      </c>
      <c r="E896" t="s">
        <v>56</v>
      </c>
      <c r="F896" t="s">
        <v>941</v>
      </c>
      <c r="G896" t="s">
        <v>57</v>
      </c>
      <c r="I896" t="s">
        <v>4563</v>
      </c>
      <c r="K896" t="s">
        <v>4564</v>
      </c>
      <c r="N896" t="s">
        <v>4565</v>
      </c>
      <c r="Z896" t="s">
        <v>43</v>
      </c>
    </row>
    <row r="897" spans="1:26" x14ac:dyDescent="0.25">
      <c r="A897">
        <v>896</v>
      </c>
      <c r="B897" t="s">
        <v>30</v>
      </c>
      <c r="C897" t="s">
        <v>4566</v>
      </c>
      <c r="D897" t="s">
        <v>64</v>
      </c>
      <c r="E897" t="s">
        <v>64</v>
      </c>
      <c r="F897" t="s">
        <v>65</v>
      </c>
      <c r="G897" t="s">
        <v>65</v>
      </c>
      <c r="I897" t="s">
        <v>4567</v>
      </c>
      <c r="K897" t="s">
        <v>4568</v>
      </c>
      <c r="N897" t="s">
        <v>4569</v>
      </c>
      <c r="Z897" t="s">
        <v>43</v>
      </c>
    </row>
    <row r="898" spans="1:26" x14ac:dyDescent="0.25">
      <c r="A898">
        <v>897</v>
      </c>
      <c r="B898" t="s">
        <v>30</v>
      </c>
      <c r="C898" t="s">
        <v>4570</v>
      </c>
      <c r="D898" t="s">
        <v>772</v>
      </c>
      <c r="E898" t="s">
        <v>72</v>
      </c>
      <c r="F898" t="s">
        <v>773</v>
      </c>
      <c r="G898" t="s">
        <v>73</v>
      </c>
      <c r="I898" t="s">
        <v>4571</v>
      </c>
      <c r="K898" t="s">
        <v>4572</v>
      </c>
      <c r="N898" t="s">
        <v>4573</v>
      </c>
      <c r="Z898" t="s">
        <v>43</v>
      </c>
    </row>
    <row r="899" spans="1:26" x14ac:dyDescent="0.25">
      <c r="A899">
        <v>898</v>
      </c>
      <c r="B899" t="s">
        <v>30</v>
      </c>
      <c r="C899" t="s">
        <v>4574</v>
      </c>
      <c r="D899" t="s">
        <v>909</v>
      </c>
      <c r="E899" t="s">
        <v>471</v>
      </c>
      <c r="F899" t="s">
        <v>1659</v>
      </c>
      <c r="G899" t="s">
        <v>47</v>
      </c>
      <c r="I899" t="s">
        <v>4575</v>
      </c>
      <c r="K899" t="s">
        <v>4576</v>
      </c>
      <c r="N899" t="s">
        <v>4577</v>
      </c>
      <c r="Z899" t="s">
        <v>43</v>
      </c>
    </row>
    <row r="900" spans="1:26" x14ac:dyDescent="0.25">
      <c r="A900">
        <v>899</v>
      </c>
      <c r="B900" t="s">
        <v>30</v>
      </c>
      <c r="C900" t="s">
        <v>4578</v>
      </c>
      <c r="D900" t="s">
        <v>2168</v>
      </c>
      <c r="E900" t="s">
        <v>64</v>
      </c>
      <c r="F900" t="s">
        <v>2169</v>
      </c>
      <c r="G900" t="s">
        <v>65</v>
      </c>
      <c r="I900" t="s">
        <v>4579</v>
      </c>
      <c r="J900">
        <f>57-313-428-5706</f>
        <v>-6390</v>
      </c>
      <c r="K900" t="s">
        <v>4580</v>
      </c>
      <c r="N900" t="s">
        <v>4581</v>
      </c>
      <c r="Z900" t="s">
        <v>43</v>
      </c>
    </row>
    <row r="901" spans="1:26" x14ac:dyDescent="0.25">
      <c r="A901">
        <v>900</v>
      </c>
      <c r="B901" t="s">
        <v>30</v>
      </c>
      <c r="C901" t="s">
        <v>4582</v>
      </c>
      <c r="D901" t="s">
        <v>799</v>
      </c>
      <c r="E901" t="s">
        <v>800</v>
      </c>
      <c r="F901" t="s">
        <v>2228</v>
      </c>
      <c r="G901" t="s">
        <v>802</v>
      </c>
      <c r="I901" t="s">
        <v>3500</v>
      </c>
      <c r="J901">
        <f>57-300-320-5286</f>
        <v>-5849</v>
      </c>
      <c r="K901" t="s">
        <v>3501</v>
      </c>
      <c r="N901" t="s">
        <v>3502</v>
      </c>
      <c r="Z901" t="s">
        <v>43</v>
      </c>
    </row>
    <row r="902" spans="1:26" x14ac:dyDescent="0.25">
      <c r="A902">
        <v>901</v>
      </c>
      <c r="B902" t="s">
        <v>30</v>
      </c>
      <c r="C902" t="s">
        <v>4583</v>
      </c>
      <c r="D902" t="s">
        <v>2168</v>
      </c>
      <c r="E902" t="s">
        <v>800</v>
      </c>
      <c r="F902" t="s">
        <v>2169</v>
      </c>
      <c r="G902" t="s">
        <v>802</v>
      </c>
      <c r="I902" t="s">
        <v>4584</v>
      </c>
      <c r="K902" t="s">
        <v>4585</v>
      </c>
      <c r="N902" t="s">
        <v>4586</v>
      </c>
      <c r="Z902" t="s">
        <v>43</v>
      </c>
    </row>
    <row r="903" spans="1:26" x14ac:dyDescent="0.25">
      <c r="A903">
        <v>902</v>
      </c>
      <c r="B903" t="s">
        <v>30</v>
      </c>
      <c r="C903" t="s">
        <v>4587</v>
      </c>
      <c r="D903" t="s">
        <v>799</v>
      </c>
      <c r="E903" t="s">
        <v>800</v>
      </c>
      <c r="F903" t="s">
        <v>2228</v>
      </c>
      <c r="G903" t="s">
        <v>802</v>
      </c>
      <c r="I903" t="s">
        <v>4588</v>
      </c>
      <c r="J903">
        <f>57-60-1-310-5772</f>
        <v>-6086</v>
      </c>
      <c r="K903" t="s">
        <v>4589</v>
      </c>
      <c r="N903" t="s">
        <v>4590</v>
      </c>
      <c r="Z903" t="s">
        <v>43</v>
      </c>
    </row>
    <row r="904" spans="1:26" x14ac:dyDescent="0.25">
      <c r="A904">
        <v>903</v>
      </c>
      <c r="B904" t="s">
        <v>30</v>
      </c>
      <c r="C904" t="s">
        <v>4591</v>
      </c>
      <c r="D904" t="s">
        <v>909</v>
      </c>
      <c r="E904" t="s">
        <v>471</v>
      </c>
      <c r="F904" t="s">
        <v>1659</v>
      </c>
      <c r="G904" t="s">
        <v>47</v>
      </c>
      <c r="I904" t="s">
        <v>4592</v>
      </c>
      <c r="K904" t="s">
        <v>4593</v>
      </c>
      <c r="N904" t="s">
        <v>4594</v>
      </c>
      <c r="Z904" t="s">
        <v>43</v>
      </c>
    </row>
    <row r="905" spans="1:26" x14ac:dyDescent="0.25">
      <c r="A905">
        <v>904</v>
      </c>
      <c r="B905" t="s">
        <v>30</v>
      </c>
      <c r="C905" t="s">
        <v>4595</v>
      </c>
      <c r="D905" t="s">
        <v>909</v>
      </c>
      <c r="E905" t="s">
        <v>471</v>
      </c>
      <c r="F905" t="s">
        <v>1659</v>
      </c>
      <c r="G905" t="s">
        <v>47</v>
      </c>
      <c r="I905" t="s">
        <v>4596</v>
      </c>
      <c r="K905" t="s">
        <v>4597</v>
      </c>
      <c r="N905" t="s">
        <v>4598</v>
      </c>
      <c r="Z905" t="s">
        <v>43</v>
      </c>
    </row>
    <row r="906" spans="1:26" x14ac:dyDescent="0.25">
      <c r="A906">
        <v>905</v>
      </c>
      <c r="B906" t="s">
        <v>30</v>
      </c>
      <c r="C906" t="s">
        <v>4599</v>
      </c>
      <c r="D906" t="s">
        <v>4600</v>
      </c>
      <c r="E906" t="s">
        <v>1217</v>
      </c>
      <c r="F906" t="s">
        <v>4601</v>
      </c>
      <c r="G906" t="s">
        <v>2132</v>
      </c>
      <c r="I906" t="s">
        <v>4602</v>
      </c>
      <c r="J906">
        <f>57-60-1-368-987</f>
        <v>-1359</v>
      </c>
      <c r="K906" t="s">
        <v>4603</v>
      </c>
      <c r="N906" t="s">
        <v>4604</v>
      </c>
      <c r="Z906" t="s">
        <v>43</v>
      </c>
    </row>
    <row r="907" spans="1:26" x14ac:dyDescent="0.25">
      <c r="A907">
        <v>906</v>
      </c>
      <c r="B907" t="s">
        <v>30</v>
      </c>
      <c r="C907" t="s">
        <v>4605</v>
      </c>
      <c r="D907" t="s">
        <v>1260</v>
      </c>
      <c r="E907" t="s">
        <v>471</v>
      </c>
      <c r="F907" t="s">
        <v>2178</v>
      </c>
      <c r="G907" t="s">
        <v>47</v>
      </c>
      <c r="I907" t="s">
        <v>4606</v>
      </c>
      <c r="K907" t="s">
        <v>4607</v>
      </c>
      <c r="N907" t="s">
        <v>4608</v>
      </c>
      <c r="Z907" t="s">
        <v>43</v>
      </c>
    </row>
    <row r="908" spans="1:26" x14ac:dyDescent="0.25">
      <c r="A908">
        <v>907</v>
      </c>
      <c r="B908" t="s">
        <v>30</v>
      </c>
      <c r="C908" t="s">
        <v>4609</v>
      </c>
      <c r="D908" t="s">
        <v>979</v>
      </c>
      <c r="E908" t="s">
        <v>56</v>
      </c>
      <c r="F908" t="s">
        <v>2385</v>
      </c>
      <c r="G908" t="s">
        <v>57</v>
      </c>
      <c r="I908" t="s">
        <v>4610</v>
      </c>
      <c r="J908">
        <f>57-301-496-2071</f>
        <v>-2811</v>
      </c>
      <c r="K908" t="s">
        <v>4611</v>
      </c>
      <c r="N908" t="s">
        <v>4612</v>
      </c>
      <c r="Z908" t="s">
        <v>43</v>
      </c>
    </row>
    <row r="909" spans="1:26" x14ac:dyDescent="0.25">
      <c r="A909">
        <v>908</v>
      </c>
      <c r="B909" t="s">
        <v>30</v>
      </c>
      <c r="C909" t="s">
        <v>4613</v>
      </c>
      <c r="D909" t="s">
        <v>46</v>
      </c>
      <c r="E909" t="s">
        <v>471</v>
      </c>
      <c r="F909" t="s">
        <v>820</v>
      </c>
      <c r="G909" t="s">
        <v>47</v>
      </c>
      <c r="I909" t="s">
        <v>4614</v>
      </c>
      <c r="J909">
        <f>57-317-442-2076</f>
        <v>-2778</v>
      </c>
      <c r="K909" t="s">
        <v>4615</v>
      </c>
      <c r="N909" t="s">
        <v>4616</v>
      </c>
      <c r="Z909" t="s">
        <v>43</v>
      </c>
    </row>
    <row r="910" spans="1:26" x14ac:dyDescent="0.25">
      <c r="A910">
        <v>909</v>
      </c>
      <c r="B910" t="s">
        <v>30</v>
      </c>
      <c r="C910" t="s">
        <v>4617</v>
      </c>
      <c r="D910" t="s">
        <v>384</v>
      </c>
      <c r="E910" t="s">
        <v>471</v>
      </c>
      <c r="F910" t="s">
        <v>386</v>
      </c>
      <c r="G910" t="s">
        <v>47</v>
      </c>
      <c r="I910" t="s">
        <v>4618</v>
      </c>
      <c r="J910">
        <f>57-60-1-368-8118</f>
        <v>-8490</v>
      </c>
      <c r="K910" t="s">
        <v>4619</v>
      </c>
      <c r="N910" t="s">
        <v>4620</v>
      </c>
      <c r="Z910" t="s">
        <v>43</v>
      </c>
    </row>
    <row r="911" spans="1:26" x14ac:dyDescent="0.25">
      <c r="A911">
        <v>910</v>
      </c>
      <c r="B911" t="s">
        <v>30</v>
      </c>
      <c r="C911" t="s">
        <v>4621</v>
      </c>
      <c r="D911" t="s">
        <v>909</v>
      </c>
      <c r="E911" t="s">
        <v>471</v>
      </c>
      <c r="F911" t="s">
        <v>1659</v>
      </c>
      <c r="G911" t="s">
        <v>47</v>
      </c>
      <c r="I911" t="s">
        <v>4622</v>
      </c>
      <c r="J911">
        <f>57-60-1-744-2626</f>
        <v>-3374</v>
      </c>
      <c r="K911" t="s">
        <v>4623</v>
      </c>
      <c r="N911" t="s">
        <v>4624</v>
      </c>
      <c r="Z911" t="s">
        <v>43</v>
      </c>
    </row>
    <row r="912" spans="1:26" x14ac:dyDescent="0.25">
      <c r="A912">
        <v>911</v>
      </c>
      <c r="B912" t="s">
        <v>30</v>
      </c>
      <c r="C912" t="s">
        <v>4625</v>
      </c>
      <c r="D912" t="s">
        <v>909</v>
      </c>
      <c r="E912" t="s">
        <v>471</v>
      </c>
      <c r="F912" t="s">
        <v>2233</v>
      </c>
      <c r="G912" t="s">
        <v>47</v>
      </c>
      <c r="I912" t="s">
        <v>4626</v>
      </c>
      <c r="K912" t="s">
        <v>4627</v>
      </c>
      <c r="N912" t="s">
        <v>4628</v>
      </c>
      <c r="Z912" t="s">
        <v>43</v>
      </c>
    </row>
    <row r="913" spans="1:26" x14ac:dyDescent="0.25">
      <c r="A913">
        <v>912</v>
      </c>
      <c r="B913" t="s">
        <v>30</v>
      </c>
      <c r="C913" t="s">
        <v>4629</v>
      </c>
      <c r="D913" t="s">
        <v>4630</v>
      </c>
      <c r="E913" t="s">
        <v>4631</v>
      </c>
      <c r="F913" t="s">
        <v>4632</v>
      </c>
      <c r="G913" t="s">
        <v>4633</v>
      </c>
      <c r="I913" t="s">
        <v>4634</v>
      </c>
      <c r="J913">
        <f>57-320-861-4622</f>
        <v>-5746</v>
      </c>
      <c r="K913" t="s">
        <v>4635</v>
      </c>
      <c r="N913" t="s">
        <v>4636</v>
      </c>
      <c r="Z913" t="s">
        <v>43</v>
      </c>
    </row>
    <row r="914" spans="1:26" x14ac:dyDescent="0.25">
      <c r="A914">
        <v>913</v>
      </c>
      <c r="B914" t="s">
        <v>30</v>
      </c>
      <c r="C914" t="s">
        <v>4637</v>
      </c>
      <c r="D914" t="s">
        <v>2336</v>
      </c>
      <c r="E914" t="s">
        <v>56</v>
      </c>
      <c r="F914" t="s">
        <v>2337</v>
      </c>
      <c r="G914" t="s">
        <v>57</v>
      </c>
      <c r="I914" t="s">
        <v>4638</v>
      </c>
      <c r="J914">
        <f>57-320-811-1111</f>
        <v>-2185</v>
      </c>
      <c r="K914" t="s">
        <v>4639</v>
      </c>
      <c r="N914" t="s">
        <v>4640</v>
      </c>
      <c r="Z914" t="s">
        <v>43</v>
      </c>
    </row>
    <row r="915" spans="1:26" x14ac:dyDescent="0.25">
      <c r="A915">
        <v>914</v>
      </c>
      <c r="B915" t="s">
        <v>30</v>
      </c>
      <c r="C915" t="s">
        <v>4641</v>
      </c>
      <c r="D915" t="s">
        <v>4642</v>
      </c>
      <c r="E915" t="s">
        <v>4643</v>
      </c>
      <c r="F915" t="s">
        <v>4644</v>
      </c>
      <c r="G915" t="s">
        <v>4645</v>
      </c>
      <c r="I915" t="s">
        <v>4646</v>
      </c>
      <c r="K915" t="s">
        <v>4647</v>
      </c>
      <c r="N915" t="s">
        <v>4648</v>
      </c>
      <c r="Z915" t="s">
        <v>43</v>
      </c>
    </row>
    <row r="916" spans="1:26" x14ac:dyDescent="0.25">
      <c r="A916">
        <v>915</v>
      </c>
      <c r="B916" t="s">
        <v>30</v>
      </c>
      <c r="C916" t="s">
        <v>4649</v>
      </c>
      <c r="D916" t="s">
        <v>2839</v>
      </c>
      <c r="E916" t="s">
        <v>471</v>
      </c>
      <c r="F916" t="s">
        <v>4650</v>
      </c>
      <c r="G916" t="s">
        <v>47</v>
      </c>
      <c r="I916" t="s">
        <v>4651</v>
      </c>
      <c r="J916">
        <f>57-310-269-5154</f>
        <v>-5676</v>
      </c>
      <c r="K916" t="s">
        <v>4652</v>
      </c>
      <c r="N916" t="s">
        <v>4653</v>
      </c>
      <c r="Z916" t="s">
        <v>43</v>
      </c>
    </row>
    <row r="917" spans="1:26" x14ac:dyDescent="0.25">
      <c r="A917">
        <v>916</v>
      </c>
      <c r="B917" t="s">
        <v>30</v>
      </c>
      <c r="C917" t="s">
        <v>4654</v>
      </c>
      <c r="D917" t="s">
        <v>4655</v>
      </c>
      <c r="E917" t="s">
        <v>755</v>
      </c>
      <c r="F917" t="s">
        <v>4656</v>
      </c>
      <c r="G917" t="s">
        <v>2199</v>
      </c>
      <c r="I917" t="s">
        <v>4657</v>
      </c>
      <c r="J917">
        <f>57-317-829-5301</f>
        <v>-6390</v>
      </c>
      <c r="K917" t="s">
        <v>4658</v>
      </c>
      <c r="N917" t="s">
        <v>4659</v>
      </c>
      <c r="Z917" t="s">
        <v>43</v>
      </c>
    </row>
    <row r="918" spans="1:26" x14ac:dyDescent="0.25">
      <c r="A918">
        <v>917</v>
      </c>
      <c r="B918" t="s">
        <v>30</v>
      </c>
      <c r="C918" t="s">
        <v>4660</v>
      </c>
      <c r="D918" t="s">
        <v>1260</v>
      </c>
      <c r="E918" t="s">
        <v>64</v>
      </c>
      <c r="F918" t="s">
        <v>2204</v>
      </c>
      <c r="G918" t="s">
        <v>65</v>
      </c>
      <c r="I918" t="s">
        <v>4661</v>
      </c>
      <c r="J918">
        <f>57-311-514-1932</f>
        <v>-2700</v>
      </c>
      <c r="K918" t="s">
        <v>4662</v>
      </c>
      <c r="N918" t="s">
        <v>4663</v>
      </c>
      <c r="Z918" t="s">
        <v>43</v>
      </c>
    </row>
    <row r="919" spans="1:26" x14ac:dyDescent="0.25">
      <c r="A919">
        <v>918</v>
      </c>
      <c r="B919" t="s">
        <v>30</v>
      </c>
      <c r="C919" t="s">
        <v>4664</v>
      </c>
      <c r="D919" t="s">
        <v>3199</v>
      </c>
      <c r="E919" t="s">
        <v>2936</v>
      </c>
      <c r="F919" t="s">
        <v>4665</v>
      </c>
      <c r="G919" t="s">
        <v>2938</v>
      </c>
      <c r="I919" t="s">
        <v>4666</v>
      </c>
      <c r="K919" t="s">
        <v>4667</v>
      </c>
      <c r="N919" t="s">
        <v>4668</v>
      </c>
      <c r="Z919" t="s">
        <v>43</v>
      </c>
    </row>
    <row r="920" spans="1:26" x14ac:dyDescent="0.25">
      <c r="A920">
        <v>919</v>
      </c>
      <c r="B920" t="s">
        <v>30</v>
      </c>
      <c r="C920" t="s">
        <v>4669</v>
      </c>
      <c r="D920" t="s">
        <v>4670</v>
      </c>
      <c r="E920" t="s">
        <v>3210</v>
      </c>
      <c r="F920" t="s">
        <v>4671</v>
      </c>
      <c r="G920" t="s">
        <v>3212</v>
      </c>
      <c r="I920" t="s">
        <v>4672</v>
      </c>
      <c r="J920">
        <f>57-310-220-3220</f>
        <v>-3693</v>
      </c>
      <c r="K920" t="s">
        <v>4673</v>
      </c>
      <c r="N920" t="s">
        <v>4674</v>
      </c>
      <c r="Z920" t="s">
        <v>43</v>
      </c>
    </row>
    <row r="921" spans="1:26" x14ac:dyDescent="0.25">
      <c r="A921">
        <v>920</v>
      </c>
      <c r="B921" t="s">
        <v>30</v>
      </c>
      <c r="C921" t="s">
        <v>4675</v>
      </c>
      <c r="D921" t="s">
        <v>2150</v>
      </c>
      <c r="E921" t="s">
        <v>755</v>
      </c>
      <c r="F921" t="s">
        <v>2151</v>
      </c>
      <c r="G921" t="s">
        <v>757</v>
      </c>
      <c r="I921" t="s">
        <v>4676</v>
      </c>
      <c r="K921" t="s">
        <v>4677</v>
      </c>
      <c r="N921" t="s">
        <v>4678</v>
      </c>
      <c r="Z921" t="s">
        <v>43</v>
      </c>
    </row>
    <row r="922" spans="1:26" x14ac:dyDescent="0.25">
      <c r="A922">
        <v>921</v>
      </c>
      <c r="B922" t="s">
        <v>30</v>
      </c>
      <c r="C922" t="s">
        <v>4679</v>
      </c>
      <c r="D922" t="s">
        <v>4680</v>
      </c>
      <c r="E922" t="s">
        <v>56</v>
      </c>
      <c r="F922" t="s">
        <v>4681</v>
      </c>
      <c r="G922" t="s">
        <v>57</v>
      </c>
      <c r="I922" t="s">
        <v>4682</v>
      </c>
      <c r="J922">
        <f>57-319-524-4652</f>
        <v>-5438</v>
      </c>
      <c r="K922" t="s">
        <v>4683</v>
      </c>
      <c r="N922" t="s">
        <v>4684</v>
      </c>
      <c r="Z922" t="s">
        <v>43</v>
      </c>
    </row>
    <row r="923" spans="1:26" x14ac:dyDescent="0.25">
      <c r="A923">
        <v>922</v>
      </c>
      <c r="B923" t="s">
        <v>30</v>
      </c>
      <c r="C923" t="s">
        <v>4685</v>
      </c>
      <c r="D923" t="s">
        <v>384</v>
      </c>
      <c r="E923" t="s">
        <v>385</v>
      </c>
      <c r="F923" t="s">
        <v>386</v>
      </c>
      <c r="G923" t="s">
        <v>387</v>
      </c>
      <c r="I923" t="s">
        <v>4686</v>
      </c>
      <c r="J923">
        <f>57-315-459-2463</f>
        <v>-3180</v>
      </c>
      <c r="K923" t="s">
        <v>4687</v>
      </c>
      <c r="N923" t="s">
        <v>4688</v>
      </c>
      <c r="Z923" t="s">
        <v>43</v>
      </c>
    </row>
    <row r="924" spans="1:26" x14ac:dyDescent="0.25">
      <c r="A924">
        <v>923</v>
      </c>
      <c r="B924" t="s">
        <v>30</v>
      </c>
      <c r="C924" t="s">
        <v>4689</v>
      </c>
      <c r="D924" t="s">
        <v>72</v>
      </c>
      <c r="E924" t="s">
        <v>72</v>
      </c>
      <c r="F924" t="s">
        <v>73</v>
      </c>
      <c r="G924" t="s">
        <v>73</v>
      </c>
      <c r="I924" t="s">
        <v>4690</v>
      </c>
      <c r="J924">
        <f>57-315-333-2222</f>
        <v>-2813</v>
      </c>
      <c r="K924" t="s">
        <v>4691</v>
      </c>
      <c r="N924" t="s">
        <v>4692</v>
      </c>
      <c r="Z924" t="s">
        <v>43</v>
      </c>
    </row>
    <row r="925" spans="1:26" x14ac:dyDescent="0.25">
      <c r="A925">
        <v>924</v>
      </c>
      <c r="B925" t="s">
        <v>30</v>
      </c>
      <c r="C925" t="s">
        <v>4693</v>
      </c>
      <c r="D925" t="s">
        <v>46</v>
      </c>
      <c r="E925" t="s">
        <v>471</v>
      </c>
      <c r="F925" t="s">
        <v>941</v>
      </c>
      <c r="G925" t="s">
        <v>966</v>
      </c>
      <c r="I925" t="s">
        <v>4694</v>
      </c>
      <c r="K925" t="s">
        <v>4695</v>
      </c>
      <c r="N925" t="s">
        <v>4696</v>
      </c>
      <c r="Z925" t="s">
        <v>43</v>
      </c>
    </row>
    <row r="926" spans="1:26" x14ac:dyDescent="0.25">
      <c r="A926">
        <v>925</v>
      </c>
      <c r="B926" t="s">
        <v>30</v>
      </c>
      <c r="C926" t="s">
        <v>4697</v>
      </c>
      <c r="D926" t="s">
        <v>4698</v>
      </c>
      <c r="E926" t="s">
        <v>64</v>
      </c>
      <c r="F926" t="s">
        <v>4699</v>
      </c>
      <c r="G926" t="s">
        <v>65</v>
      </c>
      <c r="I926" t="s">
        <v>4700</v>
      </c>
      <c r="J926">
        <f>57-318-270-3461</f>
        <v>-3992</v>
      </c>
      <c r="K926" t="s">
        <v>4701</v>
      </c>
      <c r="N926" t="s">
        <v>4702</v>
      </c>
      <c r="Z926" t="s">
        <v>43</v>
      </c>
    </row>
    <row r="927" spans="1:26" x14ac:dyDescent="0.25">
      <c r="A927">
        <v>926</v>
      </c>
      <c r="B927" t="s">
        <v>30</v>
      </c>
      <c r="C927" t="s">
        <v>4703</v>
      </c>
      <c r="D927" t="s">
        <v>2168</v>
      </c>
      <c r="E927" t="s">
        <v>800</v>
      </c>
      <c r="F927" t="s">
        <v>2169</v>
      </c>
      <c r="G927" t="s">
        <v>802</v>
      </c>
      <c r="I927" t="s">
        <v>4704</v>
      </c>
      <c r="K927" t="s">
        <v>4705</v>
      </c>
      <c r="N927" t="s">
        <v>4706</v>
      </c>
      <c r="Z927" t="s">
        <v>43</v>
      </c>
    </row>
    <row r="928" spans="1:26" x14ac:dyDescent="0.25">
      <c r="A928">
        <v>927</v>
      </c>
      <c r="B928" t="s">
        <v>30</v>
      </c>
      <c r="C928" t="s">
        <v>4707</v>
      </c>
      <c r="D928" t="s">
        <v>2168</v>
      </c>
      <c r="E928" t="s">
        <v>800</v>
      </c>
      <c r="F928" t="s">
        <v>2169</v>
      </c>
      <c r="G928" t="s">
        <v>802</v>
      </c>
      <c r="I928" t="s">
        <v>4708</v>
      </c>
      <c r="K928" t="s">
        <v>4709</v>
      </c>
      <c r="N928" t="s">
        <v>4710</v>
      </c>
      <c r="Z928" t="s">
        <v>43</v>
      </c>
    </row>
    <row r="929" spans="1:26" x14ac:dyDescent="0.25">
      <c r="A929">
        <v>928</v>
      </c>
      <c r="B929" t="s">
        <v>30</v>
      </c>
      <c r="C929" t="s">
        <v>4711</v>
      </c>
      <c r="D929" t="s">
        <v>64</v>
      </c>
      <c r="E929" t="s">
        <v>64</v>
      </c>
      <c r="F929" t="s">
        <v>65</v>
      </c>
      <c r="G929" t="s">
        <v>65</v>
      </c>
      <c r="I929" t="s">
        <v>4712</v>
      </c>
      <c r="J929">
        <f>57-314-835-307</f>
        <v>-1399</v>
      </c>
      <c r="K929" t="s">
        <v>4713</v>
      </c>
      <c r="N929" t="s">
        <v>4714</v>
      </c>
      <c r="Z929" t="s">
        <v>43</v>
      </c>
    </row>
    <row r="930" spans="1:26" x14ac:dyDescent="0.25">
      <c r="A930">
        <v>929</v>
      </c>
      <c r="B930" t="s">
        <v>30</v>
      </c>
      <c r="C930" t="s">
        <v>4715</v>
      </c>
      <c r="D930" t="s">
        <v>4716</v>
      </c>
      <c r="E930" t="s">
        <v>800</v>
      </c>
      <c r="F930" t="s">
        <v>4717</v>
      </c>
      <c r="G930" t="s">
        <v>802</v>
      </c>
      <c r="I930" t="s">
        <v>4718</v>
      </c>
      <c r="J930">
        <f>57-60-1-537-9523</f>
        <v>-10064</v>
      </c>
      <c r="K930" t="s">
        <v>4719</v>
      </c>
      <c r="N930" t="s">
        <v>4720</v>
      </c>
      <c r="Z930" t="s">
        <v>43</v>
      </c>
    </row>
    <row r="931" spans="1:26" x14ac:dyDescent="0.25">
      <c r="A931">
        <v>930</v>
      </c>
      <c r="B931" t="s">
        <v>30</v>
      </c>
      <c r="C931" t="s">
        <v>4721</v>
      </c>
      <c r="D931" t="s">
        <v>772</v>
      </c>
      <c r="E931" t="s">
        <v>471</v>
      </c>
      <c r="F931" t="s">
        <v>1083</v>
      </c>
      <c r="G931" t="s">
        <v>47</v>
      </c>
      <c r="I931" t="s">
        <v>4722</v>
      </c>
      <c r="K931" t="s">
        <v>4723</v>
      </c>
      <c r="N931" t="s">
        <v>4724</v>
      </c>
      <c r="Z931" t="s">
        <v>43</v>
      </c>
    </row>
    <row r="932" spans="1:26" x14ac:dyDescent="0.25">
      <c r="A932">
        <v>931</v>
      </c>
      <c r="B932" t="s">
        <v>30</v>
      </c>
      <c r="C932" t="s">
        <v>4725</v>
      </c>
      <c r="D932" t="s">
        <v>3521</v>
      </c>
      <c r="E932" t="s">
        <v>800</v>
      </c>
      <c r="F932" t="s">
        <v>3522</v>
      </c>
      <c r="G932" t="s">
        <v>802</v>
      </c>
      <c r="I932" t="s">
        <v>4726</v>
      </c>
      <c r="K932" t="s">
        <v>4727</v>
      </c>
      <c r="N932" t="s">
        <v>4728</v>
      </c>
      <c r="Z932" t="s">
        <v>43</v>
      </c>
    </row>
    <row r="933" spans="1:26" x14ac:dyDescent="0.25">
      <c r="A933">
        <v>932</v>
      </c>
      <c r="B933" t="s">
        <v>30</v>
      </c>
      <c r="C933" t="s">
        <v>4729</v>
      </c>
      <c r="D933" t="s">
        <v>4730</v>
      </c>
      <c r="E933" t="s">
        <v>800</v>
      </c>
      <c r="F933" t="s">
        <v>4731</v>
      </c>
      <c r="G933" t="s">
        <v>802</v>
      </c>
      <c r="I933" t="s">
        <v>4732</v>
      </c>
      <c r="J933">
        <f>57-311-440-9426</f>
        <v>-10120</v>
      </c>
      <c r="K933" t="s">
        <v>4733</v>
      </c>
      <c r="N933" t="s">
        <v>4734</v>
      </c>
      <c r="Z933" t="s">
        <v>43</v>
      </c>
    </row>
    <row r="934" spans="1:26" x14ac:dyDescent="0.25">
      <c r="A934">
        <v>933</v>
      </c>
      <c r="B934" t="s">
        <v>30</v>
      </c>
      <c r="C934" t="s">
        <v>4735</v>
      </c>
      <c r="D934" t="s">
        <v>4736</v>
      </c>
      <c r="E934" t="s">
        <v>800</v>
      </c>
      <c r="F934" t="s">
        <v>4737</v>
      </c>
      <c r="G934" t="s">
        <v>802</v>
      </c>
      <c r="I934" t="s">
        <v>4738</v>
      </c>
      <c r="K934" t="s">
        <v>4739</v>
      </c>
      <c r="N934" t="s">
        <v>4740</v>
      </c>
      <c r="Z934" t="s">
        <v>43</v>
      </c>
    </row>
    <row r="935" spans="1:26" x14ac:dyDescent="0.25">
      <c r="A935">
        <v>934</v>
      </c>
      <c r="B935" t="s">
        <v>30</v>
      </c>
      <c r="C935" t="s">
        <v>4741</v>
      </c>
      <c r="D935" t="s">
        <v>4742</v>
      </c>
      <c r="E935" t="s">
        <v>800</v>
      </c>
      <c r="F935" t="s">
        <v>4743</v>
      </c>
      <c r="G935" t="s">
        <v>802</v>
      </c>
      <c r="I935" t="s">
        <v>4744</v>
      </c>
      <c r="J935">
        <f>57-60-1-493-6787</f>
        <v>-7284</v>
      </c>
      <c r="K935" t="s">
        <v>4745</v>
      </c>
      <c r="N935" t="s">
        <v>4746</v>
      </c>
      <c r="Z935" t="s">
        <v>43</v>
      </c>
    </row>
    <row r="936" spans="1:26" x14ac:dyDescent="0.25">
      <c r="A936">
        <v>935</v>
      </c>
      <c r="B936" t="s">
        <v>30</v>
      </c>
      <c r="C936" t="s">
        <v>4747</v>
      </c>
      <c r="D936" t="s">
        <v>1260</v>
      </c>
      <c r="E936" t="s">
        <v>64</v>
      </c>
      <c r="F936" t="s">
        <v>1653</v>
      </c>
      <c r="G936" t="s">
        <v>65</v>
      </c>
      <c r="I936" t="s">
        <v>4748</v>
      </c>
      <c r="J936">
        <f>57-314-212-6594</f>
        <v>-7063</v>
      </c>
      <c r="K936" t="s">
        <v>4749</v>
      </c>
      <c r="N936" t="s">
        <v>4750</v>
      </c>
      <c r="Z936" t="s">
        <v>43</v>
      </c>
    </row>
    <row r="937" spans="1:26" x14ac:dyDescent="0.25">
      <c r="A937">
        <v>936</v>
      </c>
      <c r="B937" t="s">
        <v>30</v>
      </c>
      <c r="C937" t="s">
        <v>4751</v>
      </c>
      <c r="D937" t="s">
        <v>2168</v>
      </c>
      <c r="E937" t="s">
        <v>800</v>
      </c>
      <c r="F937" t="s">
        <v>2169</v>
      </c>
      <c r="G937" t="s">
        <v>802</v>
      </c>
      <c r="I937" t="s">
        <v>4752</v>
      </c>
      <c r="K937" t="s">
        <v>4753</v>
      </c>
      <c r="N937" t="s">
        <v>4754</v>
      </c>
      <c r="Z937" t="s">
        <v>43</v>
      </c>
    </row>
    <row r="938" spans="1:26" x14ac:dyDescent="0.25">
      <c r="A938">
        <v>937</v>
      </c>
      <c r="B938" t="s">
        <v>30</v>
      </c>
      <c r="C938" t="s">
        <v>4755</v>
      </c>
      <c r="D938" t="s">
        <v>4756</v>
      </c>
      <c r="E938" t="s">
        <v>800</v>
      </c>
      <c r="F938" t="s">
        <v>4757</v>
      </c>
      <c r="G938" t="s">
        <v>802</v>
      </c>
      <c r="I938" t="s">
        <v>4758</v>
      </c>
      <c r="K938" t="s">
        <v>4759</v>
      </c>
      <c r="N938" t="s">
        <v>4760</v>
      </c>
      <c r="Z938" t="s">
        <v>43</v>
      </c>
    </row>
    <row r="939" spans="1:26" x14ac:dyDescent="0.25">
      <c r="A939">
        <v>938</v>
      </c>
      <c r="B939" t="s">
        <v>30</v>
      </c>
      <c r="C939" t="s">
        <v>4761</v>
      </c>
      <c r="D939" t="s">
        <v>2168</v>
      </c>
      <c r="E939" t="s">
        <v>800</v>
      </c>
      <c r="F939" t="s">
        <v>2169</v>
      </c>
      <c r="G939" t="s">
        <v>802</v>
      </c>
      <c r="I939" t="s">
        <v>4762</v>
      </c>
      <c r="J939">
        <f>57-60-1-217-5685</f>
        <v>-5906</v>
      </c>
      <c r="K939" t="s">
        <v>4763</v>
      </c>
      <c r="N939" t="s">
        <v>4764</v>
      </c>
      <c r="Z939" t="s">
        <v>43</v>
      </c>
    </row>
    <row r="940" spans="1:26" x14ac:dyDescent="0.25">
      <c r="A940">
        <v>939</v>
      </c>
      <c r="B940" t="s">
        <v>30</v>
      </c>
      <c r="C940" t="s">
        <v>4765</v>
      </c>
      <c r="D940" t="s">
        <v>2168</v>
      </c>
      <c r="E940" t="s">
        <v>800</v>
      </c>
      <c r="F940" t="s">
        <v>2169</v>
      </c>
      <c r="G940" t="s">
        <v>802</v>
      </c>
      <c r="I940" t="s">
        <v>4766</v>
      </c>
      <c r="K940" t="s">
        <v>4767</v>
      </c>
      <c r="N940" t="s">
        <v>4768</v>
      </c>
      <c r="Z940" t="s">
        <v>43</v>
      </c>
    </row>
    <row r="941" spans="1:26" x14ac:dyDescent="0.25">
      <c r="A941">
        <v>940</v>
      </c>
      <c r="B941" t="s">
        <v>30</v>
      </c>
      <c r="C941" t="s">
        <v>4769</v>
      </c>
      <c r="D941" t="s">
        <v>4770</v>
      </c>
      <c r="E941" t="s">
        <v>800</v>
      </c>
      <c r="F941" t="s">
        <v>4771</v>
      </c>
      <c r="G941" t="s">
        <v>802</v>
      </c>
      <c r="I941" t="s">
        <v>4772</v>
      </c>
      <c r="J941">
        <f>57-310-570-1768</f>
        <v>-2591</v>
      </c>
      <c r="K941" t="s">
        <v>4773</v>
      </c>
      <c r="N941" t="s">
        <v>4774</v>
      </c>
      <c r="Z941" t="s">
        <v>43</v>
      </c>
    </row>
    <row r="942" spans="1:26" x14ac:dyDescent="0.25">
      <c r="A942">
        <v>941</v>
      </c>
      <c r="B942" t="s">
        <v>30</v>
      </c>
      <c r="C942" t="s">
        <v>4775</v>
      </c>
      <c r="D942" t="s">
        <v>4776</v>
      </c>
      <c r="E942" t="s">
        <v>385</v>
      </c>
      <c r="F942" t="s">
        <v>4777</v>
      </c>
      <c r="G942" t="s">
        <v>387</v>
      </c>
      <c r="I942" t="s">
        <v>4778</v>
      </c>
      <c r="J942">
        <f>57-313-819-6171</f>
        <v>-7246</v>
      </c>
      <c r="K942" t="s">
        <v>4779</v>
      </c>
      <c r="N942" t="s">
        <v>4780</v>
      </c>
      <c r="Z942" t="s">
        <v>43</v>
      </c>
    </row>
    <row r="943" spans="1:26" x14ac:dyDescent="0.25">
      <c r="A943">
        <v>942</v>
      </c>
      <c r="B943" t="s">
        <v>30</v>
      </c>
      <c r="C943" t="s">
        <v>4781</v>
      </c>
      <c r="D943" t="s">
        <v>2168</v>
      </c>
      <c r="E943" t="s">
        <v>800</v>
      </c>
      <c r="F943" t="s">
        <v>2169</v>
      </c>
      <c r="G943" t="s">
        <v>802</v>
      </c>
      <c r="I943" t="s">
        <v>4782</v>
      </c>
      <c r="K943" t="s">
        <v>4783</v>
      </c>
      <c r="N943" t="s">
        <v>4784</v>
      </c>
      <c r="Z943" t="s">
        <v>43</v>
      </c>
    </row>
    <row r="944" spans="1:26" x14ac:dyDescent="0.25">
      <c r="A944">
        <v>943</v>
      </c>
      <c r="B944" t="s">
        <v>30</v>
      </c>
      <c r="C944" t="s">
        <v>4785</v>
      </c>
      <c r="D944" t="s">
        <v>2168</v>
      </c>
      <c r="E944" t="s">
        <v>800</v>
      </c>
      <c r="F944" t="s">
        <v>2169</v>
      </c>
      <c r="G944" t="s">
        <v>802</v>
      </c>
      <c r="I944" t="s">
        <v>4786</v>
      </c>
      <c r="K944" t="s">
        <v>4787</v>
      </c>
      <c r="N944" t="s">
        <v>4788</v>
      </c>
      <c r="Z944" t="s">
        <v>43</v>
      </c>
    </row>
    <row r="945" spans="1:26" x14ac:dyDescent="0.25">
      <c r="A945">
        <v>944</v>
      </c>
      <c r="B945" t="s">
        <v>30</v>
      </c>
      <c r="C945" t="s">
        <v>4789</v>
      </c>
      <c r="D945" t="s">
        <v>2168</v>
      </c>
      <c r="E945" t="s">
        <v>800</v>
      </c>
      <c r="F945" t="s">
        <v>2169</v>
      </c>
      <c r="G945" t="s">
        <v>802</v>
      </c>
      <c r="I945" t="s">
        <v>4790</v>
      </c>
      <c r="K945" t="s">
        <v>4791</v>
      </c>
      <c r="N945" t="s">
        <v>4792</v>
      </c>
      <c r="Z945" t="s">
        <v>43</v>
      </c>
    </row>
    <row r="946" spans="1:26" x14ac:dyDescent="0.25">
      <c r="A946">
        <v>945</v>
      </c>
      <c r="B946" t="s">
        <v>30</v>
      </c>
      <c r="C946" t="s">
        <v>4793</v>
      </c>
      <c r="D946" t="s">
        <v>799</v>
      </c>
      <c r="E946" t="s">
        <v>800</v>
      </c>
      <c r="F946" t="s">
        <v>2228</v>
      </c>
      <c r="G946" t="s">
        <v>802</v>
      </c>
      <c r="I946" t="s">
        <v>4794</v>
      </c>
      <c r="K946" t="s">
        <v>4795</v>
      </c>
      <c r="N946" t="s">
        <v>4796</v>
      </c>
      <c r="Z946" t="s">
        <v>43</v>
      </c>
    </row>
    <row r="947" spans="1:26" x14ac:dyDescent="0.25">
      <c r="A947">
        <v>946</v>
      </c>
      <c r="B947" t="s">
        <v>30</v>
      </c>
      <c r="C947" t="s">
        <v>4797</v>
      </c>
      <c r="D947" t="s">
        <v>4798</v>
      </c>
      <c r="E947" t="s">
        <v>1248</v>
      </c>
      <c r="F947" t="s">
        <v>4799</v>
      </c>
      <c r="G947" t="s">
        <v>1250</v>
      </c>
      <c r="I947" t="s">
        <v>4800</v>
      </c>
      <c r="J947">
        <f>57-315-878-4163</f>
        <v>-5299</v>
      </c>
      <c r="K947" t="s">
        <v>4801</v>
      </c>
      <c r="N947" t="s">
        <v>4802</v>
      </c>
      <c r="Z947" t="s">
        <v>43</v>
      </c>
    </row>
    <row r="948" spans="1:26" x14ac:dyDescent="0.25">
      <c r="A948">
        <v>947</v>
      </c>
      <c r="B948" t="s">
        <v>30</v>
      </c>
      <c r="C948" t="s">
        <v>4803</v>
      </c>
      <c r="D948" t="s">
        <v>772</v>
      </c>
      <c r="E948" t="s">
        <v>471</v>
      </c>
      <c r="F948" t="s">
        <v>773</v>
      </c>
      <c r="G948" t="s">
        <v>47</v>
      </c>
      <c r="I948" t="s">
        <v>4804</v>
      </c>
      <c r="J948">
        <f>57-321-229-6927</f>
        <v>-7420</v>
      </c>
      <c r="K948" t="s">
        <v>4805</v>
      </c>
      <c r="N948" t="s">
        <v>4806</v>
      </c>
      <c r="Z948" t="s">
        <v>43</v>
      </c>
    </row>
    <row r="949" spans="1:26" x14ac:dyDescent="0.25">
      <c r="A949">
        <v>948</v>
      </c>
      <c r="B949" t="s">
        <v>30</v>
      </c>
      <c r="C949" t="s">
        <v>4807</v>
      </c>
      <c r="D949" t="s">
        <v>4808</v>
      </c>
      <c r="E949" t="s">
        <v>72</v>
      </c>
      <c r="F949" t="s">
        <v>4809</v>
      </c>
      <c r="G949" t="s">
        <v>73</v>
      </c>
      <c r="I949" t="s">
        <v>4810</v>
      </c>
      <c r="J949">
        <f>57-312-477-6649</f>
        <v>-7381</v>
      </c>
      <c r="K949" t="s">
        <v>4811</v>
      </c>
      <c r="N949" t="s">
        <v>4812</v>
      </c>
      <c r="Z949" t="s">
        <v>43</v>
      </c>
    </row>
    <row r="950" spans="1:26" x14ac:dyDescent="0.25">
      <c r="A950">
        <v>949</v>
      </c>
      <c r="B950" t="s">
        <v>30</v>
      </c>
      <c r="C950" t="s">
        <v>4813</v>
      </c>
      <c r="D950" t="s">
        <v>4814</v>
      </c>
      <c r="E950" t="s">
        <v>800</v>
      </c>
      <c r="F950" t="s">
        <v>4815</v>
      </c>
      <c r="G950" t="s">
        <v>802</v>
      </c>
      <c r="I950" t="s">
        <v>4816</v>
      </c>
      <c r="J950">
        <f>57-60-1-671-2123</f>
        <v>-2798</v>
      </c>
      <c r="K950" t="s">
        <v>4817</v>
      </c>
      <c r="N950" t="s">
        <v>4818</v>
      </c>
      <c r="Z950" t="s">
        <v>43</v>
      </c>
    </row>
    <row r="951" spans="1:26" x14ac:dyDescent="0.25">
      <c r="A951">
        <v>950</v>
      </c>
      <c r="B951" t="s">
        <v>30</v>
      </c>
      <c r="C951" t="s">
        <v>4819</v>
      </c>
      <c r="D951" t="s">
        <v>2585</v>
      </c>
      <c r="E951" t="s">
        <v>1217</v>
      </c>
      <c r="F951" t="s">
        <v>4820</v>
      </c>
      <c r="G951" t="s">
        <v>1530</v>
      </c>
      <c r="I951" t="s">
        <v>4821</v>
      </c>
      <c r="K951" t="s">
        <v>4822</v>
      </c>
      <c r="N951" t="s">
        <v>4823</v>
      </c>
      <c r="Z951" t="s">
        <v>43</v>
      </c>
    </row>
    <row r="952" spans="1:26" x14ac:dyDescent="0.25">
      <c r="A952">
        <v>951</v>
      </c>
      <c r="B952" t="s">
        <v>30</v>
      </c>
      <c r="C952" t="s">
        <v>4824</v>
      </c>
      <c r="D952" t="s">
        <v>2585</v>
      </c>
      <c r="E952" t="s">
        <v>1217</v>
      </c>
      <c r="F952" t="s">
        <v>4820</v>
      </c>
      <c r="G952" t="s">
        <v>1530</v>
      </c>
      <c r="I952" t="s">
        <v>4825</v>
      </c>
      <c r="K952" t="s">
        <v>4826</v>
      </c>
      <c r="N952" t="s">
        <v>4823</v>
      </c>
      <c r="Z952" t="s">
        <v>43</v>
      </c>
    </row>
    <row r="953" spans="1:26" x14ac:dyDescent="0.25">
      <c r="A953">
        <v>952</v>
      </c>
      <c r="B953" t="s">
        <v>30</v>
      </c>
      <c r="C953" t="s">
        <v>4827</v>
      </c>
      <c r="D953" t="s">
        <v>4828</v>
      </c>
      <c r="E953" t="s">
        <v>1217</v>
      </c>
      <c r="F953" t="s">
        <v>4829</v>
      </c>
      <c r="G953" t="s">
        <v>1530</v>
      </c>
      <c r="I953" t="s">
        <v>4830</v>
      </c>
      <c r="K953" t="s">
        <v>4831</v>
      </c>
      <c r="N953" t="s">
        <v>4832</v>
      </c>
      <c r="Z953" t="s">
        <v>43</v>
      </c>
    </row>
    <row r="954" spans="1:26" x14ac:dyDescent="0.25">
      <c r="A954">
        <v>953</v>
      </c>
      <c r="B954" t="s">
        <v>30</v>
      </c>
      <c r="C954" t="s">
        <v>4833</v>
      </c>
      <c r="D954" t="s">
        <v>4834</v>
      </c>
      <c r="E954" t="s">
        <v>72</v>
      </c>
      <c r="F954" t="s">
        <v>4835</v>
      </c>
      <c r="G954" t="s">
        <v>73</v>
      </c>
      <c r="I954" t="s">
        <v>4836</v>
      </c>
      <c r="K954" t="s">
        <v>4837</v>
      </c>
      <c r="N954" t="s">
        <v>4838</v>
      </c>
      <c r="Z954" t="s">
        <v>43</v>
      </c>
    </row>
    <row r="955" spans="1:26" x14ac:dyDescent="0.25">
      <c r="A955">
        <v>954</v>
      </c>
      <c r="B955" t="s">
        <v>30</v>
      </c>
      <c r="C955" t="s">
        <v>4839</v>
      </c>
      <c r="D955" t="s">
        <v>46</v>
      </c>
      <c r="E955" t="s">
        <v>471</v>
      </c>
      <c r="F955" t="s">
        <v>820</v>
      </c>
      <c r="G955" t="s">
        <v>47</v>
      </c>
      <c r="I955" t="s">
        <v>4840</v>
      </c>
      <c r="J955">
        <f>57-321-767-7293</f>
        <v>-8324</v>
      </c>
      <c r="K955" t="s">
        <v>4841</v>
      </c>
      <c r="N955" t="s">
        <v>4842</v>
      </c>
      <c r="Z955" t="s">
        <v>43</v>
      </c>
    </row>
    <row r="956" spans="1:26" x14ac:dyDescent="0.25">
      <c r="A956">
        <v>955</v>
      </c>
      <c r="B956" t="s">
        <v>30</v>
      </c>
      <c r="C956" t="s">
        <v>4843</v>
      </c>
      <c r="D956" t="s">
        <v>4844</v>
      </c>
      <c r="E956" t="s">
        <v>471</v>
      </c>
      <c r="F956" t="s">
        <v>4845</v>
      </c>
      <c r="G956" t="s">
        <v>47</v>
      </c>
      <c r="I956" t="s">
        <v>4846</v>
      </c>
      <c r="K956" t="s">
        <v>4847</v>
      </c>
      <c r="N956" t="s">
        <v>4848</v>
      </c>
      <c r="Z956" t="s">
        <v>43</v>
      </c>
    </row>
    <row r="957" spans="1:26" x14ac:dyDescent="0.25">
      <c r="A957">
        <v>956</v>
      </c>
      <c r="B957" t="s">
        <v>30</v>
      </c>
      <c r="C957" t="s">
        <v>4849</v>
      </c>
      <c r="D957" t="s">
        <v>4850</v>
      </c>
      <c r="E957" t="s">
        <v>56</v>
      </c>
      <c r="F957" t="s">
        <v>4851</v>
      </c>
      <c r="G957" t="s">
        <v>57</v>
      </c>
      <c r="I957" t="s">
        <v>4852</v>
      </c>
      <c r="J957">
        <f>57-313-289-1788</f>
        <v>-2333</v>
      </c>
      <c r="K957" t="s">
        <v>4853</v>
      </c>
      <c r="N957" t="s">
        <v>4854</v>
      </c>
      <c r="Z957" t="s">
        <v>43</v>
      </c>
    </row>
    <row r="958" spans="1:26" x14ac:dyDescent="0.25">
      <c r="A958">
        <v>957</v>
      </c>
      <c r="B958" t="s">
        <v>30</v>
      </c>
      <c r="C958" t="s">
        <v>4855</v>
      </c>
      <c r="D958" t="s">
        <v>4856</v>
      </c>
      <c r="E958" t="s">
        <v>4631</v>
      </c>
      <c r="F958" t="s">
        <v>4857</v>
      </c>
      <c r="G958" t="s">
        <v>4633</v>
      </c>
      <c r="I958" t="s">
        <v>4858</v>
      </c>
      <c r="K958" t="s">
        <v>4859</v>
      </c>
      <c r="N958" t="s">
        <v>4860</v>
      </c>
      <c r="Z958" t="s">
        <v>43</v>
      </c>
    </row>
    <row r="959" spans="1:26" x14ac:dyDescent="0.25">
      <c r="A959">
        <v>958</v>
      </c>
      <c r="B959" t="s">
        <v>30</v>
      </c>
      <c r="C959" t="s">
        <v>4861</v>
      </c>
      <c r="D959" t="s">
        <v>2801</v>
      </c>
      <c r="E959" t="s">
        <v>471</v>
      </c>
      <c r="F959" t="s">
        <v>2802</v>
      </c>
      <c r="G959" t="s">
        <v>47</v>
      </c>
      <c r="I959" t="s">
        <v>4862</v>
      </c>
      <c r="J959">
        <f>57-318-389-9797</f>
        <v>-10447</v>
      </c>
      <c r="K959" t="s">
        <v>4863</v>
      </c>
      <c r="N959" t="s">
        <v>4864</v>
      </c>
      <c r="Z959" t="s">
        <v>43</v>
      </c>
    </row>
    <row r="960" spans="1:26" x14ac:dyDescent="0.25">
      <c r="A960">
        <v>959</v>
      </c>
      <c r="B960" t="s">
        <v>30</v>
      </c>
      <c r="C960" t="s">
        <v>4865</v>
      </c>
      <c r="D960" t="s">
        <v>4866</v>
      </c>
      <c r="E960" t="s">
        <v>2706</v>
      </c>
      <c r="F960" t="s">
        <v>4867</v>
      </c>
      <c r="G960" t="s">
        <v>2708</v>
      </c>
      <c r="I960" t="s">
        <v>4868</v>
      </c>
      <c r="J960">
        <f>57-316-280-5410</f>
        <v>-5949</v>
      </c>
      <c r="K960" t="s">
        <v>4869</v>
      </c>
      <c r="N960" t="s">
        <v>4870</v>
      </c>
      <c r="Z960" t="s">
        <v>43</v>
      </c>
    </row>
    <row r="961" spans="1:26" x14ac:dyDescent="0.25">
      <c r="A961">
        <v>960</v>
      </c>
      <c r="B961" t="s">
        <v>30</v>
      </c>
      <c r="C961" t="s">
        <v>4871</v>
      </c>
      <c r="D961" t="s">
        <v>1773</v>
      </c>
      <c r="E961" t="s">
        <v>1269</v>
      </c>
      <c r="F961" t="s">
        <v>1775</v>
      </c>
      <c r="G961" t="s">
        <v>1271</v>
      </c>
      <c r="I961" t="s">
        <v>4872</v>
      </c>
      <c r="J961">
        <f>57-318-261-7458</f>
        <v>-7980</v>
      </c>
      <c r="K961" t="s">
        <v>4873</v>
      </c>
      <c r="N961" t="s">
        <v>4874</v>
      </c>
      <c r="Z961" t="s">
        <v>43</v>
      </c>
    </row>
    <row r="962" spans="1:26" x14ac:dyDescent="0.25">
      <c r="A962">
        <v>961</v>
      </c>
      <c r="B962" t="s">
        <v>30</v>
      </c>
      <c r="C962" t="s">
        <v>4875</v>
      </c>
      <c r="D962" t="s">
        <v>1135</v>
      </c>
      <c r="E962" t="s">
        <v>471</v>
      </c>
      <c r="F962" t="s">
        <v>1136</v>
      </c>
      <c r="G962" t="s">
        <v>47</v>
      </c>
      <c r="I962" t="s">
        <v>4876</v>
      </c>
      <c r="J962">
        <f>57-300-360-4886</f>
        <v>-5489</v>
      </c>
      <c r="K962" t="s">
        <v>4877</v>
      </c>
      <c r="N962" t="s">
        <v>4878</v>
      </c>
      <c r="Z962" t="s">
        <v>43</v>
      </c>
    </row>
    <row r="963" spans="1:26" x14ac:dyDescent="0.25">
      <c r="A963">
        <v>962</v>
      </c>
      <c r="B963" t="s">
        <v>30</v>
      </c>
      <c r="C963" t="s">
        <v>4879</v>
      </c>
      <c r="D963" t="s">
        <v>2336</v>
      </c>
      <c r="E963" t="s">
        <v>1402</v>
      </c>
      <c r="F963" t="s">
        <v>2337</v>
      </c>
      <c r="G963" t="s">
        <v>1404</v>
      </c>
      <c r="I963" t="s">
        <v>4880</v>
      </c>
      <c r="K963" t="s">
        <v>4881</v>
      </c>
      <c r="N963" t="s">
        <v>4882</v>
      </c>
      <c r="Z963" t="s">
        <v>43</v>
      </c>
    </row>
    <row r="964" spans="1:26" x14ac:dyDescent="0.25">
      <c r="A964">
        <v>963</v>
      </c>
      <c r="B964" t="s">
        <v>30</v>
      </c>
      <c r="C964" t="s">
        <v>4883</v>
      </c>
      <c r="D964" t="s">
        <v>4884</v>
      </c>
      <c r="E964" t="s">
        <v>3210</v>
      </c>
      <c r="F964" t="s">
        <v>4885</v>
      </c>
      <c r="G964" t="s">
        <v>3212</v>
      </c>
      <c r="I964" t="s">
        <v>4886</v>
      </c>
      <c r="K964" t="s">
        <v>4887</v>
      </c>
      <c r="N964" t="s">
        <v>4888</v>
      </c>
      <c r="Z964" t="s">
        <v>43</v>
      </c>
    </row>
    <row r="965" spans="1:26" x14ac:dyDescent="0.25">
      <c r="A965">
        <v>964</v>
      </c>
      <c r="B965" t="s">
        <v>30</v>
      </c>
      <c r="C965" t="s">
        <v>4889</v>
      </c>
      <c r="D965" t="s">
        <v>46</v>
      </c>
      <c r="E965" t="s">
        <v>471</v>
      </c>
      <c r="F965" t="s">
        <v>820</v>
      </c>
      <c r="G965" t="s">
        <v>47</v>
      </c>
      <c r="I965" t="s">
        <v>4890</v>
      </c>
      <c r="K965" t="s">
        <v>4891</v>
      </c>
      <c r="N965" t="s">
        <v>4892</v>
      </c>
      <c r="Z965" t="s">
        <v>43</v>
      </c>
    </row>
    <row r="966" spans="1:26" x14ac:dyDescent="0.25">
      <c r="A966">
        <v>965</v>
      </c>
      <c r="B966" t="s">
        <v>30</v>
      </c>
      <c r="C966" t="s">
        <v>4893</v>
      </c>
      <c r="D966" t="s">
        <v>4894</v>
      </c>
      <c r="E966" t="s">
        <v>800</v>
      </c>
      <c r="F966" t="s">
        <v>4895</v>
      </c>
      <c r="G966" t="s">
        <v>802</v>
      </c>
      <c r="I966" t="s">
        <v>4896</v>
      </c>
      <c r="J966">
        <f>57-311-513-9327</f>
        <v>-10094</v>
      </c>
      <c r="K966" t="s">
        <v>4897</v>
      </c>
      <c r="N966" t="s">
        <v>4898</v>
      </c>
      <c r="Z966" t="s">
        <v>43</v>
      </c>
    </row>
    <row r="967" spans="1:26" x14ac:dyDescent="0.25">
      <c r="A967">
        <v>966</v>
      </c>
      <c r="B967" t="s">
        <v>30</v>
      </c>
      <c r="C967" t="s">
        <v>4899</v>
      </c>
      <c r="D967" t="s">
        <v>1260</v>
      </c>
      <c r="E967" t="s">
        <v>471</v>
      </c>
      <c r="F967" t="s">
        <v>1665</v>
      </c>
      <c r="G967" t="s">
        <v>47</v>
      </c>
      <c r="I967" t="s">
        <v>4900</v>
      </c>
      <c r="K967" t="s">
        <v>4901</v>
      </c>
      <c r="N967" t="s">
        <v>4902</v>
      </c>
      <c r="Z967" t="s">
        <v>43</v>
      </c>
    </row>
    <row r="968" spans="1:26" x14ac:dyDescent="0.25">
      <c r="A968">
        <v>967</v>
      </c>
      <c r="B968" t="s">
        <v>30</v>
      </c>
      <c r="C968" t="s">
        <v>4903</v>
      </c>
      <c r="D968" t="s">
        <v>909</v>
      </c>
      <c r="E968" t="s">
        <v>471</v>
      </c>
      <c r="F968" t="s">
        <v>1659</v>
      </c>
      <c r="G968" t="s">
        <v>47</v>
      </c>
      <c r="I968" t="s">
        <v>4904</v>
      </c>
      <c r="J968">
        <f>57-314-320-4903</f>
        <v>-5480</v>
      </c>
      <c r="K968" t="s">
        <v>4905</v>
      </c>
      <c r="N968" t="s">
        <v>4906</v>
      </c>
      <c r="Z968" t="s">
        <v>43</v>
      </c>
    </row>
    <row r="969" spans="1:26" x14ac:dyDescent="0.25">
      <c r="A969">
        <v>968</v>
      </c>
      <c r="B969" t="s">
        <v>30</v>
      </c>
      <c r="C969" t="s">
        <v>4907</v>
      </c>
      <c r="D969" t="s">
        <v>46</v>
      </c>
      <c r="E969" t="s">
        <v>471</v>
      </c>
      <c r="F969" t="s">
        <v>820</v>
      </c>
      <c r="G969" t="s">
        <v>47</v>
      </c>
      <c r="I969" t="s">
        <v>4908</v>
      </c>
      <c r="J969">
        <f>57-320-662-9196</f>
        <v>-10121</v>
      </c>
      <c r="K969" t="s">
        <v>4909</v>
      </c>
      <c r="N969" t="s">
        <v>4910</v>
      </c>
      <c r="Z969" t="s">
        <v>43</v>
      </c>
    </row>
    <row r="970" spans="1:26" x14ac:dyDescent="0.25">
      <c r="A970">
        <v>969</v>
      </c>
      <c r="B970" t="s">
        <v>30</v>
      </c>
      <c r="C970" t="s">
        <v>4911</v>
      </c>
      <c r="D970" t="s">
        <v>909</v>
      </c>
      <c r="E970" t="s">
        <v>471</v>
      </c>
      <c r="F970" t="s">
        <v>2233</v>
      </c>
      <c r="G970" t="s">
        <v>966</v>
      </c>
      <c r="I970" t="s">
        <v>4912</v>
      </c>
      <c r="J970">
        <f>57-60-1-718-7065</f>
        <v>-7787</v>
      </c>
      <c r="K970" t="s">
        <v>4913</v>
      </c>
      <c r="N970" t="s">
        <v>4914</v>
      </c>
      <c r="Z970" t="s">
        <v>43</v>
      </c>
    </row>
    <row r="971" spans="1:26" x14ac:dyDescent="0.25">
      <c r="A971">
        <v>970</v>
      </c>
      <c r="B971" t="s">
        <v>30</v>
      </c>
      <c r="C971" t="s">
        <v>4915</v>
      </c>
      <c r="D971" t="s">
        <v>899</v>
      </c>
      <c r="E971" t="s">
        <v>471</v>
      </c>
      <c r="F971" t="s">
        <v>900</v>
      </c>
      <c r="G971" t="s">
        <v>47</v>
      </c>
      <c r="I971" t="s">
        <v>4916</v>
      </c>
      <c r="J971">
        <f>57-310-270-8852</f>
        <v>-9375</v>
      </c>
      <c r="K971" t="s">
        <v>4917</v>
      </c>
      <c r="N971" t="s">
        <v>4918</v>
      </c>
      <c r="Z971" t="s">
        <v>43</v>
      </c>
    </row>
    <row r="972" spans="1:26" x14ac:dyDescent="0.25">
      <c r="A972">
        <v>971</v>
      </c>
      <c r="B972" t="s">
        <v>30</v>
      </c>
      <c r="C972" t="s">
        <v>4919</v>
      </c>
      <c r="D972" t="s">
        <v>4920</v>
      </c>
      <c r="E972" t="s">
        <v>4921</v>
      </c>
      <c r="F972" t="s">
        <v>4922</v>
      </c>
      <c r="G972" t="s">
        <v>4923</v>
      </c>
      <c r="I972" t="s">
        <v>4924</v>
      </c>
      <c r="J972">
        <f>57-300-885-4734</f>
        <v>-5862</v>
      </c>
      <c r="K972" t="s">
        <v>4925</v>
      </c>
      <c r="N972" t="s">
        <v>4926</v>
      </c>
      <c r="Z972" t="s">
        <v>43</v>
      </c>
    </row>
    <row r="973" spans="1:26" x14ac:dyDescent="0.25">
      <c r="A973">
        <v>972</v>
      </c>
      <c r="B973" t="s">
        <v>30</v>
      </c>
      <c r="C973" t="s">
        <v>4927</v>
      </c>
      <c r="D973" t="s">
        <v>4928</v>
      </c>
      <c r="E973" t="s">
        <v>64</v>
      </c>
      <c r="F973" t="s">
        <v>4929</v>
      </c>
      <c r="G973" t="s">
        <v>65</v>
      </c>
      <c r="I973" t="s">
        <v>4930</v>
      </c>
      <c r="K973" t="s">
        <v>4931</v>
      </c>
      <c r="N973" t="s">
        <v>4932</v>
      </c>
      <c r="Z973" t="s">
        <v>43</v>
      </c>
    </row>
    <row r="974" spans="1:26" x14ac:dyDescent="0.25">
      <c r="A974">
        <v>973</v>
      </c>
      <c r="B974" t="s">
        <v>30</v>
      </c>
      <c r="C974" t="s">
        <v>4933</v>
      </c>
      <c r="D974" t="s">
        <v>46</v>
      </c>
      <c r="E974" t="s">
        <v>471</v>
      </c>
      <c r="F974" t="s">
        <v>820</v>
      </c>
      <c r="G974" t="s">
        <v>47</v>
      </c>
      <c r="I974" t="s">
        <v>4934</v>
      </c>
      <c r="K974" t="s">
        <v>4935</v>
      </c>
      <c r="N974" t="s">
        <v>4936</v>
      </c>
      <c r="Z974" t="s">
        <v>43</v>
      </c>
    </row>
    <row r="975" spans="1:26" x14ac:dyDescent="0.25">
      <c r="A975">
        <v>974</v>
      </c>
      <c r="B975" t="s">
        <v>30</v>
      </c>
      <c r="C975" t="s">
        <v>4937</v>
      </c>
      <c r="D975" t="s">
        <v>4730</v>
      </c>
      <c r="E975" t="s">
        <v>800</v>
      </c>
      <c r="F975" t="s">
        <v>4731</v>
      </c>
      <c r="G975" t="s">
        <v>802</v>
      </c>
      <c r="I975" t="s">
        <v>4938</v>
      </c>
      <c r="J975">
        <f>57-60-1-428-4520</f>
        <v>-4952</v>
      </c>
      <c r="K975" t="s">
        <v>4939</v>
      </c>
      <c r="N975" t="s">
        <v>4734</v>
      </c>
      <c r="Z975" t="s">
        <v>43</v>
      </c>
    </row>
    <row r="976" spans="1:26" x14ac:dyDescent="0.25">
      <c r="A976">
        <v>975</v>
      </c>
      <c r="B976" t="s">
        <v>30</v>
      </c>
      <c r="C976" t="s">
        <v>4940</v>
      </c>
      <c r="D976" t="s">
        <v>3465</v>
      </c>
      <c r="E976" t="s">
        <v>64</v>
      </c>
      <c r="F976" t="s">
        <v>3466</v>
      </c>
      <c r="G976" t="s">
        <v>65</v>
      </c>
      <c r="I976" t="s">
        <v>4941</v>
      </c>
      <c r="J976">
        <f>57-60-1-473-3534</f>
        <v>-4011</v>
      </c>
      <c r="K976" t="s">
        <v>4942</v>
      </c>
      <c r="N976" t="s">
        <v>4943</v>
      </c>
      <c r="Z976" t="s">
        <v>43</v>
      </c>
    </row>
    <row r="977" spans="1:26" x14ac:dyDescent="0.25">
      <c r="A977">
        <v>976</v>
      </c>
      <c r="B977" t="s">
        <v>30</v>
      </c>
      <c r="C977" t="s">
        <v>4944</v>
      </c>
      <c r="D977" t="s">
        <v>64</v>
      </c>
      <c r="E977" t="s">
        <v>64</v>
      </c>
      <c r="F977" t="s">
        <v>65</v>
      </c>
      <c r="G977" t="s">
        <v>65</v>
      </c>
      <c r="I977" t="s">
        <v>4945</v>
      </c>
      <c r="K977" t="s">
        <v>4946</v>
      </c>
      <c r="N977" t="s">
        <v>4947</v>
      </c>
      <c r="Z977" t="s">
        <v>43</v>
      </c>
    </row>
    <row r="978" spans="1:26" x14ac:dyDescent="0.25">
      <c r="A978">
        <v>977</v>
      </c>
      <c r="B978" t="s">
        <v>30</v>
      </c>
      <c r="C978" t="s">
        <v>4948</v>
      </c>
      <c r="D978" t="s">
        <v>4949</v>
      </c>
      <c r="E978" t="s">
        <v>72</v>
      </c>
      <c r="F978" t="s">
        <v>4950</v>
      </c>
      <c r="G978" t="s">
        <v>73</v>
      </c>
      <c r="I978" t="s">
        <v>4951</v>
      </c>
      <c r="J978">
        <f>57-311-599-4742</f>
        <v>-5595</v>
      </c>
      <c r="K978" t="s">
        <v>4952</v>
      </c>
      <c r="N978" t="s">
        <v>4953</v>
      </c>
      <c r="Z978" t="s">
        <v>43</v>
      </c>
    </row>
    <row r="979" spans="1:26" x14ac:dyDescent="0.25">
      <c r="A979">
        <v>978</v>
      </c>
      <c r="B979" t="s">
        <v>30</v>
      </c>
      <c r="C979" t="s">
        <v>4954</v>
      </c>
      <c r="D979" t="s">
        <v>72</v>
      </c>
      <c r="E979" t="s">
        <v>72</v>
      </c>
      <c r="F979" t="s">
        <v>73</v>
      </c>
      <c r="G979" t="s">
        <v>73</v>
      </c>
      <c r="I979" t="s">
        <v>4955</v>
      </c>
      <c r="J979">
        <f>57-60-1-626-5168</f>
        <v>-5798</v>
      </c>
      <c r="K979" t="s">
        <v>4956</v>
      </c>
      <c r="N979" t="s">
        <v>4957</v>
      </c>
      <c r="Z979" t="s">
        <v>43</v>
      </c>
    </row>
    <row r="980" spans="1:26" x14ac:dyDescent="0.25">
      <c r="A980">
        <v>979</v>
      </c>
      <c r="B980" t="s">
        <v>30</v>
      </c>
      <c r="C980" t="s">
        <v>4958</v>
      </c>
      <c r="D980" t="s">
        <v>1805</v>
      </c>
      <c r="E980" t="s">
        <v>56</v>
      </c>
      <c r="F980" t="s">
        <v>4959</v>
      </c>
      <c r="G980" t="s">
        <v>57</v>
      </c>
      <c r="I980" t="s">
        <v>4960</v>
      </c>
      <c r="K980" t="s">
        <v>4961</v>
      </c>
      <c r="N980" t="s">
        <v>4962</v>
      </c>
      <c r="Z980" t="s">
        <v>43</v>
      </c>
    </row>
    <row r="981" spans="1:26" x14ac:dyDescent="0.25">
      <c r="A981">
        <v>980</v>
      </c>
      <c r="B981" t="s">
        <v>30</v>
      </c>
      <c r="C981" t="s">
        <v>4963</v>
      </c>
      <c r="D981" t="s">
        <v>4964</v>
      </c>
      <c r="E981" t="s">
        <v>56</v>
      </c>
      <c r="F981" t="s">
        <v>4965</v>
      </c>
      <c r="G981" t="s">
        <v>57</v>
      </c>
      <c r="I981" t="s">
        <v>4966</v>
      </c>
      <c r="J981">
        <f>57-310-277-2109</f>
        <v>-2639</v>
      </c>
      <c r="K981" t="s">
        <v>4967</v>
      </c>
      <c r="N981" t="s">
        <v>4968</v>
      </c>
      <c r="Z981" t="s">
        <v>43</v>
      </c>
    </row>
    <row r="982" spans="1:26" x14ac:dyDescent="0.25">
      <c r="A982">
        <v>981</v>
      </c>
      <c r="B982" t="s">
        <v>30</v>
      </c>
      <c r="C982" t="s">
        <v>4969</v>
      </c>
      <c r="D982" t="s">
        <v>46</v>
      </c>
      <c r="E982" t="s">
        <v>471</v>
      </c>
      <c r="F982" t="s">
        <v>941</v>
      </c>
      <c r="G982" t="s">
        <v>47</v>
      </c>
      <c r="I982" t="s">
        <v>4970</v>
      </c>
      <c r="K982" t="s">
        <v>4971</v>
      </c>
      <c r="N982" t="s">
        <v>4972</v>
      </c>
      <c r="Z982" t="s">
        <v>43</v>
      </c>
    </row>
    <row r="983" spans="1:26" x14ac:dyDescent="0.25">
      <c r="A983">
        <v>982</v>
      </c>
      <c r="B983" t="s">
        <v>30</v>
      </c>
      <c r="C983" t="s">
        <v>4973</v>
      </c>
      <c r="D983" t="s">
        <v>813</v>
      </c>
      <c r="E983" t="s">
        <v>471</v>
      </c>
      <c r="F983" t="s">
        <v>3735</v>
      </c>
      <c r="G983" t="s">
        <v>47</v>
      </c>
      <c r="I983" t="s">
        <v>4974</v>
      </c>
      <c r="K983" t="s">
        <v>4975</v>
      </c>
      <c r="N983" t="s">
        <v>4976</v>
      </c>
      <c r="Z983" t="s">
        <v>43</v>
      </c>
    </row>
    <row r="984" spans="1:26" x14ac:dyDescent="0.25">
      <c r="A984">
        <v>983</v>
      </c>
      <c r="B984" t="s">
        <v>30</v>
      </c>
      <c r="C984" t="s">
        <v>4977</v>
      </c>
      <c r="D984" t="s">
        <v>46</v>
      </c>
      <c r="E984" t="s">
        <v>471</v>
      </c>
      <c r="F984" t="s">
        <v>941</v>
      </c>
      <c r="G984" t="s">
        <v>47</v>
      </c>
      <c r="I984" t="s">
        <v>4978</v>
      </c>
      <c r="K984" t="s">
        <v>4979</v>
      </c>
      <c r="N984" t="s">
        <v>4980</v>
      </c>
      <c r="Z984" t="s">
        <v>43</v>
      </c>
    </row>
    <row r="985" spans="1:26" x14ac:dyDescent="0.25">
      <c r="A985">
        <v>984</v>
      </c>
      <c r="B985" t="s">
        <v>30</v>
      </c>
      <c r="C985" t="s">
        <v>4981</v>
      </c>
      <c r="D985" t="s">
        <v>46</v>
      </c>
      <c r="E985" t="s">
        <v>56</v>
      </c>
      <c r="F985" t="s">
        <v>1708</v>
      </c>
      <c r="G985" t="s">
        <v>57</v>
      </c>
      <c r="I985" t="s">
        <v>4982</v>
      </c>
      <c r="K985" t="s">
        <v>4983</v>
      </c>
      <c r="N985" t="s">
        <v>4984</v>
      </c>
      <c r="Z985" t="s">
        <v>43</v>
      </c>
    </row>
    <row r="986" spans="1:26" x14ac:dyDescent="0.25">
      <c r="A986">
        <v>985</v>
      </c>
      <c r="B986" t="s">
        <v>30</v>
      </c>
      <c r="C986" t="s">
        <v>4985</v>
      </c>
      <c r="D986" t="s">
        <v>4986</v>
      </c>
      <c r="E986" t="s">
        <v>4987</v>
      </c>
      <c r="F986" t="s">
        <v>4988</v>
      </c>
      <c r="G986" t="s">
        <v>4989</v>
      </c>
      <c r="I986" t="s">
        <v>4990</v>
      </c>
      <c r="J986">
        <f>57-60-1-470-219</f>
        <v>-693</v>
      </c>
      <c r="K986" t="s">
        <v>4991</v>
      </c>
      <c r="N986" t="s">
        <v>4992</v>
      </c>
      <c r="Z986" t="s">
        <v>43</v>
      </c>
    </row>
    <row r="987" spans="1:26" x14ac:dyDescent="0.25">
      <c r="A987">
        <v>986</v>
      </c>
      <c r="B987" t="s">
        <v>30</v>
      </c>
      <c r="C987" t="s">
        <v>4993</v>
      </c>
      <c r="D987" t="s">
        <v>2923</v>
      </c>
      <c r="E987" t="s">
        <v>56</v>
      </c>
      <c r="F987" t="s">
        <v>2924</v>
      </c>
      <c r="G987" t="s">
        <v>57</v>
      </c>
      <c r="I987" t="s">
        <v>4994</v>
      </c>
      <c r="J987">
        <f>57-312-480-1677</f>
        <v>-2412</v>
      </c>
      <c r="K987" t="s">
        <v>4995</v>
      </c>
      <c r="N987" t="s">
        <v>4996</v>
      </c>
      <c r="Z987" t="s">
        <v>43</v>
      </c>
    </row>
    <row r="988" spans="1:26" x14ac:dyDescent="0.25">
      <c r="A988">
        <v>987</v>
      </c>
      <c r="B988" t="s">
        <v>30</v>
      </c>
      <c r="C988" t="s">
        <v>4997</v>
      </c>
      <c r="D988" t="s">
        <v>64</v>
      </c>
      <c r="E988" t="s">
        <v>64</v>
      </c>
      <c r="F988" t="s">
        <v>65</v>
      </c>
      <c r="G988" t="s">
        <v>65</v>
      </c>
      <c r="I988" t="s">
        <v>4998</v>
      </c>
      <c r="J988">
        <f>57-60-1-704-8045</f>
        <v>-8753</v>
      </c>
      <c r="K988" t="s">
        <v>4999</v>
      </c>
      <c r="N988" t="s">
        <v>5000</v>
      </c>
      <c r="Z988" t="s">
        <v>43</v>
      </c>
    </row>
    <row r="989" spans="1:26" x14ac:dyDescent="0.25">
      <c r="A989">
        <v>988</v>
      </c>
      <c r="B989" t="s">
        <v>30</v>
      </c>
      <c r="C989" t="s">
        <v>5001</v>
      </c>
      <c r="D989" t="s">
        <v>64</v>
      </c>
      <c r="E989" t="s">
        <v>64</v>
      </c>
      <c r="F989" t="s">
        <v>65</v>
      </c>
      <c r="G989" t="s">
        <v>65</v>
      </c>
      <c r="I989" t="s">
        <v>5002</v>
      </c>
      <c r="J989">
        <f>57-314-357-3778</f>
        <v>-4392</v>
      </c>
      <c r="K989" t="s">
        <v>5003</v>
      </c>
      <c r="N989" t="s">
        <v>5004</v>
      </c>
      <c r="Z989" t="s">
        <v>43</v>
      </c>
    </row>
    <row r="990" spans="1:26" x14ac:dyDescent="0.25">
      <c r="A990">
        <v>989</v>
      </c>
      <c r="B990" t="s">
        <v>30</v>
      </c>
      <c r="C990" t="s">
        <v>5005</v>
      </c>
      <c r="D990" t="s">
        <v>56</v>
      </c>
      <c r="E990" t="s">
        <v>56</v>
      </c>
      <c r="F990" t="s">
        <v>57</v>
      </c>
      <c r="G990" t="s">
        <v>57</v>
      </c>
      <c r="I990" t="s">
        <v>5006</v>
      </c>
      <c r="J990">
        <f>57-304-317-4233</f>
        <v>-4797</v>
      </c>
      <c r="K990" t="s">
        <v>5007</v>
      </c>
      <c r="N990" t="s">
        <v>5008</v>
      </c>
      <c r="Z990" t="s">
        <v>43</v>
      </c>
    </row>
    <row r="991" spans="1:26" x14ac:dyDescent="0.25">
      <c r="A991">
        <v>990</v>
      </c>
      <c r="B991" t="s">
        <v>30</v>
      </c>
      <c r="C991" t="s">
        <v>5009</v>
      </c>
      <c r="D991" t="s">
        <v>5010</v>
      </c>
      <c r="E991" t="s">
        <v>72</v>
      </c>
      <c r="F991" t="s">
        <v>5011</v>
      </c>
      <c r="G991" t="s">
        <v>73</v>
      </c>
      <c r="I991" t="s">
        <v>5012</v>
      </c>
      <c r="J991">
        <f>57-311-876-9244</f>
        <v>-10374</v>
      </c>
      <c r="K991" t="s">
        <v>5013</v>
      </c>
      <c r="N991" t="s">
        <v>5014</v>
      </c>
      <c r="Z991" t="s">
        <v>43</v>
      </c>
    </row>
    <row r="992" spans="1:26" x14ac:dyDescent="0.25">
      <c r="A992">
        <v>991</v>
      </c>
      <c r="B992" t="s">
        <v>30</v>
      </c>
      <c r="C992" t="s">
        <v>5015</v>
      </c>
      <c r="D992" t="s">
        <v>2168</v>
      </c>
      <c r="E992" t="s">
        <v>800</v>
      </c>
      <c r="F992" t="s">
        <v>2169</v>
      </c>
      <c r="G992" t="s">
        <v>802</v>
      </c>
      <c r="I992" t="s">
        <v>5016</v>
      </c>
      <c r="J992">
        <f>57-314-207-7891</f>
        <v>-8355</v>
      </c>
      <c r="K992" t="s">
        <v>5017</v>
      </c>
      <c r="N992" t="s">
        <v>5018</v>
      </c>
      <c r="Z992" t="s">
        <v>43</v>
      </c>
    </row>
    <row r="993" spans="1:26" x14ac:dyDescent="0.25">
      <c r="A993">
        <v>992</v>
      </c>
      <c r="B993" t="s">
        <v>30</v>
      </c>
      <c r="C993" t="s">
        <v>5019</v>
      </c>
      <c r="D993" t="s">
        <v>867</v>
      </c>
      <c r="E993" t="s">
        <v>471</v>
      </c>
      <c r="F993" t="s">
        <v>868</v>
      </c>
      <c r="G993" t="s">
        <v>47</v>
      </c>
      <c r="I993" t="s">
        <v>5020</v>
      </c>
      <c r="K993" t="s">
        <v>5021</v>
      </c>
      <c r="N993" t="s">
        <v>5022</v>
      </c>
      <c r="Z993" t="s">
        <v>43</v>
      </c>
    </row>
    <row r="994" spans="1:26" x14ac:dyDescent="0.25">
      <c r="A994">
        <v>993</v>
      </c>
      <c r="B994" t="s">
        <v>30</v>
      </c>
      <c r="C994" t="s">
        <v>5023</v>
      </c>
      <c r="D994" t="s">
        <v>5024</v>
      </c>
      <c r="E994" t="s">
        <v>64</v>
      </c>
      <c r="F994" t="s">
        <v>5025</v>
      </c>
      <c r="G994" t="s">
        <v>65</v>
      </c>
      <c r="I994" t="s">
        <v>5026</v>
      </c>
      <c r="K994" t="s">
        <v>5027</v>
      </c>
      <c r="N994" t="s">
        <v>5028</v>
      </c>
      <c r="Z994" t="s">
        <v>43</v>
      </c>
    </row>
    <row r="995" spans="1:26" x14ac:dyDescent="0.25">
      <c r="A995">
        <v>994</v>
      </c>
      <c r="B995" t="s">
        <v>30</v>
      </c>
      <c r="C995" t="s">
        <v>5029</v>
      </c>
      <c r="D995" t="s">
        <v>72</v>
      </c>
      <c r="E995" t="s">
        <v>72</v>
      </c>
      <c r="F995" t="s">
        <v>73</v>
      </c>
      <c r="G995" t="s">
        <v>73</v>
      </c>
      <c r="I995" t="s">
        <v>5030</v>
      </c>
      <c r="J995">
        <f>57-60-1-313-2257</f>
        <v>-2574</v>
      </c>
      <c r="K995" t="s">
        <v>5031</v>
      </c>
      <c r="N995" t="s">
        <v>5032</v>
      </c>
      <c r="Z995" t="s">
        <v>43</v>
      </c>
    </row>
    <row r="996" spans="1:26" x14ac:dyDescent="0.25">
      <c r="A996">
        <v>995</v>
      </c>
      <c r="B996" t="s">
        <v>30</v>
      </c>
      <c r="C996" t="s">
        <v>5033</v>
      </c>
      <c r="D996" t="s">
        <v>3274</v>
      </c>
      <c r="E996" t="s">
        <v>471</v>
      </c>
      <c r="F996" t="s">
        <v>3275</v>
      </c>
      <c r="G996" t="s">
        <v>47</v>
      </c>
      <c r="I996" t="s">
        <v>5034</v>
      </c>
      <c r="J996">
        <f>57-314-331-3822</f>
        <v>-4410</v>
      </c>
      <c r="K996" t="s">
        <v>5035</v>
      </c>
      <c r="N996" t="s">
        <v>5036</v>
      </c>
      <c r="Z996" t="s">
        <v>43</v>
      </c>
    </row>
    <row r="997" spans="1:26" x14ac:dyDescent="0.25">
      <c r="A997">
        <v>996</v>
      </c>
      <c r="B997" t="s">
        <v>30</v>
      </c>
      <c r="C997" t="s">
        <v>5037</v>
      </c>
      <c r="D997" t="s">
        <v>1816</v>
      </c>
      <c r="E997" t="s">
        <v>64</v>
      </c>
      <c r="F997" t="s">
        <v>1857</v>
      </c>
      <c r="G997" t="s">
        <v>65</v>
      </c>
      <c r="I997" t="s">
        <v>5038</v>
      </c>
      <c r="J997">
        <f>57-312-450-3131</f>
        <v>-3836</v>
      </c>
      <c r="K997" t="s">
        <v>5039</v>
      </c>
      <c r="N997" t="s">
        <v>5040</v>
      </c>
      <c r="Z997" t="s">
        <v>43</v>
      </c>
    </row>
    <row r="998" spans="1:26" x14ac:dyDescent="0.25">
      <c r="A998">
        <v>997</v>
      </c>
      <c r="B998" t="s">
        <v>30</v>
      </c>
      <c r="C998" t="s">
        <v>5041</v>
      </c>
      <c r="D998" t="s">
        <v>46</v>
      </c>
      <c r="E998" t="s">
        <v>471</v>
      </c>
      <c r="F998" t="s">
        <v>820</v>
      </c>
      <c r="G998" t="s">
        <v>47</v>
      </c>
      <c r="I998" t="s">
        <v>5042</v>
      </c>
      <c r="K998" t="s">
        <v>5043</v>
      </c>
      <c r="N998" t="s">
        <v>5044</v>
      </c>
      <c r="Z998" t="s">
        <v>43</v>
      </c>
    </row>
    <row r="999" spans="1:26" x14ac:dyDescent="0.25">
      <c r="A999">
        <v>998</v>
      </c>
      <c r="B999" t="s">
        <v>30</v>
      </c>
      <c r="C999" t="s">
        <v>5045</v>
      </c>
      <c r="D999" t="s">
        <v>72</v>
      </c>
      <c r="E999" t="s">
        <v>72</v>
      </c>
      <c r="F999" t="s">
        <v>73</v>
      </c>
      <c r="G999" t="s">
        <v>73</v>
      </c>
      <c r="I999" t="s">
        <v>5046</v>
      </c>
      <c r="J999">
        <f>57-60-1-486-4913</f>
        <v>-5403</v>
      </c>
      <c r="K999" t="s">
        <v>5047</v>
      </c>
      <c r="N999" t="s">
        <v>5048</v>
      </c>
      <c r="Z999" t="s">
        <v>43</v>
      </c>
    </row>
    <row r="1000" spans="1:26" x14ac:dyDescent="0.25">
      <c r="A1000">
        <v>999</v>
      </c>
      <c r="B1000" t="s">
        <v>30</v>
      </c>
      <c r="C1000" t="s">
        <v>5049</v>
      </c>
      <c r="D1000" t="s">
        <v>5050</v>
      </c>
      <c r="E1000" t="s">
        <v>56</v>
      </c>
      <c r="F1000" t="s">
        <v>5051</v>
      </c>
      <c r="G1000" t="s">
        <v>57</v>
      </c>
      <c r="I1000" t="s">
        <v>5052</v>
      </c>
      <c r="J1000">
        <f>57-319-456-8344</f>
        <v>-9062</v>
      </c>
      <c r="K1000" t="s">
        <v>5053</v>
      </c>
      <c r="N1000" t="s">
        <v>5054</v>
      </c>
      <c r="Z1000" t="s">
        <v>43</v>
      </c>
    </row>
    <row r="1001" spans="1:26" x14ac:dyDescent="0.25">
      <c r="A1001">
        <v>1000</v>
      </c>
      <c r="B1001" t="s">
        <v>30</v>
      </c>
      <c r="C1001" t="s">
        <v>5055</v>
      </c>
      <c r="D1001" t="s">
        <v>4655</v>
      </c>
      <c r="E1001" t="s">
        <v>755</v>
      </c>
      <c r="F1001" t="s">
        <v>5056</v>
      </c>
      <c r="G1001" t="s">
        <v>757</v>
      </c>
      <c r="I1001" t="s">
        <v>5057</v>
      </c>
      <c r="J1001">
        <f>57-312-687-5043</f>
        <v>-5985</v>
      </c>
      <c r="K1001" t="s">
        <v>5058</v>
      </c>
      <c r="N1001" t="s">
        <v>5059</v>
      </c>
      <c r="Z1001" t="s">
        <v>43</v>
      </c>
    </row>
    <row r="1002" spans="1:26" x14ac:dyDescent="0.25">
      <c r="A1002">
        <v>1001</v>
      </c>
      <c r="B1002" t="s">
        <v>30</v>
      </c>
      <c r="C1002" t="s">
        <v>5060</v>
      </c>
      <c r="D1002" t="s">
        <v>5061</v>
      </c>
      <c r="E1002" t="s">
        <v>56</v>
      </c>
      <c r="F1002" t="s">
        <v>5062</v>
      </c>
      <c r="G1002" t="s">
        <v>57</v>
      </c>
      <c r="I1002" t="s">
        <v>5063</v>
      </c>
      <c r="K1002" t="s">
        <v>5064</v>
      </c>
      <c r="N1002" t="s">
        <v>5065</v>
      </c>
      <c r="Z1002" t="s">
        <v>43</v>
      </c>
    </row>
    <row r="1003" spans="1:26" x14ac:dyDescent="0.25">
      <c r="A1003">
        <v>1002</v>
      </c>
      <c r="B1003" t="s">
        <v>30</v>
      </c>
      <c r="C1003" t="s">
        <v>5066</v>
      </c>
      <c r="D1003" t="s">
        <v>3415</v>
      </c>
      <c r="E1003" t="s">
        <v>3416</v>
      </c>
      <c r="F1003" t="s">
        <v>3417</v>
      </c>
      <c r="G1003" t="s">
        <v>3418</v>
      </c>
      <c r="I1003" t="s">
        <v>5067</v>
      </c>
      <c r="J1003">
        <f>57-300-210-2665</f>
        <v>-3118</v>
      </c>
      <c r="K1003" t="s">
        <v>5068</v>
      </c>
      <c r="N1003" t="s">
        <v>5069</v>
      </c>
      <c r="Z1003" t="s">
        <v>43</v>
      </c>
    </row>
    <row r="1004" spans="1:26" x14ac:dyDescent="0.25">
      <c r="A1004">
        <v>1003</v>
      </c>
      <c r="B1004" t="s">
        <v>30</v>
      </c>
      <c r="C1004" t="s">
        <v>5070</v>
      </c>
      <c r="D1004" t="s">
        <v>64</v>
      </c>
      <c r="E1004" t="s">
        <v>64</v>
      </c>
      <c r="F1004" t="s">
        <v>65</v>
      </c>
      <c r="G1004" t="s">
        <v>65</v>
      </c>
      <c r="I1004" t="s">
        <v>5071</v>
      </c>
      <c r="J1004">
        <f>57-300-553-7931</f>
        <v>-8727</v>
      </c>
      <c r="K1004" t="s">
        <v>5072</v>
      </c>
      <c r="N1004" t="s">
        <v>5073</v>
      </c>
      <c r="Z1004" t="s">
        <v>43</v>
      </c>
    </row>
    <row r="1005" spans="1:26" x14ac:dyDescent="0.25">
      <c r="A1005">
        <v>1004</v>
      </c>
      <c r="B1005" t="s">
        <v>30</v>
      </c>
      <c r="C1005" t="s">
        <v>5074</v>
      </c>
      <c r="D1005" t="s">
        <v>46</v>
      </c>
      <c r="E1005" t="s">
        <v>471</v>
      </c>
      <c r="F1005" t="s">
        <v>941</v>
      </c>
      <c r="G1005" t="s">
        <v>47</v>
      </c>
      <c r="I1005" t="s">
        <v>5075</v>
      </c>
      <c r="J1005">
        <f>57-312-347-4803</f>
        <v>-5405</v>
      </c>
      <c r="K1005" t="s">
        <v>5076</v>
      </c>
      <c r="N1005" t="s">
        <v>5077</v>
      </c>
      <c r="Z1005" t="s">
        <v>43</v>
      </c>
    </row>
    <row r="1006" spans="1:26" x14ac:dyDescent="0.25">
      <c r="A1006">
        <v>1005</v>
      </c>
      <c r="B1006" t="s">
        <v>30</v>
      </c>
      <c r="C1006" t="s">
        <v>5078</v>
      </c>
      <c r="D1006" t="s">
        <v>5079</v>
      </c>
      <c r="E1006" t="s">
        <v>1269</v>
      </c>
      <c r="F1006" t="s">
        <v>5080</v>
      </c>
      <c r="G1006" t="s">
        <v>1271</v>
      </c>
      <c r="I1006" t="s">
        <v>5081</v>
      </c>
      <c r="K1006" t="s">
        <v>5082</v>
      </c>
      <c r="N1006" t="s">
        <v>5083</v>
      </c>
      <c r="Z1006" t="s">
        <v>43</v>
      </c>
    </row>
    <row r="1007" spans="1:26" x14ac:dyDescent="0.25">
      <c r="A1007">
        <v>1006</v>
      </c>
      <c r="B1007" t="s">
        <v>30</v>
      </c>
      <c r="C1007" t="s">
        <v>5084</v>
      </c>
      <c r="D1007" t="s">
        <v>3221</v>
      </c>
      <c r="E1007" t="s">
        <v>1338</v>
      </c>
      <c r="F1007" t="s">
        <v>3222</v>
      </c>
      <c r="G1007" t="s">
        <v>1340</v>
      </c>
      <c r="I1007" t="s">
        <v>5085</v>
      </c>
      <c r="J1007">
        <f>57-311-550-920</f>
        <v>-1724</v>
      </c>
      <c r="K1007" t="s">
        <v>5086</v>
      </c>
      <c r="N1007" t="s">
        <v>5087</v>
      </c>
      <c r="Z1007" t="s">
        <v>43</v>
      </c>
    </row>
    <row r="1008" spans="1:26" x14ac:dyDescent="0.25">
      <c r="A1008">
        <v>1007</v>
      </c>
      <c r="B1008" t="s">
        <v>30</v>
      </c>
      <c r="C1008" t="s">
        <v>5088</v>
      </c>
      <c r="D1008" t="s">
        <v>2394</v>
      </c>
      <c r="E1008" t="s">
        <v>56</v>
      </c>
      <c r="F1008" t="s">
        <v>2395</v>
      </c>
      <c r="G1008" t="s">
        <v>57</v>
      </c>
      <c r="I1008" t="s">
        <v>5089</v>
      </c>
      <c r="K1008" t="s">
        <v>5090</v>
      </c>
      <c r="N1008" t="s">
        <v>5091</v>
      </c>
      <c r="Z1008" t="s">
        <v>43</v>
      </c>
    </row>
    <row r="1009" spans="1:26" x14ac:dyDescent="0.25">
      <c r="A1009">
        <v>1008</v>
      </c>
      <c r="B1009" t="s">
        <v>30</v>
      </c>
      <c r="C1009" t="s">
        <v>5092</v>
      </c>
      <c r="D1009" t="s">
        <v>5093</v>
      </c>
      <c r="E1009" t="s">
        <v>72</v>
      </c>
      <c r="F1009" t="s">
        <v>5094</v>
      </c>
      <c r="G1009" t="s">
        <v>73</v>
      </c>
      <c r="I1009" t="s">
        <v>5095</v>
      </c>
      <c r="J1009">
        <f>57-300-295-3774</f>
        <v>-4312</v>
      </c>
      <c r="K1009" t="s">
        <v>5096</v>
      </c>
      <c r="N1009" t="s">
        <v>5097</v>
      </c>
      <c r="Z1009" t="s">
        <v>43</v>
      </c>
    </row>
    <row r="1010" spans="1:26" x14ac:dyDescent="0.25">
      <c r="A1010">
        <v>1009</v>
      </c>
      <c r="B1010" t="s">
        <v>30</v>
      </c>
      <c r="C1010" t="s">
        <v>5098</v>
      </c>
      <c r="D1010" t="s">
        <v>5099</v>
      </c>
      <c r="E1010" t="s">
        <v>64</v>
      </c>
      <c r="F1010" t="s">
        <v>5100</v>
      </c>
      <c r="G1010" t="s">
        <v>65</v>
      </c>
      <c r="I1010" t="s">
        <v>5101</v>
      </c>
      <c r="J1010">
        <f>57-322-882-4886</f>
        <v>-6033</v>
      </c>
      <c r="K1010" t="s">
        <v>5102</v>
      </c>
      <c r="N1010" t="s">
        <v>5103</v>
      </c>
      <c r="Z1010" t="s">
        <v>43</v>
      </c>
    </row>
    <row r="1011" spans="1:26" x14ac:dyDescent="0.25">
      <c r="A1011">
        <v>1010</v>
      </c>
      <c r="B1011" t="s">
        <v>30</v>
      </c>
      <c r="C1011" t="s">
        <v>5104</v>
      </c>
      <c r="D1011" t="s">
        <v>5105</v>
      </c>
      <c r="E1011" t="s">
        <v>3234</v>
      </c>
      <c r="F1011" t="s">
        <v>5106</v>
      </c>
      <c r="G1011" t="s">
        <v>3236</v>
      </c>
      <c r="I1011" t="s">
        <v>5107</v>
      </c>
      <c r="J1011">
        <f>57-314-862-685</f>
        <v>-1804</v>
      </c>
      <c r="K1011" t="s">
        <v>5108</v>
      </c>
      <c r="N1011" t="s">
        <v>5109</v>
      </c>
      <c r="Z1011" t="s">
        <v>43</v>
      </c>
    </row>
    <row r="1012" spans="1:26" x14ac:dyDescent="0.25">
      <c r="A1012">
        <v>1011</v>
      </c>
      <c r="B1012" t="s">
        <v>30</v>
      </c>
      <c r="C1012" t="s">
        <v>5110</v>
      </c>
      <c r="D1012" t="s">
        <v>813</v>
      </c>
      <c r="E1012" t="s">
        <v>72</v>
      </c>
      <c r="F1012" t="s">
        <v>814</v>
      </c>
      <c r="G1012" t="s">
        <v>73</v>
      </c>
      <c r="I1012" t="s">
        <v>5111</v>
      </c>
      <c r="J1012">
        <f>57-60-1-232-6646</f>
        <v>-6882</v>
      </c>
      <c r="K1012" t="s">
        <v>5112</v>
      </c>
      <c r="N1012" t="s">
        <v>5113</v>
      </c>
      <c r="Z1012" t="s">
        <v>43</v>
      </c>
    </row>
    <row r="1013" spans="1:26" x14ac:dyDescent="0.25">
      <c r="A1013">
        <v>1012</v>
      </c>
      <c r="B1013" t="s">
        <v>30</v>
      </c>
      <c r="C1013" t="s">
        <v>5114</v>
      </c>
      <c r="D1013" t="s">
        <v>72</v>
      </c>
      <c r="E1013" t="s">
        <v>72</v>
      </c>
      <c r="F1013" t="s">
        <v>73</v>
      </c>
      <c r="G1013" t="s">
        <v>73</v>
      </c>
      <c r="I1013" t="s">
        <v>5115</v>
      </c>
      <c r="J1013">
        <f>57-60-1-474-9537</f>
        <v>-10015</v>
      </c>
      <c r="K1013" t="s">
        <v>5116</v>
      </c>
      <c r="N1013" t="s">
        <v>5117</v>
      </c>
      <c r="Z1013" t="s">
        <v>43</v>
      </c>
    </row>
    <row r="1014" spans="1:26" x14ac:dyDescent="0.25">
      <c r="A1014">
        <v>1013</v>
      </c>
      <c r="B1014" t="s">
        <v>30</v>
      </c>
      <c r="C1014" t="s">
        <v>5118</v>
      </c>
      <c r="D1014" t="s">
        <v>1260</v>
      </c>
      <c r="E1014" t="s">
        <v>72</v>
      </c>
      <c r="F1014" t="s">
        <v>5119</v>
      </c>
      <c r="G1014" t="s">
        <v>73</v>
      </c>
      <c r="I1014" t="s">
        <v>5120</v>
      </c>
      <c r="J1014">
        <f>57-315-243-5602</f>
        <v>-6103</v>
      </c>
      <c r="K1014" t="s">
        <v>5121</v>
      </c>
      <c r="N1014" t="s">
        <v>5122</v>
      </c>
      <c r="Z1014" t="s">
        <v>43</v>
      </c>
    </row>
    <row r="1015" spans="1:26" x14ac:dyDescent="0.25">
      <c r="A1015">
        <v>1014</v>
      </c>
      <c r="B1015" t="s">
        <v>30</v>
      </c>
      <c r="C1015" t="s">
        <v>5123</v>
      </c>
      <c r="D1015" t="s">
        <v>5124</v>
      </c>
      <c r="E1015" t="s">
        <v>800</v>
      </c>
      <c r="F1015" t="s">
        <v>5125</v>
      </c>
      <c r="G1015" t="s">
        <v>802</v>
      </c>
      <c r="I1015" t="s">
        <v>5126</v>
      </c>
      <c r="J1015">
        <f>57-310-211-1172</f>
        <v>-1636</v>
      </c>
      <c r="K1015" t="s">
        <v>5127</v>
      </c>
      <c r="N1015" t="s">
        <v>5128</v>
      </c>
      <c r="Z1015" t="s">
        <v>43</v>
      </c>
    </row>
    <row r="1016" spans="1:26" x14ac:dyDescent="0.25">
      <c r="A1016">
        <v>1015</v>
      </c>
      <c r="B1016" t="s">
        <v>30</v>
      </c>
      <c r="C1016" t="s">
        <v>5129</v>
      </c>
      <c r="D1016" t="s">
        <v>5130</v>
      </c>
      <c r="E1016" t="s">
        <v>471</v>
      </c>
      <c r="F1016" t="s">
        <v>5131</v>
      </c>
      <c r="G1016" t="s">
        <v>47</v>
      </c>
      <c r="I1016" t="s">
        <v>5132</v>
      </c>
      <c r="K1016" t="s">
        <v>5133</v>
      </c>
      <c r="N1016" t="s">
        <v>5134</v>
      </c>
      <c r="Z1016" t="s">
        <v>43</v>
      </c>
    </row>
    <row r="1017" spans="1:26" x14ac:dyDescent="0.25">
      <c r="A1017">
        <v>1016</v>
      </c>
      <c r="B1017" t="s">
        <v>30</v>
      </c>
      <c r="C1017" t="s">
        <v>5135</v>
      </c>
      <c r="D1017" t="s">
        <v>5136</v>
      </c>
      <c r="E1017" t="s">
        <v>5137</v>
      </c>
      <c r="F1017" t="s">
        <v>5138</v>
      </c>
      <c r="G1017" t="s">
        <v>5139</v>
      </c>
      <c r="I1017" t="s">
        <v>5140</v>
      </c>
      <c r="J1017">
        <f>57-310-257-5641</f>
        <v>-6151</v>
      </c>
      <c r="K1017" t="s">
        <v>5141</v>
      </c>
      <c r="N1017" t="s">
        <v>5142</v>
      </c>
      <c r="Z1017" t="s">
        <v>43</v>
      </c>
    </row>
    <row r="1018" spans="1:26" x14ac:dyDescent="0.25">
      <c r="A1018">
        <v>1017</v>
      </c>
      <c r="B1018" t="s">
        <v>30</v>
      </c>
      <c r="C1018" t="s">
        <v>5143</v>
      </c>
      <c r="D1018" t="s">
        <v>5144</v>
      </c>
      <c r="E1018" t="s">
        <v>56</v>
      </c>
      <c r="F1018" t="s">
        <v>5145</v>
      </c>
      <c r="G1018" t="s">
        <v>57</v>
      </c>
      <c r="I1018" t="s">
        <v>5146</v>
      </c>
      <c r="K1018" t="s">
        <v>5147</v>
      </c>
      <c r="N1018" t="s">
        <v>5148</v>
      </c>
      <c r="Z1018" t="s">
        <v>43</v>
      </c>
    </row>
    <row r="1019" spans="1:26" x14ac:dyDescent="0.25">
      <c r="A1019">
        <v>1018</v>
      </c>
      <c r="B1019" t="s">
        <v>30</v>
      </c>
      <c r="C1019" t="s">
        <v>5149</v>
      </c>
      <c r="D1019" t="s">
        <v>2168</v>
      </c>
      <c r="E1019" t="s">
        <v>800</v>
      </c>
      <c r="F1019" t="s">
        <v>2169</v>
      </c>
      <c r="G1019" t="s">
        <v>802</v>
      </c>
      <c r="I1019" t="s">
        <v>5150</v>
      </c>
      <c r="K1019" t="s">
        <v>5151</v>
      </c>
      <c r="N1019" t="s">
        <v>5152</v>
      </c>
      <c r="Z1019" t="s">
        <v>43</v>
      </c>
    </row>
    <row r="1020" spans="1:26" x14ac:dyDescent="0.25">
      <c r="A1020">
        <v>1019</v>
      </c>
      <c r="B1020" t="s">
        <v>30</v>
      </c>
      <c r="C1020" t="s">
        <v>5153</v>
      </c>
      <c r="D1020" t="s">
        <v>5154</v>
      </c>
      <c r="E1020" t="s">
        <v>5155</v>
      </c>
      <c r="F1020" t="s">
        <v>5156</v>
      </c>
      <c r="G1020" t="s">
        <v>5157</v>
      </c>
      <c r="I1020" t="s">
        <v>5158</v>
      </c>
      <c r="J1020">
        <f>57-310-332-4354</f>
        <v>-4939</v>
      </c>
      <c r="K1020" t="s">
        <v>5159</v>
      </c>
      <c r="N1020" t="s">
        <v>5160</v>
      </c>
      <c r="Z1020" t="s">
        <v>43</v>
      </c>
    </row>
    <row r="1021" spans="1:26" x14ac:dyDescent="0.25">
      <c r="A1021">
        <v>1020</v>
      </c>
      <c r="B1021" t="s">
        <v>30</v>
      </c>
      <c r="C1021" t="s">
        <v>5161</v>
      </c>
      <c r="D1021" t="s">
        <v>5162</v>
      </c>
      <c r="E1021" t="s">
        <v>1774</v>
      </c>
      <c r="F1021" t="s">
        <v>5163</v>
      </c>
      <c r="G1021" t="s">
        <v>1776</v>
      </c>
      <c r="I1021" t="s">
        <v>5164</v>
      </c>
      <c r="J1021">
        <f>57-312-313-7772</f>
        <v>-8340</v>
      </c>
      <c r="K1021" t="s">
        <v>5165</v>
      </c>
      <c r="N1021" t="s">
        <v>5166</v>
      </c>
      <c r="Z1021" t="s">
        <v>43</v>
      </c>
    </row>
    <row r="1022" spans="1:26" x14ac:dyDescent="0.25">
      <c r="A1022">
        <v>1021</v>
      </c>
      <c r="B1022" t="s">
        <v>30</v>
      </c>
      <c r="C1022" t="s">
        <v>5167</v>
      </c>
      <c r="D1022" t="s">
        <v>46</v>
      </c>
      <c r="E1022" t="s">
        <v>471</v>
      </c>
      <c r="F1022" t="s">
        <v>820</v>
      </c>
      <c r="G1022" t="s">
        <v>47</v>
      </c>
      <c r="I1022" t="s">
        <v>5168</v>
      </c>
      <c r="K1022" t="s">
        <v>5169</v>
      </c>
      <c r="N1022" t="s">
        <v>5170</v>
      </c>
      <c r="Z1022" t="s">
        <v>43</v>
      </c>
    </row>
    <row r="1023" spans="1:26" x14ac:dyDescent="0.25">
      <c r="A1023">
        <v>1022</v>
      </c>
      <c r="B1023" t="s">
        <v>30</v>
      </c>
      <c r="C1023" t="s">
        <v>5171</v>
      </c>
      <c r="D1023" t="s">
        <v>5172</v>
      </c>
      <c r="E1023" t="s">
        <v>800</v>
      </c>
      <c r="F1023" t="s">
        <v>5173</v>
      </c>
      <c r="G1023" t="s">
        <v>802</v>
      </c>
      <c r="I1023" t="s">
        <v>5174</v>
      </c>
      <c r="J1023">
        <f>57-315-515-8000</f>
        <v>-8773</v>
      </c>
      <c r="K1023" t="s">
        <v>5175</v>
      </c>
      <c r="N1023" t="s">
        <v>5176</v>
      </c>
      <c r="Z1023" t="s">
        <v>43</v>
      </c>
    </row>
    <row r="1024" spans="1:26" x14ac:dyDescent="0.25">
      <c r="A1024">
        <v>1023</v>
      </c>
      <c r="B1024" t="s">
        <v>30</v>
      </c>
      <c r="C1024" t="s">
        <v>5177</v>
      </c>
      <c r="D1024" t="s">
        <v>5178</v>
      </c>
      <c r="E1024" t="s">
        <v>5179</v>
      </c>
      <c r="F1024" t="s">
        <v>5180</v>
      </c>
      <c r="G1024" t="s">
        <v>5181</v>
      </c>
      <c r="I1024" t="s">
        <v>5182</v>
      </c>
      <c r="J1024">
        <f>57-316-528-8072</f>
        <v>-8859</v>
      </c>
      <c r="K1024" t="s">
        <v>5183</v>
      </c>
      <c r="N1024" t="s">
        <v>5184</v>
      </c>
      <c r="Z1024" t="s">
        <v>43</v>
      </c>
    </row>
    <row r="1025" spans="1:26" x14ac:dyDescent="0.25">
      <c r="A1025">
        <v>1024</v>
      </c>
      <c r="B1025" t="s">
        <v>30</v>
      </c>
      <c r="C1025" t="s">
        <v>5185</v>
      </c>
      <c r="D1025" t="s">
        <v>2064</v>
      </c>
      <c r="E1025" t="s">
        <v>471</v>
      </c>
      <c r="F1025" t="s">
        <v>3483</v>
      </c>
      <c r="G1025" t="s">
        <v>47</v>
      </c>
      <c r="I1025" t="s">
        <v>5186</v>
      </c>
      <c r="K1025" t="s">
        <v>5187</v>
      </c>
      <c r="N1025" t="s">
        <v>3486</v>
      </c>
      <c r="Z1025" t="s">
        <v>43</v>
      </c>
    </row>
    <row r="1026" spans="1:26" x14ac:dyDescent="0.25">
      <c r="A1026">
        <v>1025</v>
      </c>
      <c r="B1026" t="s">
        <v>30</v>
      </c>
      <c r="C1026" t="s">
        <v>5188</v>
      </c>
      <c r="D1026" t="s">
        <v>5189</v>
      </c>
      <c r="E1026" t="s">
        <v>64</v>
      </c>
      <c r="F1026" t="s">
        <v>5190</v>
      </c>
      <c r="G1026" t="s">
        <v>65</v>
      </c>
      <c r="I1026" t="s">
        <v>5191</v>
      </c>
      <c r="J1026">
        <f>57-318-391-433</f>
        <v>-1085</v>
      </c>
      <c r="K1026" t="s">
        <v>5192</v>
      </c>
      <c r="N1026" t="s">
        <v>5193</v>
      </c>
      <c r="Z1026" t="s">
        <v>43</v>
      </c>
    </row>
    <row r="1027" spans="1:26" x14ac:dyDescent="0.25">
      <c r="A1027">
        <v>1026</v>
      </c>
      <c r="B1027" t="s">
        <v>30</v>
      </c>
      <c r="C1027" t="s">
        <v>5194</v>
      </c>
      <c r="D1027" t="s">
        <v>5195</v>
      </c>
      <c r="E1027" t="s">
        <v>56</v>
      </c>
      <c r="F1027" t="s">
        <v>5196</v>
      </c>
      <c r="G1027" t="s">
        <v>57</v>
      </c>
      <c r="I1027" t="s">
        <v>5197</v>
      </c>
      <c r="J1027">
        <f>57-320-766-6886</f>
        <v>-7915</v>
      </c>
      <c r="K1027" t="s">
        <v>5198</v>
      </c>
      <c r="N1027" t="s">
        <v>5199</v>
      </c>
      <c r="Z1027" t="s">
        <v>43</v>
      </c>
    </row>
    <row r="1028" spans="1:26" x14ac:dyDescent="0.25">
      <c r="A1028">
        <v>1027</v>
      </c>
      <c r="B1028" t="s">
        <v>30</v>
      </c>
      <c r="C1028" t="s">
        <v>5200</v>
      </c>
      <c r="D1028" t="s">
        <v>3465</v>
      </c>
      <c r="E1028" t="s">
        <v>1269</v>
      </c>
      <c r="F1028" t="s">
        <v>3466</v>
      </c>
      <c r="G1028" t="s">
        <v>1271</v>
      </c>
      <c r="I1028" t="s">
        <v>5201</v>
      </c>
      <c r="K1028" t="s">
        <v>5202</v>
      </c>
      <c r="N1028" t="s">
        <v>5203</v>
      </c>
      <c r="Z1028" t="s">
        <v>43</v>
      </c>
    </row>
    <row r="1029" spans="1:26" x14ac:dyDescent="0.25">
      <c r="A1029">
        <v>1028</v>
      </c>
      <c r="B1029" t="s">
        <v>30</v>
      </c>
      <c r="C1029" t="s">
        <v>5204</v>
      </c>
      <c r="D1029" t="s">
        <v>46</v>
      </c>
      <c r="E1029" t="s">
        <v>471</v>
      </c>
      <c r="F1029" t="s">
        <v>820</v>
      </c>
      <c r="G1029" t="s">
        <v>47</v>
      </c>
      <c r="I1029" t="s">
        <v>5205</v>
      </c>
      <c r="J1029">
        <f>57-302-328-3832</f>
        <v>-4405</v>
      </c>
      <c r="K1029" t="s">
        <v>5206</v>
      </c>
      <c r="N1029" t="s">
        <v>5207</v>
      </c>
      <c r="Z1029" t="s">
        <v>43</v>
      </c>
    </row>
    <row r="1030" spans="1:26" x14ac:dyDescent="0.25">
      <c r="A1030">
        <v>1029</v>
      </c>
      <c r="B1030" t="s">
        <v>30</v>
      </c>
      <c r="C1030" t="s">
        <v>5208</v>
      </c>
      <c r="D1030" t="s">
        <v>5209</v>
      </c>
      <c r="E1030" t="s">
        <v>5210</v>
      </c>
      <c r="F1030" t="s">
        <v>5211</v>
      </c>
      <c r="G1030" t="s">
        <v>5212</v>
      </c>
      <c r="I1030" t="s">
        <v>5213</v>
      </c>
      <c r="K1030" t="s">
        <v>5214</v>
      </c>
      <c r="N1030" t="s">
        <v>5215</v>
      </c>
      <c r="Z1030" t="s">
        <v>43</v>
      </c>
    </row>
    <row r="1031" spans="1:26" x14ac:dyDescent="0.25">
      <c r="A1031">
        <v>1030</v>
      </c>
      <c r="B1031" t="s">
        <v>30</v>
      </c>
      <c r="C1031" t="s">
        <v>5216</v>
      </c>
      <c r="D1031" t="s">
        <v>909</v>
      </c>
      <c r="E1031" t="s">
        <v>3321</v>
      </c>
      <c r="F1031" t="s">
        <v>1670</v>
      </c>
      <c r="G1031" t="s">
        <v>3323</v>
      </c>
      <c r="I1031" t="s">
        <v>5217</v>
      </c>
      <c r="J1031">
        <f>57-60-1-337-9010</f>
        <v>-9351</v>
      </c>
      <c r="K1031" t="s">
        <v>5218</v>
      </c>
      <c r="N1031" t="s">
        <v>5219</v>
      </c>
      <c r="Z1031" t="s">
        <v>43</v>
      </c>
    </row>
    <row r="1032" spans="1:26" x14ac:dyDescent="0.25">
      <c r="A1032">
        <v>1031</v>
      </c>
      <c r="B1032" t="s">
        <v>30</v>
      </c>
      <c r="C1032" t="s">
        <v>5220</v>
      </c>
      <c r="D1032" t="s">
        <v>5221</v>
      </c>
      <c r="E1032" t="s">
        <v>72</v>
      </c>
      <c r="F1032" t="s">
        <v>5222</v>
      </c>
      <c r="G1032" t="s">
        <v>73</v>
      </c>
      <c r="I1032" t="s">
        <v>5223</v>
      </c>
      <c r="J1032">
        <f>57-350-769-4646</f>
        <v>-5708</v>
      </c>
      <c r="K1032" t="s">
        <v>5224</v>
      </c>
      <c r="N1032" t="s">
        <v>5225</v>
      </c>
      <c r="Z1032" t="s">
        <v>43</v>
      </c>
    </row>
    <row r="1033" spans="1:26" x14ac:dyDescent="0.25">
      <c r="A1033">
        <v>1032</v>
      </c>
      <c r="B1033" t="s">
        <v>30</v>
      </c>
      <c r="C1033" t="s">
        <v>5226</v>
      </c>
      <c r="D1033" t="s">
        <v>64</v>
      </c>
      <c r="E1033" t="s">
        <v>3321</v>
      </c>
      <c r="F1033" t="s">
        <v>5227</v>
      </c>
      <c r="G1033" t="s">
        <v>3323</v>
      </c>
      <c r="I1033" t="s">
        <v>5228</v>
      </c>
      <c r="J1033">
        <f>57-60-1-305-3080</f>
        <v>-3389</v>
      </c>
      <c r="K1033" t="s">
        <v>5229</v>
      </c>
      <c r="N1033" t="s">
        <v>5230</v>
      </c>
      <c r="Z1033" t="s">
        <v>43</v>
      </c>
    </row>
    <row r="1034" spans="1:26" x14ac:dyDescent="0.25">
      <c r="A1034">
        <v>1033</v>
      </c>
      <c r="B1034" t="s">
        <v>30</v>
      </c>
      <c r="C1034" t="s">
        <v>5231</v>
      </c>
      <c r="D1034" t="s">
        <v>46</v>
      </c>
      <c r="E1034" t="s">
        <v>56</v>
      </c>
      <c r="F1034" t="s">
        <v>820</v>
      </c>
      <c r="G1034" t="s">
        <v>57</v>
      </c>
      <c r="I1034" t="s">
        <v>5232</v>
      </c>
      <c r="J1034">
        <f>57-312-531-8276</f>
        <v>-9062</v>
      </c>
      <c r="K1034" t="s">
        <v>5233</v>
      </c>
      <c r="N1034" t="s">
        <v>5234</v>
      </c>
      <c r="Z1034" t="s">
        <v>43</v>
      </c>
    </row>
    <row r="1035" spans="1:26" x14ac:dyDescent="0.25">
      <c r="A1035">
        <v>1034</v>
      </c>
      <c r="B1035" t="s">
        <v>30</v>
      </c>
      <c r="C1035" t="s">
        <v>5235</v>
      </c>
      <c r="D1035" t="s">
        <v>909</v>
      </c>
      <c r="E1035" t="s">
        <v>471</v>
      </c>
      <c r="F1035" t="s">
        <v>1659</v>
      </c>
      <c r="G1035" t="s">
        <v>47</v>
      </c>
      <c r="I1035" t="s">
        <v>5236</v>
      </c>
      <c r="K1035" t="s">
        <v>5237</v>
      </c>
      <c r="N1035" t="s">
        <v>5238</v>
      </c>
      <c r="Z1035" t="s">
        <v>43</v>
      </c>
    </row>
    <row r="1036" spans="1:26" x14ac:dyDescent="0.25">
      <c r="A1036">
        <v>1035</v>
      </c>
      <c r="B1036" t="s">
        <v>30</v>
      </c>
      <c r="C1036" t="s">
        <v>5239</v>
      </c>
      <c r="D1036" t="s">
        <v>1260</v>
      </c>
      <c r="E1036" t="s">
        <v>471</v>
      </c>
      <c r="F1036" t="s">
        <v>1653</v>
      </c>
      <c r="G1036" t="s">
        <v>966</v>
      </c>
      <c r="I1036" t="s">
        <v>5240</v>
      </c>
      <c r="J1036">
        <f>57-314-320-4824</f>
        <v>-5401</v>
      </c>
      <c r="K1036" t="s">
        <v>5241</v>
      </c>
      <c r="N1036" t="s">
        <v>5242</v>
      </c>
      <c r="Z1036" t="s">
        <v>43</v>
      </c>
    </row>
    <row r="1037" spans="1:26" x14ac:dyDescent="0.25">
      <c r="A1037">
        <v>1036</v>
      </c>
      <c r="B1037" t="s">
        <v>30</v>
      </c>
      <c r="C1037" t="s">
        <v>5243</v>
      </c>
      <c r="D1037" t="s">
        <v>5244</v>
      </c>
      <c r="E1037" t="s">
        <v>4176</v>
      </c>
      <c r="F1037" t="s">
        <v>5245</v>
      </c>
      <c r="G1037" t="s">
        <v>4178</v>
      </c>
      <c r="I1037" t="s">
        <v>5246</v>
      </c>
      <c r="J1037">
        <f>57-60-1-347-4558</f>
        <v>-4909</v>
      </c>
      <c r="K1037" t="s">
        <v>183</v>
      </c>
      <c r="N1037" t="s">
        <v>2371</v>
      </c>
      <c r="Z1037" t="s">
        <v>43</v>
      </c>
    </row>
    <row r="1038" spans="1:26" x14ac:dyDescent="0.25">
      <c r="A1038">
        <v>1037</v>
      </c>
      <c r="B1038" t="s">
        <v>30</v>
      </c>
      <c r="C1038" t="s">
        <v>5247</v>
      </c>
      <c r="D1038" t="s">
        <v>46</v>
      </c>
      <c r="E1038" t="s">
        <v>471</v>
      </c>
      <c r="F1038" t="s">
        <v>820</v>
      </c>
      <c r="G1038" t="s">
        <v>47</v>
      </c>
      <c r="I1038" t="s">
        <v>5248</v>
      </c>
      <c r="K1038" t="s">
        <v>5249</v>
      </c>
      <c r="N1038" t="s">
        <v>5250</v>
      </c>
      <c r="Z1038" t="s">
        <v>43</v>
      </c>
    </row>
    <row r="1039" spans="1:26" x14ac:dyDescent="0.25">
      <c r="A1039">
        <v>1038</v>
      </c>
      <c r="B1039" t="s">
        <v>30</v>
      </c>
      <c r="C1039" t="s">
        <v>5251</v>
      </c>
      <c r="D1039" t="s">
        <v>5252</v>
      </c>
      <c r="E1039" t="s">
        <v>2007</v>
      </c>
      <c r="F1039" t="s">
        <v>5253</v>
      </c>
      <c r="G1039" t="s">
        <v>2009</v>
      </c>
      <c r="I1039" t="s">
        <v>5254</v>
      </c>
      <c r="J1039">
        <f>57-60-1-800-4753</f>
        <v>-5557</v>
      </c>
      <c r="K1039" t="s">
        <v>5255</v>
      </c>
      <c r="N1039" t="s">
        <v>5256</v>
      </c>
      <c r="Z1039" t="s">
        <v>43</v>
      </c>
    </row>
    <row r="1040" spans="1:26" x14ac:dyDescent="0.25">
      <c r="A1040">
        <v>1039</v>
      </c>
      <c r="B1040" t="s">
        <v>30</v>
      </c>
      <c r="C1040" t="s">
        <v>5257</v>
      </c>
      <c r="D1040" t="s">
        <v>5258</v>
      </c>
      <c r="E1040" t="s">
        <v>2210</v>
      </c>
      <c r="F1040" t="s">
        <v>5259</v>
      </c>
      <c r="G1040" t="s">
        <v>2212</v>
      </c>
      <c r="I1040" t="s">
        <v>5260</v>
      </c>
      <c r="J1040">
        <f>57-312-515-2263</f>
        <v>-3033</v>
      </c>
      <c r="K1040" t="s">
        <v>5261</v>
      </c>
      <c r="N1040" t="s">
        <v>5262</v>
      </c>
      <c r="Z1040" t="s">
        <v>43</v>
      </c>
    </row>
    <row r="1041" spans="1:26" x14ac:dyDescent="0.25">
      <c r="A1041">
        <v>1040</v>
      </c>
      <c r="B1041" t="s">
        <v>30</v>
      </c>
      <c r="C1041" t="s">
        <v>5263</v>
      </c>
      <c r="D1041" t="s">
        <v>46</v>
      </c>
      <c r="E1041" t="s">
        <v>471</v>
      </c>
      <c r="F1041" t="s">
        <v>941</v>
      </c>
      <c r="G1041" t="s">
        <v>47</v>
      </c>
      <c r="I1041" t="s">
        <v>5264</v>
      </c>
      <c r="J1041">
        <f>57-311-828-497</f>
        <v>-1579</v>
      </c>
      <c r="K1041" t="s">
        <v>5265</v>
      </c>
      <c r="N1041" t="s">
        <v>5266</v>
      </c>
      <c r="Z1041" t="s">
        <v>43</v>
      </c>
    </row>
    <row r="1042" spans="1:26" x14ac:dyDescent="0.25">
      <c r="A1042">
        <v>1041</v>
      </c>
      <c r="B1042" t="s">
        <v>30</v>
      </c>
      <c r="C1042" t="s">
        <v>5267</v>
      </c>
      <c r="D1042" t="s">
        <v>5268</v>
      </c>
      <c r="E1042" t="s">
        <v>56</v>
      </c>
      <c r="F1042" t="s">
        <v>5269</v>
      </c>
      <c r="G1042" t="s">
        <v>57</v>
      </c>
      <c r="I1042" t="s">
        <v>5270</v>
      </c>
      <c r="K1042" t="s">
        <v>5271</v>
      </c>
      <c r="N1042" t="s">
        <v>5272</v>
      </c>
      <c r="Z1042" t="s">
        <v>43</v>
      </c>
    </row>
    <row r="1043" spans="1:26" x14ac:dyDescent="0.25">
      <c r="A1043">
        <v>1042</v>
      </c>
      <c r="B1043" t="s">
        <v>30</v>
      </c>
      <c r="C1043" t="s">
        <v>5273</v>
      </c>
      <c r="D1043" t="s">
        <v>2168</v>
      </c>
      <c r="E1043" t="s">
        <v>800</v>
      </c>
      <c r="F1043" t="s">
        <v>2169</v>
      </c>
      <c r="G1043" t="s">
        <v>802</v>
      </c>
      <c r="I1043" t="s">
        <v>5274</v>
      </c>
      <c r="K1043" t="s">
        <v>5275</v>
      </c>
      <c r="N1043" t="s">
        <v>5276</v>
      </c>
      <c r="Z1043" t="s">
        <v>43</v>
      </c>
    </row>
    <row r="1044" spans="1:26" x14ac:dyDescent="0.25">
      <c r="A1044">
        <v>1043</v>
      </c>
      <c r="B1044" t="s">
        <v>30</v>
      </c>
      <c r="C1044" t="s">
        <v>5277</v>
      </c>
      <c r="D1044" t="s">
        <v>72</v>
      </c>
      <c r="E1044" t="s">
        <v>72</v>
      </c>
      <c r="F1044" t="s">
        <v>73</v>
      </c>
      <c r="G1044" t="s">
        <v>73</v>
      </c>
      <c r="I1044" t="s">
        <v>5278</v>
      </c>
      <c r="K1044" t="s">
        <v>5279</v>
      </c>
      <c r="N1044" t="s">
        <v>5280</v>
      </c>
      <c r="Z1044" t="s">
        <v>43</v>
      </c>
    </row>
    <row r="1045" spans="1:26" x14ac:dyDescent="0.25">
      <c r="A1045">
        <v>1044</v>
      </c>
      <c r="B1045" t="s">
        <v>30</v>
      </c>
      <c r="C1045" t="s">
        <v>5281</v>
      </c>
      <c r="D1045" t="s">
        <v>867</v>
      </c>
      <c r="E1045" t="s">
        <v>72</v>
      </c>
      <c r="F1045" t="s">
        <v>868</v>
      </c>
      <c r="G1045" t="s">
        <v>73</v>
      </c>
      <c r="I1045" t="s">
        <v>5282</v>
      </c>
      <c r="K1045" t="s">
        <v>5283</v>
      </c>
      <c r="N1045" t="s">
        <v>5284</v>
      </c>
      <c r="Z1045" t="s">
        <v>43</v>
      </c>
    </row>
    <row r="1046" spans="1:26" x14ac:dyDescent="0.25">
      <c r="A1046">
        <v>1045</v>
      </c>
      <c r="B1046" t="s">
        <v>30</v>
      </c>
      <c r="C1046" t="s">
        <v>5285</v>
      </c>
      <c r="D1046" t="s">
        <v>754</v>
      </c>
      <c r="E1046" t="s">
        <v>755</v>
      </c>
      <c r="F1046" t="s">
        <v>1636</v>
      </c>
      <c r="G1046" t="s">
        <v>757</v>
      </c>
      <c r="I1046" t="s">
        <v>5286</v>
      </c>
      <c r="J1046">
        <f>57-60-1-742-1745</f>
        <v>-2491</v>
      </c>
      <c r="K1046" t="s">
        <v>5287</v>
      </c>
      <c r="N1046" t="s">
        <v>5288</v>
      </c>
      <c r="Z1046" t="s">
        <v>43</v>
      </c>
    </row>
    <row r="1047" spans="1:26" x14ac:dyDescent="0.25">
      <c r="A1047">
        <v>1046</v>
      </c>
      <c r="B1047" t="s">
        <v>30</v>
      </c>
      <c r="C1047" t="s">
        <v>5289</v>
      </c>
      <c r="D1047" t="s">
        <v>5290</v>
      </c>
      <c r="E1047" t="s">
        <v>64</v>
      </c>
      <c r="F1047" t="s">
        <v>5291</v>
      </c>
      <c r="G1047" t="s">
        <v>65</v>
      </c>
      <c r="I1047" t="s">
        <v>5292</v>
      </c>
      <c r="K1047" t="s">
        <v>5293</v>
      </c>
      <c r="N1047" t="s">
        <v>5294</v>
      </c>
      <c r="Z1047" t="s">
        <v>43</v>
      </c>
    </row>
    <row r="1048" spans="1:26" x14ac:dyDescent="0.25">
      <c r="A1048">
        <v>1047</v>
      </c>
      <c r="B1048" t="s">
        <v>30</v>
      </c>
      <c r="C1048" t="s">
        <v>5295</v>
      </c>
      <c r="D1048" t="s">
        <v>46</v>
      </c>
      <c r="E1048" t="s">
        <v>471</v>
      </c>
      <c r="F1048" t="s">
        <v>820</v>
      </c>
      <c r="G1048" t="s">
        <v>47</v>
      </c>
      <c r="I1048" t="s">
        <v>5296</v>
      </c>
      <c r="J1048">
        <f>57-60-1-248-8090</f>
        <v>-8342</v>
      </c>
      <c r="K1048" t="s">
        <v>5297</v>
      </c>
      <c r="N1048" t="s">
        <v>5298</v>
      </c>
      <c r="Z1048" t="s">
        <v>43</v>
      </c>
    </row>
    <row r="1049" spans="1:26" x14ac:dyDescent="0.25">
      <c r="A1049">
        <v>1048</v>
      </c>
      <c r="B1049" t="s">
        <v>30</v>
      </c>
      <c r="C1049" t="s">
        <v>5299</v>
      </c>
      <c r="D1049" t="s">
        <v>2394</v>
      </c>
      <c r="E1049" t="s">
        <v>471</v>
      </c>
      <c r="F1049" t="s">
        <v>2395</v>
      </c>
      <c r="G1049" t="s">
        <v>47</v>
      </c>
      <c r="I1049" t="s">
        <v>5300</v>
      </c>
      <c r="K1049" t="s">
        <v>5301</v>
      </c>
      <c r="N1049" t="s">
        <v>5302</v>
      </c>
      <c r="Z1049" t="s">
        <v>43</v>
      </c>
    </row>
    <row r="1050" spans="1:26" x14ac:dyDescent="0.25">
      <c r="A1050">
        <v>1049</v>
      </c>
      <c r="B1050" t="s">
        <v>30</v>
      </c>
      <c r="C1050" t="s">
        <v>5303</v>
      </c>
      <c r="D1050" t="s">
        <v>1713</v>
      </c>
      <c r="E1050" t="s">
        <v>471</v>
      </c>
      <c r="F1050" t="s">
        <v>2089</v>
      </c>
      <c r="G1050" t="s">
        <v>47</v>
      </c>
      <c r="I1050" t="s">
        <v>5304</v>
      </c>
      <c r="K1050" t="s">
        <v>5305</v>
      </c>
      <c r="N1050" t="s">
        <v>5306</v>
      </c>
      <c r="Z1050" t="s">
        <v>43</v>
      </c>
    </row>
    <row r="1051" spans="1:26" x14ac:dyDescent="0.25">
      <c r="A1051">
        <v>1050</v>
      </c>
      <c r="B1051" t="s">
        <v>30</v>
      </c>
      <c r="C1051" t="s">
        <v>5307</v>
      </c>
      <c r="D1051" t="s">
        <v>909</v>
      </c>
      <c r="E1051" t="s">
        <v>471</v>
      </c>
      <c r="F1051" t="s">
        <v>910</v>
      </c>
      <c r="G1051" t="s">
        <v>47</v>
      </c>
      <c r="I1051" t="s">
        <v>5308</v>
      </c>
      <c r="K1051" t="s">
        <v>5309</v>
      </c>
      <c r="N1051" t="s">
        <v>5310</v>
      </c>
      <c r="Z1051" t="s">
        <v>43</v>
      </c>
    </row>
    <row r="1052" spans="1:26" x14ac:dyDescent="0.25">
      <c r="A1052">
        <v>1051</v>
      </c>
      <c r="B1052" t="s">
        <v>30</v>
      </c>
      <c r="C1052" t="s">
        <v>5311</v>
      </c>
      <c r="D1052" t="s">
        <v>909</v>
      </c>
      <c r="E1052" t="s">
        <v>471</v>
      </c>
      <c r="F1052" t="s">
        <v>1659</v>
      </c>
      <c r="G1052" t="s">
        <v>47</v>
      </c>
      <c r="I1052" t="s">
        <v>5312</v>
      </c>
      <c r="J1052">
        <f>57-310-801-1520</f>
        <v>-2574</v>
      </c>
      <c r="K1052" t="s">
        <v>5313</v>
      </c>
      <c r="N1052" t="s">
        <v>5314</v>
      </c>
      <c r="Z1052" t="s">
        <v>43</v>
      </c>
    </row>
    <row r="1053" spans="1:26" x14ac:dyDescent="0.25">
      <c r="A1053">
        <v>1052</v>
      </c>
      <c r="B1053" t="s">
        <v>30</v>
      </c>
      <c r="C1053" t="s">
        <v>5315</v>
      </c>
      <c r="D1053" t="s">
        <v>5316</v>
      </c>
      <c r="E1053" t="s">
        <v>64</v>
      </c>
      <c r="F1053" t="s">
        <v>5317</v>
      </c>
      <c r="G1053" t="s">
        <v>65</v>
      </c>
      <c r="I1053" t="s">
        <v>5318</v>
      </c>
      <c r="K1053" t="s">
        <v>5319</v>
      </c>
      <c r="N1053" t="s">
        <v>5320</v>
      </c>
      <c r="Z1053" t="s">
        <v>43</v>
      </c>
    </row>
    <row r="1054" spans="1:26" x14ac:dyDescent="0.25">
      <c r="A1054">
        <v>1053</v>
      </c>
      <c r="B1054" t="s">
        <v>30</v>
      </c>
      <c r="C1054" t="s">
        <v>5321</v>
      </c>
      <c r="D1054" t="s">
        <v>772</v>
      </c>
      <c r="E1054" t="s">
        <v>772</v>
      </c>
      <c r="F1054" t="s">
        <v>773</v>
      </c>
      <c r="G1054" t="s">
        <v>773</v>
      </c>
      <c r="H1054" t="s">
        <v>5322</v>
      </c>
      <c r="I1054" t="s">
        <v>5323</v>
      </c>
      <c r="J1054">
        <f>57-310-580-5953</f>
        <v>-6786</v>
      </c>
      <c r="K1054" t="s">
        <v>5324</v>
      </c>
      <c r="N1054" t="s">
        <v>5325</v>
      </c>
      <c r="Z1054" t="s">
        <v>43</v>
      </c>
    </row>
    <row r="1055" spans="1:26" x14ac:dyDescent="0.25">
      <c r="A1055">
        <v>1054</v>
      </c>
      <c r="B1055" t="s">
        <v>30</v>
      </c>
      <c r="C1055" t="s">
        <v>5326</v>
      </c>
      <c r="D1055" t="s">
        <v>5327</v>
      </c>
      <c r="E1055" t="s">
        <v>385</v>
      </c>
      <c r="F1055" t="s">
        <v>5328</v>
      </c>
      <c r="G1055" t="s">
        <v>387</v>
      </c>
      <c r="I1055" t="s">
        <v>5329</v>
      </c>
      <c r="J1055">
        <f>57-314-366-9315</f>
        <v>-9938</v>
      </c>
      <c r="K1055" t="s">
        <v>5330</v>
      </c>
      <c r="N1055" t="s">
        <v>5331</v>
      </c>
      <c r="Z1055" t="s">
        <v>43</v>
      </c>
    </row>
    <row r="1056" spans="1:26" x14ac:dyDescent="0.25">
      <c r="A1056">
        <v>1055</v>
      </c>
      <c r="B1056" t="s">
        <v>30</v>
      </c>
      <c r="C1056" t="s">
        <v>5332</v>
      </c>
      <c r="D1056" t="s">
        <v>64</v>
      </c>
      <c r="E1056" t="s">
        <v>64</v>
      </c>
      <c r="F1056" t="s">
        <v>65</v>
      </c>
      <c r="G1056" t="s">
        <v>65</v>
      </c>
      <c r="I1056" t="s">
        <v>5333</v>
      </c>
      <c r="J1056">
        <f>57-60-1-321-6473</f>
        <v>-6798</v>
      </c>
      <c r="K1056" t="s">
        <v>5334</v>
      </c>
      <c r="N1056" t="s">
        <v>5335</v>
      </c>
      <c r="Z1056" t="s">
        <v>43</v>
      </c>
    </row>
    <row r="1057" spans="1:26" x14ac:dyDescent="0.25">
      <c r="A1057">
        <v>1056</v>
      </c>
      <c r="B1057" t="s">
        <v>30</v>
      </c>
      <c r="C1057" t="s">
        <v>5336</v>
      </c>
      <c r="D1057" t="s">
        <v>5337</v>
      </c>
      <c r="E1057" t="s">
        <v>1850</v>
      </c>
      <c r="F1057" t="s">
        <v>5338</v>
      </c>
      <c r="G1057" t="s">
        <v>1852</v>
      </c>
      <c r="I1057" t="s">
        <v>5339</v>
      </c>
      <c r="K1057" t="s">
        <v>5340</v>
      </c>
      <c r="N1057" t="s">
        <v>5341</v>
      </c>
      <c r="Z1057" t="s">
        <v>43</v>
      </c>
    </row>
    <row r="1058" spans="1:26" x14ac:dyDescent="0.25">
      <c r="A1058">
        <v>1057</v>
      </c>
      <c r="B1058" t="s">
        <v>30</v>
      </c>
      <c r="C1058" t="s">
        <v>5342</v>
      </c>
      <c r="D1058" t="s">
        <v>5343</v>
      </c>
      <c r="E1058" t="s">
        <v>1269</v>
      </c>
      <c r="F1058" t="s">
        <v>5344</v>
      </c>
      <c r="G1058" t="s">
        <v>1271</v>
      </c>
      <c r="I1058" t="s">
        <v>5345</v>
      </c>
      <c r="K1058" t="s">
        <v>5346</v>
      </c>
      <c r="N1058" t="s">
        <v>5347</v>
      </c>
      <c r="Z1058" t="s">
        <v>43</v>
      </c>
    </row>
    <row r="1059" spans="1:26" x14ac:dyDescent="0.25">
      <c r="A1059">
        <v>1058</v>
      </c>
      <c r="B1059" t="s">
        <v>30</v>
      </c>
      <c r="C1059" t="s">
        <v>5348</v>
      </c>
      <c r="D1059" t="s">
        <v>5349</v>
      </c>
      <c r="E1059" t="s">
        <v>2916</v>
      </c>
      <c r="F1059" t="s">
        <v>5350</v>
      </c>
      <c r="G1059" t="s">
        <v>2918</v>
      </c>
      <c r="I1059" t="s">
        <v>5351</v>
      </c>
      <c r="J1059">
        <f>57-313-388-1886</f>
        <v>-2530</v>
      </c>
      <c r="K1059" t="s">
        <v>5352</v>
      </c>
      <c r="N1059" t="s">
        <v>5353</v>
      </c>
      <c r="Z1059" t="s">
        <v>43</v>
      </c>
    </row>
    <row r="1060" spans="1:26" x14ac:dyDescent="0.25">
      <c r="A1060">
        <v>1059</v>
      </c>
      <c r="B1060" t="s">
        <v>30</v>
      </c>
      <c r="C1060" t="s">
        <v>5354</v>
      </c>
      <c r="D1060" t="s">
        <v>5355</v>
      </c>
      <c r="E1060" t="s">
        <v>64</v>
      </c>
      <c r="F1060" t="s">
        <v>5356</v>
      </c>
      <c r="G1060" t="s">
        <v>65</v>
      </c>
      <c r="I1060" t="s">
        <v>5357</v>
      </c>
      <c r="J1060">
        <f>57-317-850-2394</f>
        <v>-3504</v>
      </c>
      <c r="K1060" t="s">
        <v>5358</v>
      </c>
      <c r="N1060" t="s">
        <v>5359</v>
      </c>
      <c r="Z1060" t="s">
        <v>43</v>
      </c>
    </row>
    <row r="1061" spans="1:26" x14ac:dyDescent="0.25">
      <c r="A1061">
        <v>1060</v>
      </c>
      <c r="B1061" t="s">
        <v>30</v>
      </c>
      <c r="C1061" t="s">
        <v>5360</v>
      </c>
      <c r="D1061" t="s">
        <v>772</v>
      </c>
      <c r="E1061" t="s">
        <v>471</v>
      </c>
      <c r="F1061" t="s">
        <v>773</v>
      </c>
      <c r="G1061" t="s">
        <v>47</v>
      </c>
      <c r="I1061" t="s">
        <v>5361</v>
      </c>
      <c r="J1061">
        <f>57-350-793-1932</f>
        <v>-3018</v>
      </c>
      <c r="K1061" t="s">
        <v>5362</v>
      </c>
      <c r="N1061" t="s">
        <v>5363</v>
      </c>
      <c r="Z1061" t="s">
        <v>43</v>
      </c>
    </row>
    <row r="1062" spans="1:26" x14ac:dyDescent="0.25">
      <c r="A1062">
        <v>1061</v>
      </c>
      <c r="B1062" t="s">
        <v>30</v>
      </c>
      <c r="C1062" t="s">
        <v>5364</v>
      </c>
      <c r="D1062" t="s">
        <v>5365</v>
      </c>
      <c r="E1062" t="s">
        <v>800</v>
      </c>
      <c r="F1062" t="s">
        <v>5366</v>
      </c>
      <c r="G1062" t="s">
        <v>802</v>
      </c>
      <c r="I1062" t="s">
        <v>5367</v>
      </c>
      <c r="J1062">
        <f>57-60-1-623-2140</f>
        <v>-2767</v>
      </c>
      <c r="K1062" t="s">
        <v>5368</v>
      </c>
      <c r="N1062" t="s">
        <v>5369</v>
      </c>
      <c r="Z1062" t="s">
        <v>43</v>
      </c>
    </row>
    <row r="1063" spans="1:26" x14ac:dyDescent="0.25">
      <c r="A1063">
        <v>1062</v>
      </c>
      <c r="B1063" t="s">
        <v>30</v>
      </c>
      <c r="C1063" t="s">
        <v>5370</v>
      </c>
      <c r="D1063" t="s">
        <v>5365</v>
      </c>
      <c r="E1063" t="s">
        <v>800</v>
      </c>
      <c r="F1063" t="s">
        <v>5366</v>
      </c>
      <c r="G1063" t="s">
        <v>802</v>
      </c>
      <c r="I1063" t="s">
        <v>5371</v>
      </c>
      <c r="J1063">
        <f>57-60-1-923-2404</f>
        <v>-3331</v>
      </c>
      <c r="K1063" t="s">
        <v>5372</v>
      </c>
      <c r="N1063" t="s">
        <v>5373</v>
      </c>
      <c r="Z1063" t="s">
        <v>43</v>
      </c>
    </row>
    <row r="1064" spans="1:26" x14ac:dyDescent="0.25">
      <c r="A1064">
        <v>1063</v>
      </c>
      <c r="B1064" t="s">
        <v>30</v>
      </c>
      <c r="C1064" t="s">
        <v>5374</v>
      </c>
      <c r="D1064" t="s">
        <v>3118</v>
      </c>
      <c r="E1064" t="s">
        <v>471</v>
      </c>
      <c r="F1064" t="s">
        <v>5375</v>
      </c>
      <c r="G1064" t="s">
        <v>47</v>
      </c>
      <c r="I1064" t="s">
        <v>5376</v>
      </c>
      <c r="K1064" t="s">
        <v>5377</v>
      </c>
      <c r="N1064" t="s">
        <v>5378</v>
      </c>
      <c r="Z1064" t="s">
        <v>43</v>
      </c>
    </row>
    <row r="1065" spans="1:26" x14ac:dyDescent="0.25">
      <c r="A1065">
        <v>1064</v>
      </c>
      <c r="B1065" t="s">
        <v>30</v>
      </c>
      <c r="C1065" t="s">
        <v>5379</v>
      </c>
      <c r="D1065" t="s">
        <v>5380</v>
      </c>
      <c r="E1065" t="s">
        <v>471</v>
      </c>
      <c r="F1065" t="s">
        <v>5381</v>
      </c>
      <c r="G1065" t="s">
        <v>47</v>
      </c>
      <c r="I1065" t="s">
        <v>5382</v>
      </c>
      <c r="J1065">
        <f>57-321-608-1158</f>
        <v>-2030</v>
      </c>
      <c r="K1065" t="s">
        <v>5383</v>
      </c>
      <c r="N1065" t="s">
        <v>5384</v>
      </c>
      <c r="Z1065" t="s">
        <v>43</v>
      </c>
    </row>
    <row r="1066" spans="1:26" x14ac:dyDescent="0.25">
      <c r="A1066">
        <v>1065</v>
      </c>
      <c r="B1066" t="s">
        <v>30</v>
      </c>
      <c r="C1066" t="s">
        <v>5385</v>
      </c>
      <c r="D1066" t="s">
        <v>5386</v>
      </c>
      <c r="E1066" t="s">
        <v>1217</v>
      </c>
      <c r="F1066" t="s">
        <v>5387</v>
      </c>
      <c r="G1066" t="s">
        <v>1530</v>
      </c>
      <c r="I1066" t="s">
        <v>5388</v>
      </c>
      <c r="J1066">
        <f>57-60-1-414-5081</f>
        <v>-5499</v>
      </c>
      <c r="K1066" t="s">
        <v>5389</v>
      </c>
      <c r="N1066" t="s">
        <v>5390</v>
      </c>
      <c r="Z1066" t="s">
        <v>43</v>
      </c>
    </row>
    <row r="1067" spans="1:26" x14ac:dyDescent="0.25">
      <c r="A1067">
        <v>1066</v>
      </c>
      <c r="B1067" t="s">
        <v>30</v>
      </c>
      <c r="C1067" t="s">
        <v>5391</v>
      </c>
      <c r="D1067" t="s">
        <v>64</v>
      </c>
      <c r="E1067" t="s">
        <v>64</v>
      </c>
      <c r="F1067" t="s">
        <v>65</v>
      </c>
      <c r="G1067" t="s">
        <v>65</v>
      </c>
      <c r="I1067" t="s">
        <v>5392</v>
      </c>
      <c r="J1067">
        <f>57-316-744-4934</f>
        <v>-5937</v>
      </c>
      <c r="K1067" t="s">
        <v>5393</v>
      </c>
      <c r="N1067" t="s">
        <v>5394</v>
      </c>
      <c r="Z1067" t="s">
        <v>43</v>
      </c>
    </row>
    <row r="1068" spans="1:26" x14ac:dyDescent="0.25">
      <c r="A1068">
        <v>1067</v>
      </c>
      <c r="B1068" t="s">
        <v>30</v>
      </c>
      <c r="C1068" t="s">
        <v>5395</v>
      </c>
      <c r="D1068" t="s">
        <v>5396</v>
      </c>
      <c r="E1068" t="s">
        <v>56</v>
      </c>
      <c r="F1068" t="s">
        <v>5397</v>
      </c>
      <c r="G1068" t="s">
        <v>57</v>
      </c>
      <c r="I1068" t="s">
        <v>5398</v>
      </c>
      <c r="K1068" t="s">
        <v>5399</v>
      </c>
      <c r="N1068" t="s">
        <v>5400</v>
      </c>
      <c r="Z1068" t="s">
        <v>43</v>
      </c>
    </row>
    <row r="1069" spans="1:26" x14ac:dyDescent="0.25">
      <c r="A1069">
        <v>1068</v>
      </c>
      <c r="B1069" t="s">
        <v>30</v>
      </c>
      <c r="C1069" t="s">
        <v>5401</v>
      </c>
      <c r="D1069" t="s">
        <v>5402</v>
      </c>
      <c r="E1069" t="s">
        <v>3133</v>
      </c>
      <c r="F1069" t="s">
        <v>5403</v>
      </c>
      <c r="G1069" t="s">
        <v>3135</v>
      </c>
      <c r="I1069" t="s">
        <v>5404</v>
      </c>
      <c r="J1069">
        <f>57-315-831-3348</f>
        <v>-4437</v>
      </c>
      <c r="K1069" t="s">
        <v>5405</v>
      </c>
      <c r="N1069" t="s">
        <v>5406</v>
      </c>
      <c r="Z1069" t="s">
        <v>43</v>
      </c>
    </row>
    <row r="1070" spans="1:26" x14ac:dyDescent="0.25">
      <c r="A1070">
        <v>1069</v>
      </c>
      <c r="B1070" t="s">
        <v>30</v>
      </c>
      <c r="C1070" t="s">
        <v>5407</v>
      </c>
      <c r="D1070" t="s">
        <v>46</v>
      </c>
      <c r="E1070" t="s">
        <v>56</v>
      </c>
      <c r="F1070" t="s">
        <v>820</v>
      </c>
      <c r="G1070" t="s">
        <v>57</v>
      </c>
      <c r="I1070" t="s">
        <v>5408</v>
      </c>
      <c r="J1070">
        <f>57-60-1-636-9677</f>
        <v>-10317</v>
      </c>
      <c r="K1070" t="s">
        <v>5409</v>
      </c>
      <c r="N1070" t="s">
        <v>5410</v>
      </c>
      <c r="Z1070" t="s">
        <v>43</v>
      </c>
    </row>
    <row r="1071" spans="1:26" x14ac:dyDescent="0.25">
      <c r="A1071">
        <v>1070</v>
      </c>
      <c r="B1071" t="s">
        <v>30</v>
      </c>
      <c r="C1071" t="s">
        <v>5411</v>
      </c>
      <c r="D1071" t="s">
        <v>5412</v>
      </c>
      <c r="E1071" t="s">
        <v>56</v>
      </c>
      <c r="F1071" t="s">
        <v>5413</v>
      </c>
      <c r="G1071" t="s">
        <v>57</v>
      </c>
      <c r="I1071" t="s">
        <v>5414</v>
      </c>
      <c r="J1071">
        <f>57-300-477-3644</f>
        <v>-4364</v>
      </c>
      <c r="K1071" t="s">
        <v>5415</v>
      </c>
      <c r="N1071" t="s">
        <v>5416</v>
      </c>
      <c r="Z1071" t="s">
        <v>43</v>
      </c>
    </row>
    <row r="1072" spans="1:26" x14ac:dyDescent="0.25">
      <c r="A1072">
        <v>1071</v>
      </c>
      <c r="B1072" t="s">
        <v>30</v>
      </c>
      <c r="C1072" t="s">
        <v>5417</v>
      </c>
      <c r="D1072" t="s">
        <v>2713</v>
      </c>
      <c r="E1072" t="s">
        <v>2105</v>
      </c>
      <c r="F1072" t="s">
        <v>5418</v>
      </c>
      <c r="G1072" t="s">
        <v>5419</v>
      </c>
      <c r="I1072" t="s">
        <v>5420</v>
      </c>
      <c r="J1072">
        <f>57-305-737-6878</f>
        <v>-7863</v>
      </c>
      <c r="K1072" t="s">
        <v>5421</v>
      </c>
      <c r="N1072" t="s">
        <v>5422</v>
      </c>
      <c r="Z1072" t="s">
        <v>43</v>
      </c>
    </row>
    <row r="1073" spans="1:26" x14ac:dyDescent="0.25">
      <c r="A1073">
        <v>1072</v>
      </c>
      <c r="B1073" t="s">
        <v>30</v>
      </c>
      <c r="C1073" t="s">
        <v>5423</v>
      </c>
      <c r="D1073" t="s">
        <v>46</v>
      </c>
      <c r="E1073" t="s">
        <v>471</v>
      </c>
      <c r="F1073" t="s">
        <v>820</v>
      </c>
      <c r="G1073" t="s">
        <v>47</v>
      </c>
      <c r="I1073" t="s">
        <v>5424</v>
      </c>
      <c r="K1073" t="s">
        <v>5425</v>
      </c>
      <c r="N1073" t="s">
        <v>5426</v>
      </c>
      <c r="Z1073" t="s">
        <v>43</v>
      </c>
    </row>
    <row r="1074" spans="1:26" x14ac:dyDescent="0.25">
      <c r="A1074">
        <v>1073</v>
      </c>
      <c r="B1074" t="s">
        <v>30</v>
      </c>
      <c r="C1074" t="s">
        <v>5427</v>
      </c>
      <c r="D1074" t="s">
        <v>2394</v>
      </c>
      <c r="E1074" t="s">
        <v>471</v>
      </c>
      <c r="F1074" t="s">
        <v>5428</v>
      </c>
      <c r="G1074" t="s">
        <v>47</v>
      </c>
      <c r="I1074" t="s">
        <v>5429</v>
      </c>
      <c r="J1074">
        <f>57-300-385-8052</f>
        <v>-8680</v>
      </c>
      <c r="K1074" t="s">
        <v>5430</v>
      </c>
      <c r="N1074" t="s">
        <v>5431</v>
      </c>
      <c r="Z1074" t="s">
        <v>43</v>
      </c>
    </row>
    <row r="1075" spans="1:26" x14ac:dyDescent="0.25">
      <c r="A1075">
        <v>1074</v>
      </c>
      <c r="B1075" t="s">
        <v>30</v>
      </c>
      <c r="C1075" t="s">
        <v>5432</v>
      </c>
      <c r="D1075" t="s">
        <v>5433</v>
      </c>
      <c r="E1075" t="s">
        <v>1217</v>
      </c>
      <c r="F1075" t="s">
        <v>5434</v>
      </c>
      <c r="G1075" t="s">
        <v>2132</v>
      </c>
      <c r="I1075" t="s">
        <v>5435</v>
      </c>
      <c r="J1075">
        <f>57-313-403-2137</f>
        <v>-2796</v>
      </c>
      <c r="K1075" t="s">
        <v>5436</v>
      </c>
      <c r="N1075" t="s">
        <v>5437</v>
      </c>
      <c r="Z1075" t="s">
        <v>43</v>
      </c>
    </row>
    <row r="1076" spans="1:26" x14ac:dyDescent="0.25">
      <c r="A1076">
        <v>1075</v>
      </c>
      <c r="B1076" t="s">
        <v>30</v>
      </c>
      <c r="C1076" t="s">
        <v>5438</v>
      </c>
      <c r="D1076" t="s">
        <v>5439</v>
      </c>
      <c r="E1076" t="s">
        <v>2916</v>
      </c>
      <c r="F1076" t="s">
        <v>5440</v>
      </c>
      <c r="G1076" t="s">
        <v>2918</v>
      </c>
      <c r="I1076" t="s">
        <v>5441</v>
      </c>
      <c r="J1076">
        <f>57-316-525-5229</f>
        <v>-6013</v>
      </c>
      <c r="K1076" t="s">
        <v>5442</v>
      </c>
      <c r="N1076" t="s">
        <v>5443</v>
      </c>
      <c r="Z1076" t="s">
        <v>43</v>
      </c>
    </row>
    <row r="1077" spans="1:26" x14ac:dyDescent="0.25">
      <c r="A1077">
        <v>1076</v>
      </c>
      <c r="B1077" t="s">
        <v>30</v>
      </c>
      <c r="C1077" t="s">
        <v>5444</v>
      </c>
      <c r="D1077" t="s">
        <v>5445</v>
      </c>
      <c r="E1077" t="s">
        <v>800</v>
      </c>
      <c r="F1077" t="s">
        <v>5446</v>
      </c>
      <c r="G1077" t="s">
        <v>802</v>
      </c>
      <c r="I1077" t="s">
        <v>5447</v>
      </c>
      <c r="J1077">
        <f>57-313-367-8580</f>
        <v>-9203</v>
      </c>
      <c r="K1077" t="s">
        <v>5448</v>
      </c>
      <c r="N1077" t="s">
        <v>5449</v>
      </c>
      <c r="Z1077" t="s">
        <v>43</v>
      </c>
    </row>
    <row r="1078" spans="1:26" x14ac:dyDescent="0.25">
      <c r="A1078">
        <v>1077</v>
      </c>
      <c r="B1078" t="s">
        <v>30</v>
      </c>
      <c r="C1078" t="s">
        <v>5450</v>
      </c>
      <c r="D1078" t="s">
        <v>1260</v>
      </c>
      <c r="E1078" t="s">
        <v>471</v>
      </c>
      <c r="F1078" t="s">
        <v>2084</v>
      </c>
      <c r="G1078" t="s">
        <v>47</v>
      </c>
      <c r="I1078" t="s">
        <v>5451</v>
      </c>
      <c r="K1078" t="s">
        <v>5452</v>
      </c>
      <c r="N1078" t="s">
        <v>5453</v>
      </c>
      <c r="Z1078" t="s">
        <v>43</v>
      </c>
    </row>
    <row r="1079" spans="1:26" x14ac:dyDescent="0.25">
      <c r="A1079">
        <v>1078</v>
      </c>
      <c r="B1079" t="s">
        <v>30</v>
      </c>
      <c r="C1079" t="s">
        <v>5454</v>
      </c>
      <c r="D1079" t="s">
        <v>5455</v>
      </c>
      <c r="E1079" t="s">
        <v>1774</v>
      </c>
      <c r="F1079" t="s">
        <v>5456</v>
      </c>
      <c r="G1079" t="s">
        <v>1776</v>
      </c>
      <c r="I1079" t="s">
        <v>5457</v>
      </c>
      <c r="K1079" t="s">
        <v>5458</v>
      </c>
      <c r="N1079" t="s">
        <v>5459</v>
      </c>
      <c r="Z1079" t="s">
        <v>43</v>
      </c>
    </row>
    <row r="1080" spans="1:26" x14ac:dyDescent="0.25">
      <c r="A1080">
        <v>1079</v>
      </c>
      <c r="B1080" t="s">
        <v>30</v>
      </c>
      <c r="C1080" t="s">
        <v>5460</v>
      </c>
      <c r="D1080" t="s">
        <v>5461</v>
      </c>
      <c r="E1080" t="s">
        <v>64</v>
      </c>
      <c r="F1080" t="s">
        <v>5462</v>
      </c>
      <c r="G1080" t="s">
        <v>65</v>
      </c>
      <c r="I1080" t="s">
        <v>5463</v>
      </c>
      <c r="K1080" t="s">
        <v>5464</v>
      </c>
      <c r="N1080" t="s">
        <v>5465</v>
      </c>
      <c r="Z1080" t="s">
        <v>43</v>
      </c>
    </row>
    <row r="1081" spans="1:26" x14ac:dyDescent="0.25">
      <c r="A1081">
        <v>1080</v>
      </c>
      <c r="B1081" t="s">
        <v>30</v>
      </c>
      <c r="C1081" t="s">
        <v>5466</v>
      </c>
      <c r="D1081" t="s">
        <v>56</v>
      </c>
      <c r="E1081" t="s">
        <v>56</v>
      </c>
      <c r="F1081" t="s">
        <v>57</v>
      </c>
      <c r="G1081" t="s">
        <v>57</v>
      </c>
      <c r="I1081" t="s">
        <v>5467</v>
      </c>
      <c r="K1081" t="s">
        <v>5468</v>
      </c>
      <c r="N1081" t="s">
        <v>5469</v>
      </c>
      <c r="Z1081" t="s">
        <v>43</v>
      </c>
    </row>
    <row r="1082" spans="1:26" x14ac:dyDescent="0.25">
      <c r="A1082">
        <v>1081</v>
      </c>
      <c r="B1082" t="s">
        <v>30</v>
      </c>
      <c r="C1082" t="s">
        <v>5470</v>
      </c>
      <c r="D1082" t="s">
        <v>5471</v>
      </c>
      <c r="E1082" t="s">
        <v>5472</v>
      </c>
      <c r="F1082" t="s">
        <v>5473</v>
      </c>
      <c r="G1082" t="s">
        <v>5474</v>
      </c>
      <c r="I1082" t="s">
        <v>5475</v>
      </c>
      <c r="K1082" t="s">
        <v>5476</v>
      </c>
      <c r="N1082" t="s">
        <v>5477</v>
      </c>
      <c r="Z1082" t="s">
        <v>43</v>
      </c>
    </row>
    <row r="1083" spans="1:26" x14ac:dyDescent="0.25">
      <c r="A1083">
        <v>1082</v>
      </c>
      <c r="B1083" t="s">
        <v>30</v>
      </c>
      <c r="C1083" t="s">
        <v>5478</v>
      </c>
      <c r="D1083" t="s">
        <v>5479</v>
      </c>
      <c r="E1083" t="s">
        <v>1558</v>
      </c>
      <c r="F1083" t="s">
        <v>5480</v>
      </c>
      <c r="G1083" t="s">
        <v>1560</v>
      </c>
      <c r="I1083" t="s">
        <v>5481</v>
      </c>
      <c r="J1083">
        <f>57-317-516-1069</f>
        <v>-1845</v>
      </c>
      <c r="K1083" t="s">
        <v>5482</v>
      </c>
      <c r="N1083" t="s">
        <v>5483</v>
      </c>
      <c r="Z1083" t="s">
        <v>43</v>
      </c>
    </row>
    <row r="1084" spans="1:26" x14ac:dyDescent="0.25">
      <c r="A1084">
        <v>1083</v>
      </c>
      <c r="B1084" t="s">
        <v>30</v>
      </c>
      <c r="C1084" t="s">
        <v>5484</v>
      </c>
      <c r="D1084" t="s">
        <v>2330</v>
      </c>
      <c r="E1084" t="s">
        <v>64</v>
      </c>
      <c r="F1084" t="s">
        <v>5485</v>
      </c>
      <c r="G1084" t="s">
        <v>65</v>
      </c>
      <c r="I1084" t="s">
        <v>5486</v>
      </c>
      <c r="K1084" t="s">
        <v>5487</v>
      </c>
      <c r="N1084" t="s">
        <v>5488</v>
      </c>
      <c r="Z1084" t="s">
        <v>43</v>
      </c>
    </row>
    <row r="1085" spans="1:26" x14ac:dyDescent="0.25">
      <c r="A1085">
        <v>1084</v>
      </c>
      <c r="B1085" t="s">
        <v>30</v>
      </c>
      <c r="C1085" t="s">
        <v>5489</v>
      </c>
      <c r="D1085" t="s">
        <v>46</v>
      </c>
      <c r="E1085" t="s">
        <v>471</v>
      </c>
      <c r="F1085" t="s">
        <v>820</v>
      </c>
      <c r="G1085" t="s">
        <v>47</v>
      </c>
      <c r="I1085" t="s">
        <v>5490</v>
      </c>
      <c r="K1085" t="s">
        <v>5491</v>
      </c>
      <c r="N1085" t="s">
        <v>5492</v>
      </c>
      <c r="Z1085" t="s">
        <v>43</v>
      </c>
    </row>
    <row r="1086" spans="1:26" x14ac:dyDescent="0.25">
      <c r="A1086">
        <v>1085</v>
      </c>
      <c r="B1086" t="s">
        <v>30</v>
      </c>
      <c r="C1086" t="s">
        <v>5493</v>
      </c>
      <c r="D1086" t="s">
        <v>46</v>
      </c>
      <c r="E1086" t="s">
        <v>471</v>
      </c>
      <c r="F1086" t="s">
        <v>820</v>
      </c>
      <c r="G1086" t="s">
        <v>47</v>
      </c>
      <c r="I1086" t="s">
        <v>5494</v>
      </c>
      <c r="J1086">
        <f>57-322-389-9176</f>
        <v>-9830</v>
      </c>
      <c r="K1086" t="s">
        <v>5495</v>
      </c>
      <c r="N1086" t="s">
        <v>5496</v>
      </c>
      <c r="Z1086" t="s">
        <v>43</v>
      </c>
    </row>
    <row r="1087" spans="1:26" x14ac:dyDescent="0.25">
      <c r="A1087">
        <v>1086</v>
      </c>
      <c r="B1087" t="s">
        <v>30</v>
      </c>
      <c r="C1087" t="s">
        <v>5497</v>
      </c>
      <c r="D1087" t="s">
        <v>5498</v>
      </c>
      <c r="E1087" t="s">
        <v>72</v>
      </c>
      <c r="F1087" t="s">
        <v>5499</v>
      </c>
      <c r="G1087" t="s">
        <v>73</v>
      </c>
      <c r="I1087" t="s">
        <v>5500</v>
      </c>
      <c r="J1087">
        <f>57-60-1-731-122</f>
        <v>-857</v>
      </c>
      <c r="K1087" t="s">
        <v>5501</v>
      </c>
      <c r="N1087" t="s">
        <v>5502</v>
      </c>
      <c r="Z1087" t="s">
        <v>43</v>
      </c>
    </row>
    <row r="1088" spans="1:26" x14ac:dyDescent="0.25">
      <c r="A1088">
        <v>1087</v>
      </c>
      <c r="B1088" t="s">
        <v>30</v>
      </c>
      <c r="C1088" t="s">
        <v>5503</v>
      </c>
      <c r="D1088" t="s">
        <v>867</v>
      </c>
      <c r="E1088" t="s">
        <v>471</v>
      </c>
      <c r="F1088" t="s">
        <v>868</v>
      </c>
      <c r="G1088" t="s">
        <v>47</v>
      </c>
      <c r="I1088" t="s">
        <v>5504</v>
      </c>
      <c r="K1088" t="s">
        <v>5505</v>
      </c>
      <c r="N1088" t="s">
        <v>5506</v>
      </c>
      <c r="Z1088" t="s">
        <v>43</v>
      </c>
    </row>
    <row r="1089" spans="1:26" x14ac:dyDescent="0.25">
      <c r="A1089">
        <v>1088</v>
      </c>
      <c r="B1089" t="s">
        <v>30</v>
      </c>
      <c r="C1089" t="s">
        <v>5507</v>
      </c>
      <c r="D1089" t="s">
        <v>5508</v>
      </c>
      <c r="E1089" t="s">
        <v>1055</v>
      </c>
      <c r="F1089" t="s">
        <v>5509</v>
      </c>
      <c r="G1089" t="s">
        <v>1057</v>
      </c>
      <c r="I1089" t="s">
        <v>5510</v>
      </c>
      <c r="J1089">
        <f>57-314-209-4283</f>
        <v>-4749</v>
      </c>
      <c r="K1089" t="s">
        <v>5511</v>
      </c>
      <c r="N1089" t="s">
        <v>5512</v>
      </c>
      <c r="Z1089" t="s">
        <v>43</v>
      </c>
    </row>
    <row r="1090" spans="1:26" x14ac:dyDescent="0.25">
      <c r="A1090">
        <v>1089</v>
      </c>
      <c r="B1090" t="s">
        <v>30</v>
      </c>
      <c r="C1090" t="s">
        <v>5513</v>
      </c>
      <c r="D1090" t="s">
        <v>1260</v>
      </c>
      <c r="E1090" t="s">
        <v>64</v>
      </c>
      <c r="F1090" t="s">
        <v>1653</v>
      </c>
      <c r="G1090" t="s">
        <v>65</v>
      </c>
      <c r="I1090" t="s">
        <v>5514</v>
      </c>
      <c r="K1090" t="s">
        <v>5515</v>
      </c>
      <c r="N1090" t="s">
        <v>5516</v>
      </c>
      <c r="Z1090" t="s">
        <v>43</v>
      </c>
    </row>
    <row r="1091" spans="1:26" x14ac:dyDescent="0.25">
      <c r="A1091">
        <v>1090</v>
      </c>
      <c r="B1091" t="s">
        <v>30</v>
      </c>
      <c r="C1091" t="s">
        <v>5517</v>
      </c>
      <c r="D1091" t="s">
        <v>2394</v>
      </c>
      <c r="E1091" t="s">
        <v>64</v>
      </c>
      <c r="F1091" t="s">
        <v>5518</v>
      </c>
      <c r="G1091" t="s">
        <v>65</v>
      </c>
      <c r="I1091" t="s">
        <v>5519</v>
      </c>
      <c r="J1091">
        <f>57-310-248-3169</f>
        <v>-3670</v>
      </c>
      <c r="K1091" t="s">
        <v>5520</v>
      </c>
      <c r="N1091" t="s">
        <v>5521</v>
      </c>
      <c r="Z1091" t="s">
        <v>43</v>
      </c>
    </row>
    <row r="1092" spans="1:26" x14ac:dyDescent="0.25">
      <c r="A1092">
        <v>1091</v>
      </c>
      <c r="B1092" t="s">
        <v>30</v>
      </c>
      <c r="C1092" t="s">
        <v>5522</v>
      </c>
      <c r="D1092" t="s">
        <v>384</v>
      </c>
      <c r="E1092" t="s">
        <v>385</v>
      </c>
      <c r="F1092" t="s">
        <v>386</v>
      </c>
      <c r="G1092" t="s">
        <v>387</v>
      </c>
      <c r="I1092" t="s">
        <v>5523</v>
      </c>
      <c r="K1092" t="s">
        <v>5524</v>
      </c>
      <c r="N1092" t="s">
        <v>5525</v>
      </c>
      <c r="Z1092" t="s">
        <v>43</v>
      </c>
    </row>
    <row r="1093" spans="1:26" x14ac:dyDescent="0.25">
      <c r="A1093">
        <v>1092</v>
      </c>
      <c r="B1093" t="s">
        <v>30</v>
      </c>
      <c r="C1093" t="s">
        <v>5526</v>
      </c>
      <c r="D1093" t="s">
        <v>772</v>
      </c>
      <c r="E1093" t="s">
        <v>72</v>
      </c>
      <c r="F1093" t="s">
        <v>773</v>
      </c>
      <c r="G1093" t="s">
        <v>73</v>
      </c>
      <c r="I1093" t="s">
        <v>5527</v>
      </c>
      <c r="J1093">
        <f>57-320-988-8088</f>
        <v>-9339</v>
      </c>
      <c r="K1093" t="s">
        <v>5528</v>
      </c>
      <c r="N1093" t="s">
        <v>5529</v>
      </c>
      <c r="Z1093" t="s">
        <v>43</v>
      </c>
    </row>
    <row r="1094" spans="1:26" x14ac:dyDescent="0.25">
      <c r="A1094">
        <v>1093</v>
      </c>
      <c r="B1094" t="s">
        <v>30</v>
      </c>
      <c r="C1094" t="s">
        <v>5530</v>
      </c>
      <c r="D1094" t="s">
        <v>1753</v>
      </c>
      <c r="E1094" t="s">
        <v>1217</v>
      </c>
      <c r="F1094" t="s">
        <v>1754</v>
      </c>
      <c r="G1094" t="s">
        <v>2132</v>
      </c>
      <c r="I1094" t="s">
        <v>5531</v>
      </c>
      <c r="J1094">
        <f>57-320-991-834</f>
        <v>-2088</v>
      </c>
      <c r="K1094" t="s">
        <v>5532</v>
      </c>
      <c r="N1094" t="s">
        <v>5533</v>
      </c>
      <c r="Z1094" t="s">
        <v>43</v>
      </c>
    </row>
    <row r="1095" spans="1:26" x14ac:dyDescent="0.25">
      <c r="A1095">
        <v>1094</v>
      </c>
      <c r="B1095" t="s">
        <v>30</v>
      </c>
      <c r="C1095" t="s">
        <v>5534</v>
      </c>
      <c r="D1095" t="s">
        <v>46</v>
      </c>
      <c r="E1095" t="s">
        <v>471</v>
      </c>
      <c r="F1095" t="s">
        <v>820</v>
      </c>
      <c r="G1095" t="s">
        <v>47</v>
      </c>
      <c r="I1095" t="s">
        <v>5535</v>
      </c>
      <c r="J1095">
        <f>57-60-1-281-7913</f>
        <v>-8198</v>
      </c>
      <c r="K1095" t="s">
        <v>5536</v>
      </c>
      <c r="N1095" t="s">
        <v>5537</v>
      </c>
      <c r="Z1095" t="s">
        <v>43</v>
      </c>
    </row>
    <row r="1096" spans="1:26" x14ac:dyDescent="0.25">
      <c r="A1096">
        <v>1095</v>
      </c>
      <c r="B1096" t="s">
        <v>30</v>
      </c>
      <c r="C1096" t="s">
        <v>5538</v>
      </c>
      <c r="D1096" t="s">
        <v>5258</v>
      </c>
      <c r="E1096" t="s">
        <v>64</v>
      </c>
      <c r="F1096" t="s">
        <v>5259</v>
      </c>
      <c r="G1096" t="s">
        <v>65</v>
      </c>
      <c r="I1096" t="s">
        <v>5539</v>
      </c>
      <c r="K1096" t="s">
        <v>5540</v>
      </c>
      <c r="N1096" t="s">
        <v>5541</v>
      </c>
      <c r="Z1096" t="s">
        <v>43</v>
      </c>
    </row>
    <row r="1097" spans="1:26" x14ac:dyDescent="0.25">
      <c r="A1097">
        <v>1096</v>
      </c>
      <c r="B1097" t="s">
        <v>30</v>
      </c>
      <c r="C1097" t="s">
        <v>5542</v>
      </c>
      <c r="D1097" t="s">
        <v>3664</v>
      </c>
      <c r="E1097" t="s">
        <v>1269</v>
      </c>
      <c r="F1097" t="s">
        <v>3665</v>
      </c>
      <c r="G1097" t="s">
        <v>1271</v>
      </c>
      <c r="I1097" t="s">
        <v>5543</v>
      </c>
      <c r="J1097">
        <f>57-310-323-9468</f>
        <v>-10044</v>
      </c>
      <c r="K1097" t="s">
        <v>5544</v>
      </c>
      <c r="N1097" t="s">
        <v>5545</v>
      </c>
      <c r="Z1097" t="s">
        <v>43</v>
      </c>
    </row>
    <row r="1098" spans="1:26" x14ac:dyDescent="0.25">
      <c r="A1098">
        <v>1097</v>
      </c>
      <c r="B1098" t="s">
        <v>30</v>
      </c>
      <c r="C1098" t="s">
        <v>5546</v>
      </c>
      <c r="D1098" t="s">
        <v>64</v>
      </c>
      <c r="E1098" t="s">
        <v>72</v>
      </c>
      <c r="F1098" t="s">
        <v>3572</v>
      </c>
      <c r="G1098" t="s">
        <v>73</v>
      </c>
      <c r="I1098" t="s">
        <v>5547</v>
      </c>
      <c r="J1098">
        <f>57-323-589-9754</f>
        <v>-10609</v>
      </c>
      <c r="K1098" t="s">
        <v>5548</v>
      </c>
      <c r="N1098" t="s">
        <v>5549</v>
      </c>
      <c r="Z1098" t="s">
        <v>43</v>
      </c>
    </row>
    <row r="1099" spans="1:26" x14ac:dyDescent="0.25">
      <c r="A1099">
        <v>1098</v>
      </c>
      <c r="B1099" t="s">
        <v>30</v>
      </c>
      <c r="C1099" t="s">
        <v>5550</v>
      </c>
      <c r="D1099" t="s">
        <v>46</v>
      </c>
      <c r="E1099" t="s">
        <v>471</v>
      </c>
      <c r="F1099" t="s">
        <v>820</v>
      </c>
      <c r="G1099" t="s">
        <v>47</v>
      </c>
      <c r="I1099" t="s">
        <v>5551</v>
      </c>
      <c r="J1099">
        <f>57-60-1-347-5464</f>
        <v>-5815</v>
      </c>
      <c r="K1099" t="s">
        <v>5552</v>
      </c>
      <c r="N1099" t="s">
        <v>5553</v>
      </c>
      <c r="Z1099" t="s">
        <v>43</v>
      </c>
    </row>
    <row r="1100" spans="1:26" x14ac:dyDescent="0.25">
      <c r="A1100">
        <v>1099</v>
      </c>
      <c r="B1100" t="s">
        <v>30</v>
      </c>
      <c r="C1100" t="s">
        <v>5554</v>
      </c>
      <c r="D1100" t="s">
        <v>5555</v>
      </c>
      <c r="E1100" t="s">
        <v>64</v>
      </c>
      <c r="F1100" t="s">
        <v>5556</v>
      </c>
      <c r="G1100" t="s">
        <v>65</v>
      </c>
      <c r="I1100" t="s">
        <v>5557</v>
      </c>
      <c r="K1100" t="s">
        <v>5558</v>
      </c>
      <c r="N1100" t="s">
        <v>5559</v>
      </c>
      <c r="Z1100" t="s">
        <v>43</v>
      </c>
    </row>
    <row r="1101" spans="1:26" x14ac:dyDescent="0.25">
      <c r="A1101">
        <v>1100</v>
      </c>
      <c r="B1101" t="s">
        <v>30</v>
      </c>
      <c r="C1101" t="s">
        <v>5560</v>
      </c>
      <c r="D1101" t="s">
        <v>5561</v>
      </c>
      <c r="E1101" t="s">
        <v>800</v>
      </c>
      <c r="F1101" t="s">
        <v>5562</v>
      </c>
      <c r="G1101" t="s">
        <v>802</v>
      </c>
      <c r="I1101" t="s">
        <v>5563</v>
      </c>
      <c r="J1101">
        <f>57-322-639-3706</f>
        <v>-4610</v>
      </c>
      <c r="K1101" t="s">
        <v>5564</v>
      </c>
      <c r="N1101" t="s">
        <v>5565</v>
      </c>
      <c r="Z1101" t="s">
        <v>43</v>
      </c>
    </row>
    <row r="1102" spans="1:26" x14ac:dyDescent="0.25">
      <c r="A1102">
        <v>1101</v>
      </c>
      <c r="B1102" t="s">
        <v>30</v>
      </c>
      <c r="C1102" t="s">
        <v>5566</v>
      </c>
      <c r="D1102" t="s">
        <v>5567</v>
      </c>
      <c r="E1102" t="s">
        <v>800</v>
      </c>
      <c r="F1102" t="s">
        <v>5568</v>
      </c>
      <c r="G1102" t="s">
        <v>802</v>
      </c>
      <c r="I1102" t="s">
        <v>5569</v>
      </c>
      <c r="K1102" t="s">
        <v>5570</v>
      </c>
      <c r="N1102" t="s">
        <v>5571</v>
      </c>
      <c r="Z1102" t="s">
        <v>43</v>
      </c>
    </row>
    <row r="1103" spans="1:26" x14ac:dyDescent="0.25">
      <c r="A1103">
        <v>1102</v>
      </c>
      <c r="B1103" t="s">
        <v>30</v>
      </c>
      <c r="C1103" t="s">
        <v>5572</v>
      </c>
      <c r="D1103" t="s">
        <v>799</v>
      </c>
      <c r="E1103" t="s">
        <v>800</v>
      </c>
      <c r="F1103" t="s">
        <v>2228</v>
      </c>
      <c r="G1103" t="s">
        <v>802</v>
      </c>
      <c r="I1103" t="s">
        <v>5573</v>
      </c>
      <c r="J1103">
        <f>57-320-800-7171</f>
        <v>-8234</v>
      </c>
      <c r="K1103" t="s">
        <v>5574</v>
      </c>
      <c r="N1103" t="s">
        <v>5571</v>
      </c>
      <c r="Z1103" t="s">
        <v>43</v>
      </c>
    </row>
    <row r="1104" spans="1:26" x14ac:dyDescent="0.25">
      <c r="A1104">
        <v>1103</v>
      </c>
      <c r="B1104" t="s">
        <v>30</v>
      </c>
      <c r="C1104" t="s">
        <v>5575</v>
      </c>
      <c r="D1104" t="s">
        <v>799</v>
      </c>
      <c r="E1104" t="s">
        <v>800</v>
      </c>
      <c r="F1104" t="s">
        <v>2228</v>
      </c>
      <c r="G1104" t="s">
        <v>802</v>
      </c>
      <c r="I1104" t="s">
        <v>5576</v>
      </c>
      <c r="J1104">
        <f>57-310-305-5769</f>
        <v>-6327</v>
      </c>
      <c r="K1104" t="s">
        <v>5577</v>
      </c>
      <c r="N1104" t="s">
        <v>5571</v>
      </c>
      <c r="Z1104" t="s">
        <v>43</v>
      </c>
    </row>
    <row r="1105" spans="1:26" x14ac:dyDescent="0.25">
      <c r="A1105">
        <v>1104</v>
      </c>
      <c r="B1105" t="s">
        <v>30</v>
      </c>
      <c r="C1105" t="s">
        <v>5578</v>
      </c>
      <c r="D1105" t="s">
        <v>799</v>
      </c>
      <c r="E1105" t="s">
        <v>800</v>
      </c>
      <c r="F1105" t="s">
        <v>2228</v>
      </c>
      <c r="G1105" t="s">
        <v>802</v>
      </c>
      <c r="I1105" t="s">
        <v>5579</v>
      </c>
      <c r="J1105">
        <f>57-310-305-5758</f>
        <v>-6316</v>
      </c>
      <c r="K1105" t="s">
        <v>5570</v>
      </c>
      <c r="N1105" t="s">
        <v>5580</v>
      </c>
      <c r="Z1105" t="s">
        <v>43</v>
      </c>
    </row>
    <row r="1106" spans="1:26" x14ac:dyDescent="0.25">
      <c r="A1106">
        <v>1105</v>
      </c>
      <c r="B1106" t="s">
        <v>30</v>
      </c>
      <c r="C1106" t="s">
        <v>5581</v>
      </c>
      <c r="D1106" t="s">
        <v>799</v>
      </c>
      <c r="E1106" t="s">
        <v>800</v>
      </c>
      <c r="F1106" t="s">
        <v>2228</v>
      </c>
      <c r="G1106" t="s">
        <v>802</v>
      </c>
      <c r="I1106" t="s">
        <v>5582</v>
      </c>
      <c r="J1106">
        <f>57-310-305-5758</f>
        <v>-6316</v>
      </c>
      <c r="K1106" t="s">
        <v>5577</v>
      </c>
      <c r="N1106" t="s">
        <v>5583</v>
      </c>
      <c r="Z1106" t="s">
        <v>43</v>
      </c>
    </row>
    <row r="1107" spans="1:26" x14ac:dyDescent="0.25">
      <c r="A1107">
        <v>1106</v>
      </c>
      <c r="B1107" t="s">
        <v>30</v>
      </c>
      <c r="C1107" t="s">
        <v>5584</v>
      </c>
      <c r="D1107" t="s">
        <v>799</v>
      </c>
      <c r="E1107" t="s">
        <v>800</v>
      </c>
      <c r="F1107" t="s">
        <v>2228</v>
      </c>
      <c r="G1107" t="s">
        <v>802</v>
      </c>
      <c r="I1107" t="s">
        <v>5585</v>
      </c>
      <c r="J1107">
        <f>57-320-800-7171</f>
        <v>-8234</v>
      </c>
      <c r="K1107" t="s">
        <v>5574</v>
      </c>
      <c r="N1107" t="s">
        <v>5571</v>
      </c>
      <c r="Z1107" t="s">
        <v>43</v>
      </c>
    </row>
    <row r="1108" spans="1:26" x14ac:dyDescent="0.25">
      <c r="A1108">
        <v>1107</v>
      </c>
      <c r="B1108" t="s">
        <v>30</v>
      </c>
      <c r="C1108" t="s">
        <v>5586</v>
      </c>
      <c r="D1108" t="s">
        <v>46</v>
      </c>
      <c r="E1108" t="s">
        <v>471</v>
      </c>
      <c r="F1108" t="s">
        <v>820</v>
      </c>
      <c r="G1108" t="s">
        <v>47</v>
      </c>
      <c r="I1108" t="s">
        <v>5587</v>
      </c>
      <c r="K1108" t="s">
        <v>5588</v>
      </c>
      <c r="N1108" t="s">
        <v>5589</v>
      </c>
      <c r="Z1108" t="s">
        <v>43</v>
      </c>
    </row>
    <row r="1109" spans="1:26" x14ac:dyDescent="0.25">
      <c r="A1109">
        <v>1108</v>
      </c>
      <c r="B1109" t="s">
        <v>30</v>
      </c>
      <c r="C1109" t="s">
        <v>5590</v>
      </c>
      <c r="D1109" t="s">
        <v>46</v>
      </c>
      <c r="E1109" t="s">
        <v>471</v>
      </c>
      <c r="F1109" t="s">
        <v>2451</v>
      </c>
      <c r="G1109" t="s">
        <v>966</v>
      </c>
      <c r="I1109" t="s">
        <v>5591</v>
      </c>
      <c r="K1109" t="s">
        <v>5592</v>
      </c>
      <c r="N1109" t="s">
        <v>5593</v>
      </c>
      <c r="Z1109" t="s">
        <v>43</v>
      </c>
    </row>
    <row r="1110" spans="1:26" x14ac:dyDescent="0.25">
      <c r="A1110">
        <v>1109</v>
      </c>
      <c r="B1110" t="s">
        <v>30</v>
      </c>
      <c r="C1110" t="s">
        <v>5594</v>
      </c>
      <c r="D1110" t="s">
        <v>46</v>
      </c>
      <c r="E1110" t="s">
        <v>471</v>
      </c>
      <c r="F1110" t="s">
        <v>820</v>
      </c>
      <c r="G1110" t="s">
        <v>47</v>
      </c>
      <c r="I1110" t="s">
        <v>5595</v>
      </c>
      <c r="K1110" t="s">
        <v>5596</v>
      </c>
      <c r="N1110" t="s">
        <v>5597</v>
      </c>
      <c r="Z1110" t="s">
        <v>43</v>
      </c>
    </row>
    <row r="1111" spans="1:26" x14ac:dyDescent="0.25">
      <c r="A1111">
        <v>1110</v>
      </c>
      <c r="B1111" t="s">
        <v>30</v>
      </c>
      <c r="C1111" t="s">
        <v>5598</v>
      </c>
      <c r="D1111" t="s">
        <v>5599</v>
      </c>
      <c r="E1111" t="s">
        <v>1943</v>
      </c>
      <c r="F1111" t="s">
        <v>5600</v>
      </c>
      <c r="G1111" t="s">
        <v>1945</v>
      </c>
      <c r="I1111" t="s">
        <v>5601</v>
      </c>
      <c r="J1111">
        <f>57-322-311-8402</f>
        <v>-8978</v>
      </c>
      <c r="K1111" t="s">
        <v>5602</v>
      </c>
      <c r="N1111" t="s">
        <v>5603</v>
      </c>
      <c r="Z1111" t="s">
        <v>43</v>
      </c>
    </row>
    <row r="1112" spans="1:26" x14ac:dyDescent="0.25">
      <c r="A1112">
        <v>1111</v>
      </c>
      <c r="B1112" t="s">
        <v>30</v>
      </c>
      <c r="C1112" t="s">
        <v>5604</v>
      </c>
      <c r="D1112" t="s">
        <v>5605</v>
      </c>
      <c r="E1112" t="s">
        <v>5606</v>
      </c>
      <c r="F1112" t="s">
        <v>5607</v>
      </c>
      <c r="G1112" t="s">
        <v>5608</v>
      </c>
      <c r="I1112" t="s">
        <v>5609</v>
      </c>
      <c r="K1112" t="s">
        <v>5610</v>
      </c>
      <c r="N1112" t="s">
        <v>5611</v>
      </c>
      <c r="Z1112" t="s">
        <v>43</v>
      </c>
    </row>
    <row r="1113" spans="1:26" x14ac:dyDescent="0.25">
      <c r="A1113">
        <v>1112</v>
      </c>
      <c r="B1113" t="s">
        <v>30</v>
      </c>
      <c r="C1113" t="s">
        <v>5612</v>
      </c>
      <c r="D1113" t="s">
        <v>772</v>
      </c>
      <c r="E1113" t="s">
        <v>471</v>
      </c>
      <c r="F1113" t="s">
        <v>1083</v>
      </c>
      <c r="G1113" t="s">
        <v>47</v>
      </c>
      <c r="I1113" t="s">
        <v>5613</v>
      </c>
      <c r="K1113" t="s">
        <v>5614</v>
      </c>
      <c r="N1113" t="s">
        <v>5615</v>
      </c>
      <c r="Z1113" t="s">
        <v>43</v>
      </c>
    </row>
    <row r="1114" spans="1:26" x14ac:dyDescent="0.25">
      <c r="A1114">
        <v>1113</v>
      </c>
      <c r="B1114" t="s">
        <v>30</v>
      </c>
      <c r="C1114" t="s">
        <v>5616</v>
      </c>
      <c r="D1114" t="s">
        <v>5617</v>
      </c>
      <c r="E1114" t="s">
        <v>64</v>
      </c>
      <c r="F1114" t="s">
        <v>5618</v>
      </c>
      <c r="G1114" t="s">
        <v>65</v>
      </c>
      <c r="I1114" t="s">
        <v>5619</v>
      </c>
      <c r="K1114" t="s">
        <v>5620</v>
      </c>
      <c r="N1114" t="s">
        <v>5621</v>
      </c>
      <c r="Z1114" t="s">
        <v>43</v>
      </c>
    </row>
    <row r="1115" spans="1:26" x14ac:dyDescent="0.25">
      <c r="A1115">
        <v>1114</v>
      </c>
      <c r="B1115" t="s">
        <v>30</v>
      </c>
      <c r="C1115" t="s">
        <v>5622</v>
      </c>
      <c r="D1115" t="s">
        <v>5258</v>
      </c>
      <c r="E1115" t="s">
        <v>2210</v>
      </c>
      <c r="F1115" t="s">
        <v>5259</v>
      </c>
      <c r="G1115" t="s">
        <v>2212</v>
      </c>
      <c r="I1115" t="s">
        <v>5623</v>
      </c>
      <c r="K1115" t="s">
        <v>5624</v>
      </c>
      <c r="N1115" t="s">
        <v>5625</v>
      </c>
      <c r="Z1115" t="s">
        <v>43</v>
      </c>
    </row>
    <row r="1116" spans="1:26" x14ac:dyDescent="0.25">
      <c r="A1116">
        <v>1115</v>
      </c>
      <c r="B1116" t="s">
        <v>30</v>
      </c>
      <c r="C1116" t="s">
        <v>5626</v>
      </c>
      <c r="D1116" t="s">
        <v>1816</v>
      </c>
      <c r="E1116" t="s">
        <v>64</v>
      </c>
      <c r="F1116" t="s">
        <v>1857</v>
      </c>
      <c r="G1116" t="s">
        <v>65</v>
      </c>
      <c r="I1116" t="s">
        <v>5627</v>
      </c>
      <c r="K1116" t="s">
        <v>5628</v>
      </c>
      <c r="N1116" t="s">
        <v>5629</v>
      </c>
      <c r="Z1116" t="s">
        <v>43</v>
      </c>
    </row>
    <row r="1117" spans="1:26" x14ac:dyDescent="0.25">
      <c r="A1117">
        <v>1116</v>
      </c>
      <c r="B1117" t="s">
        <v>30</v>
      </c>
      <c r="C1117" t="s">
        <v>5630</v>
      </c>
      <c r="D1117" t="s">
        <v>1872</v>
      </c>
      <c r="E1117" t="s">
        <v>471</v>
      </c>
      <c r="F1117" t="s">
        <v>1873</v>
      </c>
      <c r="G1117" t="s">
        <v>47</v>
      </c>
      <c r="I1117" t="s">
        <v>5631</v>
      </c>
      <c r="J1117">
        <f>57-319-819-2224</f>
        <v>-3305</v>
      </c>
      <c r="K1117" t="s">
        <v>5632</v>
      </c>
      <c r="N1117" t="s">
        <v>5633</v>
      </c>
      <c r="Z1117" t="s">
        <v>43</v>
      </c>
    </row>
    <row r="1118" spans="1:26" x14ac:dyDescent="0.25">
      <c r="A1118">
        <v>1117</v>
      </c>
      <c r="B1118" t="s">
        <v>30</v>
      </c>
      <c r="C1118" t="s">
        <v>5634</v>
      </c>
      <c r="D1118" t="s">
        <v>5635</v>
      </c>
      <c r="E1118" t="s">
        <v>471</v>
      </c>
      <c r="F1118" t="s">
        <v>5636</v>
      </c>
      <c r="G1118" t="s">
        <v>47</v>
      </c>
      <c r="I1118" t="s">
        <v>5637</v>
      </c>
      <c r="K1118" t="s">
        <v>5638</v>
      </c>
      <c r="N1118" t="s">
        <v>5639</v>
      </c>
      <c r="Z1118" t="s">
        <v>43</v>
      </c>
    </row>
    <row r="1119" spans="1:26" x14ac:dyDescent="0.25">
      <c r="A1119">
        <v>1118</v>
      </c>
      <c r="B1119" t="s">
        <v>30</v>
      </c>
      <c r="C1119" t="s">
        <v>5640</v>
      </c>
      <c r="D1119" t="s">
        <v>5641</v>
      </c>
      <c r="E1119" t="s">
        <v>2916</v>
      </c>
      <c r="F1119" t="s">
        <v>5642</v>
      </c>
      <c r="G1119" t="s">
        <v>2918</v>
      </c>
      <c r="I1119" t="s">
        <v>5643</v>
      </c>
      <c r="K1119" t="s">
        <v>5644</v>
      </c>
      <c r="N1119" t="s">
        <v>5645</v>
      </c>
      <c r="Z1119" t="s">
        <v>43</v>
      </c>
    </row>
    <row r="1120" spans="1:26" x14ac:dyDescent="0.25">
      <c r="A1120">
        <v>1119</v>
      </c>
      <c r="B1120" t="s">
        <v>30</v>
      </c>
      <c r="C1120" t="s">
        <v>5646</v>
      </c>
      <c r="D1120" t="s">
        <v>3465</v>
      </c>
      <c r="E1120" t="s">
        <v>1269</v>
      </c>
      <c r="F1120" t="s">
        <v>3466</v>
      </c>
      <c r="G1120" t="s">
        <v>1271</v>
      </c>
      <c r="I1120" t="s">
        <v>5647</v>
      </c>
      <c r="K1120" t="s">
        <v>5648</v>
      </c>
      <c r="N1120" t="s">
        <v>5649</v>
      </c>
      <c r="Z1120" t="s">
        <v>43</v>
      </c>
    </row>
    <row r="1121" spans="1:26" x14ac:dyDescent="0.25">
      <c r="A1121">
        <v>1120</v>
      </c>
      <c r="B1121" t="s">
        <v>30</v>
      </c>
      <c r="C1121" t="s">
        <v>5650</v>
      </c>
      <c r="D1121" t="s">
        <v>5651</v>
      </c>
      <c r="E1121" t="s">
        <v>2117</v>
      </c>
      <c r="F1121" t="s">
        <v>5652</v>
      </c>
      <c r="G1121" t="s">
        <v>2119</v>
      </c>
      <c r="I1121" t="s">
        <v>5653</v>
      </c>
      <c r="J1121">
        <f>57-350-791-4421</f>
        <v>-5505</v>
      </c>
      <c r="K1121" t="s">
        <v>5654</v>
      </c>
      <c r="N1121" t="s">
        <v>5655</v>
      </c>
      <c r="Z1121" t="s">
        <v>43</v>
      </c>
    </row>
    <row r="1122" spans="1:26" x14ac:dyDescent="0.25">
      <c r="A1122">
        <v>1121</v>
      </c>
      <c r="B1122" t="s">
        <v>30</v>
      </c>
      <c r="C1122" t="s">
        <v>5656</v>
      </c>
      <c r="D1122" t="s">
        <v>772</v>
      </c>
      <c r="E1122" t="s">
        <v>72</v>
      </c>
      <c r="F1122" t="s">
        <v>773</v>
      </c>
      <c r="G1122" t="s">
        <v>73</v>
      </c>
      <c r="I1122" t="s">
        <v>5657</v>
      </c>
      <c r="K1122" t="s">
        <v>5658</v>
      </c>
      <c r="N1122" t="s">
        <v>5659</v>
      </c>
      <c r="Z1122" t="s">
        <v>43</v>
      </c>
    </row>
    <row r="1123" spans="1:26" x14ac:dyDescent="0.25">
      <c r="A1123">
        <v>1122</v>
      </c>
      <c r="B1123" t="s">
        <v>30</v>
      </c>
      <c r="C1123" t="s">
        <v>5660</v>
      </c>
      <c r="D1123" t="s">
        <v>3723</v>
      </c>
      <c r="E1123" t="s">
        <v>72</v>
      </c>
      <c r="F1123" t="s">
        <v>3724</v>
      </c>
      <c r="G1123" t="s">
        <v>73</v>
      </c>
      <c r="I1123" t="s">
        <v>5661</v>
      </c>
      <c r="J1123">
        <f>57-320-819-164</f>
        <v>-1246</v>
      </c>
      <c r="K1123" t="s">
        <v>5662</v>
      </c>
      <c r="N1123" t="s">
        <v>5663</v>
      </c>
      <c r="Z1123" t="s">
        <v>43</v>
      </c>
    </row>
    <row r="1124" spans="1:26" x14ac:dyDescent="0.25">
      <c r="A1124">
        <v>1123</v>
      </c>
      <c r="B1124" t="s">
        <v>30</v>
      </c>
      <c r="C1124" t="s">
        <v>5664</v>
      </c>
      <c r="D1124" t="s">
        <v>2923</v>
      </c>
      <c r="E1124" t="s">
        <v>56</v>
      </c>
      <c r="F1124" t="s">
        <v>2924</v>
      </c>
      <c r="G1124" t="s">
        <v>57</v>
      </c>
      <c r="I1124" t="s">
        <v>5665</v>
      </c>
      <c r="J1124">
        <f>57-310-324-3511</f>
        <v>-4088</v>
      </c>
      <c r="K1124" t="s">
        <v>5666</v>
      </c>
      <c r="N1124" t="s">
        <v>5667</v>
      </c>
      <c r="Z1124" t="s">
        <v>43</v>
      </c>
    </row>
    <row r="1125" spans="1:26" x14ac:dyDescent="0.25">
      <c r="A1125">
        <v>1124</v>
      </c>
      <c r="B1125" t="s">
        <v>30</v>
      </c>
      <c r="C1125" t="s">
        <v>5668</v>
      </c>
      <c r="D1125" t="s">
        <v>384</v>
      </c>
      <c r="E1125" t="s">
        <v>385</v>
      </c>
      <c r="F1125" t="s">
        <v>386</v>
      </c>
      <c r="G1125" t="s">
        <v>387</v>
      </c>
      <c r="I1125" t="s">
        <v>5669</v>
      </c>
      <c r="K1125" t="s">
        <v>5670</v>
      </c>
      <c r="N1125" t="s">
        <v>5671</v>
      </c>
      <c r="Z1125" t="s">
        <v>43</v>
      </c>
    </row>
    <row r="1126" spans="1:26" x14ac:dyDescent="0.25">
      <c r="A1126">
        <v>1125</v>
      </c>
      <c r="B1126" t="s">
        <v>30</v>
      </c>
      <c r="C1126" t="s">
        <v>5672</v>
      </c>
      <c r="D1126" t="s">
        <v>5673</v>
      </c>
      <c r="E1126" t="s">
        <v>4176</v>
      </c>
      <c r="F1126" t="s">
        <v>5674</v>
      </c>
      <c r="G1126" t="s">
        <v>4178</v>
      </c>
      <c r="I1126" t="s">
        <v>5675</v>
      </c>
      <c r="J1126">
        <f>57-313-806-8665</f>
        <v>-9727</v>
      </c>
      <c r="K1126" t="s">
        <v>5676</v>
      </c>
      <c r="N1126" t="s">
        <v>5677</v>
      </c>
      <c r="Z1126" t="s">
        <v>43</v>
      </c>
    </row>
    <row r="1127" spans="1:26" x14ac:dyDescent="0.25">
      <c r="A1127">
        <v>1126</v>
      </c>
      <c r="B1127" t="s">
        <v>30</v>
      </c>
      <c r="C1127" t="s">
        <v>5678</v>
      </c>
      <c r="D1127" t="s">
        <v>5679</v>
      </c>
      <c r="E1127" t="s">
        <v>471</v>
      </c>
      <c r="F1127" t="s">
        <v>5680</v>
      </c>
      <c r="G1127" t="s">
        <v>47</v>
      </c>
      <c r="I1127" t="s">
        <v>5681</v>
      </c>
      <c r="J1127">
        <f>57-315-285-9570</f>
        <v>-10113</v>
      </c>
      <c r="K1127" t="s">
        <v>5682</v>
      </c>
      <c r="N1127" t="s">
        <v>5683</v>
      </c>
      <c r="Z1127" t="s">
        <v>43</v>
      </c>
    </row>
    <row r="1128" spans="1:26" x14ac:dyDescent="0.25">
      <c r="A1128">
        <v>1127</v>
      </c>
      <c r="B1128" t="s">
        <v>30</v>
      </c>
      <c r="C1128" t="s">
        <v>5684</v>
      </c>
      <c r="D1128" t="s">
        <v>64</v>
      </c>
      <c r="E1128" t="s">
        <v>64</v>
      </c>
      <c r="F1128" t="s">
        <v>65</v>
      </c>
      <c r="G1128" t="s">
        <v>65</v>
      </c>
      <c r="I1128" t="s">
        <v>5685</v>
      </c>
      <c r="K1128" t="s">
        <v>5686</v>
      </c>
      <c r="N1128" t="s">
        <v>5687</v>
      </c>
      <c r="Z1128" t="s">
        <v>43</v>
      </c>
    </row>
    <row r="1129" spans="1:26" x14ac:dyDescent="0.25">
      <c r="A1129">
        <v>1128</v>
      </c>
      <c r="B1129" t="s">
        <v>30</v>
      </c>
      <c r="C1129" t="s">
        <v>5688</v>
      </c>
      <c r="D1129" t="s">
        <v>5689</v>
      </c>
      <c r="E1129" t="s">
        <v>64</v>
      </c>
      <c r="F1129" t="s">
        <v>5690</v>
      </c>
      <c r="G1129" t="s">
        <v>65</v>
      </c>
      <c r="I1129" t="s">
        <v>5691</v>
      </c>
      <c r="K1129" t="s">
        <v>5692</v>
      </c>
      <c r="N1129" t="s">
        <v>5693</v>
      </c>
      <c r="Z1129" t="s">
        <v>43</v>
      </c>
    </row>
    <row r="1130" spans="1:26" x14ac:dyDescent="0.25">
      <c r="A1130">
        <v>1129</v>
      </c>
      <c r="B1130" t="s">
        <v>30</v>
      </c>
      <c r="C1130" t="s">
        <v>5694</v>
      </c>
      <c r="D1130" t="s">
        <v>5695</v>
      </c>
      <c r="E1130" t="s">
        <v>4176</v>
      </c>
      <c r="F1130" t="s">
        <v>5696</v>
      </c>
      <c r="G1130" t="s">
        <v>4178</v>
      </c>
      <c r="I1130" t="s">
        <v>5697</v>
      </c>
      <c r="J1130">
        <f>57-304-460-3127</f>
        <v>-3834</v>
      </c>
      <c r="K1130" t="s">
        <v>5698</v>
      </c>
      <c r="N1130" t="s">
        <v>5699</v>
      </c>
      <c r="Z1130" t="s">
        <v>43</v>
      </c>
    </row>
    <row r="1131" spans="1:26" x14ac:dyDescent="0.25">
      <c r="A1131">
        <v>1130</v>
      </c>
      <c r="B1131" t="s">
        <v>30</v>
      </c>
      <c r="C1131" t="s">
        <v>5700</v>
      </c>
      <c r="D1131" t="s">
        <v>72</v>
      </c>
      <c r="E1131" t="s">
        <v>72</v>
      </c>
      <c r="F1131" t="s">
        <v>73</v>
      </c>
      <c r="G1131" t="s">
        <v>73</v>
      </c>
      <c r="I1131" t="s">
        <v>3106</v>
      </c>
      <c r="K1131" t="s">
        <v>3107</v>
      </c>
      <c r="N1131" t="s">
        <v>5701</v>
      </c>
      <c r="Z1131" t="s">
        <v>43</v>
      </c>
    </row>
    <row r="1132" spans="1:26" x14ac:dyDescent="0.25">
      <c r="A1132">
        <v>1131</v>
      </c>
      <c r="B1132" t="s">
        <v>30</v>
      </c>
      <c r="C1132" t="s">
        <v>5702</v>
      </c>
      <c r="D1132" t="s">
        <v>1816</v>
      </c>
      <c r="E1132" t="s">
        <v>64</v>
      </c>
      <c r="F1132" t="s">
        <v>1857</v>
      </c>
      <c r="G1132" t="s">
        <v>65</v>
      </c>
      <c r="I1132" t="s">
        <v>5703</v>
      </c>
      <c r="J1132">
        <f>57-60-1-675-1157</f>
        <v>-1836</v>
      </c>
      <c r="K1132" t="s">
        <v>5520</v>
      </c>
      <c r="N1132" t="s">
        <v>5704</v>
      </c>
      <c r="Z1132" t="s">
        <v>43</v>
      </c>
    </row>
    <row r="1133" spans="1:26" x14ac:dyDescent="0.25">
      <c r="A1133">
        <v>1132</v>
      </c>
      <c r="B1133" t="s">
        <v>30</v>
      </c>
      <c r="C1133" t="s">
        <v>5705</v>
      </c>
      <c r="D1133" t="s">
        <v>5706</v>
      </c>
      <c r="E1133" t="s">
        <v>5707</v>
      </c>
      <c r="F1133" t="s">
        <v>5708</v>
      </c>
      <c r="G1133" t="s">
        <v>5709</v>
      </c>
      <c r="I1133" t="s">
        <v>5710</v>
      </c>
      <c r="J1133">
        <f>57-310-568-5102</f>
        <v>-5923</v>
      </c>
      <c r="K1133" t="s">
        <v>5711</v>
      </c>
      <c r="N1133" t="s">
        <v>5712</v>
      </c>
      <c r="Z1133" t="s">
        <v>43</v>
      </c>
    </row>
    <row r="1134" spans="1:26" x14ac:dyDescent="0.25">
      <c r="A1134">
        <v>1133</v>
      </c>
      <c r="B1134" t="s">
        <v>30</v>
      </c>
      <c r="C1134" t="s">
        <v>5713</v>
      </c>
      <c r="D1134" t="s">
        <v>5714</v>
      </c>
      <c r="E1134" t="s">
        <v>1187</v>
      </c>
      <c r="F1134" t="s">
        <v>5715</v>
      </c>
      <c r="G1134" t="s">
        <v>1189</v>
      </c>
      <c r="I1134" t="s">
        <v>5716</v>
      </c>
      <c r="J1134">
        <f>57-320-297-1645</f>
        <v>-2205</v>
      </c>
      <c r="K1134" t="s">
        <v>5717</v>
      </c>
      <c r="N1134" t="s">
        <v>5718</v>
      </c>
      <c r="Z1134" t="s">
        <v>43</v>
      </c>
    </row>
    <row r="1135" spans="1:26" x14ac:dyDescent="0.25">
      <c r="A1135">
        <v>1134</v>
      </c>
      <c r="B1135" t="s">
        <v>30</v>
      </c>
      <c r="C1135" t="s">
        <v>5719</v>
      </c>
      <c r="D1135" t="s">
        <v>2394</v>
      </c>
      <c r="E1135" t="s">
        <v>64</v>
      </c>
      <c r="F1135" t="s">
        <v>2395</v>
      </c>
      <c r="G1135" t="s">
        <v>65</v>
      </c>
      <c r="I1135" t="s">
        <v>5720</v>
      </c>
      <c r="K1135" t="s">
        <v>5721</v>
      </c>
      <c r="N1135" t="s">
        <v>5722</v>
      </c>
      <c r="Z1135" t="s">
        <v>43</v>
      </c>
    </row>
    <row r="1136" spans="1:26" x14ac:dyDescent="0.25">
      <c r="A1136">
        <v>1135</v>
      </c>
      <c r="B1136" t="s">
        <v>30</v>
      </c>
      <c r="C1136" t="s">
        <v>5723</v>
      </c>
      <c r="D1136" t="s">
        <v>5724</v>
      </c>
      <c r="E1136" t="s">
        <v>471</v>
      </c>
      <c r="F1136" t="s">
        <v>5725</v>
      </c>
      <c r="G1136" t="s">
        <v>47</v>
      </c>
      <c r="I1136" t="s">
        <v>5726</v>
      </c>
      <c r="K1136" t="s">
        <v>5727</v>
      </c>
      <c r="N1136" t="s">
        <v>5728</v>
      </c>
      <c r="Z1136" t="s">
        <v>43</v>
      </c>
    </row>
    <row r="1137" spans="1:26" x14ac:dyDescent="0.25">
      <c r="A1137">
        <v>1136</v>
      </c>
      <c r="B1137" t="s">
        <v>30</v>
      </c>
      <c r="C1137" t="s">
        <v>5729</v>
      </c>
      <c r="D1137" t="s">
        <v>5730</v>
      </c>
      <c r="E1137" t="s">
        <v>471</v>
      </c>
      <c r="F1137" t="s">
        <v>5731</v>
      </c>
      <c r="G1137" t="s">
        <v>47</v>
      </c>
      <c r="I1137" t="s">
        <v>5732</v>
      </c>
      <c r="K1137" t="s">
        <v>5733</v>
      </c>
      <c r="N1137" t="s">
        <v>5734</v>
      </c>
      <c r="Z1137" t="s">
        <v>43</v>
      </c>
    </row>
    <row r="1138" spans="1:26" x14ac:dyDescent="0.25">
      <c r="A1138">
        <v>1137</v>
      </c>
      <c r="B1138" t="s">
        <v>30</v>
      </c>
      <c r="C1138" t="s">
        <v>5735</v>
      </c>
      <c r="D1138" t="s">
        <v>5736</v>
      </c>
      <c r="E1138" t="s">
        <v>2007</v>
      </c>
      <c r="F1138" t="s">
        <v>5737</v>
      </c>
      <c r="G1138" t="s">
        <v>2009</v>
      </c>
      <c r="I1138" t="s">
        <v>5738</v>
      </c>
      <c r="J1138">
        <f>57-313-358-5005</f>
        <v>-5619</v>
      </c>
      <c r="K1138" t="s">
        <v>5739</v>
      </c>
      <c r="N1138" t="s">
        <v>5740</v>
      </c>
      <c r="Z1138" t="s">
        <v>43</v>
      </c>
    </row>
    <row r="1139" spans="1:26" x14ac:dyDescent="0.25">
      <c r="A1139">
        <v>1138</v>
      </c>
      <c r="B1139" t="s">
        <v>30</v>
      </c>
      <c r="C1139" t="s">
        <v>5741</v>
      </c>
      <c r="D1139" t="s">
        <v>5742</v>
      </c>
      <c r="E1139" t="s">
        <v>5179</v>
      </c>
      <c r="F1139" t="s">
        <v>5743</v>
      </c>
      <c r="G1139" t="s">
        <v>5181</v>
      </c>
      <c r="I1139" t="s">
        <v>5744</v>
      </c>
      <c r="K1139" t="s">
        <v>5745</v>
      </c>
      <c r="N1139" t="s">
        <v>5746</v>
      </c>
      <c r="Z1139" t="s">
        <v>43</v>
      </c>
    </row>
    <row r="1140" spans="1:26" x14ac:dyDescent="0.25">
      <c r="A1140">
        <v>1139</v>
      </c>
      <c r="B1140" t="s">
        <v>30</v>
      </c>
      <c r="C1140" t="s">
        <v>5747</v>
      </c>
      <c r="D1140" t="s">
        <v>2336</v>
      </c>
      <c r="E1140" t="s">
        <v>56</v>
      </c>
      <c r="F1140" t="s">
        <v>2337</v>
      </c>
      <c r="G1140" t="s">
        <v>57</v>
      </c>
      <c r="I1140" t="s">
        <v>5748</v>
      </c>
      <c r="K1140" t="s">
        <v>5749</v>
      </c>
      <c r="N1140" t="s">
        <v>5750</v>
      </c>
      <c r="Z1140" t="s">
        <v>43</v>
      </c>
    </row>
    <row r="1141" spans="1:26" x14ac:dyDescent="0.25">
      <c r="A1141">
        <v>1140</v>
      </c>
      <c r="B1141" t="s">
        <v>30</v>
      </c>
      <c r="C1141" t="s">
        <v>5751</v>
      </c>
      <c r="D1141" t="s">
        <v>2713</v>
      </c>
      <c r="E1141" t="s">
        <v>2105</v>
      </c>
      <c r="F1141" t="s">
        <v>5752</v>
      </c>
      <c r="G1141" t="s">
        <v>2107</v>
      </c>
      <c r="I1141" t="s">
        <v>5753</v>
      </c>
      <c r="J1141">
        <f>57-311-252-7952</f>
        <v>-8458</v>
      </c>
      <c r="K1141" t="s">
        <v>5754</v>
      </c>
      <c r="N1141" t="s">
        <v>5755</v>
      </c>
      <c r="Z1141" t="s">
        <v>43</v>
      </c>
    </row>
    <row r="1142" spans="1:26" x14ac:dyDescent="0.25">
      <c r="A1142">
        <v>1141</v>
      </c>
      <c r="B1142" t="s">
        <v>30</v>
      </c>
      <c r="C1142" t="s">
        <v>5756</v>
      </c>
      <c r="D1142" t="s">
        <v>5757</v>
      </c>
      <c r="E1142" t="s">
        <v>385</v>
      </c>
      <c r="F1142" t="s">
        <v>5758</v>
      </c>
      <c r="G1142" t="s">
        <v>387</v>
      </c>
      <c r="I1142" t="s">
        <v>5759</v>
      </c>
      <c r="K1142" t="s">
        <v>5760</v>
      </c>
      <c r="N1142" t="s">
        <v>5761</v>
      </c>
      <c r="Z1142" t="s">
        <v>43</v>
      </c>
    </row>
    <row r="1143" spans="1:26" x14ac:dyDescent="0.25">
      <c r="A1143">
        <v>1142</v>
      </c>
      <c r="B1143" t="s">
        <v>30</v>
      </c>
      <c r="C1143" t="s">
        <v>5762</v>
      </c>
      <c r="D1143" t="s">
        <v>5757</v>
      </c>
      <c r="E1143" t="s">
        <v>385</v>
      </c>
      <c r="F1143" t="s">
        <v>5758</v>
      </c>
      <c r="G1143" t="s">
        <v>387</v>
      </c>
      <c r="I1143" t="s">
        <v>5763</v>
      </c>
      <c r="J1143">
        <f>57-60-1-656-1894</f>
        <v>-2554</v>
      </c>
      <c r="K1143" t="s">
        <v>5764</v>
      </c>
      <c r="N1143" t="s">
        <v>5765</v>
      </c>
      <c r="Z1143" t="s">
        <v>43</v>
      </c>
    </row>
    <row r="1144" spans="1:26" x14ac:dyDescent="0.25">
      <c r="A1144">
        <v>1143</v>
      </c>
      <c r="B1144" t="s">
        <v>30</v>
      </c>
      <c r="C1144" t="s">
        <v>5766</v>
      </c>
      <c r="D1144" t="s">
        <v>772</v>
      </c>
      <c r="E1144" t="s">
        <v>72</v>
      </c>
      <c r="F1144" t="s">
        <v>3559</v>
      </c>
      <c r="G1144" t="s">
        <v>73</v>
      </c>
      <c r="I1144" t="s">
        <v>5767</v>
      </c>
      <c r="J1144">
        <f>57-316-521-4915</f>
        <v>-5695</v>
      </c>
      <c r="K1144" t="s">
        <v>5768</v>
      </c>
      <c r="N1144" t="s">
        <v>5769</v>
      </c>
      <c r="Z1144" t="s">
        <v>43</v>
      </c>
    </row>
    <row r="1145" spans="1:26" x14ac:dyDescent="0.25">
      <c r="A1145">
        <v>1144</v>
      </c>
      <c r="B1145" t="s">
        <v>30</v>
      </c>
      <c r="C1145" t="s">
        <v>5770</v>
      </c>
      <c r="D1145" t="s">
        <v>46</v>
      </c>
      <c r="E1145" t="s">
        <v>56</v>
      </c>
      <c r="F1145" t="s">
        <v>820</v>
      </c>
      <c r="G1145" t="s">
        <v>57</v>
      </c>
      <c r="I1145" t="s">
        <v>5771</v>
      </c>
      <c r="J1145">
        <f>57-311-506-8469</f>
        <v>-9229</v>
      </c>
      <c r="K1145" t="s">
        <v>5772</v>
      </c>
      <c r="N1145" t="s">
        <v>5773</v>
      </c>
      <c r="Z1145" t="s">
        <v>43</v>
      </c>
    </row>
    <row r="1146" spans="1:26" x14ac:dyDescent="0.25">
      <c r="A1146">
        <v>1145</v>
      </c>
      <c r="B1146" t="s">
        <v>30</v>
      </c>
      <c r="C1146" t="s">
        <v>5774</v>
      </c>
      <c r="D1146" t="s">
        <v>772</v>
      </c>
      <c r="E1146" t="s">
        <v>471</v>
      </c>
      <c r="F1146" t="s">
        <v>773</v>
      </c>
      <c r="G1146" t="s">
        <v>47</v>
      </c>
      <c r="I1146" t="s">
        <v>5775</v>
      </c>
      <c r="J1146">
        <f>57-60-1-828-3947</f>
        <v>-4779</v>
      </c>
      <c r="K1146" t="s">
        <v>351</v>
      </c>
      <c r="N1146" t="s">
        <v>930</v>
      </c>
      <c r="Z1146" t="s">
        <v>43</v>
      </c>
    </row>
    <row r="1147" spans="1:26" x14ac:dyDescent="0.25">
      <c r="A1147">
        <v>1146</v>
      </c>
      <c r="B1147" t="s">
        <v>30</v>
      </c>
      <c r="C1147" t="s">
        <v>5776</v>
      </c>
      <c r="D1147" t="s">
        <v>1260</v>
      </c>
      <c r="E1147" t="s">
        <v>471</v>
      </c>
      <c r="F1147" t="s">
        <v>1665</v>
      </c>
      <c r="G1147" t="s">
        <v>47</v>
      </c>
      <c r="I1147" t="s">
        <v>5777</v>
      </c>
      <c r="J1147">
        <f>57-311-571-6209</f>
        <v>-7034</v>
      </c>
      <c r="K1147" t="s">
        <v>5778</v>
      </c>
      <c r="N1147" t="s">
        <v>5779</v>
      </c>
      <c r="Z1147" t="s">
        <v>43</v>
      </c>
    </row>
    <row r="1148" spans="1:26" x14ac:dyDescent="0.25">
      <c r="A1148">
        <v>1147</v>
      </c>
      <c r="B1148" t="s">
        <v>30</v>
      </c>
      <c r="C1148" t="s">
        <v>5780</v>
      </c>
      <c r="D1148" t="s">
        <v>2585</v>
      </c>
      <c r="E1148" t="s">
        <v>1217</v>
      </c>
      <c r="F1148" t="s">
        <v>2586</v>
      </c>
      <c r="G1148" t="s">
        <v>2132</v>
      </c>
      <c r="I1148" t="s">
        <v>5781</v>
      </c>
      <c r="K1148" t="s">
        <v>5782</v>
      </c>
      <c r="N1148" t="s">
        <v>5783</v>
      </c>
      <c r="Z1148" t="s">
        <v>43</v>
      </c>
    </row>
    <row r="1149" spans="1:26" x14ac:dyDescent="0.25">
      <c r="A1149">
        <v>1148</v>
      </c>
      <c r="B1149" t="s">
        <v>30</v>
      </c>
      <c r="C1149" t="s">
        <v>5784</v>
      </c>
      <c r="D1149" t="s">
        <v>5785</v>
      </c>
      <c r="E1149" t="s">
        <v>471</v>
      </c>
      <c r="F1149" t="s">
        <v>5786</v>
      </c>
      <c r="G1149" t="s">
        <v>47</v>
      </c>
      <c r="I1149" t="s">
        <v>5787</v>
      </c>
      <c r="J1149">
        <f>57-312-691-3484</f>
        <v>-4430</v>
      </c>
      <c r="K1149" t="s">
        <v>5788</v>
      </c>
      <c r="N1149" t="s">
        <v>5789</v>
      </c>
      <c r="Z1149" t="s">
        <v>43</v>
      </c>
    </row>
    <row r="1150" spans="1:26" x14ac:dyDescent="0.25">
      <c r="A1150">
        <v>1149</v>
      </c>
      <c r="B1150" t="s">
        <v>30</v>
      </c>
      <c r="C1150" t="s">
        <v>5790</v>
      </c>
      <c r="D1150" t="s">
        <v>772</v>
      </c>
      <c r="E1150" t="s">
        <v>471</v>
      </c>
      <c r="F1150" t="s">
        <v>773</v>
      </c>
      <c r="G1150" t="s">
        <v>47</v>
      </c>
      <c r="I1150" t="s">
        <v>5791</v>
      </c>
      <c r="J1150">
        <f>57-324-200-9088</f>
        <v>-9555</v>
      </c>
      <c r="K1150" t="s">
        <v>5792</v>
      </c>
      <c r="N1150" t="s">
        <v>5793</v>
      </c>
      <c r="Z1150" t="s">
        <v>43</v>
      </c>
    </row>
    <row r="1151" spans="1:26" x14ac:dyDescent="0.25">
      <c r="A1151">
        <v>1150</v>
      </c>
      <c r="B1151" t="s">
        <v>30</v>
      </c>
      <c r="C1151" t="s">
        <v>5794</v>
      </c>
      <c r="D1151" t="s">
        <v>909</v>
      </c>
      <c r="E1151" t="s">
        <v>471</v>
      </c>
      <c r="F1151" t="s">
        <v>1659</v>
      </c>
      <c r="G1151" t="s">
        <v>47</v>
      </c>
      <c r="I1151" t="s">
        <v>5795</v>
      </c>
      <c r="J1151">
        <f>57-60-1-305-201</f>
        <v>-510</v>
      </c>
      <c r="K1151" t="s">
        <v>5796</v>
      </c>
      <c r="N1151" t="s">
        <v>5797</v>
      </c>
      <c r="Z1151" t="s">
        <v>43</v>
      </c>
    </row>
    <row r="1152" spans="1:26" x14ac:dyDescent="0.25">
      <c r="A1152">
        <v>1151</v>
      </c>
      <c r="B1152" t="s">
        <v>30</v>
      </c>
      <c r="C1152" t="s">
        <v>5798</v>
      </c>
      <c r="D1152" t="s">
        <v>5799</v>
      </c>
      <c r="E1152" t="s">
        <v>800</v>
      </c>
      <c r="F1152" t="s">
        <v>5800</v>
      </c>
      <c r="G1152" t="s">
        <v>802</v>
      </c>
      <c r="I1152" t="s">
        <v>5801</v>
      </c>
      <c r="K1152" t="s">
        <v>5802</v>
      </c>
      <c r="N1152" t="s">
        <v>5803</v>
      </c>
      <c r="Z1152" t="s">
        <v>43</v>
      </c>
    </row>
    <row r="1153" spans="1:26" x14ac:dyDescent="0.25">
      <c r="A1153">
        <v>1152</v>
      </c>
      <c r="B1153" t="s">
        <v>30</v>
      </c>
      <c r="C1153" t="s">
        <v>5804</v>
      </c>
      <c r="D1153" t="s">
        <v>5805</v>
      </c>
      <c r="E1153" t="s">
        <v>385</v>
      </c>
      <c r="F1153" t="s">
        <v>5806</v>
      </c>
      <c r="G1153" t="s">
        <v>387</v>
      </c>
      <c r="I1153" t="s">
        <v>5807</v>
      </c>
      <c r="K1153" t="s">
        <v>5808</v>
      </c>
      <c r="N1153" t="s">
        <v>5809</v>
      </c>
      <c r="Z1153" t="s">
        <v>43</v>
      </c>
    </row>
    <row r="1154" spans="1:26" x14ac:dyDescent="0.25">
      <c r="A1154">
        <v>1153</v>
      </c>
      <c r="B1154" t="s">
        <v>30</v>
      </c>
      <c r="C1154" t="s">
        <v>5810</v>
      </c>
      <c r="D1154" t="s">
        <v>1260</v>
      </c>
      <c r="E1154" t="s">
        <v>471</v>
      </c>
      <c r="F1154" t="s">
        <v>2178</v>
      </c>
      <c r="G1154" t="s">
        <v>47</v>
      </c>
      <c r="I1154" t="s">
        <v>5811</v>
      </c>
      <c r="J1154">
        <f>57-60-1-461-7214</f>
        <v>-7679</v>
      </c>
      <c r="K1154" t="s">
        <v>5812</v>
      </c>
      <c r="N1154" t="s">
        <v>5813</v>
      </c>
      <c r="Z1154" t="s">
        <v>43</v>
      </c>
    </row>
    <row r="1155" spans="1:26" x14ac:dyDescent="0.25">
      <c r="A1155">
        <v>1154</v>
      </c>
      <c r="B1155" t="s">
        <v>30</v>
      </c>
      <c r="C1155" t="s">
        <v>5814</v>
      </c>
      <c r="D1155" t="s">
        <v>5815</v>
      </c>
      <c r="E1155" t="s">
        <v>2916</v>
      </c>
      <c r="F1155" t="s">
        <v>5816</v>
      </c>
      <c r="G1155" t="s">
        <v>2918</v>
      </c>
      <c r="I1155" t="s">
        <v>5817</v>
      </c>
      <c r="J1155">
        <f>57-310-830-6999</f>
        <v>-8082</v>
      </c>
      <c r="K1155" t="s">
        <v>5818</v>
      </c>
      <c r="N1155" t="s">
        <v>5819</v>
      </c>
      <c r="Z1155" t="s">
        <v>43</v>
      </c>
    </row>
    <row r="1156" spans="1:26" x14ac:dyDescent="0.25">
      <c r="A1156">
        <v>1155</v>
      </c>
      <c r="B1156" t="s">
        <v>30</v>
      </c>
      <c r="C1156" t="s">
        <v>5820</v>
      </c>
      <c r="D1156" t="s">
        <v>2346</v>
      </c>
      <c r="E1156" t="s">
        <v>385</v>
      </c>
      <c r="F1156" t="s">
        <v>5821</v>
      </c>
      <c r="G1156" t="s">
        <v>387</v>
      </c>
      <c r="I1156" t="s">
        <v>5822</v>
      </c>
      <c r="J1156">
        <f>57-300-753-8542</f>
        <v>-9538</v>
      </c>
      <c r="K1156" t="s">
        <v>5823</v>
      </c>
      <c r="N1156" t="s">
        <v>5824</v>
      </c>
      <c r="Z1156" t="s">
        <v>43</v>
      </c>
    </row>
    <row r="1157" spans="1:26" x14ac:dyDescent="0.25">
      <c r="A1157">
        <v>1156</v>
      </c>
      <c r="B1157" t="s">
        <v>30</v>
      </c>
      <c r="C1157" t="s">
        <v>5825</v>
      </c>
      <c r="D1157" t="s">
        <v>1268</v>
      </c>
      <c r="E1157" t="s">
        <v>56</v>
      </c>
      <c r="F1157" t="s">
        <v>1270</v>
      </c>
      <c r="G1157" t="s">
        <v>57</v>
      </c>
      <c r="I1157" t="s">
        <v>5826</v>
      </c>
      <c r="K1157" t="s">
        <v>5827</v>
      </c>
      <c r="N1157" t="s">
        <v>5828</v>
      </c>
      <c r="Z1157" t="s">
        <v>43</v>
      </c>
    </row>
    <row r="1158" spans="1:26" x14ac:dyDescent="0.25">
      <c r="A1158">
        <v>1157</v>
      </c>
      <c r="B1158" t="s">
        <v>30</v>
      </c>
      <c r="C1158" t="s">
        <v>5829</v>
      </c>
      <c r="D1158" t="s">
        <v>5830</v>
      </c>
      <c r="E1158" t="s">
        <v>1269</v>
      </c>
      <c r="F1158" t="s">
        <v>5831</v>
      </c>
      <c r="G1158" t="s">
        <v>1271</v>
      </c>
      <c r="I1158" t="s">
        <v>5832</v>
      </c>
      <c r="J1158">
        <f>57-311-493-8053</f>
        <v>-8800</v>
      </c>
      <c r="K1158" t="s">
        <v>5833</v>
      </c>
      <c r="N1158" t="s">
        <v>5834</v>
      </c>
      <c r="Z1158" t="s">
        <v>43</v>
      </c>
    </row>
    <row r="1159" spans="1:26" x14ac:dyDescent="0.25">
      <c r="A1159">
        <v>1158</v>
      </c>
      <c r="B1159" t="s">
        <v>30</v>
      </c>
      <c r="C1159" t="s">
        <v>5835</v>
      </c>
      <c r="D1159" t="s">
        <v>5836</v>
      </c>
      <c r="E1159" t="s">
        <v>2210</v>
      </c>
      <c r="F1159" t="s">
        <v>5837</v>
      </c>
      <c r="G1159" t="s">
        <v>2212</v>
      </c>
      <c r="I1159" t="s">
        <v>5838</v>
      </c>
      <c r="K1159" t="s">
        <v>5839</v>
      </c>
      <c r="N1159" t="s">
        <v>5840</v>
      </c>
      <c r="Z1159" t="s">
        <v>43</v>
      </c>
    </row>
    <row r="1160" spans="1:26" x14ac:dyDescent="0.25">
      <c r="A1160">
        <v>1159</v>
      </c>
      <c r="B1160" t="s">
        <v>30</v>
      </c>
      <c r="C1160" t="s">
        <v>5841</v>
      </c>
      <c r="D1160" t="s">
        <v>5842</v>
      </c>
      <c r="E1160" t="s">
        <v>5843</v>
      </c>
      <c r="F1160" t="s">
        <v>5844</v>
      </c>
      <c r="G1160" t="s">
        <v>5845</v>
      </c>
      <c r="I1160" t="s">
        <v>5846</v>
      </c>
      <c r="J1160">
        <f>57-310-549-1836</f>
        <v>-2638</v>
      </c>
      <c r="K1160" t="s">
        <v>5847</v>
      </c>
      <c r="N1160" t="s">
        <v>5848</v>
      </c>
      <c r="Z1160" t="s">
        <v>43</v>
      </c>
    </row>
    <row r="1161" spans="1:26" x14ac:dyDescent="0.25">
      <c r="A1161">
        <v>1160</v>
      </c>
      <c r="B1161" t="s">
        <v>30</v>
      </c>
      <c r="C1161" t="s">
        <v>5849</v>
      </c>
      <c r="D1161" t="s">
        <v>46</v>
      </c>
      <c r="E1161" t="s">
        <v>471</v>
      </c>
      <c r="F1161" t="s">
        <v>820</v>
      </c>
      <c r="G1161" t="s">
        <v>47</v>
      </c>
      <c r="I1161" t="s">
        <v>5850</v>
      </c>
      <c r="J1161">
        <f>57-313-405-7123</f>
        <v>-7784</v>
      </c>
      <c r="K1161" t="s">
        <v>5851</v>
      </c>
      <c r="N1161" t="s">
        <v>5852</v>
      </c>
      <c r="Z1161" t="s">
        <v>43</v>
      </c>
    </row>
    <row r="1162" spans="1:26" x14ac:dyDescent="0.25">
      <c r="A1162">
        <v>1161</v>
      </c>
      <c r="B1162" t="s">
        <v>30</v>
      </c>
      <c r="C1162" t="s">
        <v>5853</v>
      </c>
      <c r="D1162" t="s">
        <v>5854</v>
      </c>
      <c r="E1162" t="s">
        <v>385</v>
      </c>
      <c r="F1162" t="s">
        <v>5855</v>
      </c>
      <c r="G1162" t="s">
        <v>387</v>
      </c>
      <c r="I1162" t="s">
        <v>5856</v>
      </c>
      <c r="K1162" t="s">
        <v>5857</v>
      </c>
      <c r="N1162" t="s">
        <v>5858</v>
      </c>
      <c r="Z1162" t="s">
        <v>43</v>
      </c>
    </row>
    <row r="1163" spans="1:26" x14ac:dyDescent="0.25">
      <c r="A1163">
        <v>1162</v>
      </c>
      <c r="B1163" t="s">
        <v>30</v>
      </c>
      <c r="C1163" t="s">
        <v>5859</v>
      </c>
      <c r="D1163" t="s">
        <v>46</v>
      </c>
      <c r="E1163" t="s">
        <v>471</v>
      </c>
      <c r="F1163" t="s">
        <v>820</v>
      </c>
      <c r="G1163" t="s">
        <v>47</v>
      </c>
      <c r="I1163" t="s">
        <v>5860</v>
      </c>
      <c r="K1163" t="s">
        <v>5861</v>
      </c>
      <c r="N1163" t="s">
        <v>5862</v>
      </c>
      <c r="Z1163" t="s">
        <v>43</v>
      </c>
    </row>
    <row r="1164" spans="1:26" x14ac:dyDescent="0.25">
      <c r="A1164">
        <v>1163</v>
      </c>
      <c r="B1164" t="s">
        <v>30</v>
      </c>
      <c r="C1164" t="s">
        <v>5863</v>
      </c>
      <c r="D1164" t="s">
        <v>46</v>
      </c>
      <c r="E1164" t="s">
        <v>471</v>
      </c>
      <c r="F1164" t="s">
        <v>820</v>
      </c>
      <c r="G1164" t="s">
        <v>47</v>
      </c>
      <c r="I1164" t="s">
        <v>5864</v>
      </c>
      <c r="J1164">
        <f>57-300-311-4212</f>
        <v>-4766</v>
      </c>
      <c r="K1164" t="s">
        <v>5865</v>
      </c>
      <c r="N1164" t="s">
        <v>5866</v>
      </c>
      <c r="Z1164" t="s">
        <v>43</v>
      </c>
    </row>
    <row r="1165" spans="1:26" x14ac:dyDescent="0.25">
      <c r="A1165">
        <v>1164</v>
      </c>
      <c r="B1165" t="s">
        <v>30</v>
      </c>
      <c r="C1165" t="s">
        <v>5867</v>
      </c>
      <c r="D1165" t="s">
        <v>5868</v>
      </c>
      <c r="E1165" t="s">
        <v>3133</v>
      </c>
      <c r="F1165" t="s">
        <v>5869</v>
      </c>
      <c r="G1165" t="s">
        <v>3135</v>
      </c>
      <c r="I1165" t="s">
        <v>5870</v>
      </c>
      <c r="J1165">
        <f>57-315-347-5675</f>
        <v>-6280</v>
      </c>
      <c r="K1165" t="s">
        <v>5871</v>
      </c>
      <c r="N1165" t="s">
        <v>5872</v>
      </c>
      <c r="Z1165" t="s">
        <v>43</v>
      </c>
    </row>
    <row r="1166" spans="1:26" x14ac:dyDescent="0.25">
      <c r="A1166">
        <v>1165</v>
      </c>
      <c r="B1166" t="s">
        <v>30</v>
      </c>
      <c r="C1166" t="s">
        <v>5873</v>
      </c>
      <c r="D1166" t="s">
        <v>1713</v>
      </c>
      <c r="E1166" t="s">
        <v>471</v>
      </c>
      <c r="F1166" t="s">
        <v>5874</v>
      </c>
      <c r="G1166" t="s">
        <v>47</v>
      </c>
      <c r="I1166" t="s">
        <v>5875</v>
      </c>
      <c r="J1166">
        <f>57-320-455-3190</f>
        <v>-3908</v>
      </c>
      <c r="K1166" t="s">
        <v>5876</v>
      </c>
      <c r="N1166" t="s">
        <v>5877</v>
      </c>
      <c r="Z1166" t="s">
        <v>43</v>
      </c>
    </row>
    <row r="1167" spans="1:26" x14ac:dyDescent="0.25">
      <c r="A1167">
        <v>1166</v>
      </c>
      <c r="B1167" t="s">
        <v>30</v>
      </c>
      <c r="C1167" t="s">
        <v>5878</v>
      </c>
      <c r="D1167" t="s">
        <v>5879</v>
      </c>
      <c r="E1167" t="s">
        <v>2117</v>
      </c>
      <c r="F1167" t="s">
        <v>5880</v>
      </c>
      <c r="G1167" t="s">
        <v>2119</v>
      </c>
      <c r="I1167" t="s">
        <v>5881</v>
      </c>
      <c r="J1167">
        <f>57-60-1-526-9565</f>
        <v>-10095</v>
      </c>
      <c r="K1167" t="s">
        <v>5882</v>
      </c>
      <c r="N1167" t="s">
        <v>5883</v>
      </c>
      <c r="Z1167" t="s">
        <v>43</v>
      </c>
    </row>
    <row r="1168" spans="1:26" x14ac:dyDescent="0.25">
      <c r="A1168">
        <v>1167</v>
      </c>
      <c r="B1168" t="s">
        <v>30</v>
      </c>
      <c r="C1168" t="s">
        <v>5884</v>
      </c>
      <c r="D1168" t="s">
        <v>2150</v>
      </c>
      <c r="E1168" t="s">
        <v>755</v>
      </c>
      <c r="F1168" t="s">
        <v>2151</v>
      </c>
      <c r="G1168" t="s">
        <v>757</v>
      </c>
      <c r="I1168" t="s">
        <v>5885</v>
      </c>
      <c r="K1168" t="s">
        <v>5886</v>
      </c>
      <c r="N1168" t="s">
        <v>5887</v>
      </c>
      <c r="Z1168" t="s">
        <v>43</v>
      </c>
    </row>
    <row r="1169" spans="1:26" x14ac:dyDescent="0.25">
      <c r="A1169">
        <v>1168</v>
      </c>
      <c r="B1169" t="s">
        <v>30</v>
      </c>
      <c r="C1169" t="s">
        <v>5888</v>
      </c>
      <c r="D1169" t="s">
        <v>3973</v>
      </c>
      <c r="E1169" t="s">
        <v>56</v>
      </c>
      <c r="F1169" t="s">
        <v>3974</v>
      </c>
      <c r="G1169" t="s">
        <v>57</v>
      </c>
      <c r="I1169" t="s">
        <v>5889</v>
      </c>
      <c r="J1169">
        <f>57-310-295-4918</f>
        <v>-5466</v>
      </c>
      <c r="K1169" t="s">
        <v>5890</v>
      </c>
      <c r="N1169" t="s">
        <v>5891</v>
      </c>
      <c r="Z1169" t="s">
        <v>43</v>
      </c>
    </row>
    <row r="1170" spans="1:26" x14ac:dyDescent="0.25">
      <c r="A1170">
        <v>1169</v>
      </c>
      <c r="B1170" t="s">
        <v>30</v>
      </c>
      <c r="C1170" t="s">
        <v>5892</v>
      </c>
      <c r="D1170" t="s">
        <v>5893</v>
      </c>
      <c r="E1170" t="s">
        <v>471</v>
      </c>
      <c r="F1170" t="s">
        <v>5894</v>
      </c>
      <c r="G1170" t="s">
        <v>47</v>
      </c>
      <c r="I1170" t="s">
        <v>5895</v>
      </c>
      <c r="K1170" t="s">
        <v>5896</v>
      </c>
      <c r="N1170" t="s">
        <v>5897</v>
      </c>
      <c r="Z1170" t="s">
        <v>43</v>
      </c>
    </row>
    <row r="1171" spans="1:26" x14ac:dyDescent="0.25">
      <c r="A1171">
        <v>1170</v>
      </c>
      <c r="B1171" t="s">
        <v>30</v>
      </c>
      <c r="C1171" t="s">
        <v>5898</v>
      </c>
      <c r="D1171" t="s">
        <v>64</v>
      </c>
      <c r="E1171" t="s">
        <v>64</v>
      </c>
      <c r="F1171" t="s">
        <v>65</v>
      </c>
      <c r="G1171" t="s">
        <v>65</v>
      </c>
      <c r="I1171" t="s">
        <v>5899</v>
      </c>
      <c r="J1171">
        <f>57-317-764-3926</f>
        <v>-4950</v>
      </c>
      <c r="K1171" t="s">
        <v>5900</v>
      </c>
      <c r="N1171" t="s">
        <v>5901</v>
      </c>
      <c r="Z1171" t="s">
        <v>43</v>
      </c>
    </row>
    <row r="1172" spans="1:26" x14ac:dyDescent="0.25">
      <c r="A1172">
        <v>1171</v>
      </c>
      <c r="B1172" t="s">
        <v>30</v>
      </c>
      <c r="C1172" t="s">
        <v>5902</v>
      </c>
      <c r="D1172" t="s">
        <v>46</v>
      </c>
      <c r="E1172" t="s">
        <v>471</v>
      </c>
      <c r="F1172" t="s">
        <v>820</v>
      </c>
      <c r="G1172" t="s">
        <v>47</v>
      </c>
      <c r="I1172" t="s">
        <v>5903</v>
      </c>
      <c r="K1172" t="s">
        <v>5904</v>
      </c>
      <c r="N1172" t="s">
        <v>5905</v>
      </c>
      <c r="Z1172" t="s">
        <v>43</v>
      </c>
    </row>
    <row r="1173" spans="1:26" x14ac:dyDescent="0.25">
      <c r="A1173">
        <v>1172</v>
      </c>
      <c r="B1173" t="s">
        <v>30</v>
      </c>
      <c r="C1173" t="s">
        <v>5906</v>
      </c>
      <c r="D1173" t="s">
        <v>5907</v>
      </c>
      <c r="E1173" t="s">
        <v>2814</v>
      </c>
      <c r="F1173" t="s">
        <v>5908</v>
      </c>
      <c r="G1173" t="s">
        <v>2816</v>
      </c>
      <c r="I1173" t="s">
        <v>5909</v>
      </c>
      <c r="K1173" t="s">
        <v>5910</v>
      </c>
      <c r="N1173" t="s">
        <v>5911</v>
      </c>
      <c r="Z1173" t="s">
        <v>43</v>
      </c>
    </row>
    <row r="1174" spans="1:26" x14ac:dyDescent="0.25">
      <c r="A1174">
        <v>1173</v>
      </c>
      <c r="B1174" t="s">
        <v>30</v>
      </c>
      <c r="C1174" t="s">
        <v>5912</v>
      </c>
      <c r="D1174" t="s">
        <v>5913</v>
      </c>
      <c r="E1174" t="s">
        <v>56</v>
      </c>
      <c r="F1174" t="s">
        <v>5914</v>
      </c>
      <c r="G1174" t="s">
        <v>57</v>
      </c>
      <c r="I1174" t="s">
        <v>5915</v>
      </c>
      <c r="K1174" t="s">
        <v>5916</v>
      </c>
      <c r="N1174" t="s">
        <v>5917</v>
      </c>
      <c r="Z1174" t="s">
        <v>43</v>
      </c>
    </row>
    <row r="1175" spans="1:26" x14ac:dyDescent="0.25">
      <c r="A1175">
        <v>1174</v>
      </c>
      <c r="B1175" t="s">
        <v>30</v>
      </c>
      <c r="C1175" t="s">
        <v>5918</v>
      </c>
      <c r="D1175" t="s">
        <v>5919</v>
      </c>
      <c r="E1175" t="s">
        <v>471</v>
      </c>
      <c r="F1175" t="s">
        <v>5920</v>
      </c>
      <c r="G1175" t="s">
        <v>47</v>
      </c>
      <c r="I1175" t="s">
        <v>3630</v>
      </c>
      <c r="J1175">
        <f>57-310-211-1271</f>
        <v>-1735</v>
      </c>
      <c r="K1175" t="s">
        <v>5921</v>
      </c>
      <c r="N1175" t="s">
        <v>5922</v>
      </c>
      <c r="Z1175" t="s">
        <v>43</v>
      </c>
    </row>
    <row r="1176" spans="1:26" x14ac:dyDescent="0.25">
      <c r="A1176">
        <v>1175</v>
      </c>
      <c r="B1176" t="s">
        <v>30</v>
      </c>
      <c r="C1176" t="s">
        <v>5923</v>
      </c>
      <c r="D1176" t="s">
        <v>2585</v>
      </c>
      <c r="E1176" t="s">
        <v>56</v>
      </c>
      <c r="F1176" t="s">
        <v>5924</v>
      </c>
      <c r="G1176" t="s">
        <v>57</v>
      </c>
      <c r="I1176" t="s">
        <v>5925</v>
      </c>
      <c r="J1176">
        <f>57-312-602-865</f>
        <v>-1722</v>
      </c>
      <c r="K1176" t="s">
        <v>5926</v>
      </c>
      <c r="N1176" t="s">
        <v>5927</v>
      </c>
      <c r="Z1176" t="s">
        <v>43</v>
      </c>
    </row>
    <row r="1177" spans="1:26" x14ac:dyDescent="0.25">
      <c r="A1177">
        <v>1176</v>
      </c>
      <c r="B1177" t="s">
        <v>30</v>
      </c>
      <c r="C1177" t="s">
        <v>5928</v>
      </c>
      <c r="D1177" t="s">
        <v>1713</v>
      </c>
      <c r="E1177" t="s">
        <v>64</v>
      </c>
      <c r="F1177" t="s">
        <v>3079</v>
      </c>
      <c r="G1177" t="s">
        <v>65</v>
      </c>
      <c r="I1177" t="s">
        <v>5929</v>
      </c>
      <c r="K1177" t="s">
        <v>5930</v>
      </c>
      <c r="N1177" t="s">
        <v>5931</v>
      </c>
      <c r="Z1177" t="s">
        <v>43</v>
      </c>
    </row>
    <row r="1178" spans="1:26" x14ac:dyDescent="0.25">
      <c r="A1178">
        <v>1177</v>
      </c>
      <c r="B1178" t="s">
        <v>30</v>
      </c>
      <c r="C1178" t="s">
        <v>5932</v>
      </c>
      <c r="D1178" t="s">
        <v>5933</v>
      </c>
      <c r="E1178" t="s">
        <v>755</v>
      </c>
      <c r="F1178" t="s">
        <v>5934</v>
      </c>
      <c r="G1178" t="s">
        <v>2199</v>
      </c>
      <c r="I1178" t="s">
        <v>5935</v>
      </c>
      <c r="K1178" t="s">
        <v>5936</v>
      </c>
      <c r="N1178" t="s">
        <v>5937</v>
      </c>
      <c r="Z1178" t="s">
        <v>43</v>
      </c>
    </row>
    <row r="1179" spans="1:26" x14ac:dyDescent="0.25">
      <c r="A1179">
        <v>1178</v>
      </c>
      <c r="B1179" t="s">
        <v>30</v>
      </c>
      <c r="C1179" t="s">
        <v>5938</v>
      </c>
      <c r="D1179" t="s">
        <v>384</v>
      </c>
      <c r="E1179" t="s">
        <v>56</v>
      </c>
      <c r="F1179" t="s">
        <v>2439</v>
      </c>
      <c r="G1179" t="s">
        <v>57</v>
      </c>
      <c r="I1179" t="s">
        <v>5939</v>
      </c>
      <c r="K1179" t="s">
        <v>5940</v>
      </c>
      <c r="N1179" t="s">
        <v>5941</v>
      </c>
      <c r="Z1179" t="s">
        <v>43</v>
      </c>
    </row>
    <row r="1180" spans="1:26" x14ac:dyDescent="0.25">
      <c r="A1180">
        <v>1179</v>
      </c>
      <c r="B1180" t="s">
        <v>30</v>
      </c>
      <c r="C1180" t="s">
        <v>5942</v>
      </c>
      <c r="D1180" t="s">
        <v>46</v>
      </c>
      <c r="E1180" t="s">
        <v>471</v>
      </c>
      <c r="F1180" t="s">
        <v>820</v>
      </c>
      <c r="G1180" t="s">
        <v>47</v>
      </c>
      <c r="I1180" t="s">
        <v>5943</v>
      </c>
      <c r="J1180">
        <f>57-317-855-2585</f>
        <v>-3700</v>
      </c>
      <c r="K1180" t="s">
        <v>5944</v>
      </c>
      <c r="N1180" t="s">
        <v>5945</v>
      </c>
      <c r="Z1180" t="s">
        <v>43</v>
      </c>
    </row>
    <row r="1181" spans="1:26" x14ac:dyDescent="0.25">
      <c r="A1181">
        <v>1180</v>
      </c>
      <c r="B1181" t="s">
        <v>30</v>
      </c>
      <c r="C1181" t="s">
        <v>5946</v>
      </c>
      <c r="D1181" t="s">
        <v>5947</v>
      </c>
      <c r="E1181" t="s">
        <v>2190</v>
      </c>
      <c r="F1181" t="s">
        <v>5948</v>
      </c>
      <c r="G1181" t="s">
        <v>2192</v>
      </c>
      <c r="I1181" t="s">
        <v>5949</v>
      </c>
      <c r="J1181">
        <f>57-60-1-469-6631</f>
        <v>-7104</v>
      </c>
      <c r="K1181" t="s">
        <v>5950</v>
      </c>
      <c r="N1181" t="s">
        <v>5951</v>
      </c>
      <c r="Z1181" t="s">
        <v>43</v>
      </c>
    </row>
    <row r="1182" spans="1:26" x14ac:dyDescent="0.25">
      <c r="A1182">
        <v>1181</v>
      </c>
      <c r="B1182" t="s">
        <v>30</v>
      </c>
      <c r="C1182" t="s">
        <v>5952</v>
      </c>
      <c r="D1182" t="s">
        <v>5953</v>
      </c>
      <c r="E1182" t="s">
        <v>385</v>
      </c>
      <c r="F1182" t="s">
        <v>5954</v>
      </c>
      <c r="G1182" t="s">
        <v>387</v>
      </c>
      <c r="I1182" t="s">
        <v>5955</v>
      </c>
      <c r="J1182">
        <f>57-310-388-2263</f>
        <v>-2904</v>
      </c>
      <c r="K1182" t="s">
        <v>5956</v>
      </c>
      <c r="N1182" t="s">
        <v>5957</v>
      </c>
      <c r="Z1182" t="s">
        <v>43</v>
      </c>
    </row>
    <row r="1183" spans="1:26" x14ac:dyDescent="0.25">
      <c r="A1183">
        <v>1182</v>
      </c>
      <c r="B1183" t="s">
        <v>30</v>
      </c>
      <c r="C1183" t="s">
        <v>5958</v>
      </c>
      <c r="D1183" t="s">
        <v>5959</v>
      </c>
      <c r="E1183" t="s">
        <v>2936</v>
      </c>
      <c r="F1183" t="s">
        <v>5960</v>
      </c>
      <c r="G1183" t="s">
        <v>2938</v>
      </c>
      <c r="I1183" t="s">
        <v>5961</v>
      </c>
      <c r="K1183" t="s">
        <v>5962</v>
      </c>
      <c r="N1183" t="s">
        <v>5963</v>
      </c>
      <c r="Z1183" t="s">
        <v>43</v>
      </c>
    </row>
    <row r="1184" spans="1:26" x14ac:dyDescent="0.25">
      <c r="A1184">
        <v>1183</v>
      </c>
      <c r="B1184" t="s">
        <v>30</v>
      </c>
      <c r="C1184" t="s">
        <v>5964</v>
      </c>
      <c r="D1184" t="s">
        <v>5965</v>
      </c>
      <c r="E1184" t="s">
        <v>385</v>
      </c>
      <c r="F1184" t="s">
        <v>5966</v>
      </c>
      <c r="G1184" t="s">
        <v>387</v>
      </c>
      <c r="I1184" t="s">
        <v>5967</v>
      </c>
      <c r="K1184" t="s">
        <v>5968</v>
      </c>
      <c r="N1184" t="s">
        <v>5969</v>
      </c>
      <c r="Z1184" t="s">
        <v>43</v>
      </c>
    </row>
    <row r="1185" spans="1:26" x14ac:dyDescent="0.25">
      <c r="A1185">
        <v>1184</v>
      </c>
      <c r="B1185" t="s">
        <v>30</v>
      </c>
      <c r="C1185" t="s">
        <v>5970</v>
      </c>
      <c r="D1185" t="s">
        <v>754</v>
      </c>
      <c r="E1185" t="s">
        <v>755</v>
      </c>
      <c r="F1185" t="s">
        <v>1636</v>
      </c>
      <c r="G1185" t="s">
        <v>757</v>
      </c>
      <c r="I1185" t="s">
        <v>5971</v>
      </c>
      <c r="J1185">
        <f>57-322-901-2713</f>
        <v>-3879</v>
      </c>
      <c r="K1185" t="s">
        <v>5972</v>
      </c>
      <c r="N1185" t="s">
        <v>5973</v>
      </c>
      <c r="Z1185" t="s">
        <v>43</v>
      </c>
    </row>
    <row r="1186" spans="1:26" x14ac:dyDescent="0.25">
      <c r="A1186">
        <v>1185</v>
      </c>
      <c r="B1186" t="s">
        <v>30</v>
      </c>
      <c r="C1186" t="s">
        <v>5974</v>
      </c>
      <c r="D1186" t="s">
        <v>2014</v>
      </c>
      <c r="E1186" t="s">
        <v>800</v>
      </c>
      <c r="F1186" t="s">
        <v>2015</v>
      </c>
      <c r="G1186" t="s">
        <v>802</v>
      </c>
      <c r="I1186" t="s">
        <v>5975</v>
      </c>
      <c r="J1186">
        <f>57-301-222-9830</f>
        <v>-10296</v>
      </c>
      <c r="K1186" t="s">
        <v>5976</v>
      </c>
      <c r="N1186" t="s">
        <v>5977</v>
      </c>
      <c r="Z1186" t="s">
        <v>43</v>
      </c>
    </row>
    <row r="1187" spans="1:26" x14ac:dyDescent="0.25">
      <c r="A1187">
        <v>1186</v>
      </c>
      <c r="B1187" t="s">
        <v>30</v>
      </c>
      <c r="C1187" t="s">
        <v>5978</v>
      </c>
      <c r="D1187" t="s">
        <v>5979</v>
      </c>
      <c r="E1187" t="s">
        <v>471</v>
      </c>
      <c r="F1187" t="s">
        <v>5980</v>
      </c>
      <c r="G1187" t="s">
        <v>47</v>
      </c>
      <c r="I1187" t="s">
        <v>5981</v>
      </c>
      <c r="J1187">
        <f>57-316-830-2068</f>
        <v>-3157</v>
      </c>
      <c r="K1187" t="s">
        <v>5982</v>
      </c>
      <c r="N1187" t="s">
        <v>5983</v>
      </c>
      <c r="Z1187" t="s">
        <v>43</v>
      </c>
    </row>
    <row r="1188" spans="1:26" x14ac:dyDescent="0.25">
      <c r="A1188">
        <v>1187</v>
      </c>
      <c r="B1188" t="s">
        <v>30</v>
      </c>
      <c r="C1188" t="s">
        <v>5984</v>
      </c>
      <c r="D1188" t="s">
        <v>64</v>
      </c>
      <c r="E1188" t="s">
        <v>64</v>
      </c>
      <c r="F1188" t="s">
        <v>65</v>
      </c>
      <c r="G1188" t="s">
        <v>65</v>
      </c>
      <c r="I1188" t="s">
        <v>5985</v>
      </c>
      <c r="K1188" t="s">
        <v>5986</v>
      </c>
      <c r="N1188" t="s">
        <v>5987</v>
      </c>
      <c r="Z1188" t="s">
        <v>43</v>
      </c>
    </row>
    <row r="1189" spans="1:26" x14ac:dyDescent="0.25">
      <c r="A1189">
        <v>1188</v>
      </c>
      <c r="B1189" t="s">
        <v>30</v>
      </c>
      <c r="C1189" t="s">
        <v>5988</v>
      </c>
      <c r="D1189" t="s">
        <v>5989</v>
      </c>
      <c r="E1189" t="s">
        <v>72</v>
      </c>
      <c r="F1189" t="s">
        <v>5990</v>
      </c>
      <c r="G1189" t="s">
        <v>73</v>
      </c>
      <c r="I1189" t="s">
        <v>5991</v>
      </c>
      <c r="J1189">
        <f>57-305-312-6355</f>
        <v>-6915</v>
      </c>
      <c r="K1189" t="s">
        <v>5992</v>
      </c>
      <c r="N1189" t="s">
        <v>5993</v>
      </c>
      <c r="Z1189" t="s">
        <v>43</v>
      </c>
    </row>
    <row r="1190" spans="1:26" x14ac:dyDescent="0.25">
      <c r="A1190">
        <v>1189</v>
      </c>
      <c r="B1190" t="s">
        <v>30</v>
      </c>
      <c r="C1190" t="s">
        <v>5994</v>
      </c>
      <c r="D1190" t="s">
        <v>2614</v>
      </c>
      <c r="E1190" t="s">
        <v>56</v>
      </c>
      <c r="F1190" t="s">
        <v>4232</v>
      </c>
      <c r="G1190" t="s">
        <v>57</v>
      </c>
      <c r="I1190" t="s">
        <v>5995</v>
      </c>
      <c r="K1190" t="s">
        <v>5996</v>
      </c>
      <c r="N1190" t="s">
        <v>5993</v>
      </c>
      <c r="Z1190" t="s">
        <v>43</v>
      </c>
    </row>
    <row r="1191" spans="1:26" x14ac:dyDescent="0.25">
      <c r="A1191">
        <v>1190</v>
      </c>
      <c r="B1191" t="s">
        <v>30</v>
      </c>
      <c r="C1191" t="s">
        <v>5997</v>
      </c>
      <c r="D1191" t="s">
        <v>2014</v>
      </c>
      <c r="E1191" t="s">
        <v>800</v>
      </c>
      <c r="F1191" t="s">
        <v>2015</v>
      </c>
      <c r="G1191" t="s">
        <v>802</v>
      </c>
      <c r="I1191" t="s">
        <v>5998</v>
      </c>
      <c r="K1191" t="s">
        <v>5999</v>
      </c>
      <c r="N1191" t="s">
        <v>6000</v>
      </c>
      <c r="Z1191" t="s">
        <v>43</v>
      </c>
    </row>
    <row r="1192" spans="1:26" x14ac:dyDescent="0.25">
      <c r="A1192">
        <v>1191</v>
      </c>
      <c r="B1192" t="s">
        <v>30</v>
      </c>
      <c r="C1192" t="s">
        <v>6001</v>
      </c>
      <c r="D1192" t="s">
        <v>6002</v>
      </c>
      <c r="E1192" t="s">
        <v>800</v>
      </c>
      <c r="F1192" t="s">
        <v>6003</v>
      </c>
      <c r="G1192" t="s">
        <v>802</v>
      </c>
      <c r="I1192" t="s">
        <v>6004</v>
      </c>
      <c r="K1192" t="s">
        <v>6005</v>
      </c>
      <c r="N1192" t="s">
        <v>6006</v>
      </c>
      <c r="Z1192" t="s">
        <v>43</v>
      </c>
    </row>
    <row r="1193" spans="1:26" x14ac:dyDescent="0.25">
      <c r="A1193">
        <v>1192</v>
      </c>
      <c r="B1193" t="s">
        <v>30</v>
      </c>
      <c r="C1193" t="s">
        <v>6007</v>
      </c>
      <c r="D1193" t="s">
        <v>2150</v>
      </c>
      <c r="E1193" t="s">
        <v>755</v>
      </c>
      <c r="F1193" t="s">
        <v>6008</v>
      </c>
      <c r="G1193" t="s">
        <v>757</v>
      </c>
      <c r="I1193" t="s">
        <v>6009</v>
      </c>
      <c r="K1193" t="s">
        <v>6010</v>
      </c>
      <c r="N1193" t="s">
        <v>6011</v>
      </c>
      <c r="Z1193" t="s">
        <v>43</v>
      </c>
    </row>
    <row r="1194" spans="1:26" x14ac:dyDescent="0.25">
      <c r="A1194">
        <v>1193</v>
      </c>
      <c r="B1194" t="s">
        <v>30</v>
      </c>
      <c r="C1194" t="s">
        <v>6012</v>
      </c>
      <c r="D1194" t="s">
        <v>772</v>
      </c>
      <c r="E1194" t="s">
        <v>471</v>
      </c>
      <c r="F1194" t="s">
        <v>6013</v>
      </c>
      <c r="G1194" t="s">
        <v>47</v>
      </c>
      <c r="I1194" t="s">
        <v>6014</v>
      </c>
      <c r="J1194">
        <f>57-60-1-931-7049</f>
        <v>-7984</v>
      </c>
      <c r="K1194" t="s">
        <v>6015</v>
      </c>
      <c r="N1194" t="s">
        <v>6016</v>
      </c>
      <c r="Z1194" t="s">
        <v>43</v>
      </c>
    </row>
    <row r="1195" spans="1:26" x14ac:dyDescent="0.25">
      <c r="A1195">
        <v>1194</v>
      </c>
      <c r="B1195" t="s">
        <v>30</v>
      </c>
      <c r="C1195" t="s">
        <v>6017</v>
      </c>
      <c r="D1195" t="s">
        <v>1260</v>
      </c>
      <c r="E1195" t="s">
        <v>471</v>
      </c>
      <c r="F1195" t="s">
        <v>2178</v>
      </c>
      <c r="G1195" t="s">
        <v>47</v>
      </c>
      <c r="I1195" t="s">
        <v>6018</v>
      </c>
      <c r="J1195">
        <f>57-60-1-244-555</f>
        <v>-803</v>
      </c>
      <c r="K1195" t="s">
        <v>6019</v>
      </c>
      <c r="N1195" t="s">
        <v>6020</v>
      </c>
      <c r="Z1195" t="s">
        <v>43</v>
      </c>
    </row>
    <row r="1196" spans="1:26" x14ac:dyDescent="0.25">
      <c r="A1196">
        <v>1195</v>
      </c>
      <c r="B1196" t="s">
        <v>30</v>
      </c>
      <c r="C1196" t="s">
        <v>6021</v>
      </c>
      <c r="D1196" t="s">
        <v>6022</v>
      </c>
      <c r="E1196" t="s">
        <v>6023</v>
      </c>
      <c r="F1196" t="s">
        <v>6024</v>
      </c>
      <c r="G1196" t="s">
        <v>6025</v>
      </c>
      <c r="I1196" t="s">
        <v>6026</v>
      </c>
      <c r="J1196">
        <f>57-60-1-432-9907</f>
        <v>-10343</v>
      </c>
      <c r="K1196" t="s">
        <v>6027</v>
      </c>
      <c r="N1196" t="s">
        <v>6028</v>
      </c>
      <c r="Z1196" t="s">
        <v>43</v>
      </c>
    </row>
    <row r="1197" spans="1:26" x14ac:dyDescent="0.25">
      <c r="A1197">
        <v>1196</v>
      </c>
      <c r="B1197" t="s">
        <v>30</v>
      </c>
      <c r="C1197" t="s">
        <v>6029</v>
      </c>
      <c r="D1197" t="s">
        <v>1557</v>
      </c>
      <c r="E1197" t="s">
        <v>72</v>
      </c>
      <c r="F1197" t="s">
        <v>1559</v>
      </c>
      <c r="G1197" t="s">
        <v>73</v>
      </c>
      <c r="I1197" t="s">
        <v>6030</v>
      </c>
      <c r="K1197" t="s">
        <v>6031</v>
      </c>
      <c r="N1197" t="s">
        <v>6032</v>
      </c>
      <c r="Z1197" t="s">
        <v>43</v>
      </c>
    </row>
    <row r="1198" spans="1:26" x14ac:dyDescent="0.25">
      <c r="A1198">
        <v>1197</v>
      </c>
      <c r="B1198" t="s">
        <v>30</v>
      </c>
      <c r="C1198" t="s">
        <v>6033</v>
      </c>
      <c r="D1198" t="s">
        <v>64</v>
      </c>
      <c r="E1198" t="s">
        <v>64</v>
      </c>
      <c r="F1198" t="s">
        <v>65</v>
      </c>
      <c r="G1198" t="s">
        <v>65</v>
      </c>
      <c r="I1198" t="s">
        <v>6034</v>
      </c>
      <c r="K1198" t="s">
        <v>6035</v>
      </c>
      <c r="N1198" t="s">
        <v>6036</v>
      </c>
      <c r="Z1198" t="s">
        <v>43</v>
      </c>
    </row>
    <row r="1199" spans="1:26" x14ac:dyDescent="0.25">
      <c r="A1199">
        <v>1198</v>
      </c>
      <c r="B1199" t="s">
        <v>30</v>
      </c>
      <c r="C1199" t="s">
        <v>6037</v>
      </c>
      <c r="D1199" t="s">
        <v>772</v>
      </c>
      <c r="E1199" t="s">
        <v>471</v>
      </c>
      <c r="F1199" t="s">
        <v>773</v>
      </c>
      <c r="G1199" t="s">
        <v>47</v>
      </c>
      <c r="I1199" t="s">
        <v>6038</v>
      </c>
      <c r="K1199" t="s">
        <v>6039</v>
      </c>
      <c r="N1199" t="s">
        <v>6040</v>
      </c>
      <c r="Z1199" t="s">
        <v>43</v>
      </c>
    </row>
    <row r="1200" spans="1:26" x14ac:dyDescent="0.25">
      <c r="A1200">
        <v>1199</v>
      </c>
      <c r="B1200" t="s">
        <v>30</v>
      </c>
      <c r="C1200" t="s">
        <v>6041</v>
      </c>
      <c r="D1200" t="s">
        <v>46</v>
      </c>
      <c r="E1200" t="s">
        <v>471</v>
      </c>
      <c r="F1200" t="s">
        <v>820</v>
      </c>
      <c r="G1200" t="s">
        <v>47</v>
      </c>
      <c r="I1200" t="s">
        <v>6042</v>
      </c>
      <c r="J1200">
        <f>57-60-1-691-3736</f>
        <v>-4431</v>
      </c>
      <c r="K1200" t="s">
        <v>6043</v>
      </c>
      <c r="N1200" t="s">
        <v>6044</v>
      </c>
      <c r="Z1200" t="s">
        <v>43</v>
      </c>
    </row>
    <row r="1201" spans="1:26" x14ac:dyDescent="0.25">
      <c r="A1201">
        <v>1200</v>
      </c>
      <c r="B1201" t="s">
        <v>30</v>
      </c>
      <c r="C1201" t="s">
        <v>6045</v>
      </c>
      <c r="D1201" t="s">
        <v>6046</v>
      </c>
      <c r="E1201" t="s">
        <v>56</v>
      </c>
      <c r="F1201" t="s">
        <v>6047</v>
      </c>
      <c r="G1201" t="s">
        <v>57</v>
      </c>
      <c r="I1201" t="s">
        <v>6048</v>
      </c>
      <c r="K1201" t="s">
        <v>6049</v>
      </c>
      <c r="N1201" t="s">
        <v>6050</v>
      </c>
      <c r="Z1201" t="s">
        <v>43</v>
      </c>
    </row>
    <row r="1202" spans="1:26" x14ac:dyDescent="0.25">
      <c r="A1202">
        <v>1201</v>
      </c>
      <c r="B1202" t="s">
        <v>30</v>
      </c>
      <c r="C1202" t="s">
        <v>6051</v>
      </c>
      <c r="D1202" t="s">
        <v>6052</v>
      </c>
      <c r="E1202" t="s">
        <v>1558</v>
      </c>
      <c r="F1202" t="s">
        <v>6053</v>
      </c>
      <c r="G1202" t="s">
        <v>1560</v>
      </c>
      <c r="I1202" t="s">
        <v>6054</v>
      </c>
      <c r="K1202" t="s">
        <v>6055</v>
      </c>
      <c r="N1202" t="s">
        <v>6056</v>
      </c>
      <c r="Z1202" t="s">
        <v>43</v>
      </c>
    </row>
    <row r="1203" spans="1:26" x14ac:dyDescent="0.25">
      <c r="A1203">
        <v>1202</v>
      </c>
      <c r="B1203" t="s">
        <v>30</v>
      </c>
      <c r="C1203" t="s">
        <v>6057</v>
      </c>
      <c r="D1203" t="s">
        <v>46</v>
      </c>
      <c r="E1203" t="s">
        <v>471</v>
      </c>
      <c r="F1203" t="s">
        <v>820</v>
      </c>
      <c r="G1203" t="s">
        <v>47</v>
      </c>
      <c r="I1203" t="s">
        <v>6058</v>
      </c>
      <c r="J1203">
        <f>57-302-863-3826</f>
        <v>-4934</v>
      </c>
      <c r="K1203" t="s">
        <v>6059</v>
      </c>
      <c r="N1203" t="s">
        <v>6060</v>
      </c>
      <c r="Z1203" t="s">
        <v>43</v>
      </c>
    </row>
    <row r="1204" spans="1:26" x14ac:dyDescent="0.25">
      <c r="A1204">
        <v>1203</v>
      </c>
      <c r="B1204" t="s">
        <v>30</v>
      </c>
      <c r="C1204" t="s">
        <v>6061</v>
      </c>
      <c r="D1204" t="s">
        <v>6062</v>
      </c>
      <c r="E1204" t="s">
        <v>1155</v>
      </c>
      <c r="F1204" t="s">
        <v>6063</v>
      </c>
      <c r="G1204" t="s">
        <v>1157</v>
      </c>
      <c r="I1204" t="s">
        <v>6064</v>
      </c>
      <c r="K1204" t="s">
        <v>6065</v>
      </c>
      <c r="N1204" t="s">
        <v>6066</v>
      </c>
      <c r="Z1204" t="s">
        <v>43</v>
      </c>
    </row>
    <row r="1205" spans="1:26" x14ac:dyDescent="0.25">
      <c r="A1205">
        <v>1204</v>
      </c>
      <c r="B1205" t="s">
        <v>30</v>
      </c>
      <c r="C1205" t="s">
        <v>6067</v>
      </c>
      <c r="D1205" t="s">
        <v>772</v>
      </c>
      <c r="E1205" t="s">
        <v>471</v>
      </c>
      <c r="F1205" t="s">
        <v>773</v>
      </c>
      <c r="G1205" t="s">
        <v>47</v>
      </c>
      <c r="I1205" t="s">
        <v>6068</v>
      </c>
      <c r="J1205">
        <f>57-60-1-469-9877</f>
        <v>-10350</v>
      </c>
      <c r="K1205" t="s">
        <v>6069</v>
      </c>
      <c r="N1205" t="s">
        <v>6070</v>
      </c>
      <c r="Z1205" t="s">
        <v>43</v>
      </c>
    </row>
    <row r="1206" spans="1:26" x14ac:dyDescent="0.25">
      <c r="A1206">
        <v>1205</v>
      </c>
      <c r="B1206" t="s">
        <v>30</v>
      </c>
      <c r="C1206" t="s">
        <v>6071</v>
      </c>
      <c r="D1206" t="s">
        <v>2336</v>
      </c>
      <c r="E1206" t="s">
        <v>56</v>
      </c>
      <c r="F1206" t="s">
        <v>2337</v>
      </c>
      <c r="G1206" t="s">
        <v>57</v>
      </c>
      <c r="I1206" t="s">
        <v>6072</v>
      </c>
      <c r="K1206" t="s">
        <v>6073</v>
      </c>
      <c r="N1206" t="s">
        <v>6074</v>
      </c>
      <c r="Z1206" t="s">
        <v>43</v>
      </c>
    </row>
    <row r="1207" spans="1:26" x14ac:dyDescent="0.25">
      <c r="A1207">
        <v>1206</v>
      </c>
      <c r="B1207" t="s">
        <v>30</v>
      </c>
      <c r="C1207" t="s">
        <v>6075</v>
      </c>
      <c r="D1207" t="s">
        <v>46</v>
      </c>
      <c r="E1207" t="s">
        <v>56</v>
      </c>
      <c r="F1207" t="s">
        <v>820</v>
      </c>
      <c r="G1207" t="s">
        <v>57</v>
      </c>
      <c r="I1207" t="s">
        <v>6076</v>
      </c>
      <c r="K1207" t="s">
        <v>6077</v>
      </c>
      <c r="N1207" t="s">
        <v>6078</v>
      </c>
      <c r="Z1207" t="s">
        <v>43</v>
      </c>
    </row>
    <row r="1208" spans="1:26" x14ac:dyDescent="0.25">
      <c r="A1208">
        <v>1207</v>
      </c>
      <c r="B1208" t="s">
        <v>30</v>
      </c>
      <c r="C1208" t="s">
        <v>6079</v>
      </c>
      <c r="D1208" t="s">
        <v>6080</v>
      </c>
      <c r="E1208" t="s">
        <v>56</v>
      </c>
      <c r="F1208" t="s">
        <v>6081</v>
      </c>
      <c r="G1208" t="s">
        <v>57</v>
      </c>
      <c r="I1208" t="s">
        <v>6082</v>
      </c>
      <c r="J1208">
        <f>57-60-1-473-1961</f>
        <v>-2438</v>
      </c>
      <c r="K1208" t="s">
        <v>6083</v>
      </c>
      <c r="N1208" t="s">
        <v>6084</v>
      </c>
      <c r="Z1208" t="s">
        <v>43</v>
      </c>
    </row>
    <row r="1209" spans="1:26" x14ac:dyDescent="0.25">
      <c r="A1209">
        <v>1208</v>
      </c>
      <c r="B1209" t="s">
        <v>30</v>
      </c>
      <c r="C1209" t="s">
        <v>6085</v>
      </c>
      <c r="D1209" t="s">
        <v>4698</v>
      </c>
      <c r="E1209" t="s">
        <v>385</v>
      </c>
      <c r="F1209" t="s">
        <v>6086</v>
      </c>
      <c r="G1209" t="s">
        <v>387</v>
      </c>
      <c r="I1209" t="s">
        <v>6087</v>
      </c>
      <c r="K1209" t="s">
        <v>6088</v>
      </c>
      <c r="N1209" t="s">
        <v>6089</v>
      </c>
      <c r="Z1209" t="s">
        <v>43</v>
      </c>
    </row>
    <row r="1210" spans="1:26" x14ac:dyDescent="0.25">
      <c r="A1210">
        <v>1209</v>
      </c>
      <c r="B1210" t="s">
        <v>30</v>
      </c>
      <c r="C1210" t="s">
        <v>6090</v>
      </c>
      <c r="D1210" t="s">
        <v>2505</v>
      </c>
      <c r="E1210" t="s">
        <v>2295</v>
      </c>
      <c r="F1210" t="s">
        <v>6091</v>
      </c>
      <c r="G1210" t="s">
        <v>2297</v>
      </c>
      <c r="I1210" t="s">
        <v>6092</v>
      </c>
      <c r="J1210">
        <f>57-317-231-615</f>
        <v>-1106</v>
      </c>
      <c r="K1210" t="s">
        <v>6093</v>
      </c>
      <c r="N1210" t="s">
        <v>6094</v>
      </c>
      <c r="Z1210" t="s">
        <v>43</v>
      </c>
    </row>
    <row r="1211" spans="1:26" x14ac:dyDescent="0.25">
      <c r="A1211">
        <v>1210</v>
      </c>
      <c r="B1211" t="s">
        <v>30</v>
      </c>
      <c r="C1211" t="s">
        <v>6095</v>
      </c>
      <c r="D1211" t="s">
        <v>1260</v>
      </c>
      <c r="E1211" t="s">
        <v>64</v>
      </c>
      <c r="F1211" t="s">
        <v>2204</v>
      </c>
      <c r="G1211" t="s">
        <v>65</v>
      </c>
      <c r="I1211" t="s">
        <v>6096</v>
      </c>
      <c r="J1211">
        <f>57-311-276-9288</f>
        <v>-9818</v>
      </c>
      <c r="K1211" t="s">
        <v>6097</v>
      </c>
      <c r="N1211" t="s">
        <v>6098</v>
      </c>
      <c r="Z1211" t="s">
        <v>43</v>
      </c>
    </row>
    <row r="1212" spans="1:26" x14ac:dyDescent="0.25">
      <c r="A1212">
        <v>1211</v>
      </c>
      <c r="B1212" t="s">
        <v>30</v>
      </c>
      <c r="C1212" t="s">
        <v>6099</v>
      </c>
      <c r="D1212" t="s">
        <v>6100</v>
      </c>
      <c r="E1212" t="s">
        <v>3210</v>
      </c>
      <c r="F1212" t="s">
        <v>6101</v>
      </c>
      <c r="G1212" t="s">
        <v>3212</v>
      </c>
      <c r="I1212" t="s">
        <v>6102</v>
      </c>
      <c r="J1212">
        <f>57-320-322-2899</f>
        <v>-3484</v>
      </c>
      <c r="K1212" t="s">
        <v>6103</v>
      </c>
      <c r="N1212" t="s">
        <v>6104</v>
      </c>
      <c r="Z1212" t="s">
        <v>43</v>
      </c>
    </row>
    <row r="1213" spans="1:26" x14ac:dyDescent="0.25">
      <c r="A1213">
        <v>1212</v>
      </c>
      <c r="B1213" t="s">
        <v>30</v>
      </c>
      <c r="C1213" t="s">
        <v>6105</v>
      </c>
      <c r="D1213" t="s">
        <v>6106</v>
      </c>
      <c r="E1213" t="s">
        <v>1585</v>
      </c>
      <c r="F1213" t="s">
        <v>6107</v>
      </c>
      <c r="G1213" t="s">
        <v>1587</v>
      </c>
      <c r="I1213" t="s">
        <v>6108</v>
      </c>
      <c r="J1213">
        <f>57-311-514-3817</f>
        <v>-4585</v>
      </c>
      <c r="K1213" t="s">
        <v>6109</v>
      </c>
      <c r="N1213" t="s">
        <v>6110</v>
      </c>
      <c r="Z1213" t="s">
        <v>43</v>
      </c>
    </row>
    <row r="1214" spans="1:26" x14ac:dyDescent="0.25">
      <c r="A1214">
        <v>1213</v>
      </c>
      <c r="B1214" t="s">
        <v>30</v>
      </c>
      <c r="C1214" t="s">
        <v>6111</v>
      </c>
      <c r="D1214" t="s">
        <v>56</v>
      </c>
      <c r="E1214" t="s">
        <v>56</v>
      </c>
      <c r="F1214" t="s">
        <v>57</v>
      </c>
      <c r="G1214" t="s">
        <v>57</v>
      </c>
      <c r="I1214" t="s">
        <v>6112</v>
      </c>
      <c r="J1214">
        <f>57-304-375-7202</f>
        <v>-7824</v>
      </c>
      <c r="K1214" t="s">
        <v>6113</v>
      </c>
      <c r="N1214" t="s">
        <v>6114</v>
      </c>
      <c r="Z1214" t="s">
        <v>43</v>
      </c>
    </row>
    <row r="1215" spans="1:26" x14ac:dyDescent="0.25">
      <c r="A1215">
        <v>1214</v>
      </c>
      <c r="B1215" t="s">
        <v>30</v>
      </c>
      <c r="C1215" t="s">
        <v>6115</v>
      </c>
      <c r="D1215" t="s">
        <v>6116</v>
      </c>
      <c r="E1215" t="s">
        <v>4987</v>
      </c>
      <c r="F1215" t="s">
        <v>6117</v>
      </c>
      <c r="G1215" t="s">
        <v>4989</v>
      </c>
      <c r="I1215" t="s">
        <v>6118</v>
      </c>
      <c r="J1215">
        <f>57-316-687-2061</f>
        <v>-3007</v>
      </c>
      <c r="K1215" t="s">
        <v>6119</v>
      </c>
      <c r="N1215" t="s">
        <v>6120</v>
      </c>
      <c r="Z1215" t="s">
        <v>43</v>
      </c>
    </row>
    <row r="1216" spans="1:26" x14ac:dyDescent="0.25">
      <c r="A1216">
        <v>1215</v>
      </c>
      <c r="B1216" t="s">
        <v>30</v>
      </c>
      <c r="C1216" t="s">
        <v>6121</v>
      </c>
      <c r="D1216" t="s">
        <v>6122</v>
      </c>
      <c r="E1216" t="s">
        <v>471</v>
      </c>
      <c r="F1216" t="s">
        <v>6123</v>
      </c>
      <c r="G1216" t="s">
        <v>47</v>
      </c>
      <c r="I1216" t="s">
        <v>6124</v>
      </c>
      <c r="K1216" t="s">
        <v>6125</v>
      </c>
      <c r="N1216" t="s">
        <v>6126</v>
      </c>
      <c r="Z1216" t="s">
        <v>43</v>
      </c>
    </row>
    <row r="1217" spans="1:26" x14ac:dyDescent="0.25">
      <c r="A1217">
        <v>1216</v>
      </c>
      <c r="B1217" t="s">
        <v>30</v>
      </c>
      <c r="C1217" t="s">
        <v>6127</v>
      </c>
      <c r="D1217" t="s">
        <v>6128</v>
      </c>
      <c r="E1217" t="s">
        <v>2077</v>
      </c>
      <c r="F1217" t="s">
        <v>6129</v>
      </c>
      <c r="G1217" t="s">
        <v>2079</v>
      </c>
      <c r="I1217" t="s">
        <v>6130</v>
      </c>
      <c r="J1217">
        <f>57-300-614-4819</f>
        <v>-5676</v>
      </c>
      <c r="K1217" t="s">
        <v>6131</v>
      </c>
      <c r="N1217" t="s">
        <v>6132</v>
      </c>
      <c r="Z1217" t="s">
        <v>43</v>
      </c>
    </row>
    <row r="1218" spans="1:26" x14ac:dyDescent="0.25">
      <c r="A1218">
        <v>1217</v>
      </c>
      <c r="B1218" t="s">
        <v>30</v>
      </c>
      <c r="C1218" t="s">
        <v>6133</v>
      </c>
      <c r="D1218" t="s">
        <v>772</v>
      </c>
      <c r="E1218" t="s">
        <v>471</v>
      </c>
      <c r="F1218" t="s">
        <v>773</v>
      </c>
      <c r="G1218" t="s">
        <v>47</v>
      </c>
      <c r="I1218" t="s">
        <v>6134</v>
      </c>
      <c r="J1218">
        <f>57-60-1-811-1499</f>
        <v>-2314</v>
      </c>
      <c r="K1218" t="s">
        <v>6135</v>
      </c>
      <c r="N1218" t="s">
        <v>6136</v>
      </c>
      <c r="Z1218" t="s">
        <v>43</v>
      </c>
    </row>
    <row r="1219" spans="1:26" x14ac:dyDescent="0.25">
      <c r="A1219">
        <v>1218</v>
      </c>
      <c r="B1219" t="s">
        <v>30</v>
      </c>
      <c r="C1219" t="s">
        <v>6137</v>
      </c>
      <c r="D1219" t="s">
        <v>1713</v>
      </c>
      <c r="E1219" t="s">
        <v>471</v>
      </c>
      <c r="F1219" t="s">
        <v>2089</v>
      </c>
      <c r="G1219" t="s">
        <v>47</v>
      </c>
      <c r="I1219" t="s">
        <v>6138</v>
      </c>
      <c r="K1219" t="s">
        <v>6139</v>
      </c>
      <c r="N1219" t="s">
        <v>6140</v>
      </c>
      <c r="Z1219" t="s">
        <v>43</v>
      </c>
    </row>
    <row r="1220" spans="1:26" x14ac:dyDescent="0.25">
      <c r="A1220">
        <v>1219</v>
      </c>
      <c r="B1220" t="s">
        <v>30</v>
      </c>
      <c r="C1220" t="s">
        <v>6141</v>
      </c>
      <c r="D1220" t="s">
        <v>46</v>
      </c>
      <c r="E1220" t="s">
        <v>471</v>
      </c>
      <c r="F1220" t="s">
        <v>820</v>
      </c>
      <c r="G1220" t="s">
        <v>47</v>
      </c>
      <c r="I1220" t="s">
        <v>6142</v>
      </c>
      <c r="J1220">
        <f>57-305-412-1695</f>
        <v>-2355</v>
      </c>
      <c r="K1220" t="s">
        <v>6143</v>
      </c>
      <c r="N1220" t="s">
        <v>6144</v>
      </c>
      <c r="Z1220" t="s">
        <v>43</v>
      </c>
    </row>
    <row r="1221" spans="1:26" x14ac:dyDescent="0.25">
      <c r="A1221">
        <v>1220</v>
      </c>
      <c r="B1221" t="s">
        <v>30</v>
      </c>
      <c r="C1221" t="s">
        <v>6145</v>
      </c>
      <c r="D1221" t="s">
        <v>813</v>
      </c>
      <c r="E1221" t="s">
        <v>1658</v>
      </c>
      <c r="F1221" t="s">
        <v>814</v>
      </c>
      <c r="G1221" t="s">
        <v>1660</v>
      </c>
      <c r="I1221" t="s">
        <v>6146</v>
      </c>
      <c r="J1221">
        <f>57-311-857-123</f>
        <v>-1234</v>
      </c>
      <c r="K1221" t="s">
        <v>6147</v>
      </c>
      <c r="N1221" t="s">
        <v>6148</v>
      </c>
      <c r="Z1221" t="s">
        <v>43</v>
      </c>
    </row>
    <row r="1222" spans="1:26" x14ac:dyDescent="0.25">
      <c r="A1222">
        <v>1221</v>
      </c>
      <c r="B1222" t="s">
        <v>30</v>
      </c>
      <c r="C1222" t="s">
        <v>6149</v>
      </c>
      <c r="D1222" t="s">
        <v>6150</v>
      </c>
      <c r="E1222" t="s">
        <v>64</v>
      </c>
      <c r="F1222" t="s">
        <v>6151</v>
      </c>
      <c r="G1222" t="s">
        <v>65</v>
      </c>
      <c r="I1222" t="s">
        <v>6152</v>
      </c>
      <c r="K1222" t="s">
        <v>6153</v>
      </c>
      <c r="N1222" t="s">
        <v>6154</v>
      </c>
      <c r="Z1222" t="s">
        <v>43</v>
      </c>
    </row>
    <row r="1223" spans="1:26" x14ac:dyDescent="0.25">
      <c r="A1223">
        <v>1222</v>
      </c>
      <c r="B1223" t="s">
        <v>30</v>
      </c>
      <c r="C1223" t="s">
        <v>6155</v>
      </c>
      <c r="D1223" t="s">
        <v>799</v>
      </c>
      <c r="E1223" t="s">
        <v>64</v>
      </c>
      <c r="F1223" t="s">
        <v>2228</v>
      </c>
      <c r="G1223" t="s">
        <v>65</v>
      </c>
      <c r="I1223" t="s">
        <v>6156</v>
      </c>
      <c r="J1223">
        <f>57-60-1-704-397</f>
        <v>-1105</v>
      </c>
      <c r="K1223" t="s">
        <v>6157</v>
      </c>
      <c r="N1223" t="s">
        <v>6158</v>
      </c>
      <c r="Z1223" t="s">
        <v>43</v>
      </c>
    </row>
    <row r="1224" spans="1:26" x14ac:dyDescent="0.25">
      <c r="A1224">
        <v>1223</v>
      </c>
      <c r="B1224" t="s">
        <v>30</v>
      </c>
      <c r="C1224" t="s">
        <v>6159</v>
      </c>
      <c r="D1224" t="s">
        <v>6160</v>
      </c>
      <c r="E1224" t="s">
        <v>6161</v>
      </c>
      <c r="F1224" t="s">
        <v>6162</v>
      </c>
      <c r="G1224" t="s">
        <v>6163</v>
      </c>
      <c r="I1224" t="s">
        <v>6164</v>
      </c>
      <c r="J1224">
        <f>57-320-823-5124</f>
        <v>-6210</v>
      </c>
      <c r="K1224" t="s">
        <v>6165</v>
      </c>
      <c r="N1224" t="s">
        <v>6166</v>
      </c>
      <c r="Z1224" t="s">
        <v>43</v>
      </c>
    </row>
    <row r="1225" spans="1:26" x14ac:dyDescent="0.25">
      <c r="A1225">
        <v>1224</v>
      </c>
      <c r="B1225" t="s">
        <v>30</v>
      </c>
      <c r="C1225" t="s">
        <v>6167</v>
      </c>
      <c r="D1225" t="s">
        <v>6168</v>
      </c>
      <c r="E1225" t="s">
        <v>56</v>
      </c>
      <c r="F1225" t="s">
        <v>6169</v>
      </c>
      <c r="G1225" t="s">
        <v>57</v>
      </c>
      <c r="I1225" t="s">
        <v>6170</v>
      </c>
      <c r="J1225">
        <f>57-311-532-2987</f>
        <v>-3773</v>
      </c>
      <c r="K1225" t="s">
        <v>6171</v>
      </c>
      <c r="N1225" t="s">
        <v>6172</v>
      </c>
      <c r="Z1225" t="s">
        <v>43</v>
      </c>
    </row>
    <row r="1226" spans="1:26" x14ac:dyDescent="0.25">
      <c r="A1226">
        <v>1225</v>
      </c>
      <c r="B1226" t="s">
        <v>30</v>
      </c>
      <c r="C1226" t="s">
        <v>6173</v>
      </c>
      <c r="D1226" t="s">
        <v>6174</v>
      </c>
      <c r="E1226" t="s">
        <v>6175</v>
      </c>
      <c r="F1226" t="s">
        <v>6176</v>
      </c>
      <c r="G1226" t="s">
        <v>6177</v>
      </c>
      <c r="I1226" t="s">
        <v>6178</v>
      </c>
      <c r="K1226" t="s">
        <v>6179</v>
      </c>
      <c r="N1226" t="s">
        <v>6180</v>
      </c>
      <c r="Z1226" t="s">
        <v>43</v>
      </c>
    </row>
    <row r="1227" spans="1:26" x14ac:dyDescent="0.25">
      <c r="A1227">
        <v>1226</v>
      </c>
      <c r="B1227" t="s">
        <v>30</v>
      </c>
      <c r="C1227" t="s">
        <v>6181</v>
      </c>
      <c r="D1227" t="s">
        <v>6182</v>
      </c>
      <c r="E1227" t="s">
        <v>56</v>
      </c>
      <c r="F1227" t="s">
        <v>6183</v>
      </c>
      <c r="G1227" t="s">
        <v>57</v>
      </c>
      <c r="I1227" t="s">
        <v>6184</v>
      </c>
      <c r="J1227">
        <f>57-312-561-5050</f>
        <v>-5866</v>
      </c>
      <c r="K1227" t="s">
        <v>6185</v>
      </c>
      <c r="N1227" t="s">
        <v>6186</v>
      </c>
      <c r="Z1227" t="s">
        <v>43</v>
      </c>
    </row>
    <row r="1228" spans="1:26" x14ac:dyDescent="0.25">
      <c r="A1228">
        <v>1227</v>
      </c>
      <c r="B1228" t="s">
        <v>30</v>
      </c>
      <c r="C1228" t="s">
        <v>6187</v>
      </c>
      <c r="D1228" t="s">
        <v>384</v>
      </c>
      <c r="E1228" t="s">
        <v>56</v>
      </c>
      <c r="F1228" t="s">
        <v>386</v>
      </c>
      <c r="G1228" t="s">
        <v>57</v>
      </c>
      <c r="I1228" t="s">
        <v>6188</v>
      </c>
      <c r="J1228">
        <f>57-304-436-142</f>
        <v>-825</v>
      </c>
      <c r="K1228" t="s">
        <v>6189</v>
      </c>
      <c r="N1228" t="s">
        <v>6190</v>
      </c>
      <c r="Z1228" t="s">
        <v>43</v>
      </c>
    </row>
    <row r="1229" spans="1:26" x14ac:dyDescent="0.25">
      <c r="A1229">
        <v>1228</v>
      </c>
      <c r="B1229" t="s">
        <v>30</v>
      </c>
      <c r="C1229" t="s">
        <v>6191</v>
      </c>
      <c r="D1229" t="s">
        <v>72</v>
      </c>
      <c r="E1229" t="s">
        <v>72</v>
      </c>
      <c r="F1229" t="s">
        <v>3934</v>
      </c>
      <c r="G1229" t="s">
        <v>73</v>
      </c>
      <c r="I1229" t="s">
        <v>6192</v>
      </c>
      <c r="K1229" t="s">
        <v>6193</v>
      </c>
      <c r="N1229" t="s">
        <v>6194</v>
      </c>
      <c r="Z1229" t="s">
        <v>43</v>
      </c>
    </row>
    <row r="1230" spans="1:26" x14ac:dyDescent="0.25">
      <c r="A1230">
        <v>1229</v>
      </c>
      <c r="B1230" t="s">
        <v>30</v>
      </c>
      <c r="C1230" t="s">
        <v>6195</v>
      </c>
      <c r="D1230" t="s">
        <v>2394</v>
      </c>
      <c r="E1230" t="s">
        <v>56</v>
      </c>
      <c r="F1230" t="s">
        <v>3996</v>
      </c>
      <c r="G1230" t="s">
        <v>57</v>
      </c>
      <c r="I1230" t="s">
        <v>6196</v>
      </c>
      <c r="K1230" t="s">
        <v>6197</v>
      </c>
      <c r="N1230" t="s">
        <v>6198</v>
      </c>
      <c r="Z1230" t="s">
        <v>43</v>
      </c>
    </row>
    <row r="1231" spans="1:26" x14ac:dyDescent="0.25">
      <c r="A1231">
        <v>1230</v>
      </c>
      <c r="B1231" t="s">
        <v>30</v>
      </c>
      <c r="C1231" t="s">
        <v>6199</v>
      </c>
      <c r="D1231" t="s">
        <v>6200</v>
      </c>
      <c r="E1231" t="s">
        <v>56</v>
      </c>
      <c r="F1231" t="s">
        <v>6201</v>
      </c>
      <c r="G1231" t="s">
        <v>57</v>
      </c>
      <c r="I1231" t="s">
        <v>6202</v>
      </c>
      <c r="K1231" t="s">
        <v>6203</v>
      </c>
      <c r="N1231" t="s">
        <v>6204</v>
      </c>
      <c r="Z1231" t="s">
        <v>43</v>
      </c>
    </row>
    <row r="1232" spans="1:26" x14ac:dyDescent="0.25">
      <c r="A1232">
        <v>1231</v>
      </c>
      <c r="B1232" t="s">
        <v>30</v>
      </c>
      <c r="C1232" t="s">
        <v>6205</v>
      </c>
      <c r="D1232" t="s">
        <v>6206</v>
      </c>
      <c r="E1232" t="s">
        <v>64</v>
      </c>
      <c r="F1232" t="s">
        <v>6207</v>
      </c>
      <c r="G1232" t="s">
        <v>65</v>
      </c>
      <c r="I1232" t="s">
        <v>6208</v>
      </c>
      <c r="J1232">
        <f>57-315-671-6386</f>
        <v>-7315</v>
      </c>
      <c r="K1232" t="s">
        <v>6209</v>
      </c>
      <c r="N1232" t="s">
        <v>6210</v>
      </c>
      <c r="Z1232" t="s">
        <v>43</v>
      </c>
    </row>
    <row r="1233" spans="1:26" x14ac:dyDescent="0.25">
      <c r="A1233">
        <v>1232</v>
      </c>
      <c r="B1233" t="s">
        <v>30</v>
      </c>
      <c r="C1233" t="s">
        <v>6211</v>
      </c>
      <c r="D1233" t="s">
        <v>72</v>
      </c>
      <c r="E1233" t="s">
        <v>72</v>
      </c>
      <c r="F1233" t="s">
        <v>73</v>
      </c>
      <c r="G1233" t="s">
        <v>73</v>
      </c>
      <c r="I1233" t="s">
        <v>6212</v>
      </c>
      <c r="J1233">
        <f>57-310-618-3471</f>
        <v>-4342</v>
      </c>
      <c r="K1233" t="s">
        <v>6213</v>
      </c>
      <c r="N1233" t="s">
        <v>6214</v>
      </c>
      <c r="Z1233" t="s">
        <v>43</v>
      </c>
    </row>
    <row r="1234" spans="1:26" x14ac:dyDescent="0.25">
      <c r="A1234">
        <v>1233</v>
      </c>
      <c r="B1234" t="s">
        <v>30</v>
      </c>
      <c r="C1234" t="s">
        <v>6215</v>
      </c>
      <c r="D1234" t="s">
        <v>6216</v>
      </c>
      <c r="E1234" t="s">
        <v>385</v>
      </c>
      <c r="F1234" t="s">
        <v>6217</v>
      </c>
      <c r="G1234" t="s">
        <v>387</v>
      </c>
      <c r="I1234" t="s">
        <v>6218</v>
      </c>
      <c r="K1234" t="s">
        <v>6219</v>
      </c>
      <c r="N1234" t="s">
        <v>6220</v>
      </c>
      <c r="Z1234" t="s">
        <v>43</v>
      </c>
    </row>
    <row r="1235" spans="1:26" x14ac:dyDescent="0.25">
      <c r="A1235">
        <v>1234</v>
      </c>
      <c r="B1235" t="s">
        <v>30</v>
      </c>
      <c r="C1235" t="s">
        <v>6221</v>
      </c>
      <c r="D1235" t="s">
        <v>1260</v>
      </c>
      <c r="E1235" t="s">
        <v>471</v>
      </c>
      <c r="F1235" t="s">
        <v>1653</v>
      </c>
      <c r="G1235" t="s">
        <v>966</v>
      </c>
      <c r="I1235" t="s">
        <v>6222</v>
      </c>
      <c r="J1235">
        <f>57-310-262-9339</f>
        <v>-9854</v>
      </c>
      <c r="K1235" t="s">
        <v>6223</v>
      </c>
      <c r="N1235" t="s">
        <v>6224</v>
      </c>
      <c r="Z1235" t="s">
        <v>43</v>
      </c>
    </row>
    <row r="1236" spans="1:26" x14ac:dyDescent="0.25">
      <c r="A1236">
        <v>1235</v>
      </c>
      <c r="B1236" t="s">
        <v>30</v>
      </c>
      <c r="C1236" t="s">
        <v>6225</v>
      </c>
      <c r="D1236" t="s">
        <v>899</v>
      </c>
      <c r="E1236" t="s">
        <v>471</v>
      </c>
      <c r="F1236" t="s">
        <v>900</v>
      </c>
      <c r="G1236" t="s">
        <v>47</v>
      </c>
      <c r="I1236" t="s">
        <v>6226</v>
      </c>
      <c r="J1236">
        <f>57-310-264-4163</f>
        <v>-4680</v>
      </c>
      <c r="K1236" t="s">
        <v>6227</v>
      </c>
      <c r="N1236" t="s">
        <v>6228</v>
      </c>
      <c r="Z1236" t="s">
        <v>43</v>
      </c>
    </row>
    <row r="1237" spans="1:26" x14ac:dyDescent="0.25">
      <c r="A1237">
        <v>1236</v>
      </c>
      <c r="B1237" t="s">
        <v>30</v>
      </c>
      <c r="C1237" t="s">
        <v>6229</v>
      </c>
      <c r="D1237" t="s">
        <v>46</v>
      </c>
      <c r="E1237" t="s">
        <v>56</v>
      </c>
      <c r="F1237" t="s">
        <v>820</v>
      </c>
      <c r="G1237" t="s">
        <v>57</v>
      </c>
      <c r="I1237" t="s">
        <v>6230</v>
      </c>
      <c r="K1237" t="s">
        <v>6231</v>
      </c>
      <c r="N1237" t="s">
        <v>6232</v>
      </c>
      <c r="Z1237" t="s">
        <v>43</v>
      </c>
    </row>
    <row r="1238" spans="1:26" x14ac:dyDescent="0.25">
      <c r="A1238">
        <v>1237</v>
      </c>
      <c r="B1238" t="s">
        <v>30</v>
      </c>
      <c r="C1238" t="s">
        <v>6233</v>
      </c>
      <c r="D1238" t="s">
        <v>2070</v>
      </c>
      <c r="E1238" t="s">
        <v>56</v>
      </c>
      <c r="F1238" t="s">
        <v>6234</v>
      </c>
      <c r="G1238" t="s">
        <v>57</v>
      </c>
      <c r="I1238" t="s">
        <v>6235</v>
      </c>
      <c r="K1238" t="s">
        <v>6236</v>
      </c>
      <c r="N1238" t="s">
        <v>6237</v>
      </c>
      <c r="Z1238" t="s">
        <v>43</v>
      </c>
    </row>
    <row r="1239" spans="1:26" x14ac:dyDescent="0.25">
      <c r="A1239">
        <v>1238</v>
      </c>
      <c r="B1239" t="s">
        <v>30</v>
      </c>
      <c r="C1239" t="s">
        <v>6238</v>
      </c>
      <c r="D1239" t="s">
        <v>6239</v>
      </c>
      <c r="E1239" t="s">
        <v>471</v>
      </c>
      <c r="F1239" t="s">
        <v>6240</v>
      </c>
      <c r="G1239" t="s">
        <v>47</v>
      </c>
      <c r="I1239" t="s">
        <v>6241</v>
      </c>
      <c r="K1239" t="s">
        <v>6242</v>
      </c>
      <c r="N1239" t="s">
        <v>6243</v>
      </c>
      <c r="Z1239" t="s">
        <v>43</v>
      </c>
    </row>
    <row r="1240" spans="1:26" x14ac:dyDescent="0.25">
      <c r="A1240">
        <v>1239</v>
      </c>
      <c r="B1240" t="s">
        <v>30</v>
      </c>
      <c r="C1240" t="s">
        <v>6244</v>
      </c>
      <c r="D1240" t="s">
        <v>2150</v>
      </c>
      <c r="E1240" t="s">
        <v>755</v>
      </c>
      <c r="F1240" t="s">
        <v>6008</v>
      </c>
      <c r="G1240" t="s">
        <v>757</v>
      </c>
      <c r="I1240" t="s">
        <v>6245</v>
      </c>
      <c r="K1240" t="s">
        <v>6246</v>
      </c>
      <c r="N1240" t="s">
        <v>5887</v>
      </c>
      <c r="Z1240" t="s">
        <v>43</v>
      </c>
    </row>
    <row r="1241" spans="1:26" x14ac:dyDescent="0.25">
      <c r="A1241">
        <v>1240</v>
      </c>
      <c r="B1241" t="s">
        <v>30</v>
      </c>
      <c r="C1241" t="s">
        <v>6247</v>
      </c>
      <c r="D1241" t="s">
        <v>384</v>
      </c>
      <c r="E1241" t="s">
        <v>471</v>
      </c>
      <c r="F1241" t="s">
        <v>2439</v>
      </c>
      <c r="G1241" t="s">
        <v>47</v>
      </c>
      <c r="I1241" t="s">
        <v>6248</v>
      </c>
      <c r="K1241" t="s">
        <v>6249</v>
      </c>
      <c r="N1241" t="s">
        <v>6250</v>
      </c>
      <c r="Z1241" t="s">
        <v>43</v>
      </c>
    </row>
    <row r="1242" spans="1:26" x14ac:dyDescent="0.25">
      <c r="A1242">
        <v>1241</v>
      </c>
      <c r="B1242" t="s">
        <v>30</v>
      </c>
      <c r="C1242" t="s">
        <v>6251</v>
      </c>
      <c r="D1242" t="s">
        <v>6252</v>
      </c>
      <c r="E1242" t="s">
        <v>2117</v>
      </c>
      <c r="F1242" t="s">
        <v>6253</v>
      </c>
      <c r="G1242" t="s">
        <v>2119</v>
      </c>
      <c r="I1242" t="s">
        <v>6254</v>
      </c>
      <c r="K1242" t="s">
        <v>6255</v>
      </c>
      <c r="N1242" t="s">
        <v>6256</v>
      </c>
      <c r="Z1242" t="s">
        <v>43</v>
      </c>
    </row>
    <row r="1243" spans="1:26" x14ac:dyDescent="0.25">
      <c r="A1243">
        <v>1242</v>
      </c>
      <c r="B1243" t="s">
        <v>30</v>
      </c>
      <c r="C1243" t="s">
        <v>6257</v>
      </c>
      <c r="D1243" t="s">
        <v>46</v>
      </c>
      <c r="E1243" t="s">
        <v>471</v>
      </c>
      <c r="F1243" t="s">
        <v>820</v>
      </c>
      <c r="G1243" t="s">
        <v>47</v>
      </c>
      <c r="I1243" t="s">
        <v>6258</v>
      </c>
      <c r="J1243">
        <f>57-60-1-620-7650</f>
        <v>-8274</v>
      </c>
      <c r="K1243" t="s">
        <v>6259</v>
      </c>
      <c r="N1243" t="s">
        <v>6260</v>
      </c>
      <c r="Z1243" t="s">
        <v>43</v>
      </c>
    </row>
    <row r="1244" spans="1:26" x14ac:dyDescent="0.25">
      <c r="A1244">
        <v>1243</v>
      </c>
      <c r="B1244" t="s">
        <v>30</v>
      </c>
      <c r="C1244" t="s">
        <v>6261</v>
      </c>
      <c r="D1244" t="s">
        <v>1713</v>
      </c>
      <c r="E1244" t="s">
        <v>471</v>
      </c>
      <c r="F1244" t="s">
        <v>2089</v>
      </c>
      <c r="G1244" t="s">
        <v>47</v>
      </c>
      <c r="I1244" t="s">
        <v>6262</v>
      </c>
      <c r="J1244">
        <f>57-60-1-523-4418</f>
        <v>-4945</v>
      </c>
      <c r="K1244" t="s">
        <v>6263</v>
      </c>
      <c r="N1244" t="s">
        <v>6264</v>
      </c>
      <c r="Z1244" t="s">
        <v>43</v>
      </c>
    </row>
    <row r="1245" spans="1:26" x14ac:dyDescent="0.25">
      <c r="A1245">
        <v>1244</v>
      </c>
      <c r="B1245" t="s">
        <v>30</v>
      </c>
      <c r="C1245" t="s">
        <v>6265</v>
      </c>
      <c r="D1245" t="s">
        <v>6266</v>
      </c>
      <c r="E1245" t="s">
        <v>3984</v>
      </c>
      <c r="F1245" t="s">
        <v>6267</v>
      </c>
      <c r="G1245" t="s">
        <v>3986</v>
      </c>
      <c r="I1245" t="s">
        <v>6268</v>
      </c>
      <c r="J1245">
        <f>57-321-599-4122</f>
        <v>-4985</v>
      </c>
      <c r="K1245" t="s">
        <v>6269</v>
      </c>
      <c r="N1245" t="s">
        <v>6270</v>
      </c>
      <c r="Z1245" t="s">
        <v>43</v>
      </c>
    </row>
    <row r="1246" spans="1:26" x14ac:dyDescent="0.25">
      <c r="A1246">
        <v>1245</v>
      </c>
      <c r="B1246" t="s">
        <v>30</v>
      </c>
      <c r="C1246" t="s">
        <v>6271</v>
      </c>
      <c r="D1246" t="s">
        <v>6272</v>
      </c>
      <c r="E1246" t="s">
        <v>1248</v>
      </c>
      <c r="F1246" t="s">
        <v>6273</v>
      </c>
      <c r="G1246" t="s">
        <v>1250</v>
      </c>
      <c r="I1246" t="s">
        <v>6274</v>
      </c>
      <c r="K1246" t="s">
        <v>6275</v>
      </c>
      <c r="N1246" t="s">
        <v>6276</v>
      </c>
      <c r="Z1246" t="s">
        <v>43</v>
      </c>
    </row>
    <row r="1247" spans="1:26" x14ac:dyDescent="0.25">
      <c r="A1247">
        <v>1246</v>
      </c>
      <c r="B1247" t="s">
        <v>30</v>
      </c>
      <c r="C1247" t="s">
        <v>6277</v>
      </c>
      <c r="D1247" t="s">
        <v>6278</v>
      </c>
      <c r="E1247" t="s">
        <v>471</v>
      </c>
      <c r="F1247" t="s">
        <v>6279</v>
      </c>
      <c r="G1247" t="s">
        <v>47</v>
      </c>
      <c r="I1247" t="s">
        <v>6280</v>
      </c>
      <c r="K1247" t="s">
        <v>6281</v>
      </c>
      <c r="N1247" t="s">
        <v>6282</v>
      </c>
      <c r="Z1247" t="s">
        <v>43</v>
      </c>
    </row>
    <row r="1248" spans="1:26" x14ac:dyDescent="0.25">
      <c r="A1248">
        <v>1247</v>
      </c>
      <c r="B1248" t="s">
        <v>30</v>
      </c>
      <c r="C1248" t="s">
        <v>6283</v>
      </c>
      <c r="D1248" t="s">
        <v>64</v>
      </c>
      <c r="E1248" t="s">
        <v>64</v>
      </c>
      <c r="F1248" t="s">
        <v>65</v>
      </c>
      <c r="G1248" t="s">
        <v>65</v>
      </c>
      <c r="I1248" t="s">
        <v>6284</v>
      </c>
      <c r="K1248" t="s">
        <v>6285</v>
      </c>
      <c r="N1248" t="s">
        <v>6286</v>
      </c>
      <c r="Z1248" t="s">
        <v>43</v>
      </c>
    </row>
    <row r="1249" spans="1:26" x14ac:dyDescent="0.25">
      <c r="A1249">
        <v>1248</v>
      </c>
      <c r="B1249" t="s">
        <v>30</v>
      </c>
      <c r="C1249" t="s">
        <v>6287</v>
      </c>
      <c r="D1249" t="s">
        <v>2330</v>
      </c>
      <c r="E1249" t="s">
        <v>2105</v>
      </c>
      <c r="F1249" t="s">
        <v>6288</v>
      </c>
      <c r="G1249" t="s">
        <v>2107</v>
      </c>
      <c r="I1249" t="s">
        <v>6289</v>
      </c>
      <c r="K1249" t="s">
        <v>6290</v>
      </c>
      <c r="N1249" t="s">
        <v>6291</v>
      </c>
      <c r="Z1249" t="s">
        <v>43</v>
      </c>
    </row>
    <row r="1250" spans="1:26" x14ac:dyDescent="0.25">
      <c r="A1250">
        <v>1249</v>
      </c>
      <c r="B1250" t="s">
        <v>30</v>
      </c>
      <c r="C1250" t="s">
        <v>6292</v>
      </c>
      <c r="D1250" t="s">
        <v>384</v>
      </c>
      <c r="E1250" t="s">
        <v>471</v>
      </c>
      <c r="F1250" t="s">
        <v>386</v>
      </c>
      <c r="G1250" t="s">
        <v>47</v>
      </c>
      <c r="I1250" t="s">
        <v>6293</v>
      </c>
      <c r="K1250" t="s">
        <v>6294</v>
      </c>
      <c r="N1250" t="s">
        <v>6295</v>
      </c>
      <c r="Z1250" t="s">
        <v>43</v>
      </c>
    </row>
    <row r="1251" spans="1:26" x14ac:dyDescent="0.25">
      <c r="A1251">
        <v>1250</v>
      </c>
      <c r="B1251" t="s">
        <v>30</v>
      </c>
      <c r="C1251" t="s">
        <v>6296</v>
      </c>
      <c r="D1251" t="s">
        <v>6297</v>
      </c>
      <c r="E1251" t="s">
        <v>72</v>
      </c>
      <c r="F1251" t="s">
        <v>6298</v>
      </c>
      <c r="G1251" t="s">
        <v>73</v>
      </c>
      <c r="I1251" t="s">
        <v>6299</v>
      </c>
      <c r="K1251" t="s">
        <v>6300</v>
      </c>
      <c r="N1251" t="s">
        <v>6301</v>
      </c>
      <c r="Z1251" t="s">
        <v>43</v>
      </c>
    </row>
    <row r="1252" spans="1:26" x14ac:dyDescent="0.25">
      <c r="A1252">
        <v>1251</v>
      </c>
      <c r="B1252" t="s">
        <v>30</v>
      </c>
      <c r="C1252" t="s">
        <v>6302</v>
      </c>
      <c r="D1252" t="s">
        <v>56</v>
      </c>
      <c r="E1252" t="s">
        <v>56</v>
      </c>
      <c r="F1252" t="s">
        <v>57</v>
      </c>
      <c r="G1252" t="s">
        <v>57</v>
      </c>
      <c r="I1252" t="s">
        <v>6303</v>
      </c>
      <c r="K1252" t="s">
        <v>6304</v>
      </c>
      <c r="N1252" t="s">
        <v>6305</v>
      </c>
      <c r="Z1252" t="s">
        <v>43</v>
      </c>
    </row>
    <row r="1253" spans="1:26" x14ac:dyDescent="0.25">
      <c r="A1253">
        <v>1252</v>
      </c>
      <c r="B1253" t="s">
        <v>30</v>
      </c>
      <c r="C1253" t="s">
        <v>6306</v>
      </c>
      <c r="D1253" t="s">
        <v>964</v>
      </c>
      <c r="E1253" t="s">
        <v>64</v>
      </c>
      <c r="F1253" t="s">
        <v>6307</v>
      </c>
      <c r="G1253" t="s">
        <v>65</v>
      </c>
      <c r="I1253" t="s">
        <v>6308</v>
      </c>
      <c r="J1253">
        <f>57-313-891-6692</f>
        <v>-7839</v>
      </c>
      <c r="K1253" t="s">
        <v>6309</v>
      </c>
      <c r="N1253" t="s">
        <v>6310</v>
      </c>
      <c r="Z1253" t="s">
        <v>43</v>
      </c>
    </row>
    <row r="1254" spans="1:26" x14ac:dyDescent="0.25">
      <c r="A1254">
        <v>1253</v>
      </c>
      <c r="B1254" t="s">
        <v>30</v>
      </c>
      <c r="C1254" t="s">
        <v>6311</v>
      </c>
      <c r="D1254" t="s">
        <v>2394</v>
      </c>
      <c r="E1254" t="s">
        <v>56</v>
      </c>
      <c r="F1254" t="s">
        <v>6312</v>
      </c>
      <c r="G1254" t="s">
        <v>57</v>
      </c>
      <c r="I1254" t="s">
        <v>6313</v>
      </c>
      <c r="K1254" t="s">
        <v>6314</v>
      </c>
      <c r="N1254" t="s">
        <v>6315</v>
      </c>
      <c r="Z1254" t="s">
        <v>43</v>
      </c>
    </row>
    <row r="1255" spans="1:26" x14ac:dyDescent="0.25">
      <c r="A1255">
        <v>1254</v>
      </c>
      <c r="B1255" t="s">
        <v>30</v>
      </c>
      <c r="C1255" t="s">
        <v>6316</v>
      </c>
      <c r="D1255" t="s">
        <v>2168</v>
      </c>
      <c r="E1255" t="s">
        <v>800</v>
      </c>
      <c r="F1255" t="s">
        <v>2169</v>
      </c>
      <c r="G1255" t="s">
        <v>802</v>
      </c>
      <c r="I1255" t="s">
        <v>6317</v>
      </c>
      <c r="K1255" t="s">
        <v>6318</v>
      </c>
      <c r="N1255" t="s">
        <v>6319</v>
      </c>
      <c r="Z1255" t="s">
        <v>43</v>
      </c>
    </row>
    <row r="1256" spans="1:26" x14ac:dyDescent="0.25">
      <c r="A1256">
        <v>1255</v>
      </c>
      <c r="B1256" t="s">
        <v>30</v>
      </c>
      <c r="C1256" t="s">
        <v>6320</v>
      </c>
      <c r="D1256" t="s">
        <v>2713</v>
      </c>
      <c r="E1256" t="s">
        <v>64</v>
      </c>
      <c r="F1256" t="s">
        <v>6321</v>
      </c>
      <c r="G1256" t="s">
        <v>65</v>
      </c>
      <c r="I1256" t="s">
        <v>6322</v>
      </c>
      <c r="K1256" t="s">
        <v>6323</v>
      </c>
      <c r="N1256" t="s">
        <v>6324</v>
      </c>
      <c r="Z1256" t="s">
        <v>43</v>
      </c>
    </row>
    <row r="1257" spans="1:26" x14ac:dyDescent="0.25">
      <c r="A1257">
        <v>1256</v>
      </c>
      <c r="B1257" t="s">
        <v>30</v>
      </c>
      <c r="C1257" t="s">
        <v>6325</v>
      </c>
      <c r="D1257" t="s">
        <v>6326</v>
      </c>
      <c r="E1257" t="s">
        <v>1792</v>
      </c>
      <c r="F1257" t="s">
        <v>6327</v>
      </c>
      <c r="G1257" t="s">
        <v>1794</v>
      </c>
      <c r="I1257" t="s">
        <v>6328</v>
      </c>
      <c r="J1257">
        <f>57-317-893-4506</f>
        <v>-5659</v>
      </c>
      <c r="K1257" t="s">
        <v>6329</v>
      </c>
      <c r="N1257" t="s">
        <v>6330</v>
      </c>
      <c r="Z1257" t="s">
        <v>43</v>
      </c>
    </row>
    <row r="1258" spans="1:26" x14ac:dyDescent="0.25">
      <c r="A1258">
        <v>1257</v>
      </c>
      <c r="B1258" t="s">
        <v>30</v>
      </c>
      <c r="C1258" t="s">
        <v>6331</v>
      </c>
      <c r="D1258" t="s">
        <v>46</v>
      </c>
      <c r="E1258" t="s">
        <v>56</v>
      </c>
      <c r="F1258" t="s">
        <v>820</v>
      </c>
      <c r="G1258" t="s">
        <v>57</v>
      </c>
      <c r="I1258" t="s">
        <v>6332</v>
      </c>
      <c r="J1258">
        <f>57-304-608-9041</f>
        <v>-9896</v>
      </c>
      <c r="K1258" t="s">
        <v>6333</v>
      </c>
      <c r="N1258" t="s">
        <v>6334</v>
      </c>
      <c r="Z1258" t="s">
        <v>43</v>
      </c>
    </row>
    <row r="1259" spans="1:26" x14ac:dyDescent="0.25">
      <c r="A1259">
        <v>1258</v>
      </c>
      <c r="B1259" t="s">
        <v>30</v>
      </c>
      <c r="C1259" t="s">
        <v>6335</v>
      </c>
      <c r="D1259" t="s">
        <v>46</v>
      </c>
      <c r="E1259" t="s">
        <v>471</v>
      </c>
      <c r="F1259" t="s">
        <v>820</v>
      </c>
      <c r="G1259" t="s">
        <v>47</v>
      </c>
      <c r="I1259" t="s">
        <v>6336</v>
      </c>
      <c r="K1259" t="s">
        <v>6337</v>
      </c>
      <c r="N1259" t="s">
        <v>6334</v>
      </c>
      <c r="Z1259" t="s">
        <v>43</v>
      </c>
    </row>
    <row r="1260" spans="1:26" x14ac:dyDescent="0.25">
      <c r="A1260">
        <v>1259</v>
      </c>
      <c r="B1260" t="s">
        <v>30</v>
      </c>
      <c r="C1260" t="s">
        <v>6338</v>
      </c>
      <c r="D1260" t="s">
        <v>46</v>
      </c>
      <c r="E1260" t="s">
        <v>471</v>
      </c>
      <c r="F1260" t="s">
        <v>820</v>
      </c>
      <c r="G1260" t="s">
        <v>47</v>
      </c>
      <c r="I1260" t="s">
        <v>6339</v>
      </c>
      <c r="K1260" t="s">
        <v>6340</v>
      </c>
      <c r="N1260" t="s">
        <v>6341</v>
      </c>
      <c r="Z1260" t="s">
        <v>43</v>
      </c>
    </row>
    <row r="1261" spans="1:26" x14ac:dyDescent="0.25">
      <c r="A1261">
        <v>1260</v>
      </c>
      <c r="B1261" t="s">
        <v>30</v>
      </c>
      <c r="C1261" t="s">
        <v>6342</v>
      </c>
      <c r="D1261" t="s">
        <v>5445</v>
      </c>
      <c r="E1261" t="s">
        <v>64</v>
      </c>
      <c r="F1261" t="s">
        <v>5446</v>
      </c>
      <c r="G1261" t="s">
        <v>65</v>
      </c>
      <c r="I1261" t="s">
        <v>6343</v>
      </c>
      <c r="J1261">
        <f>57-60-1-286-2643</f>
        <v>-2933</v>
      </c>
      <c r="K1261" t="s">
        <v>6344</v>
      </c>
      <c r="N1261" t="s">
        <v>6345</v>
      </c>
      <c r="Z1261" t="s">
        <v>43</v>
      </c>
    </row>
    <row r="1262" spans="1:26" x14ac:dyDescent="0.25">
      <c r="A1262">
        <v>1261</v>
      </c>
      <c r="B1262" t="s">
        <v>30</v>
      </c>
      <c r="C1262" t="s">
        <v>6346</v>
      </c>
      <c r="D1262" t="s">
        <v>2014</v>
      </c>
      <c r="E1262" t="s">
        <v>800</v>
      </c>
      <c r="F1262" t="s">
        <v>2015</v>
      </c>
      <c r="G1262" t="s">
        <v>802</v>
      </c>
      <c r="I1262" t="s">
        <v>6347</v>
      </c>
      <c r="J1262">
        <f>57-314-420-2681</f>
        <v>-3358</v>
      </c>
      <c r="K1262" t="s">
        <v>6348</v>
      </c>
      <c r="N1262" t="s">
        <v>6349</v>
      </c>
      <c r="Z1262" t="s">
        <v>43</v>
      </c>
    </row>
    <row r="1263" spans="1:26" x14ac:dyDescent="0.25">
      <c r="A1263">
        <v>1262</v>
      </c>
      <c r="B1263" t="s">
        <v>30</v>
      </c>
      <c r="C1263" t="s">
        <v>6350</v>
      </c>
      <c r="D1263" t="s">
        <v>6351</v>
      </c>
      <c r="E1263" t="s">
        <v>64</v>
      </c>
      <c r="F1263" t="s">
        <v>6352</v>
      </c>
      <c r="G1263" t="s">
        <v>65</v>
      </c>
      <c r="I1263" t="s">
        <v>6353</v>
      </c>
      <c r="J1263">
        <f>57-60-1-926-1606</f>
        <v>-2536</v>
      </c>
      <c r="K1263" t="s">
        <v>6354</v>
      </c>
      <c r="N1263" t="s">
        <v>6355</v>
      </c>
      <c r="Z1263" t="s">
        <v>43</v>
      </c>
    </row>
    <row r="1264" spans="1:26" x14ac:dyDescent="0.25">
      <c r="A1264">
        <v>1263</v>
      </c>
      <c r="B1264" t="s">
        <v>30</v>
      </c>
      <c r="C1264" t="s">
        <v>6356</v>
      </c>
      <c r="D1264" t="s">
        <v>2058</v>
      </c>
      <c r="E1264" t="s">
        <v>1760</v>
      </c>
      <c r="F1264" t="s">
        <v>2059</v>
      </c>
      <c r="G1264" t="s">
        <v>1762</v>
      </c>
      <c r="I1264" t="s">
        <v>6357</v>
      </c>
      <c r="K1264" t="s">
        <v>6358</v>
      </c>
      <c r="N1264" t="s">
        <v>6359</v>
      </c>
      <c r="Z1264" t="s">
        <v>43</v>
      </c>
    </row>
    <row r="1265" spans="1:26" x14ac:dyDescent="0.25">
      <c r="A1265">
        <v>1264</v>
      </c>
      <c r="B1265" t="s">
        <v>30</v>
      </c>
      <c r="C1265" t="s">
        <v>6360</v>
      </c>
      <c r="D1265" t="s">
        <v>56</v>
      </c>
      <c r="E1265" t="s">
        <v>56</v>
      </c>
      <c r="F1265" t="s">
        <v>57</v>
      </c>
      <c r="G1265" t="s">
        <v>57</v>
      </c>
      <c r="I1265" t="s">
        <v>6361</v>
      </c>
      <c r="J1265">
        <f>57-300-587-1691</f>
        <v>-2521</v>
      </c>
      <c r="K1265" t="s">
        <v>6362</v>
      </c>
      <c r="N1265" t="s">
        <v>6363</v>
      </c>
      <c r="Z1265" t="s">
        <v>43</v>
      </c>
    </row>
    <row r="1266" spans="1:26" x14ac:dyDescent="0.25">
      <c r="A1266">
        <v>1265</v>
      </c>
      <c r="B1266" t="s">
        <v>30</v>
      </c>
      <c r="C1266" t="s">
        <v>6364</v>
      </c>
      <c r="D1266" t="s">
        <v>2862</v>
      </c>
      <c r="E1266" t="s">
        <v>56</v>
      </c>
      <c r="F1266" t="s">
        <v>2863</v>
      </c>
      <c r="G1266" t="s">
        <v>57</v>
      </c>
      <c r="I1266" t="s">
        <v>6365</v>
      </c>
      <c r="J1266">
        <f>57-301-280-4380</f>
        <v>-4904</v>
      </c>
      <c r="K1266" t="s">
        <v>6366</v>
      </c>
      <c r="N1266" t="s">
        <v>6367</v>
      </c>
      <c r="Z1266" t="s">
        <v>43</v>
      </c>
    </row>
    <row r="1267" spans="1:26" x14ac:dyDescent="0.25">
      <c r="A1267">
        <v>1266</v>
      </c>
      <c r="B1267" t="s">
        <v>30</v>
      </c>
      <c r="C1267" t="s">
        <v>6368</v>
      </c>
      <c r="D1267" t="s">
        <v>5349</v>
      </c>
      <c r="E1267" t="s">
        <v>56</v>
      </c>
      <c r="F1267" t="s">
        <v>5350</v>
      </c>
      <c r="G1267" t="s">
        <v>57</v>
      </c>
      <c r="I1267" t="s">
        <v>6369</v>
      </c>
      <c r="K1267" t="s">
        <v>6370</v>
      </c>
      <c r="N1267" t="s">
        <v>6371</v>
      </c>
      <c r="Z1267" t="s">
        <v>43</v>
      </c>
    </row>
    <row r="1268" spans="1:26" x14ac:dyDescent="0.25">
      <c r="A1268">
        <v>1267</v>
      </c>
      <c r="B1268" t="s">
        <v>30</v>
      </c>
      <c r="C1268" t="s">
        <v>6372</v>
      </c>
      <c r="D1268" t="s">
        <v>6373</v>
      </c>
      <c r="E1268" t="s">
        <v>6374</v>
      </c>
      <c r="F1268" t="s">
        <v>6375</v>
      </c>
      <c r="G1268" t="s">
        <v>6376</v>
      </c>
      <c r="I1268" t="s">
        <v>6377</v>
      </c>
      <c r="K1268" t="s">
        <v>6378</v>
      </c>
      <c r="N1268" t="s">
        <v>6379</v>
      </c>
      <c r="Z1268" t="s">
        <v>43</v>
      </c>
    </row>
    <row r="1269" spans="1:26" x14ac:dyDescent="0.25">
      <c r="A1269">
        <v>1268</v>
      </c>
      <c r="B1269" t="s">
        <v>30</v>
      </c>
      <c r="C1269" t="s">
        <v>6380</v>
      </c>
      <c r="D1269" t="s">
        <v>6381</v>
      </c>
      <c r="E1269" t="s">
        <v>6382</v>
      </c>
      <c r="F1269" t="s">
        <v>6383</v>
      </c>
      <c r="G1269" t="s">
        <v>6384</v>
      </c>
      <c r="I1269" t="s">
        <v>6385</v>
      </c>
      <c r="J1269">
        <f>57-313-380-4907</f>
        <v>-5543</v>
      </c>
      <c r="K1269" t="s">
        <v>6386</v>
      </c>
      <c r="N1269" t="s">
        <v>6387</v>
      </c>
      <c r="Z1269" t="s">
        <v>43</v>
      </c>
    </row>
    <row r="1270" spans="1:26" x14ac:dyDescent="0.25">
      <c r="A1270">
        <v>1269</v>
      </c>
      <c r="B1270" t="s">
        <v>30</v>
      </c>
      <c r="C1270" t="s">
        <v>6388</v>
      </c>
      <c r="D1270" t="s">
        <v>6389</v>
      </c>
      <c r="E1270" t="s">
        <v>471</v>
      </c>
      <c r="F1270" t="s">
        <v>6390</v>
      </c>
      <c r="G1270" t="s">
        <v>47</v>
      </c>
      <c r="I1270" t="s">
        <v>6391</v>
      </c>
      <c r="J1270">
        <f>57-60-1-243-2266</f>
        <v>-2513</v>
      </c>
      <c r="K1270" t="s">
        <v>6392</v>
      </c>
      <c r="N1270" t="s">
        <v>6393</v>
      </c>
      <c r="Z1270" t="s">
        <v>43</v>
      </c>
    </row>
    <row r="1271" spans="1:26" x14ac:dyDescent="0.25">
      <c r="A1271">
        <v>1270</v>
      </c>
      <c r="B1271" t="s">
        <v>30</v>
      </c>
      <c r="C1271" t="s">
        <v>6394</v>
      </c>
      <c r="D1271" t="s">
        <v>6395</v>
      </c>
      <c r="E1271" t="s">
        <v>6396</v>
      </c>
      <c r="F1271" t="s">
        <v>6397</v>
      </c>
      <c r="G1271" t="s">
        <v>6398</v>
      </c>
      <c r="I1271" t="s">
        <v>6399</v>
      </c>
      <c r="J1271">
        <f>57-313-494-1956</f>
        <v>-2706</v>
      </c>
      <c r="K1271" t="s">
        <v>6400</v>
      </c>
      <c r="N1271" t="s">
        <v>6401</v>
      </c>
      <c r="Z1271" t="s">
        <v>43</v>
      </c>
    </row>
    <row r="1272" spans="1:26" x14ac:dyDescent="0.25">
      <c r="A1272">
        <v>1271</v>
      </c>
      <c r="B1272" t="s">
        <v>30</v>
      </c>
      <c r="C1272" t="s">
        <v>6402</v>
      </c>
      <c r="D1272" t="s">
        <v>6403</v>
      </c>
      <c r="E1272" t="s">
        <v>56</v>
      </c>
      <c r="F1272" t="s">
        <v>6404</v>
      </c>
      <c r="G1272" t="s">
        <v>57</v>
      </c>
      <c r="I1272" t="s">
        <v>6405</v>
      </c>
      <c r="J1272">
        <f>57-312-710-8234</f>
        <v>-9199</v>
      </c>
      <c r="K1272" t="s">
        <v>6406</v>
      </c>
      <c r="N1272" t="s">
        <v>6407</v>
      </c>
      <c r="Z1272" t="s">
        <v>43</v>
      </c>
    </row>
    <row r="1273" spans="1:26" x14ac:dyDescent="0.25">
      <c r="A1273">
        <v>1272</v>
      </c>
      <c r="B1273" t="s">
        <v>30</v>
      </c>
      <c r="C1273" t="s">
        <v>6408</v>
      </c>
      <c r="D1273" t="s">
        <v>799</v>
      </c>
      <c r="E1273" t="s">
        <v>471</v>
      </c>
      <c r="F1273" t="s">
        <v>1811</v>
      </c>
      <c r="G1273" t="s">
        <v>47</v>
      </c>
      <c r="I1273" t="s">
        <v>6409</v>
      </c>
      <c r="K1273" t="s">
        <v>6410</v>
      </c>
      <c r="N1273" t="s">
        <v>6411</v>
      </c>
      <c r="Z1273" t="s">
        <v>43</v>
      </c>
    </row>
    <row r="1274" spans="1:26" x14ac:dyDescent="0.25">
      <c r="A1274">
        <v>1273</v>
      </c>
      <c r="B1274" t="s">
        <v>30</v>
      </c>
      <c r="C1274" t="s">
        <v>6412</v>
      </c>
      <c r="D1274" t="s">
        <v>772</v>
      </c>
      <c r="E1274" t="s">
        <v>72</v>
      </c>
      <c r="F1274" t="s">
        <v>773</v>
      </c>
      <c r="G1274" t="s">
        <v>73</v>
      </c>
      <c r="I1274" t="s">
        <v>6413</v>
      </c>
      <c r="K1274" t="s">
        <v>6414</v>
      </c>
      <c r="N1274" t="s">
        <v>6415</v>
      </c>
      <c r="Z1274" t="s">
        <v>43</v>
      </c>
    </row>
    <row r="1275" spans="1:26" x14ac:dyDescent="0.25">
      <c r="A1275">
        <v>1274</v>
      </c>
      <c r="B1275" t="s">
        <v>30</v>
      </c>
      <c r="C1275" t="s">
        <v>6416</v>
      </c>
      <c r="D1275" t="s">
        <v>384</v>
      </c>
      <c r="E1275" t="s">
        <v>385</v>
      </c>
      <c r="F1275" t="s">
        <v>2439</v>
      </c>
      <c r="G1275" t="s">
        <v>387</v>
      </c>
      <c r="I1275" t="s">
        <v>6417</v>
      </c>
      <c r="K1275" t="s">
        <v>6418</v>
      </c>
      <c r="N1275" t="s">
        <v>6419</v>
      </c>
      <c r="Z1275" t="s">
        <v>43</v>
      </c>
    </row>
    <row r="1276" spans="1:26" x14ac:dyDescent="0.25">
      <c r="A1276">
        <v>1275</v>
      </c>
      <c r="B1276" t="s">
        <v>30</v>
      </c>
      <c r="C1276" t="s">
        <v>6420</v>
      </c>
      <c r="D1276" t="s">
        <v>6421</v>
      </c>
      <c r="E1276" t="s">
        <v>56</v>
      </c>
      <c r="F1276" t="s">
        <v>6422</v>
      </c>
      <c r="G1276" t="s">
        <v>57</v>
      </c>
      <c r="I1276" t="s">
        <v>6423</v>
      </c>
      <c r="K1276" t="s">
        <v>6424</v>
      </c>
      <c r="N1276" t="s">
        <v>6425</v>
      </c>
      <c r="Z1276" t="s">
        <v>43</v>
      </c>
    </row>
    <row r="1277" spans="1:26" x14ac:dyDescent="0.25">
      <c r="A1277">
        <v>1276</v>
      </c>
      <c r="B1277" t="s">
        <v>30</v>
      </c>
      <c r="C1277" t="s">
        <v>6426</v>
      </c>
      <c r="D1277" t="s">
        <v>3221</v>
      </c>
      <c r="E1277" t="s">
        <v>1338</v>
      </c>
      <c r="F1277" t="s">
        <v>3222</v>
      </c>
      <c r="G1277" t="s">
        <v>1340</v>
      </c>
      <c r="I1277" t="s">
        <v>6427</v>
      </c>
      <c r="J1277">
        <f>57-310-341-9128</f>
        <v>-9722</v>
      </c>
      <c r="K1277" t="s">
        <v>6428</v>
      </c>
      <c r="N1277" t="s">
        <v>6429</v>
      </c>
      <c r="Z1277" t="s">
        <v>43</v>
      </c>
    </row>
    <row r="1278" spans="1:26" x14ac:dyDescent="0.25">
      <c r="A1278">
        <v>1277</v>
      </c>
      <c r="B1278" t="s">
        <v>30</v>
      </c>
      <c r="C1278" t="s">
        <v>6430</v>
      </c>
      <c r="D1278" t="s">
        <v>6431</v>
      </c>
      <c r="E1278" t="s">
        <v>6432</v>
      </c>
      <c r="F1278" t="s">
        <v>6433</v>
      </c>
      <c r="G1278" t="s">
        <v>6434</v>
      </c>
      <c r="I1278" t="s">
        <v>6435</v>
      </c>
      <c r="K1278" t="s">
        <v>6436</v>
      </c>
      <c r="N1278" t="s">
        <v>6437</v>
      </c>
      <c r="Z1278" t="s">
        <v>43</v>
      </c>
    </row>
    <row r="1279" spans="1:26" x14ac:dyDescent="0.25">
      <c r="A1279">
        <v>1278</v>
      </c>
      <c r="B1279" t="s">
        <v>30</v>
      </c>
      <c r="C1279" t="s">
        <v>6438</v>
      </c>
      <c r="D1279" t="s">
        <v>6439</v>
      </c>
      <c r="E1279" t="s">
        <v>800</v>
      </c>
      <c r="F1279" t="s">
        <v>6440</v>
      </c>
      <c r="G1279" t="s">
        <v>802</v>
      </c>
      <c r="I1279" t="s">
        <v>6441</v>
      </c>
      <c r="J1279">
        <f>57-60-1-814-1142</f>
        <v>-1960</v>
      </c>
      <c r="K1279" t="s">
        <v>6442</v>
      </c>
      <c r="N1279" t="s">
        <v>6443</v>
      </c>
      <c r="Z1279" t="s">
        <v>43</v>
      </c>
    </row>
    <row r="1280" spans="1:26" x14ac:dyDescent="0.25">
      <c r="A1280">
        <v>1279</v>
      </c>
      <c r="B1280" t="s">
        <v>30</v>
      </c>
      <c r="C1280" t="s">
        <v>6444</v>
      </c>
      <c r="D1280" t="s">
        <v>2614</v>
      </c>
      <c r="E1280" t="s">
        <v>56</v>
      </c>
      <c r="F1280" t="s">
        <v>4232</v>
      </c>
      <c r="G1280" t="s">
        <v>57</v>
      </c>
      <c r="I1280" t="s">
        <v>6445</v>
      </c>
      <c r="J1280">
        <f>57-300-482-8269</f>
        <v>-8994</v>
      </c>
      <c r="K1280" t="s">
        <v>6446</v>
      </c>
      <c r="N1280" t="s">
        <v>6447</v>
      </c>
      <c r="Z1280" t="s">
        <v>43</v>
      </c>
    </row>
    <row r="1281" spans="1:26" x14ac:dyDescent="0.25">
      <c r="A1281">
        <v>1280</v>
      </c>
      <c r="B1281" t="s">
        <v>30</v>
      </c>
      <c r="C1281" t="s">
        <v>6448</v>
      </c>
      <c r="D1281" t="s">
        <v>772</v>
      </c>
      <c r="E1281" t="s">
        <v>72</v>
      </c>
      <c r="F1281" t="s">
        <v>773</v>
      </c>
      <c r="G1281" t="s">
        <v>73</v>
      </c>
      <c r="I1281" t="s">
        <v>6449</v>
      </c>
      <c r="K1281" t="s">
        <v>6450</v>
      </c>
      <c r="N1281" t="s">
        <v>6451</v>
      </c>
      <c r="Z1281" t="s">
        <v>43</v>
      </c>
    </row>
    <row r="1282" spans="1:26" x14ac:dyDescent="0.25">
      <c r="A1282">
        <v>1281</v>
      </c>
      <c r="B1282" t="s">
        <v>30</v>
      </c>
      <c r="C1282" t="s">
        <v>6452</v>
      </c>
      <c r="D1282" t="s">
        <v>46</v>
      </c>
      <c r="E1282" t="s">
        <v>471</v>
      </c>
      <c r="F1282" t="s">
        <v>820</v>
      </c>
      <c r="G1282" t="s">
        <v>47</v>
      </c>
      <c r="I1282" t="s">
        <v>6453</v>
      </c>
      <c r="K1282" t="s">
        <v>6454</v>
      </c>
      <c r="N1282" t="s">
        <v>6455</v>
      </c>
      <c r="Z1282" t="s">
        <v>43</v>
      </c>
    </row>
    <row r="1283" spans="1:26" x14ac:dyDescent="0.25">
      <c r="A1283">
        <v>1282</v>
      </c>
      <c r="B1283" t="s">
        <v>30</v>
      </c>
      <c r="C1283" t="s">
        <v>6456</v>
      </c>
      <c r="D1283" t="s">
        <v>867</v>
      </c>
      <c r="E1283" t="s">
        <v>72</v>
      </c>
      <c r="F1283" t="s">
        <v>868</v>
      </c>
      <c r="G1283" t="s">
        <v>73</v>
      </c>
      <c r="I1283" t="s">
        <v>6457</v>
      </c>
      <c r="K1283" t="s">
        <v>6458</v>
      </c>
      <c r="N1283" t="s">
        <v>6459</v>
      </c>
      <c r="Z1283" t="s">
        <v>43</v>
      </c>
    </row>
    <row r="1284" spans="1:26" x14ac:dyDescent="0.25">
      <c r="A1284">
        <v>1283</v>
      </c>
      <c r="B1284" t="s">
        <v>30</v>
      </c>
      <c r="C1284" t="s">
        <v>6460</v>
      </c>
      <c r="D1284" t="s">
        <v>867</v>
      </c>
      <c r="E1284" t="s">
        <v>56</v>
      </c>
      <c r="F1284" t="s">
        <v>868</v>
      </c>
      <c r="G1284" t="s">
        <v>57</v>
      </c>
      <c r="I1284" t="s">
        <v>6461</v>
      </c>
      <c r="J1284">
        <f>57-310-568-6653</f>
        <v>-7474</v>
      </c>
      <c r="K1284" t="s">
        <v>6462</v>
      </c>
      <c r="N1284" t="s">
        <v>6463</v>
      </c>
      <c r="Z1284" t="s">
        <v>43</v>
      </c>
    </row>
    <row r="1285" spans="1:26" x14ac:dyDescent="0.25">
      <c r="A1285">
        <v>1284</v>
      </c>
      <c r="B1285" t="s">
        <v>30</v>
      </c>
      <c r="C1285" t="s">
        <v>6464</v>
      </c>
      <c r="D1285" t="s">
        <v>6465</v>
      </c>
      <c r="E1285" t="s">
        <v>5606</v>
      </c>
      <c r="F1285" t="s">
        <v>6466</v>
      </c>
      <c r="G1285" t="s">
        <v>5608</v>
      </c>
      <c r="I1285" t="s">
        <v>6467</v>
      </c>
      <c r="J1285">
        <f>57-321-781-4120</f>
        <v>-5165</v>
      </c>
      <c r="K1285" t="s">
        <v>6468</v>
      </c>
      <c r="N1285" t="s">
        <v>6469</v>
      </c>
      <c r="Z1285" t="s">
        <v>43</v>
      </c>
    </row>
    <row r="1286" spans="1:26" x14ac:dyDescent="0.25">
      <c r="A1286">
        <v>1285</v>
      </c>
      <c r="B1286" t="s">
        <v>30</v>
      </c>
      <c r="C1286" t="s">
        <v>6470</v>
      </c>
      <c r="D1286" t="s">
        <v>772</v>
      </c>
      <c r="E1286" t="s">
        <v>471</v>
      </c>
      <c r="F1286" t="s">
        <v>773</v>
      </c>
      <c r="G1286" t="s">
        <v>47</v>
      </c>
      <c r="I1286" t="s">
        <v>6471</v>
      </c>
      <c r="K1286" t="s">
        <v>6472</v>
      </c>
      <c r="N1286" t="s">
        <v>6473</v>
      </c>
      <c r="Z1286" t="s">
        <v>43</v>
      </c>
    </row>
    <row r="1287" spans="1:26" x14ac:dyDescent="0.25">
      <c r="A1287">
        <v>1286</v>
      </c>
      <c r="B1287" t="s">
        <v>30</v>
      </c>
      <c r="C1287" t="s">
        <v>6474</v>
      </c>
      <c r="D1287" t="s">
        <v>1713</v>
      </c>
      <c r="E1287" t="s">
        <v>64</v>
      </c>
      <c r="F1287" t="s">
        <v>6475</v>
      </c>
      <c r="G1287" t="s">
        <v>65</v>
      </c>
      <c r="I1287" t="s">
        <v>6476</v>
      </c>
      <c r="J1287">
        <f>57-310-430-1359</f>
        <v>-2042</v>
      </c>
      <c r="K1287" t="s">
        <v>6477</v>
      </c>
      <c r="N1287" t="s">
        <v>6478</v>
      </c>
      <c r="Z1287" t="s">
        <v>43</v>
      </c>
    </row>
    <row r="1288" spans="1:26" x14ac:dyDescent="0.25">
      <c r="A1288">
        <v>1287</v>
      </c>
      <c r="B1288" t="s">
        <v>30</v>
      </c>
      <c r="C1288" t="s">
        <v>6479</v>
      </c>
      <c r="D1288" t="s">
        <v>6480</v>
      </c>
      <c r="E1288" t="s">
        <v>64</v>
      </c>
      <c r="F1288" t="s">
        <v>6481</v>
      </c>
      <c r="G1288" t="s">
        <v>65</v>
      </c>
      <c r="I1288" t="s">
        <v>6482</v>
      </c>
      <c r="K1288" t="s">
        <v>6483</v>
      </c>
      <c r="N1288" t="s">
        <v>6484</v>
      </c>
      <c r="Z1288" t="s">
        <v>43</v>
      </c>
    </row>
    <row r="1289" spans="1:26" x14ac:dyDescent="0.25">
      <c r="A1289">
        <v>1288</v>
      </c>
      <c r="B1289" t="s">
        <v>30</v>
      </c>
      <c r="C1289" t="s">
        <v>6485</v>
      </c>
      <c r="D1289" t="s">
        <v>2168</v>
      </c>
      <c r="E1289" t="s">
        <v>800</v>
      </c>
      <c r="F1289" t="s">
        <v>2169</v>
      </c>
      <c r="G1289" t="s">
        <v>802</v>
      </c>
      <c r="I1289" t="s">
        <v>6486</v>
      </c>
      <c r="J1289">
        <f>57-321-498-1532</f>
        <v>-2294</v>
      </c>
      <c r="K1289" t="s">
        <v>6487</v>
      </c>
      <c r="N1289" t="s">
        <v>6488</v>
      </c>
      <c r="Z1289" t="s">
        <v>43</v>
      </c>
    </row>
    <row r="1290" spans="1:26" x14ac:dyDescent="0.25">
      <c r="A1290">
        <v>1289</v>
      </c>
      <c r="B1290" t="s">
        <v>30</v>
      </c>
      <c r="C1290" t="s">
        <v>6489</v>
      </c>
      <c r="D1290" t="s">
        <v>1260</v>
      </c>
      <c r="E1290" t="s">
        <v>471</v>
      </c>
      <c r="F1290" t="s">
        <v>2204</v>
      </c>
      <c r="G1290" t="s">
        <v>47</v>
      </c>
      <c r="I1290" t="s">
        <v>6490</v>
      </c>
      <c r="J1290">
        <f>57-314-451-9575</f>
        <v>-10283</v>
      </c>
      <c r="K1290" t="s">
        <v>6491</v>
      </c>
      <c r="N1290" t="s">
        <v>6492</v>
      </c>
      <c r="Z1290" t="s">
        <v>43</v>
      </c>
    </row>
    <row r="1291" spans="1:26" x14ac:dyDescent="0.25">
      <c r="A1291">
        <v>1290</v>
      </c>
      <c r="B1291" t="s">
        <v>30</v>
      </c>
      <c r="C1291" t="s">
        <v>6493</v>
      </c>
      <c r="D1291" t="s">
        <v>6494</v>
      </c>
      <c r="E1291" t="s">
        <v>2117</v>
      </c>
      <c r="F1291" t="s">
        <v>6495</v>
      </c>
      <c r="G1291" t="s">
        <v>2119</v>
      </c>
      <c r="I1291" t="s">
        <v>6496</v>
      </c>
      <c r="J1291">
        <f>57-302-318-1010</f>
        <v>-1573</v>
      </c>
      <c r="K1291" t="s">
        <v>6497</v>
      </c>
      <c r="N1291" t="s">
        <v>6498</v>
      </c>
      <c r="Z1291" t="s">
        <v>43</v>
      </c>
    </row>
    <row r="1292" spans="1:26" x14ac:dyDescent="0.25">
      <c r="A1292">
        <v>1291</v>
      </c>
      <c r="B1292" t="s">
        <v>30</v>
      </c>
      <c r="C1292" t="s">
        <v>6499</v>
      </c>
      <c r="D1292" t="s">
        <v>909</v>
      </c>
      <c r="E1292" t="s">
        <v>471</v>
      </c>
      <c r="F1292" t="s">
        <v>1659</v>
      </c>
      <c r="G1292" t="s">
        <v>47</v>
      </c>
      <c r="I1292" t="s">
        <v>6500</v>
      </c>
      <c r="K1292" t="s">
        <v>6501</v>
      </c>
      <c r="N1292" t="s">
        <v>6502</v>
      </c>
      <c r="Z1292" t="s">
        <v>43</v>
      </c>
    </row>
    <row r="1293" spans="1:26" x14ac:dyDescent="0.25">
      <c r="A1293">
        <v>1292</v>
      </c>
      <c r="B1293" t="s">
        <v>30</v>
      </c>
      <c r="C1293" t="s">
        <v>6503</v>
      </c>
      <c r="D1293" t="s">
        <v>6504</v>
      </c>
      <c r="E1293" t="s">
        <v>56</v>
      </c>
      <c r="F1293" t="s">
        <v>6505</v>
      </c>
      <c r="G1293" t="s">
        <v>57</v>
      </c>
      <c r="I1293" t="s">
        <v>6506</v>
      </c>
      <c r="K1293" t="s">
        <v>6507</v>
      </c>
      <c r="N1293" t="s">
        <v>6508</v>
      </c>
      <c r="Z1293" t="s">
        <v>43</v>
      </c>
    </row>
    <row r="1294" spans="1:26" x14ac:dyDescent="0.25">
      <c r="A1294">
        <v>1293</v>
      </c>
      <c r="B1294" t="s">
        <v>30</v>
      </c>
      <c r="C1294" t="s">
        <v>6509</v>
      </c>
      <c r="D1294" t="s">
        <v>1719</v>
      </c>
      <c r="E1294" t="s">
        <v>2592</v>
      </c>
      <c r="F1294" t="s">
        <v>1720</v>
      </c>
      <c r="G1294" t="s">
        <v>2594</v>
      </c>
      <c r="I1294" t="s">
        <v>6510</v>
      </c>
      <c r="K1294" t="s">
        <v>6511</v>
      </c>
      <c r="N1294" t="s">
        <v>6512</v>
      </c>
      <c r="Z1294" t="s">
        <v>43</v>
      </c>
    </row>
    <row r="1295" spans="1:26" x14ac:dyDescent="0.25">
      <c r="A1295">
        <v>1294</v>
      </c>
      <c r="B1295" t="s">
        <v>30</v>
      </c>
      <c r="C1295" t="s">
        <v>6513</v>
      </c>
      <c r="D1295" t="s">
        <v>867</v>
      </c>
      <c r="E1295" t="s">
        <v>72</v>
      </c>
      <c r="F1295" t="s">
        <v>868</v>
      </c>
      <c r="G1295" t="s">
        <v>73</v>
      </c>
      <c r="I1295" t="s">
        <v>6514</v>
      </c>
      <c r="J1295">
        <f>57-320-712-5532</f>
        <v>-6507</v>
      </c>
      <c r="K1295" t="s">
        <v>6515</v>
      </c>
      <c r="N1295" t="s">
        <v>6516</v>
      </c>
      <c r="Z1295" t="s">
        <v>43</v>
      </c>
    </row>
    <row r="1296" spans="1:26" x14ac:dyDescent="0.25">
      <c r="A1296">
        <v>1295</v>
      </c>
      <c r="B1296" t="s">
        <v>30</v>
      </c>
      <c r="C1296" t="s">
        <v>6517</v>
      </c>
      <c r="D1296" t="s">
        <v>1896</v>
      </c>
      <c r="E1296" t="s">
        <v>471</v>
      </c>
      <c r="F1296" t="s">
        <v>6518</v>
      </c>
      <c r="G1296" t="s">
        <v>47</v>
      </c>
      <c r="I1296" t="s">
        <v>6519</v>
      </c>
      <c r="K1296" t="s">
        <v>6520</v>
      </c>
      <c r="N1296" t="s">
        <v>6521</v>
      </c>
      <c r="Z1296" t="s">
        <v>43</v>
      </c>
    </row>
    <row r="1297" spans="1:26" x14ac:dyDescent="0.25">
      <c r="A1297">
        <v>1296</v>
      </c>
      <c r="B1297" t="s">
        <v>30</v>
      </c>
      <c r="C1297" t="s">
        <v>6522</v>
      </c>
      <c r="D1297" t="s">
        <v>46</v>
      </c>
      <c r="E1297" t="s">
        <v>471</v>
      </c>
      <c r="F1297" t="s">
        <v>820</v>
      </c>
      <c r="G1297" t="s">
        <v>47</v>
      </c>
      <c r="I1297" t="s">
        <v>6523</v>
      </c>
      <c r="K1297" t="s">
        <v>6524</v>
      </c>
      <c r="N1297" t="s">
        <v>6525</v>
      </c>
      <c r="Z1297" t="s">
        <v>43</v>
      </c>
    </row>
    <row r="1298" spans="1:26" x14ac:dyDescent="0.25">
      <c r="A1298">
        <v>1297</v>
      </c>
      <c r="B1298" t="s">
        <v>30</v>
      </c>
      <c r="C1298" t="s">
        <v>6526</v>
      </c>
      <c r="D1298" t="s">
        <v>772</v>
      </c>
      <c r="E1298" t="s">
        <v>471</v>
      </c>
      <c r="F1298" t="s">
        <v>773</v>
      </c>
      <c r="G1298" t="s">
        <v>47</v>
      </c>
      <c r="I1298" t="s">
        <v>6527</v>
      </c>
      <c r="K1298" t="s">
        <v>6528</v>
      </c>
      <c r="N1298" t="s">
        <v>6529</v>
      </c>
      <c r="Z1298" t="s">
        <v>43</v>
      </c>
    </row>
    <row r="1299" spans="1:26" x14ac:dyDescent="0.25">
      <c r="A1299">
        <v>1298</v>
      </c>
      <c r="B1299" t="s">
        <v>30</v>
      </c>
      <c r="C1299" t="s">
        <v>6530</v>
      </c>
      <c r="D1299" t="s">
        <v>6531</v>
      </c>
      <c r="E1299" t="s">
        <v>385</v>
      </c>
      <c r="F1299" t="s">
        <v>6532</v>
      </c>
      <c r="G1299" t="s">
        <v>387</v>
      </c>
      <c r="I1299" t="s">
        <v>6533</v>
      </c>
      <c r="K1299" t="s">
        <v>6534</v>
      </c>
      <c r="N1299" t="s">
        <v>6535</v>
      </c>
      <c r="Z1299" t="s">
        <v>43</v>
      </c>
    </row>
    <row r="1300" spans="1:26" x14ac:dyDescent="0.25">
      <c r="A1300">
        <v>1299</v>
      </c>
      <c r="B1300" t="s">
        <v>30</v>
      </c>
      <c r="C1300" t="s">
        <v>6536</v>
      </c>
      <c r="D1300" t="s">
        <v>2336</v>
      </c>
      <c r="E1300" t="s">
        <v>56</v>
      </c>
      <c r="F1300" t="s">
        <v>2337</v>
      </c>
      <c r="G1300" t="s">
        <v>57</v>
      </c>
      <c r="I1300" t="s">
        <v>6537</v>
      </c>
      <c r="K1300" t="s">
        <v>6538</v>
      </c>
      <c r="N1300" t="s">
        <v>6539</v>
      </c>
      <c r="Z1300" t="s">
        <v>43</v>
      </c>
    </row>
    <row r="1301" spans="1:26" x14ac:dyDescent="0.25">
      <c r="A1301">
        <v>1300</v>
      </c>
      <c r="B1301" t="s">
        <v>30</v>
      </c>
      <c r="C1301" t="s">
        <v>6540</v>
      </c>
      <c r="D1301" t="s">
        <v>909</v>
      </c>
      <c r="E1301" t="s">
        <v>471</v>
      </c>
      <c r="F1301" t="s">
        <v>1659</v>
      </c>
      <c r="G1301" t="s">
        <v>47</v>
      </c>
      <c r="I1301" t="s">
        <v>6541</v>
      </c>
      <c r="J1301">
        <f>57-301-783-4454</f>
        <v>-5481</v>
      </c>
      <c r="K1301" t="s">
        <v>6542</v>
      </c>
      <c r="N1301" t="s">
        <v>6543</v>
      </c>
      <c r="Z1301" t="s">
        <v>43</v>
      </c>
    </row>
    <row r="1302" spans="1:26" x14ac:dyDescent="0.25">
      <c r="A1302">
        <v>1301</v>
      </c>
      <c r="B1302" t="s">
        <v>30</v>
      </c>
      <c r="C1302" t="s">
        <v>6544</v>
      </c>
      <c r="D1302" t="s">
        <v>46</v>
      </c>
      <c r="E1302" t="s">
        <v>471</v>
      </c>
      <c r="F1302" t="s">
        <v>820</v>
      </c>
      <c r="G1302" t="s">
        <v>47</v>
      </c>
      <c r="I1302" t="s">
        <v>6545</v>
      </c>
      <c r="K1302" t="s">
        <v>6546</v>
      </c>
      <c r="N1302" t="s">
        <v>6547</v>
      </c>
      <c r="Z1302" t="s">
        <v>43</v>
      </c>
    </row>
    <row r="1303" spans="1:26" x14ac:dyDescent="0.25">
      <c r="A1303">
        <v>1302</v>
      </c>
      <c r="B1303" t="s">
        <v>30</v>
      </c>
      <c r="C1303" t="s">
        <v>6548</v>
      </c>
      <c r="D1303" t="s">
        <v>2862</v>
      </c>
      <c r="E1303" t="s">
        <v>471</v>
      </c>
      <c r="F1303" t="s">
        <v>2863</v>
      </c>
      <c r="G1303" t="s">
        <v>47</v>
      </c>
      <c r="I1303" t="s">
        <v>6549</v>
      </c>
      <c r="K1303" t="s">
        <v>6550</v>
      </c>
      <c r="N1303" t="s">
        <v>6551</v>
      </c>
      <c r="Z1303" t="s">
        <v>43</v>
      </c>
    </row>
    <row r="1304" spans="1:26" x14ac:dyDescent="0.25">
      <c r="A1304">
        <v>1303</v>
      </c>
      <c r="B1304" t="s">
        <v>30</v>
      </c>
      <c r="C1304" t="s">
        <v>6552</v>
      </c>
      <c r="D1304" t="s">
        <v>2862</v>
      </c>
      <c r="E1304" t="s">
        <v>56</v>
      </c>
      <c r="F1304" t="s">
        <v>2863</v>
      </c>
      <c r="G1304" t="s">
        <v>57</v>
      </c>
      <c r="I1304" t="s">
        <v>6549</v>
      </c>
      <c r="J1304">
        <f>57-313-883-2651</f>
        <v>-3790</v>
      </c>
      <c r="K1304" t="s">
        <v>6553</v>
      </c>
      <c r="N1304" t="s">
        <v>6554</v>
      </c>
      <c r="Z1304" t="s">
        <v>43</v>
      </c>
    </row>
    <row r="1305" spans="1:26" x14ac:dyDescent="0.25">
      <c r="A1305">
        <v>1304</v>
      </c>
      <c r="B1305" t="s">
        <v>30</v>
      </c>
      <c r="C1305" t="s">
        <v>6555</v>
      </c>
      <c r="D1305" t="s">
        <v>6556</v>
      </c>
      <c r="E1305" t="s">
        <v>2117</v>
      </c>
      <c r="F1305" t="s">
        <v>6557</v>
      </c>
      <c r="G1305" t="s">
        <v>2119</v>
      </c>
      <c r="I1305" t="s">
        <v>6558</v>
      </c>
      <c r="J1305">
        <f>57-313-279-3467</f>
        <v>-4002</v>
      </c>
      <c r="K1305" t="s">
        <v>6559</v>
      </c>
      <c r="N1305" t="s">
        <v>6560</v>
      </c>
      <c r="Z1305" t="s">
        <v>43</v>
      </c>
    </row>
    <row r="1306" spans="1:26" x14ac:dyDescent="0.25">
      <c r="A1306">
        <v>1305</v>
      </c>
      <c r="B1306" t="s">
        <v>30</v>
      </c>
      <c r="C1306" t="s">
        <v>6561</v>
      </c>
      <c r="D1306" t="s">
        <v>772</v>
      </c>
      <c r="E1306" t="s">
        <v>72</v>
      </c>
      <c r="F1306" t="s">
        <v>773</v>
      </c>
      <c r="G1306" t="s">
        <v>73</v>
      </c>
      <c r="I1306" t="s">
        <v>6562</v>
      </c>
      <c r="J1306">
        <f>57-321-890-1222</f>
        <v>-2376</v>
      </c>
      <c r="K1306" t="s">
        <v>6563</v>
      </c>
      <c r="N1306" t="s">
        <v>6564</v>
      </c>
      <c r="Z1306" t="s">
        <v>43</v>
      </c>
    </row>
    <row r="1307" spans="1:26" x14ac:dyDescent="0.25">
      <c r="A1307">
        <v>1306</v>
      </c>
      <c r="B1307" t="s">
        <v>30</v>
      </c>
      <c r="C1307" t="s">
        <v>6565</v>
      </c>
      <c r="D1307" t="s">
        <v>6566</v>
      </c>
      <c r="E1307" t="s">
        <v>4631</v>
      </c>
      <c r="F1307" t="s">
        <v>6567</v>
      </c>
      <c r="G1307" t="s">
        <v>4633</v>
      </c>
      <c r="I1307" t="s">
        <v>6568</v>
      </c>
      <c r="J1307">
        <f>57-310-793-9761</f>
        <v>-10807</v>
      </c>
      <c r="K1307" t="s">
        <v>6569</v>
      </c>
      <c r="N1307" t="s">
        <v>6570</v>
      </c>
      <c r="Z1307" t="s">
        <v>43</v>
      </c>
    </row>
    <row r="1308" spans="1:26" x14ac:dyDescent="0.25">
      <c r="A1308">
        <v>1307</v>
      </c>
      <c r="B1308" t="s">
        <v>30</v>
      </c>
      <c r="C1308" t="s">
        <v>6571</v>
      </c>
      <c r="D1308" t="s">
        <v>6572</v>
      </c>
      <c r="E1308" t="s">
        <v>1269</v>
      </c>
      <c r="F1308" t="s">
        <v>6573</v>
      </c>
      <c r="G1308" t="s">
        <v>1271</v>
      </c>
      <c r="I1308" t="s">
        <v>6574</v>
      </c>
      <c r="K1308" t="s">
        <v>6575</v>
      </c>
      <c r="N1308" t="s">
        <v>6576</v>
      </c>
      <c r="Z1308" t="s">
        <v>43</v>
      </c>
    </row>
    <row r="1309" spans="1:26" x14ac:dyDescent="0.25">
      <c r="A1309">
        <v>1308</v>
      </c>
      <c r="B1309" t="s">
        <v>30</v>
      </c>
      <c r="C1309" t="s">
        <v>6577</v>
      </c>
      <c r="D1309" t="s">
        <v>5343</v>
      </c>
      <c r="E1309" t="s">
        <v>800</v>
      </c>
      <c r="F1309" t="s">
        <v>5344</v>
      </c>
      <c r="G1309" t="s">
        <v>802</v>
      </c>
      <c r="I1309" t="s">
        <v>6578</v>
      </c>
      <c r="J1309">
        <f>57-350-532-2929</f>
        <v>-3754</v>
      </c>
      <c r="K1309" t="s">
        <v>6579</v>
      </c>
      <c r="N1309" t="s">
        <v>6580</v>
      </c>
      <c r="Z1309" t="s">
        <v>43</v>
      </c>
    </row>
    <row r="1310" spans="1:26" x14ac:dyDescent="0.25">
      <c r="A1310">
        <v>1309</v>
      </c>
      <c r="B1310" t="s">
        <v>30</v>
      </c>
      <c r="C1310" t="s">
        <v>6581</v>
      </c>
      <c r="D1310" t="s">
        <v>6582</v>
      </c>
      <c r="E1310" t="s">
        <v>1774</v>
      </c>
      <c r="F1310" t="s">
        <v>6583</v>
      </c>
      <c r="G1310" t="s">
        <v>1776</v>
      </c>
      <c r="I1310" t="s">
        <v>6584</v>
      </c>
      <c r="J1310">
        <f>57-314-519-2030</f>
        <v>-2806</v>
      </c>
      <c r="K1310" t="s">
        <v>6585</v>
      </c>
      <c r="N1310" t="s">
        <v>6586</v>
      </c>
      <c r="Z1310" t="s">
        <v>43</v>
      </c>
    </row>
    <row r="1311" spans="1:26" x14ac:dyDescent="0.25">
      <c r="A1311">
        <v>1310</v>
      </c>
      <c r="B1311" t="s">
        <v>30</v>
      </c>
      <c r="C1311" t="s">
        <v>6587</v>
      </c>
      <c r="D1311" t="s">
        <v>2368</v>
      </c>
      <c r="E1311" t="s">
        <v>1269</v>
      </c>
      <c r="F1311" t="s">
        <v>6588</v>
      </c>
      <c r="G1311" t="s">
        <v>1271</v>
      </c>
      <c r="I1311" t="s">
        <v>2370</v>
      </c>
      <c r="J1311">
        <f>57-60-1-347-4558</f>
        <v>-4909</v>
      </c>
      <c r="K1311" t="s">
        <v>183</v>
      </c>
      <c r="N1311" t="s">
        <v>2371</v>
      </c>
      <c r="Z1311" t="s">
        <v>43</v>
      </c>
    </row>
    <row r="1312" spans="1:26" x14ac:dyDescent="0.25">
      <c r="A1312">
        <v>1311</v>
      </c>
      <c r="B1312" t="s">
        <v>30</v>
      </c>
      <c r="C1312" t="s">
        <v>6589</v>
      </c>
      <c r="D1312" t="s">
        <v>772</v>
      </c>
      <c r="E1312" t="s">
        <v>471</v>
      </c>
      <c r="F1312" t="s">
        <v>1822</v>
      </c>
      <c r="G1312" t="s">
        <v>47</v>
      </c>
      <c r="I1312" t="s">
        <v>6590</v>
      </c>
      <c r="J1312">
        <f>57-310-256-7872</f>
        <v>-8381</v>
      </c>
      <c r="K1312" t="s">
        <v>6591</v>
      </c>
      <c r="N1312" t="s">
        <v>6592</v>
      </c>
      <c r="Z1312" t="s">
        <v>43</v>
      </c>
    </row>
    <row r="1313" spans="1:26" x14ac:dyDescent="0.25">
      <c r="A1313">
        <v>1312</v>
      </c>
      <c r="B1313" t="s">
        <v>30</v>
      </c>
      <c r="C1313" t="s">
        <v>6593</v>
      </c>
      <c r="D1313" t="s">
        <v>1260</v>
      </c>
      <c r="E1313" t="s">
        <v>64</v>
      </c>
      <c r="F1313" t="s">
        <v>2178</v>
      </c>
      <c r="G1313" t="s">
        <v>65</v>
      </c>
      <c r="I1313" t="s">
        <v>6594</v>
      </c>
      <c r="J1313">
        <f>57-60-1-282-4066</f>
        <v>-4352</v>
      </c>
      <c r="K1313" t="s">
        <v>6595</v>
      </c>
      <c r="N1313" t="s">
        <v>6596</v>
      </c>
      <c r="Z1313" t="s">
        <v>43</v>
      </c>
    </row>
    <row r="1314" spans="1:26" x14ac:dyDescent="0.25">
      <c r="A1314">
        <v>1313</v>
      </c>
      <c r="B1314" t="s">
        <v>30</v>
      </c>
      <c r="C1314" t="s">
        <v>6597</v>
      </c>
      <c r="D1314" t="s">
        <v>384</v>
      </c>
      <c r="E1314" t="s">
        <v>471</v>
      </c>
      <c r="F1314" t="s">
        <v>386</v>
      </c>
      <c r="G1314" t="s">
        <v>47</v>
      </c>
      <c r="I1314" t="s">
        <v>6598</v>
      </c>
      <c r="J1314">
        <f>57-322-218-3646</f>
        <v>-4129</v>
      </c>
      <c r="K1314" t="s">
        <v>6599</v>
      </c>
      <c r="N1314" t="s">
        <v>6600</v>
      </c>
      <c r="Z1314" t="s">
        <v>43</v>
      </c>
    </row>
    <row r="1315" spans="1:26" x14ac:dyDescent="0.25">
      <c r="A1315">
        <v>1314</v>
      </c>
      <c r="B1315" t="s">
        <v>30</v>
      </c>
      <c r="C1315" t="s">
        <v>6601</v>
      </c>
      <c r="D1315" t="s">
        <v>384</v>
      </c>
      <c r="E1315" t="s">
        <v>471</v>
      </c>
      <c r="F1315" t="s">
        <v>6602</v>
      </c>
      <c r="G1315" t="s">
        <v>966</v>
      </c>
      <c r="I1315" t="s">
        <v>6598</v>
      </c>
      <c r="J1315">
        <f>57-322-218-3646</f>
        <v>-4129</v>
      </c>
      <c r="K1315" t="s">
        <v>6599</v>
      </c>
      <c r="N1315" t="s">
        <v>6600</v>
      </c>
      <c r="Z1315" t="s">
        <v>43</v>
      </c>
    </row>
    <row r="1316" spans="1:26" x14ac:dyDescent="0.25">
      <c r="A1316">
        <v>1315</v>
      </c>
      <c r="B1316" t="s">
        <v>30</v>
      </c>
      <c r="C1316" t="s">
        <v>6603</v>
      </c>
      <c r="D1316" t="s">
        <v>6604</v>
      </c>
      <c r="E1316" t="s">
        <v>471</v>
      </c>
      <c r="F1316" t="s">
        <v>6605</v>
      </c>
      <c r="G1316" t="s">
        <v>47</v>
      </c>
      <c r="I1316" t="s">
        <v>6606</v>
      </c>
      <c r="K1316" t="s">
        <v>6607</v>
      </c>
      <c r="N1316" t="s">
        <v>6608</v>
      </c>
      <c r="Z1316" t="s">
        <v>43</v>
      </c>
    </row>
    <row r="1317" spans="1:26" x14ac:dyDescent="0.25">
      <c r="A1317">
        <v>1316</v>
      </c>
      <c r="B1317" t="s">
        <v>30</v>
      </c>
      <c r="C1317" t="s">
        <v>6609</v>
      </c>
      <c r="D1317" t="s">
        <v>64</v>
      </c>
      <c r="E1317" t="s">
        <v>64</v>
      </c>
      <c r="F1317" t="s">
        <v>65</v>
      </c>
      <c r="G1317" t="s">
        <v>65</v>
      </c>
      <c r="I1317" t="s">
        <v>6610</v>
      </c>
      <c r="J1317">
        <f>57-311-230-7527</f>
        <v>-8011</v>
      </c>
      <c r="K1317" t="s">
        <v>6611</v>
      </c>
      <c r="N1317" t="s">
        <v>6612</v>
      </c>
      <c r="Z1317" t="s">
        <v>43</v>
      </c>
    </row>
    <row r="1318" spans="1:26" x14ac:dyDescent="0.25">
      <c r="A1318">
        <v>1317</v>
      </c>
      <c r="B1318" t="s">
        <v>30</v>
      </c>
      <c r="C1318" t="s">
        <v>6613</v>
      </c>
      <c r="D1318" t="s">
        <v>64</v>
      </c>
      <c r="E1318" t="s">
        <v>64</v>
      </c>
      <c r="F1318" t="s">
        <v>65</v>
      </c>
      <c r="G1318" t="s">
        <v>65</v>
      </c>
      <c r="I1318" t="s">
        <v>6614</v>
      </c>
      <c r="J1318">
        <f>57-320-319-3803</f>
        <v>-4385</v>
      </c>
      <c r="K1318" t="s">
        <v>6615</v>
      </c>
      <c r="N1318" t="s">
        <v>6616</v>
      </c>
      <c r="Z1318" t="s">
        <v>43</v>
      </c>
    </row>
    <row r="1319" spans="1:26" x14ac:dyDescent="0.25">
      <c r="A1319">
        <v>1318</v>
      </c>
      <c r="B1319" t="s">
        <v>30</v>
      </c>
      <c r="C1319" t="s">
        <v>6617</v>
      </c>
      <c r="D1319" t="s">
        <v>2862</v>
      </c>
      <c r="E1319" t="s">
        <v>471</v>
      </c>
      <c r="F1319" t="s">
        <v>2863</v>
      </c>
      <c r="G1319" t="s">
        <v>47</v>
      </c>
      <c r="I1319" t="s">
        <v>6618</v>
      </c>
      <c r="J1319">
        <f>57-313-391-4153</f>
        <v>-4800</v>
      </c>
      <c r="K1319" t="s">
        <v>6619</v>
      </c>
      <c r="N1319" t="s">
        <v>6620</v>
      </c>
      <c r="Z1319" t="s">
        <v>43</v>
      </c>
    </row>
    <row r="1320" spans="1:26" x14ac:dyDescent="0.25">
      <c r="A1320">
        <v>1319</v>
      </c>
      <c r="B1320" t="s">
        <v>30</v>
      </c>
      <c r="C1320" t="s">
        <v>6621</v>
      </c>
      <c r="D1320" t="s">
        <v>56</v>
      </c>
      <c r="E1320" t="s">
        <v>56</v>
      </c>
      <c r="F1320" t="s">
        <v>57</v>
      </c>
      <c r="G1320" t="s">
        <v>57</v>
      </c>
      <c r="I1320" t="s">
        <v>6622</v>
      </c>
      <c r="K1320" t="s">
        <v>6619</v>
      </c>
      <c r="N1320" t="s">
        <v>6620</v>
      </c>
      <c r="Z1320" t="s">
        <v>43</v>
      </c>
    </row>
    <row r="1321" spans="1:26" x14ac:dyDescent="0.25">
      <c r="A1321">
        <v>1320</v>
      </c>
      <c r="B1321" t="s">
        <v>30</v>
      </c>
      <c r="C1321" t="s">
        <v>6623</v>
      </c>
      <c r="D1321" t="s">
        <v>72</v>
      </c>
      <c r="E1321" t="s">
        <v>72</v>
      </c>
      <c r="F1321" t="s">
        <v>73</v>
      </c>
      <c r="G1321" t="s">
        <v>73</v>
      </c>
      <c r="I1321" t="s">
        <v>6624</v>
      </c>
      <c r="K1321" t="s">
        <v>6625</v>
      </c>
      <c r="N1321" t="s">
        <v>6626</v>
      </c>
      <c r="Z1321" t="s">
        <v>43</v>
      </c>
    </row>
    <row r="1322" spans="1:26" x14ac:dyDescent="0.25">
      <c r="A1322">
        <v>1321</v>
      </c>
      <c r="B1322" t="s">
        <v>30</v>
      </c>
      <c r="C1322" t="s">
        <v>6627</v>
      </c>
      <c r="D1322" t="s">
        <v>2098</v>
      </c>
      <c r="E1322" t="s">
        <v>56</v>
      </c>
      <c r="F1322" t="s">
        <v>2099</v>
      </c>
      <c r="G1322" t="s">
        <v>57</v>
      </c>
      <c r="I1322" t="s">
        <v>6628</v>
      </c>
      <c r="J1322">
        <f>57-321-488-3515</f>
        <v>-4267</v>
      </c>
      <c r="K1322" t="s">
        <v>6629</v>
      </c>
      <c r="N1322" t="s">
        <v>6630</v>
      </c>
      <c r="Z1322" t="s">
        <v>43</v>
      </c>
    </row>
    <row r="1323" spans="1:26" x14ac:dyDescent="0.25">
      <c r="A1323">
        <v>1322</v>
      </c>
      <c r="B1323" t="s">
        <v>30</v>
      </c>
      <c r="C1323" t="s">
        <v>6631</v>
      </c>
      <c r="D1323" t="s">
        <v>2104</v>
      </c>
      <c r="E1323" t="s">
        <v>1774</v>
      </c>
      <c r="F1323" t="s">
        <v>4124</v>
      </c>
      <c r="G1323" t="s">
        <v>1776</v>
      </c>
      <c r="I1323" t="s">
        <v>6632</v>
      </c>
      <c r="K1323" t="s">
        <v>6633</v>
      </c>
      <c r="N1323" t="s">
        <v>6634</v>
      </c>
      <c r="Z1323" t="s">
        <v>43</v>
      </c>
    </row>
    <row r="1324" spans="1:26" x14ac:dyDescent="0.25">
      <c r="A1324">
        <v>1323</v>
      </c>
      <c r="B1324" t="s">
        <v>30</v>
      </c>
      <c r="C1324" t="s">
        <v>6635</v>
      </c>
      <c r="D1324" t="s">
        <v>772</v>
      </c>
      <c r="E1324" t="s">
        <v>471</v>
      </c>
      <c r="F1324" t="s">
        <v>1822</v>
      </c>
      <c r="G1324" t="s">
        <v>47</v>
      </c>
      <c r="I1324" t="s">
        <v>6636</v>
      </c>
      <c r="J1324">
        <f>57-320-202-8758</f>
        <v>-9223</v>
      </c>
      <c r="K1324" t="s">
        <v>6637</v>
      </c>
      <c r="N1324" t="s">
        <v>6638</v>
      </c>
      <c r="Z1324" t="s">
        <v>43</v>
      </c>
    </row>
    <row r="1325" spans="1:26" x14ac:dyDescent="0.25">
      <c r="A1325">
        <v>1324</v>
      </c>
      <c r="B1325" t="s">
        <v>30</v>
      </c>
      <c r="C1325" t="s">
        <v>6639</v>
      </c>
      <c r="D1325" t="s">
        <v>2394</v>
      </c>
      <c r="E1325" t="s">
        <v>471</v>
      </c>
      <c r="F1325" t="s">
        <v>2395</v>
      </c>
      <c r="G1325" t="s">
        <v>47</v>
      </c>
      <c r="I1325" t="s">
        <v>6640</v>
      </c>
      <c r="J1325">
        <f>57-60-1-214-2490</f>
        <v>-2708</v>
      </c>
      <c r="K1325" t="s">
        <v>6641</v>
      </c>
      <c r="N1325" t="s">
        <v>6642</v>
      </c>
      <c r="Z1325" t="s">
        <v>43</v>
      </c>
    </row>
    <row r="1326" spans="1:26" x14ac:dyDescent="0.25">
      <c r="A1326">
        <v>1325</v>
      </c>
      <c r="B1326" t="s">
        <v>30</v>
      </c>
      <c r="C1326" t="s">
        <v>6643</v>
      </c>
      <c r="D1326" t="s">
        <v>46</v>
      </c>
      <c r="E1326" t="s">
        <v>471</v>
      </c>
      <c r="F1326" t="s">
        <v>820</v>
      </c>
      <c r="G1326" t="s">
        <v>47</v>
      </c>
      <c r="I1326" t="s">
        <v>6644</v>
      </c>
      <c r="K1326" t="s">
        <v>6645</v>
      </c>
      <c r="N1326" t="s">
        <v>6646</v>
      </c>
      <c r="Z1326" t="s">
        <v>43</v>
      </c>
    </row>
    <row r="1327" spans="1:26" x14ac:dyDescent="0.25">
      <c r="A1327">
        <v>1326</v>
      </c>
      <c r="B1327" t="s">
        <v>30</v>
      </c>
      <c r="C1327" t="s">
        <v>6647</v>
      </c>
      <c r="D1327" t="s">
        <v>1896</v>
      </c>
      <c r="E1327" t="s">
        <v>471</v>
      </c>
      <c r="F1327" t="s">
        <v>6518</v>
      </c>
      <c r="G1327" t="s">
        <v>47</v>
      </c>
      <c r="I1327" t="s">
        <v>6648</v>
      </c>
      <c r="K1327" t="s">
        <v>6649</v>
      </c>
      <c r="N1327" t="s">
        <v>6650</v>
      </c>
      <c r="Z1327" t="s">
        <v>43</v>
      </c>
    </row>
    <row r="1328" spans="1:26" x14ac:dyDescent="0.25">
      <c r="A1328">
        <v>1327</v>
      </c>
      <c r="B1328" t="s">
        <v>30</v>
      </c>
      <c r="C1328" t="s">
        <v>6651</v>
      </c>
      <c r="D1328" t="s">
        <v>46</v>
      </c>
      <c r="E1328" t="s">
        <v>471</v>
      </c>
      <c r="F1328" t="s">
        <v>820</v>
      </c>
      <c r="G1328" t="s">
        <v>47</v>
      </c>
      <c r="I1328" t="s">
        <v>6652</v>
      </c>
      <c r="J1328">
        <f>57-314-300-8453</f>
        <v>-9010</v>
      </c>
      <c r="K1328" t="s">
        <v>6653</v>
      </c>
      <c r="N1328" t="s">
        <v>6654</v>
      </c>
      <c r="Z1328" t="s">
        <v>43</v>
      </c>
    </row>
    <row r="1329" spans="1:26" x14ac:dyDescent="0.25">
      <c r="A1329">
        <v>1328</v>
      </c>
      <c r="B1329" t="s">
        <v>30</v>
      </c>
      <c r="C1329" t="s">
        <v>6655</v>
      </c>
      <c r="D1329" t="s">
        <v>1896</v>
      </c>
      <c r="E1329" t="s">
        <v>471</v>
      </c>
      <c r="F1329" t="s">
        <v>6518</v>
      </c>
      <c r="G1329" t="s">
        <v>47</v>
      </c>
      <c r="I1329" t="s">
        <v>6656</v>
      </c>
      <c r="J1329">
        <f>57-311-279-6515</f>
        <v>-7048</v>
      </c>
      <c r="K1329" t="s">
        <v>6657</v>
      </c>
      <c r="N1329" t="s">
        <v>6658</v>
      </c>
      <c r="Z1329" t="s">
        <v>43</v>
      </c>
    </row>
    <row r="1330" spans="1:26" x14ac:dyDescent="0.25">
      <c r="A1330">
        <v>1329</v>
      </c>
      <c r="B1330" t="s">
        <v>30</v>
      </c>
      <c r="C1330" t="s">
        <v>6659</v>
      </c>
      <c r="D1330" t="s">
        <v>1719</v>
      </c>
      <c r="E1330" t="s">
        <v>56</v>
      </c>
      <c r="F1330" t="s">
        <v>1720</v>
      </c>
      <c r="G1330" t="s">
        <v>57</v>
      </c>
      <c r="I1330" t="s">
        <v>6660</v>
      </c>
      <c r="K1330" t="s">
        <v>6661</v>
      </c>
      <c r="N1330" t="s">
        <v>6662</v>
      </c>
      <c r="Z1330" t="s">
        <v>43</v>
      </c>
    </row>
    <row r="1331" spans="1:26" x14ac:dyDescent="0.25">
      <c r="A1331">
        <v>1330</v>
      </c>
      <c r="B1331" t="s">
        <v>30</v>
      </c>
      <c r="C1331" t="s">
        <v>6663</v>
      </c>
      <c r="D1331" t="s">
        <v>6200</v>
      </c>
      <c r="E1331" t="s">
        <v>56</v>
      </c>
      <c r="F1331" t="s">
        <v>6201</v>
      </c>
      <c r="G1331" t="s">
        <v>57</v>
      </c>
      <c r="I1331" t="s">
        <v>6664</v>
      </c>
      <c r="K1331" t="s">
        <v>6665</v>
      </c>
      <c r="N1331" t="s">
        <v>6666</v>
      </c>
      <c r="Z1331" t="s">
        <v>43</v>
      </c>
    </row>
    <row r="1332" spans="1:26" x14ac:dyDescent="0.25">
      <c r="A1332">
        <v>1331</v>
      </c>
      <c r="B1332" t="s">
        <v>30</v>
      </c>
      <c r="C1332" t="s">
        <v>6667</v>
      </c>
      <c r="D1332" t="s">
        <v>6668</v>
      </c>
      <c r="E1332" t="s">
        <v>56</v>
      </c>
      <c r="F1332" t="s">
        <v>6669</v>
      </c>
      <c r="G1332" t="s">
        <v>57</v>
      </c>
      <c r="I1332" t="s">
        <v>6670</v>
      </c>
      <c r="K1332" t="s">
        <v>6671</v>
      </c>
      <c r="N1332" t="s">
        <v>6672</v>
      </c>
      <c r="Z1332" t="s">
        <v>43</v>
      </c>
    </row>
    <row r="1333" spans="1:26" x14ac:dyDescent="0.25">
      <c r="A1333">
        <v>1332</v>
      </c>
      <c r="B1333" t="s">
        <v>30</v>
      </c>
      <c r="C1333" t="s">
        <v>6673</v>
      </c>
      <c r="D1333" t="s">
        <v>6674</v>
      </c>
      <c r="E1333" t="s">
        <v>1155</v>
      </c>
      <c r="F1333" t="s">
        <v>6675</v>
      </c>
      <c r="G1333" t="s">
        <v>1157</v>
      </c>
      <c r="I1333" t="s">
        <v>6676</v>
      </c>
      <c r="K1333" t="s">
        <v>6677</v>
      </c>
      <c r="N1333" t="s">
        <v>6678</v>
      </c>
      <c r="Z1333" t="s">
        <v>43</v>
      </c>
    </row>
    <row r="1334" spans="1:26" x14ac:dyDescent="0.25">
      <c r="A1334">
        <v>1333</v>
      </c>
      <c r="B1334" t="s">
        <v>30</v>
      </c>
      <c r="C1334" t="s">
        <v>6679</v>
      </c>
      <c r="D1334" t="s">
        <v>6680</v>
      </c>
      <c r="E1334" t="s">
        <v>385</v>
      </c>
      <c r="F1334" t="s">
        <v>6681</v>
      </c>
      <c r="G1334" t="s">
        <v>387</v>
      </c>
      <c r="I1334" t="s">
        <v>6682</v>
      </c>
      <c r="K1334" t="s">
        <v>6683</v>
      </c>
      <c r="N1334" t="s">
        <v>6684</v>
      </c>
      <c r="Z1334" t="s">
        <v>43</v>
      </c>
    </row>
    <row r="1335" spans="1:26" x14ac:dyDescent="0.25">
      <c r="A1335">
        <v>1334</v>
      </c>
      <c r="B1335" t="s">
        <v>30</v>
      </c>
      <c r="C1335" t="s">
        <v>6685</v>
      </c>
      <c r="D1335" t="s">
        <v>1276</v>
      </c>
      <c r="E1335" t="s">
        <v>64</v>
      </c>
      <c r="F1335" t="s">
        <v>6686</v>
      </c>
      <c r="G1335" t="s">
        <v>65</v>
      </c>
      <c r="I1335" t="s">
        <v>6687</v>
      </c>
      <c r="J1335">
        <f>57-321-460-469</f>
        <v>-1193</v>
      </c>
      <c r="K1335" t="s">
        <v>6688</v>
      </c>
      <c r="N1335" t="s">
        <v>6689</v>
      </c>
      <c r="Z1335" t="s">
        <v>43</v>
      </c>
    </row>
    <row r="1336" spans="1:26" x14ac:dyDescent="0.25">
      <c r="A1336">
        <v>1335</v>
      </c>
      <c r="B1336" t="s">
        <v>30</v>
      </c>
      <c r="C1336" t="s">
        <v>6690</v>
      </c>
      <c r="D1336" t="s">
        <v>72</v>
      </c>
      <c r="E1336" t="s">
        <v>72</v>
      </c>
      <c r="F1336" t="s">
        <v>73</v>
      </c>
      <c r="G1336" t="s">
        <v>73</v>
      </c>
      <c r="I1336" t="s">
        <v>6691</v>
      </c>
      <c r="J1336">
        <f>57-60-1-300-2217</f>
        <v>-2521</v>
      </c>
      <c r="K1336" t="s">
        <v>6692</v>
      </c>
      <c r="N1336" t="s">
        <v>6693</v>
      </c>
      <c r="Z1336" t="s">
        <v>43</v>
      </c>
    </row>
    <row r="1337" spans="1:26" x14ac:dyDescent="0.25">
      <c r="A1337">
        <v>1336</v>
      </c>
      <c r="B1337" t="s">
        <v>30</v>
      </c>
      <c r="C1337" t="s">
        <v>6694</v>
      </c>
      <c r="D1337" t="s">
        <v>1896</v>
      </c>
      <c r="E1337" t="s">
        <v>471</v>
      </c>
      <c r="F1337" t="s">
        <v>6518</v>
      </c>
      <c r="G1337" t="s">
        <v>47</v>
      </c>
      <c r="I1337" t="s">
        <v>6695</v>
      </c>
      <c r="K1337" t="s">
        <v>6696</v>
      </c>
      <c r="N1337" t="s">
        <v>6697</v>
      </c>
      <c r="Z1337" t="s">
        <v>43</v>
      </c>
    </row>
    <row r="1338" spans="1:26" x14ac:dyDescent="0.25">
      <c r="A1338">
        <v>1337</v>
      </c>
      <c r="B1338" t="s">
        <v>30</v>
      </c>
      <c r="C1338" t="s">
        <v>6698</v>
      </c>
      <c r="D1338" t="s">
        <v>46</v>
      </c>
      <c r="E1338" t="s">
        <v>471</v>
      </c>
      <c r="F1338" t="s">
        <v>820</v>
      </c>
      <c r="G1338" t="s">
        <v>47</v>
      </c>
      <c r="I1338" t="s">
        <v>6699</v>
      </c>
      <c r="K1338" t="s">
        <v>6700</v>
      </c>
      <c r="N1338" t="s">
        <v>6701</v>
      </c>
      <c r="Z1338" t="s">
        <v>43</v>
      </c>
    </row>
    <row r="1339" spans="1:26" x14ac:dyDescent="0.25">
      <c r="A1339">
        <v>1338</v>
      </c>
      <c r="B1339" t="s">
        <v>30</v>
      </c>
      <c r="C1339" t="s">
        <v>6702</v>
      </c>
      <c r="D1339" t="s">
        <v>4964</v>
      </c>
      <c r="E1339" t="s">
        <v>56</v>
      </c>
      <c r="F1339" t="s">
        <v>4965</v>
      </c>
      <c r="G1339" t="s">
        <v>57</v>
      </c>
      <c r="I1339" t="s">
        <v>6703</v>
      </c>
      <c r="K1339" t="s">
        <v>6704</v>
      </c>
      <c r="N1339" t="s">
        <v>6705</v>
      </c>
      <c r="Z1339" t="s">
        <v>43</v>
      </c>
    </row>
    <row r="1340" spans="1:26" x14ac:dyDescent="0.25">
      <c r="A1340">
        <v>1339</v>
      </c>
      <c r="B1340" t="s">
        <v>30</v>
      </c>
      <c r="C1340" t="s">
        <v>6706</v>
      </c>
      <c r="D1340" t="s">
        <v>867</v>
      </c>
      <c r="E1340" t="s">
        <v>471</v>
      </c>
      <c r="F1340" t="s">
        <v>868</v>
      </c>
      <c r="G1340" t="s">
        <v>47</v>
      </c>
      <c r="I1340" t="s">
        <v>6707</v>
      </c>
      <c r="K1340" t="s">
        <v>6708</v>
      </c>
      <c r="N1340" t="s">
        <v>6709</v>
      </c>
      <c r="Z1340" t="s">
        <v>43</v>
      </c>
    </row>
    <row r="1341" spans="1:26" x14ac:dyDescent="0.25">
      <c r="A1341">
        <v>1340</v>
      </c>
      <c r="B1341" t="s">
        <v>30</v>
      </c>
      <c r="C1341" t="s">
        <v>6710</v>
      </c>
      <c r="D1341" t="s">
        <v>1260</v>
      </c>
      <c r="E1341" t="s">
        <v>471</v>
      </c>
      <c r="F1341" t="s">
        <v>2178</v>
      </c>
      <c r="G1341" t="s">
        <v>47</v>
      </c>
      <c r="I1341" t="s">
        <v>6711</v>
      </c>
      <c r="K1341" t="s">
        <v>6712</v>
      </c>
      <c r="N1341" t="s">
        <v>6713</v>
      </c>
      <c r="Z1341" t="s">
        <v>43</v>
      </c>
    </row>
    <row r="1342" spans="1:26" x14ac:dyDescent="0.25">
      <c r="A1342">
        <v>1341</v>
      </c>
      <c r="B1342" t="s">
        <v>30</v>
      </c>
      <c r="C1342" t="s">
        <v>6714</v>
      </c>
      <c r="D1342" t="s">
        <v>813</v>
      </c>
      <c r="E1342" t="s">
        <v>72</v>
      </c>
      <c r="F1342" t="s">
        <v>3991</v>
      </c>
      <c r="G1342" t="s">
        <v>73</v>
      </c>
      <c r="I1342" t="s">
        <v>6715</v>
      </c>
      <c r="K1342" t="s">
        <v>6716</v>
      </c>
      <c r="N1342" t="s">
        <v>6717</v>
      </c>
      <c r="Z1342" t="s">
        <v>43</v>
      </c>
    </row>
    <row r="1343" spans="1:26" x14ac:dyDescent="0.25">
      <c r="A1343">
        <v>1342</v>
      </c>
      <c r="B1343" t="s">
        <v>30</v>
      </c>
      <c r="C1343" t="s">
        <v>6718</v>
      </c>
      <c r="D1343" t="s">
        <v>46</v>
      </c>
      <c r="E1343" t="s">
        <v>471</v>
      </c>
      <c r="F1343" t="s">
        <v>820</v>
      </c>
      <c r="G1343" t="s">
        <v>47</v>
      </c>
      <c r="I1343" t="s">
        <v>6719</v>
      </c>
      <c r="J1343">
        <f>57-60-1-755-2734</f>
        <v>-3493</v>
      </c>
      <c r="K1343" t="s">
        <v>6720</v>
      </c>
      <c r="N1343" t="s">
        <v>6721</v>
      </c>
      <c r="Z1343" t="s">
        <v>43</v>
      </c>
    </row>
    <row r="1344" spans="1:26" x14ac:dyDescent="0.25">
      <c r="A1344">
        <v>1343</v>
      </c>
      <c r="B1344" t="s">
        <v>30</v>
      </c>
      <c r="C1344" t="s">
        <v>6722</v>
      </c>
      <c r="D1344" t="s">
        <v>909</v>
      </c>
      <c r="E1344" t="s">
        <v>471</v>
      </c>
      <c r="F1344" t="s">
        <v>1659</v>
      </c>
      <c r="G1344" t="s">
        <v>47</v>
      </c>
      <c r="I1344" t="s">
        <v>6723</v>
      </c>
      <c r="J1344">
        <f>57-301-282-286</f>
        <v>-812</v>
      </c>
      <c r="K1344" t="s">
        <v>6724</v>
      </c>
      <c r="N1344" t="s">
        <v>6725</v>
      </c>
      <c r="Z1344" t="s">
        <v>43</v>
      </c>
    </row>
    <row r="1345" spans="1:26" x14ac:dyDescent="0.25">
      <c r="A1345">
        <v>1344</v>
      </c>
      <c r="B1345" t="s">
        <v>30</v>
      </c>
      <c r="C1345" t="s">
        <v>6726</v>
      </c>
      <c r="D1345" t="s">
        <v>6727</v>
      </c>
      <c r="E1345" t="s">
        <v>1217</v>
      </c>
      <c r="F1345" t="s">
        <v>6728</v>
      </c>
      <c r="G1345" t="s">
        <v>1219</v>
      </c>
      <c r="I1345" t="s">
        <v>6729</v>
      </c>
      <c r="J1345">
        <f>57-312-582-9514</f>
        <v>-10351</v>
      </c>
      <c r="K1345" t="s">
        <v>6730</v>
      </c>
      <c r="N1345" t="s">
        <v>6731</v>
      </c>
      <c r="Z1345" t="s">
        <v>43</v>
      </c>
    </row>
    <row r="1346" spans="1:26" x14ac:dyDescent="0.25">
      <c r="A1346">
        <v>1345</v>
      </c>
      <c r="B1346" t="s">
        <v>30</v>
      </c>
      <c r="C1346" t="s">
        <v>6732</v>
      </c>
      <c r="D1346" t="s">
        <v>6733</v>
      </c>
      <c r="E1346" t="s">
        <v>56</v>
      </c>
      <c r="F1346" t="s">
        <v>6734</v>
      </c>
      <c r="G1346" t="s">
        <v>57</v>
      </c>
      <c r="I1346" t="s">
        <v>6735</v>
      </c>
      <c r="K1346" t="s">
        <v>6736</v>
      </c>
      <c r="N1346" t="s">
        <v>6737</v>
      </c>
      <c r="Z1346" t="s">
        <v>43</v>
      </c>
    </row>
    <row r="1347" spans="1:26" x14ac:dyDescent="0.25">
      <c r="A1347">
        <v>1346</v>
      </c>
      <c r="B1347" t="s">
        <v>30</v>
      </c>
      <c r="C1347" t="s">
        <v>6738</v>
      </c>
      <c r="D1347" t="s">
        <v>4421</v>
      </c>
      <c r="E1347" t="s">
        <v>56</v>
      </c>
      <c r="F1347" t="s">
        <v>4422</v>
      </c>
      <c r="G1347" t="s">
        <v>57</v>
      </c>
      <c r="I1347" t="s">
        <v>6739</v>
      </c>
      <c r="J1347">
        <f>57-60-1-696-7246</f>
        <v>-7946</v>
      </c>
      <c r="K1347" t="s">
        <v>6740</v>
      </c>
      <c r="N1347" t="s">
        <v>6741</v>
      </c>
      <c r="Z1347" t="s">
        <v>43</v>
      </c>
    </row>
    <row r="1348" spans="1:26" x14ac:dyDescent="0.25">
      <c r="A1348">
        <v>1347</v>
      </c>
      <c r="B1348" t="s">
        <v>30</v>
      </c>
      <c r="C1348" t="s">
        <v>6742</v>
      </c>
      <c r="D1348" t="s">
        <v>46</v>
      </c>
      <c r="E1348" t="s">
        <v>471</v>
      </c>
      <c r="F1348" t="s">
        <v>820</v>
      </c>
      <c r="G1348" t="s">
        <v>47</v>
      </c>
      <c r="I1348" t="s">
        <v>6743</v>
      </c>
      <c r="J1348">
        <f>57-314-337-3535</f>
        <v>-4129</v>
      </c>
      <c r="K1348" t="s">
        <v>6744</v>
      </c>
      <c r="N1348" t="s">
        <v>6745</v>
      </c>
      <c r="Z1348" t="s">
        <v>43</v>
      </c>
    </row>
    <row r="1349" spans="1:26" x14ac:dyDescent="0.25">
      <c r="A1349">
        <v>1348</v>
      </c>
      <c r="B1349" t="s">
        <v>30</v>
      </c>
      <c r="C1349" t="s">
        <v>6746</v>
      </c>
      <c r="D1349" t="s">
        <v>6747</v>
      </c>
      <c r="E1349" t="s">
        <v>800</v>
      </c>
      <c r="F1349" t="s">
        <v>6748</v>
      </c>
      <c r="G1349" t="s">
        <v>802</v>
      </c>
      <c r="I1349" t="s">
        <v>6749</v>
      </c>
      <c r="J1349">
        <f>57-300-744-7215</f>
        <v>-8202</v>
      </c>
      <c r="K1349" t="s">
        <v>6750</v>
      </c>
      <c r="N1349" t="s">
        <v>6751</v>
      </c>
      <c r="Z1349" t="s">
        <v>43</v>
      </c>
    </row>
    <row r="1350" spans="1:26" x14ac:dyDescent="0.25">
      <c r="A1350">
        <v>1349</v>
      </c>
      <c r="B1350" t="s">
        <v>30</v>
      </c>
      <c r="C1350" t="s">
        <v>6752</v>
      </c>
      <c r="D1350" t="s">
        <v>6753</v>
      </c>
      <c r="E1350" t="s">
        <v>800</v>
      </c>
      <c r="F1350" t="s">
        <v>6754</v>
      </c>
      <c r="G1350" t="s">
        <v>802</v>
      </c>
      <c r="I1350" t="s">
        <v>6755</v>
      </c>
      <c r="K1350" t="s">
        <v>6756</v>
      </c>
      <c r="N1350" t="s">
        <v>6757</v>
      </c>
      <c r="Z1350" t="s">
        <v>43</v>
      </c>
    </row>
    <row r="1351" spans="1:26" x14ac:dyDescent="0.25">
      <c r="A1351">
        <v>1350</v>
      </c>
      <c r="B1351" t="s">
        <v>30</v>
      </c>
      <c r="C1351" t="s">
        <v>6758</v>
      </c>
      <c r="D1351" t="s">
        <v>2699</v>
      </c>
      <c r="E1351" t="s">
        <v>385</v>
      </c>
      <c r="F1351" t="s">
        <v>2700</v>
      </c>
      <c r="G1351" t="s">
        <v>387</v>
      </c>
      <c r="I1351" t="s">
        <v>6759</v>
      </c>
      <c r="J1351">
        <f>57-310-315-5987</f>
        <v>-6555</v>
      </c>
      <c r="K1351" t="s">
        <v>6760</v>
      </c>
      <c r="N1351" t="s">
        <v>6761</v>
      </c>
      <c r="Z1351" t="s">
        <v>43</v>
      </c>
    </row>
    <row r="1352" spans="1:26" x14ac:dyDescent="0.25">
      <c r="A1352">
        <v>1351</v>
      </c>
      <c r="B1352" t="s">
        <v>30</v>
      </c>
      <c r="C1352" t="s">
        <v>6762</v>
      </c>
      <c r="D1352" t="s">
        <v>4165</v>
      </c>
      <c r="E1352" t="s">
        <v>2007</v>
      </c>
      <c r="F1352" t="s">
        <v>4166</v>
      </c>
      <c r="G1352" t="s">
        <v>2009</v>
      </c>
      <c r="I1352" t="s">
        <v>6763</v>
      </c>
      <c r="J1352">
        <f>57-301-611-9630</f>
        <v>-10485</v>
      </c>
      <c r="K1352" t="s">
        <v>6764</v>
      </c>
      <c r="N1352" t="s">
        <v>6765</v>
      </c>
      <c r="Z1352" t="s">
        <v>43</v>
      </c>
    </row>
    <row r="1353" spans="1:26" x14ac:dyDescent="0.25">
      <c r="A1353">
        <v>1352</v>
      </c>
      <c r="B1353" t="s">
        <v>30</v>
      </c>
      <c r="C1353" t="s">
        <v>6766</v>
      </c>
      <c r="D1353" t="s">
        <v>46</v>
      </c>
      <c r="E1353" t="s">
        <v>471</v>
      </c>
      <c r="F1353" t="s">
        <v>820</v>
      </c>
      <c r="G1353" t="s">
        <v>47</v>
      </c>
      <c r="I1353" t="s">
        <v>6767</v>
      </c>
      <c r="J1353">
        <f>57-312-403-8673</f>
        <v>-9331</v>
      </c>
      <c r="K1353" t="s">
        <v>6768</v>
      </c>
      <c r="N1353" t="s">
        <v>6769</v>
      </c>
      <c r="Z1353" t="s">
        <v>43</v>
      </c>
    </row>
    <row r="1354" spans="1:26" x14ac:dyDescent="0.25">
      <c r="A1354">
        <v>1353</v>
      </c>
      <c r="B1354" t="s">
        <v>30</v>
      </c>
      <c r="C1354" t="s">
        <v>6770</v>
      </c>
      <c r="D1354" t="s">
        <v>2839</v>
      </c>
      <c r="E1354" t="s">
        <v>800</v>
      </c>
      <c r="F1354" t="s">
        <v>2840</v>
      </c>
      <c r="G1354" t="s">
        <v>802</v>
      </c>
      <c r="I1354" t="s">
        <v>6771</v>
      </c>
      <c r="K1354" t="s">
        <v>6772</v>
      </c>
      <c r="N1354" t="s">
        <v>6773</v>
      </c>
      <c r="Z1354" t="s">
        <v>43</v>
      </c>
    </row>
    <row r="1355" spans="1:26" x14ac:dyDescent="0.25">
      <c r="A1355">
        <v>1354</v>
      </c>
      <c r="B1355" t="s">
        <v>30</v>
      </c>
      <c r="C1355" t="s">
        <v>6774</v>
      </c>
      <c r="D1355" t="s">
        <v>64</v>
      </c>
      <c r="E1355" t="s">
        <v>64</v>
      </c>
      <c r="F1355" t="s">
        <v>65</v>
      </c>
      <c r="G1355" t="s">
        <v>65</v>
      </c>
      <c r="I1355" t="s">
        <v>6775</v>
      </c>
      <c r="K1355" t="s">
        <v>6776</v>
      </c>
      <c r="N1355" t="s">
        <v>6777</v>
      </c>
      <c r="Z1355" t="s">
        <v>43</v>
      </c>
    </row>
    <row r="1356" spans="1:26" x14ac:dyDescent="0.25">
      <c r="A1356">
        <v>1355</v>
      </c>
      <c r="B1356" t="s">
        <v>30</v>
      </c>
      <c r="C1356" t="s">
        <v>6778</v>
      </c>
      <c r="D1356" t="s">
        <v>772</v>
      </c>
      <c r="E1356" t="s">
        <v>72</v>
      </c>
      <c r="F1356" t="s">
        <v>773</v>
      </c>
      <c r="G1356" t="s">
        <v>73</v>
      </c>
      <c r="I1356" t="s">
        <v>6779</v>
      </c>
      <c r="J1356">
        <f>57-313-820-955</f>
        <v>-2031</v>
      </c>
      <c r="K1356" t="s">
        <v>6780</v>
      </c>
      <c r="N1356" t="s">
        <v>6781</v>
      </c>
      <c r="Z1356" t="s">
        <v>43</v>
      </c>
    </row>
    <row r="1357" spans="1:26" x14ac:dyDescent="0.25">
      <c r="A1357">
        <v>1356</v>
      </c>
      <c r="B1357" t="s">
        <v>30</v>
      </c>
      <c r="C1357" t="s">
        <v>6782</v>
      </c>
      <c r="D1357" t="s">
        <v>6783</v>
      </c>
      <c r="E1357" t="s">
        <v>471</v>
      </c>
      <c r="F1357" t="s">
        <v>6784</v>
      </c>
      <c r="G1357" t="s">
        <v>47</v>
      </c>
      <c r="I1357" t="s">
        <v>6785</v>
      </c>
      <c r="J1357">
        <f>57-315-290-4128</f>
        <v>-4676</v>
      </c>
      <c r="K1357" t="s">
        <v>6786</v>
      </c>
      <c r="N1357" t="s">
        <v>6787</v>
      </c>
      <c r="Z1357" t="s">
        <v>43</v>
      </c>
    </row>
    <row r="1358" spans="1:26" x14ac:dyDescent="0.25">
      <c r="A1358">
        <v>1357</v>
      </c>
      <c r="B1358" t="s">
        <v>30</v>
      </c>
      <c r="C1358" t="s">
        <v>6788</v>
      </c>
      <c r="D1358" t="s">
        <v>2585</v>
      </c>
      <c r="E1358" t="s">
        <v>56</v>
      </c>
      <c r="F1358" t="s">
        <v>2586</v>
      </c>
      <c r="G1358" t="s">
        <v>57</v>
      </c>
      <c r="I1358" t="s">
        <v>6789</v>
      </c>
      <c r="K1358" t="s">
        <v>6790</v>
      </c>
      <c r="N1358" t="s">
        <v>6791</v>
      </c>
      <c r="Z1358" t="s">
        <v>43</v>
      </c>
    </row>
    <row r="1359" spans="1:26" x14ac:dyDescent="0.25">
      <c r="A1359">
        <v>1358</v>
      </c>
      <c r="B1359" t="s">
        <v>30</v>
      </c>
      <c r="C1359" t="s">
        <v>6792</v>
      </c>
      <c r="D1359" t="s">
        <v>4730</v>
      </c>
      <c r="E1359" t="s">
        <v>800</v>
      </c>
      <c r="F1359" t="s">
        <v>4731</v>
      </c>
      <c r="G1359" t="s">
        <v>802</v>
      </c>
      <c r="I1359" t="s">
        <v>6793</v>
      </c>
      <c r="J1359">
        <f>57-60-1-782-846</f>
        <v>-1632</v>
      </c>
      <c r="K1359" t="s">
        <v>6794</v>
      </c>
      <c r="N1359" t="s">
        <v>6795</v>
      </c>
      <c r="Z1359" t="s">
        <v>43</v>
      </c>
    </row>
    <row r="1360" spans="1:26" x14ac:dyDescent="0.25">
      <c r="A1360">
        <v>1359</v>
      </c>
      <c r="B1360" t="s">
        <v>30</v>
      </c>
      <c r="C1360" t="s">
        <v>6796</v>
      </c>
      <c r="D1360" t="s">
        <v>46</v>
      </c>
      <c r="E1360" t="s">
        <v>56</v>
      </c>
      <c r="F1360" t="s">
        <v>820</v>
      </c>
      <c r="G1360" t="s">
        <v>57</v>
      </c>
      <c r="I1360" t="s">
        <v>6797</v>
      </c>
      <c r="K1360" t="s">
        <v>6798</v>
      </c>
      <c r="N1360" t="s">
        <v>6799</v>
      </c>
      <c r="Z1360" t="s">
        <v>43</v>
      </c>
    </row>
    <row r="1361" spans="1:26" x14ac:dyDescent="0.25">
      <c r="A1361">
        <v>1360</v>
      </c>
      <c r="B1361" t="s">
        <v>30</v>
      </c>
      <c r="C1361" t="s">
        <v>6800</v>
      </c>
      <c r="D1361" t="s">
        <v>4036</v>
      </c>
      <c r="E1361" t="s">
        <v>471</v>
      </c>
      <c r="F1361" t="s">
        <v>4037</v>
      </c>
      <c r="G1361" t="s">
        <v>47</v>
      </c>
      <c r="I1361" t="s">
        <v>6801</v>
      </c>
      <c r="J1361">
        <f>57-60-1-466-3025</f>
        <v>-3495</v>
      </c>
      <c r="K1361" t="s">
        <v>6802</v>
      </c>
      <c r="N1361" t="s">
        <v>6803</v>
      </c>
      <c r="Z1361" t="s">
        <v>43</v>
      </c>
    </row>
    <row r="1362" spans="1:26" x14ac:dyDescent="0.25">
      <c r="A1362">
        <v>1361</v>
      </c>
      <c r="B1362" t="s">
        <v>30</v>
      </c>
      <c r="C1362" t="s">
        <v>6804</v>
      </c>
      <c r="D1362" t="s">
        <v>46</v>
      </c>
      <c r="E1362" t="s">
        <v>471</v>
      </c>
      <c r="F1362" t="s">
        <v>2523</v>
      </c>
      <c r="G1362" t="s">
        <v>47</v>
      </c>
      <c r="I1362" t="s">
        <v>6805</v>
      </c>
      <c r="J1362">
        <f>57-311-540-1936</f>
        <v>-2730</v>
      </c>
      <c r="K1362" t="s">
        <v>6806</v>
      </c>
      <c r="N1362" t="s">
        <v>6807</v>
      </c>
      <c r="Z1362" t="s">
        <v>43</v>
      </c>
    </row>
    <row r="1363" spans="1:26" x14ac:dyDescent="0.25">
      <c r="A1363">
        <v>1362</v>
      </c>
      <c r="B1363" t="s">
        <v>30</v>
      </c>
      <c r="C1363" t="s">
        <v>6808</v>
      </c>
      <c r="D1363" t="s">
        <v>4202</v>
      </c>
      <c r="E1363" t="s">
        <v>72</v>
      </c>
      <c r="F1363" t="s">
        <v>6809</v>
      </c>
      <c r="G1363" t="s">
        <v>73</v>
      </c>
      <c r="I1363" t="s">
        <v>6810</v>
      </c>
      <c r="K1363" t="s">
        <v>6811</v>
      </c>
      <c r="N1363" t="s">
        <v>6812</v>
      </c>
      <c r="Z1363" t="s">
        <v>43</v>
      </c>
    </row>
    <row r="1364" spans="1:26" x14ac:dyDescent="0.25">
      <c r="A1364">
        <v>1363</v>
      </c>
      <c r="B1364" t="s">
        <v>30</v>
      </c>
      <c r="C1364" t="s">
        <v>6813</v>
      </c>
      <c r="D1364" t="s">
        <v>2104</v>
      </c>
      <c r="E1364" t="s">
        <v>1774</v>
      </c>
      <c r="F1364" t="s">
        <v>4124</v>
      </c>
      <c r="G1364" t="s">
        <v>1776</v>
      </c>
      <c r="I1364" t="s">
        <v>6814</v>
      </c>
      <c r="J1364">
        <f>57-60-1-702-1080</f>
        <v>-1786</v>
      </c>
      <c r="K1364" t="s">
        <v>6815</v>
      </c>
      <c r="N1364" t="s">
        <v>6816</v>
      </c>
      <c r="Z1364" t="s">
        <v>43</v>
      </c>
    </row>
    <row r="1365" spans="1:26" x14ac:dyDescent="0.25">
      <c r="A1365">
        <v>1364</v>
      </c>
      <c r="B1365" t="s">
        <v>30</v>
      </c>
      <c r="C1365" t="s">
        <v>6817</v>
      </c>
      <c r="D1365" t="s">
        <v>2098</v>
      </c>
      <c r="E1365" t="s">
        <v>56</v>
      </c>
      <c r="F1365" t="s">
        <v>2099</v>
      </c>
      <c r="G1365" t="s">
        <v>57</v>
      </c>
      <c r="I1365" t="s">
        <v>6818</v>
      </c>
      <c r="K1365" t="s">
        <v>6819</v>
      </c>
      <c r="N1365" t="s">
        <v>6820</v>
      </c>
      <c r="Z1365" t="s">
        <v>43</v>
      </c>
    </row>
    <row r="1366" spans="1:26" x14ac:dyDescent="0.25">
      <c r="A1366">
        <v>1365</v>
      </c>
      <c r="B1366" t="s">
        <v>30</v>
      </c>
      <c r="C1366" t="s">
        <v>6821</v>
      </c>
      <c r="D1366" t="s">
        <v>754</v>
      </c>
      <c r="E1366" t="s">
        <v>755</v>
      </c>
      <c r="F1366" t="s">
        <v>6822</v>
      </c>
      <c r="G1366" t="s">
        <v>3857</v>
      </c>
      <c r="I1366" t="s">
        <v>6823</v>
      </c>
      <c r="J1366">
        <f>57-310-580-5263</f>
        <v>-6096</v>
      </c>
      <c r="K1366" t="s">
        <v>6824</v>
      </c>
      <c r="N1366" t="s">
        <v>6825</v>
      </c>
      <c r="Z1366" t="s">
        <v>43</v>
      </c>
    </row>
    <row r="1367" spans="1:26" x14ac:dyDescent="0.25">
      <c r="A1367">
        <v>1366</v>
      </c>
      <c r="B1367" t="s">
        <v>30</v>
      </c>
      <c r="C1367" t="s">
        <v>6826</v>
      </c>
      <c r="D1367" t="s">
        <v>1268</v>
      </c>
      <c r="E1367" t="s">
        <v>1269</v>
      </c>
      <c r="F1367" t="s">
        <v>1270</v>
      </c>
      <c r="G1367" t="s">
        <v>1271</v>
      </c>
      <c r="I1367" t="s">
        <v>6827</v>
      </c>
      <c r="J1367">
        <f>57-311-852-8995</f>
        <v>-10101</v>
      </c>
      <c r="K1367" t="s">
        <v>6828</v>
      </c>
      <c r="N1367" t="s">
        <v>6829</v>
      </c>
      <c r="Z1367" t="s">
        <v>43</v>
      </c>
    </row>
    <row r="1368" spans="1:26" x14ac:dyDescent="0.25">
      <c r="A1368">
        <v>1367</v>
      </c>
      <c r="B1368" t="s">
        <v>30</v>
      </c>
      <c r="C1368" t="s">
        <v>6830</v>
      </c>
      <c r="D1368" t="s">
        <v>3199</v>
      </c>
      <c r="E1368" t="s">
        <v>56</v>
      </c>
      <c r="F1368" t="s">
        <v>6831</v>
      </c>
      <c r="G1368" t="s">
        <v>57</v>
      </c>
      <c r="I1368" t="s">
        <v>6832</v>
      </c>
      <c r="K1368" t="s">
        <v>6833</v>
      </c>
      <c r="N1368" t="s">
        <v>6834</v>
      </c>
      <c r="Z1368" t="s">
        <v>43</v>
      </c>
    </row>
    <row r="1369" spans="1:26" x14ac:dyDescent="0.25">
      <c r="A1369">
        <v>1368</v>
      </c>
      <c r="B1369" t="s">
        <v>30</v>
      </c>
      <c r="C1369" t="s">
        <v>6835</v>
      </c>
      <c r="D1369" t="s">
        <v>6836</v>
      </c>
      <c r="E1369" t="s">
        <v>471</v>
      </c>
      <c r="F1369" t="s">
        <v>6837</v>
      </c>
      <c r="G1369" t="s">
        <v>47</v>
      </c>
      <c r="I1369" t="s">
        <v>6838</v>
      </c>
      <c r="K1369" t="s">
        <v>6839</v>
      </c>
      <c r="N1369" t="s">
        <v>6840</v>
      </c>
      <c r="Z1369" t="s">
        <v>43</v>
      </c>
    </row>
    <row r="1370" spans="1:26" x14ac:dyDescent="0.25">
      <c r="A1370">
        <v>1369</v>
      </c>
      <c r="B1370" t="s">
        <v>30</v>
      </c>
      <c r="C1370" t="s">
        <v>6841</v>
      </c>
      <c r="D1370" t="s">
        <v>384</v>
      </c>
      <c r="E1370" t="s">
        <v>56</v>
      </c>
      <c r="F1370" t="s">
        <v>386</v>
      </c>
      <c r="G1370" t="s">
        <v>57</v>
      </c>
      <c r="I1370" t="s">
        <v>6842</v>
      </c>
      <c r="J1370">
        <f>57-304-436-142</f>
        <v>-825</v>
      </c>
      <c r="K1370" t="s">
        <v>6843</v>
      </c>
      <c r="N1370" t="s">
        <v>6190</v>
      </c>
      <c r="Z1370" t="s">
        <v>43</v>
      </c>
    </row>
    <row r="1371" spans="1:26" x14ac:dyDescent="0.25">
      <c r="A1371">
        <v>1370</v>
      </c>
      <c r="B1371" t="s">
        <v>30</v>
      </c>
      <c r="C1371" t="s">
        <v>6844</v>
      </c>
      <c r="D1371" t="s">
        <v>813</v>
      </c>
      <c r="E1371" t="s">
        <v>72</v>
      </c>
      <c r="F1371" t="s">
        <v>814</v>
      </c>
      <c r="G1371" t="s">
        <v>73</v>
      </c>
      <c r="I1371" t="s">
        <v>6845</v>
      </c>
      <c r="K1371" t="s">
        <v>6846</v>
      </c>
      <c r="N1371" t="s">
        <v>6847</v>
      </c>
      <c r="Z1371" t="s">
        <v>43</v>
      </c>
    </row>
    <row r="1372" spans="1:26" x14ac:dyDescent="0.25">
      <c r="A1372">
        <v>1371</v>
      </c>
      <c r="B1372" t="s">
        <v>30</v>
      </c>
      <c r="C1372" t="s">
        <v>6848</v>
      </c>
      <c r="D1372" t="s">
        <v>6849</v>
      </c>
      <c r="E1372" t="s">
        <v>4643</v>
      </c>
      <c r="F1372" t="s">
        <v>6850</v>
      </c>
      <c r="G1372" t="s">
        <v>4645</v>
      </c>
      <c r="I1372" t="s">
        <v>6851</v>
      </c>
      <c r="J1372">
        <f>57-323-233-2609</f>
        <v>-3108</v>
      </c>
      <c r="K1372" t="s">
        <v>6852</v>
      </c>
      <c r="N1372" t="s">
        <v>6853</v>
      </c>
      <c r="Z1372" t="s">
        <v>43</v>
      </c>
    </row>
    <row r="1373" spans="1:26" x14ac:dyDescent="0.25">
      <c r="A1373">
        <v>1372</v>
      </c>
      <c r="B1373" t="s">
        <v>30</v>
      </c>
      <c r="C1373" t="s">
        <v>6854</v>
      </c>
      <c r="D1373" t="s">
        <v>6855</v>
      </c>
      <c r="E1373" t="s">
        <v>56</v>
      </c>
      <c r="F1373" t="s">
        <v>6856</v>
      </c>
      <c r="G1373" t="s">
        <v>57</v>
      </c>
      <c r="I1373" t="s">
        <v>6857</v>
      </c>
      <c r="K1373" t="s">
        <v>6858</v>
      </c>
      <c r="N1373" t="s">
        <v>6859</v>
      </c>
      <c r="Z1373" t="s">
        <v>43</v>
      </c>
    </row>
    <row r="1374" spans="1:26" x14ac:dyDescent="0.25">
      <c r="A1374">
        <v>1373</v>
      </c>
      <c r="B1374" t="s">
        <v>30</v>
      </c>
      <c r="C1374" t="s">
        <v>6860</v>
      </c>
      <c r="D1374" t="s">
        <v>2862</v>
      </c>
      <c r="E1374" t="s">
        <v>56</v>
      </c>
      <c r="F1374" t="s">
        <v>6861</v>
      </c>
      <c r="G1374" t="s">
        <v>57</v>
      </c>
      <c r="I1374" t="s">
        <v>6862</v>
      </c>
      <c r="K1374" t="s">
        <v>6863</v>
      </c>
      <c r="N1374" t="s">
        <v>6864</v>
      </c>
      <c r="Z1374" t="s">
        <v>43</v>
      </c>
    </row>
    <row r="1375" spans="1:26" x14ac:dyDescent="0.25">
      <c r="A1375">
        <v>1374</v>
      </c>
      <c r="B1375" t="s">
        <v>30</v>
      </c>
      <c r="C1375" t="s">
        <v>6865</v>
      </c>
      <c r="D1375" t="s">
        <v>4964</v>
      </c>
      <c r="E1375" t="s">
        <v>471</v>
      </c>
      <c r="F1375" t="s">
        <v>4965</v>
      </c>
      <c r="G1375" t="s">
        <v>47</v>
      </c>
      <c r="I1375" t="s">
        <v>6866</v>
      </c>
      <c r="K1375" t="s">
        <v>6867</v>
      </c>
      <c r="N1375" t="s">
        <v>6868</v>
      </c>
      <c r="Z1375" t="s">
        <v>43</v>
      </c>
    </row>
    <row r="1376" spans="1:26" x14ac:dyDescent="0.25">
      <c r="A1376">
        <v>1375</v>
      </c>
      <c r="B1376" t="s">
        <v>30</v>
      </c>
      <c r="C1376" t="s">
        <v>6869</v>
      </c>
      <c r="D1376" t="s">
        <v>64</v>
      </c>
      <c r="E1376" t="s">
        <v>64</v>
      </c>
      <c r="F1376" t="s">
        <v>65</v>
      </c>
      <c r="G1376" t="s">
        <v>65</v>
      </c>
      <c r="I1376" t="s">
        <v>6870</v>
      </c>
      <c r="J1376">
        <f>57-311-508-8038</f>
        <v>-8800</v>
      </c>
      <c r="K1376" t="s">
        <v>6871</v>
      </c>
      <c r="N1376" t="s">
        <v>6872</v>
      </c>
      <c r="Z1376" t="s">
        <v>43</v>
      </c>
    </row>
    <row r="1377" spans="1:26" x14ac:dyDescent="0.25">
      <c r="A1377">
        <v>1376</v>
      </c>
      <c r="B1377" t="s">
        <v>30</v>
      </c>
      <c r="C1377" t="s">
        <v>6873</v>
      </c>
      <c r="D1377" t="s">
        <v>1805</v>
      </c>
      <c r="E1377" t="s">
        <v>471</v>
      </c>
      <c r="F1377" t="s">
        <v>4959</v>
      </c>
      <c r="G1377" t="s">
        <v>47</v>
      </c>
      <c r="I1377" t="s">
        <v>6874</v>
      </c>
      <c r="K1377" t="s">
        <v>6875</v>
      </c>
      <c r="N1377" t="s">
        <v>6876</v>
      </c>
      <c r="Z1377" t="s">
        <v>43</v>
      </c>
    </row>
    <row r="1378" spans="1:26" x14ac:dyDescent="0.25">
      <c r="A1378">
        <v>1377</v>
      </c>
      <c r="B1378" t="s">
        <v>30</v>
      </c>
      <c r="C1378" t="s">
        <v>6877</v>
      </c>
      <c r="D1378" t="s">
        <v>6878</v>
      </c>
      <c r="E1378" t="s">
        <v>5155</v>
      </c>
      <c r="F1378" t="s">
        <v>6879</v>
      </c>
      <c r="G1378" t="s">
        <v>6880</v>
      </c>
      <c r="I1378" t="s">
        <v>6881</v>
      </c>
      <c r="J1378">
        <f>57-300-330-1895</f>
        <v>-2468</v>
      </c>
      <c r="K1378" t="s">
        <v>6882</v>
      </c>
      <c r="N1378" t="s">
        <v>6883</v>
      </c>
      <c r="Z1378" t="s">
        <v>43</v>
      </c>
    </row>
    <row r="1379" spans="1:26" x14ac:dyDescent="0.25">
      <c r="A1379">
        <v>1378</v>
      </c>
      <c r="B1379" t="s">
        <v>30</v>
      </c>
      <c r="C1379" t="s">
        <v>6884</v>
      </c>
      <c r="D1379" t="s">
        <v>867</v>
      </c>
      <c r="E1379" t="s">
        <v>72</v>
      </c>
      <c r="F1379" t="s">
        <v>868</v>
      </c>
      <c r="G1379" t="s">
        <v>73</v>
      </c>
      <c r="I1379" t="s">
        <v>6885</v>
      </c>
      <c r="J1379">
        <f>57-60-1-525-1384</f>
        <v>-1913</v>
      </c>
      <c r="K1379" t="s">
        <v>6886</v>
      </c>
      <c r="N1379" t="s">
        <v>6887</v>
      </c>
      <c r="Z1379" t="s">
        <v>43</v>
      </c>
    </row>
    <row r="1380" spans="1:26" x14ac:dyDescent="0.25">
      <c r="A1380">
        <v>1379</v>
      </c>
      <c r="B1380" t="s">
        <v>30</v>
      </c>
      <c r="C1380" t="s">
        <v>6888</v>
      </c>
      <c r="D1380" t="s">
        <v>6889</v>
      </c>
      <c r="E1380" t="s">
        <v>56</v>
      </c>
      <c r="F1380" t="s">
        <v>6890</v>
      </c>
      <c r="G1380" t="s">
        <v>57</v>
      </c>
      <c r="I1380" t="s">
        <v>6891</v>
      </c>
      <c r="K1380" t="s">
        <v>6892</v>
      </c>
      <c r="N1380" t="s">
        <v>6893</v>
      </c>
      <c r="Z1380" t="s">
        <v>43</v>
      </c>
    </row>
    <row r="1381" spans="1:26" x14ac:dyDescent="0.25">
      <c r="A1381">
        <v>1380</v>
      </c>
      <c r="B1381" t="s">
        <v>30</v>
      </c>
      <c r="C1381" t="s">
        <v>6894</v>
      </c>
      <c r="D1381" t="s">
        <v>46</v>
      </c>
      <c r="E1381" t="s">
        <v>56</v>
      </c>
      <c r="F1381" t="s">
        <v>820</v>
      </c>
      <c r="G1381" t="s">
        <v>57</v>
      </c>
      <c r="I1381" t="s">
        <v>6895</v>
      </c>
      <c r="J1381">
        <f>57-350-399-9009</f>
        <v>-9701</v>
      </c>
      <c r="K1381" t="s">
        <v>6896</v>
      </c>
      <c r="N1381" t="s">
        <v>6897</v>
      </c>
      <c r="Z1381" t="s">
        <v>43</v>
      </c>
    </row>
    <row r="1382" spans="1:26" x14ac:dyDescent="0.25">
      <c r="A1382">
        <v>1381</v>
      </c>
      <c r="B1382" t="s">
        <v>30</v>
      </c>
      <c r="C1382" t="s">
        <v>6898</v>
      </c>
      <c r="D1382" t="s">
        <v>46</v>
      </c>
      <c r="E1382" t="s">
        <v>471</v>
      </c>
      <c r="F1382" t="s">
        <v>820</v>
      </c>
      <c r="G1382" t="s">
        <v>47</v>
      </c>
      <c r="I1382" t="s">
        <v>6899</v>
      </c>
      <c r="K1382" t="s">
        <v>6900</v>
      </c>
      <c r="N1382" t="s">
        <v>6901</v>
      </c>
      <c r="Z1382" t="s">
        <v>43</v>
      </c>
    </row>
    <row r="1383" spans="1:26" x14ac:dyDescent="0.25">
      <c r="A1383">
        <v>1382</v>
      </c>
      <c r="B1383" t="s">
        <v>30</v>
      </c>
      <c r="C1383" t="s">
        <v>6902</v>
      </c>
      <c r="D1383" t="s">
        <v>6903</v>
      </c>
      <c r="E1383" t="s">
        <v>1760</v>
      </c>
      <c r="F1383" t="s">
        <v>6904</v>
      </c>
      <c r="G1383" t="s">
        <v>1762</v>
      </c>
      <c r="I1383" t="s">
        <v>6905</v>
      </c>
      <c r="J1383">
        <f>57-304-340-2919</f>
        <v>-3506</v>
      </c>
      <c r="K1383" t="s">
        <v>6906</v>
      </c>
      <c r="N1383" t="s">
        <v>6907</v>
      </c>
      <c r="Z1383" t="s">
        <v>43</v>
      </c>
    </row>
    <row r="1384" spans="1:26" x14ac:dyDescent="0.25">
      <c r="A1384">
        <v>1383</v>
      </c>
      <c r="B1384" t="s">
        <v>30</v>
      </c>
      <c r="C1384" t="s">
        <v>6908</v>
      </c>
      <c r="D1384" t="s">
        <v>909</v>
      </c>
      <c r="E1384" t="s">
        <v>471</v>
      </c>
      <c r="F1384" t="s">
        <v>1659</v>
      </c>
      <c r="G1384" t="s">
        <v>47</v>
      </c>
      <c r="I1384" t="s">
        <v>6909</v>
      </c>
      <c r="K1384" t="s">
        <v>6910</v>
      </c>
      <c r="N1384" t="s">
        <v>6911</v>
      </c>
      <c r="Z1384" t="s">
        <v>43</v>
      </c>
    </row>
    <row r="1385" spans="1:26" x14ac:dyDescent="0.25">
      <c r="A1385">
        <v>1384</v>
      </c>
      <c r="B1385" t="s">
        <v>30</v>
      </c>
      <c r="C1385" t="s">
        <v>6912</v>
      </c>
      <c r="D1385" t="s">
        <v>72</v>
      </c>
      <c r="E1385" t="s">
        <v>72</v>
      </c>
      <c r="F1385" t="s">
        <v>73</v>
      </c>
      <c r="G1385" t="s">
        <v>73</v>
      </c>
      <c r="I1385" t="s">
        <v>6913</v>
      </c>
      <c r="J1385">
        <f>57-60-1-263-3945</f>
        <v>-4212</v>
      </c>
      <c r="K1385" t="s">
        <v>6914</v>
      </c>
      <c r="N1385" t="s">
        <v>6915</v>
      </c>
      <c r="Z1385" t="s">
        <v>43</v>
      </c>
    </row>
    <row r="1386" spans="1:26" x14ac:dyDescent="0.25">
      <c r="A1386">
        <v>1385</v>
      </c>
      <c r="B1386" t="s">
        <v>30</v>
      </c>
      <c r="C1386" t="s">
        <v>6916</v>
      </c>
      <c r="D1386" t="s">
        <v>5498</v>
      </c>
      <c r="E1386" t="s">
        <v>385</v>
      </c>
      <c r="F1386" t="s">
        <v>6917</v>
      </c>
      <c r="G1386" t="s">
        <v>387</v>
      </c>
      <c r="I1386" t="s">
        <v>6918</v>
      </c>
      <c r="J1386">
        <f>57-60-1-610-3726</f>
        <v>-4340</v>
      </c>
      <c r="K1386" t="s">
        <v>6919</v>
      </c>
      <c r="N1386" t="s">
        <v>6920</v>
      </c>
      <c r="Z1386" t="s">
        <v>43</v>
      </c>
    </row>
    <row r="1387" spans="1:26" x14ac:dyDescent="0.25">
      <c r="A1387">
        <v>1386</v>
      </c>
      <c r="B1387" t="s">
        <v>30</v>
      </c>
      <c r="C1387" t="s">
        <v>6921</v>
      </c>
      <c r="D1387" t="s">
        <v>6922</v>
      </c>
      <c r="E1387" t="s">
        <v>1269</v>
      </c>
      <c r="F1387" t="s">
        <v>6923</v>
      </c>
      <c r="G1387" t="s">
        <v>1271</v>
      </c>
      <c r="I1387" t="s">
        <v>6924</v>
      </c>
      <c r="J1387">
        <f>57-60-1-215-8880</f>
        <v>-9099</v>
      </c>
      <c r="K1387" t="s">
        <v>6925</v>
      </c>
      <c r="N1387" t="s">
        <v>6926</v>
      </c>
      <c r="Z1387" t="s">
        <v>43</v>
      </c>
    </row>
    <row r="1388" spans="1:26" x14ac:dyDescent="0.25">
      <c r="A1388">
        <v>1387</v>
      </c>
      <c r="B1388" t="s">
        <v>30</v>
      </c>
      <c r="C1388" t="s">
        <v>6927</v>
      </c>
      <c r="D1388" t="s">
        <v>6928</v>
      </c>
      <c r="E1388" t="s">
        <v>4299</v>
      </c>
      <c r="F1388" t="s">
        <v>6929</v>
      </c>
      <c r="G1388" t="s">
        <v>4301</v>
      </c>
      <c r="I1388" t="s">
        <v>6930</v>
      </c>
      <c r="J1388">
        <f>57-310-769-7937</f>
        <v>-8959</v>
      </c>
      <c r="K1388" t="s">
        <v>6931</v>
      </c>
      <c r="N1388" t="s">
        <v>6932</v>
      </c>
      <c r="Z1388" t="s">
        <v>43</v>
      </c>
    </row>
    <row r="1389" spans="1:26" x14ac:dyDescent="0.25">
      <c r="A1389">
        <v>1388</v>
      </c>
      <c r="B1389" t="s">
        <v>30</v>
      </c>
      <c r="C1389" t="s">
        <v>6933</v>
      </c>
      <c r="D1389" t="s">
        <v>6934</v>
      </c>
      <c r="E1389" t="s">
        <v>1585</v>
      </c>
      <c r="F1389" t="s">
        <v>6935</v>
      </c>
      <c r="G1389" t="s">
        <v>1587</v>
      </c>
      <c r="I1389" t="s">
        <v>6936</v>
      </c>
      <c r="J1389">
        <f>57-321-430-3554</f>
        <v>-4248</v>
      </c>
      <c r="K1389" t="s">
        <v>6937</v>
      </c>
      <c r="N1389" t="s">
        <v>6938</v>
      </c>
      <c r="Z1389" t="s">
        <v>43</v>
      </c>
    </row>
    <row r="1390" spans="1:26" x14ac:dyDescent="0.25">
      <c r="A1390">
        <v>1389</v>
      </c>
      <c r="B1390" t="s">
        <v>30</v>
      </c>
      <c r="C1390" t="s">
        <v>6939</v>
      </c>
      <c r="D1390" t="s">
        <v>6940</v>
      </c>
      <c r="E1390" t="s">
        <v>471</v>
      </c>
      <c r="F1390" t="s">
        <v>6941</v>
      </c>
      <c r="G1390" t="s">
        <v>47</v>
      </c>
      <c r="I1390" t="s">
        <v>6942</v>
      </c>
      <c r="J1390">
        <f>57-310-343-9089</f>
        <v>-9685</v>
      </c>
      <c r="K1390" t="s">
        <v>6943</v>
      </c>
      <c r="N1390" t="s">
        <v>6944</v>
      </c>
      <c r="Z1390" t="s">
        <v>43</v>
      </c>
    </row>
    <row r="1391" spans="1:26" x14ac:dyDescent="0.25">
      <c r="A1391">
        <v>1390</v>
      </c>
      <c r="B1391" t="s">
        <v>30</v>
      </c>
      <c r="C1391" t="s">
        <v>6945</v>
      </c>
      <c r="D1391" t="s">
        <v>4698</v>
      </c>
      <c r="E1391" t="s">
        <v>64</v>
      </c>
      <c r="F1391" t="s">
        <v>6086</v>
      </c>
      <c r="G1391" t="s">
        <v>65</v>
      </c>
      <c r="I1391" t="s">
        <v>6946</v>
      </c>
      <c r="J1391">
        <f>57-312-275-1880</f>
        <v>-2410</v>
      </c>
      <c r="K1391" t="s">
        <v>6947</v>
      </c>
      <c r="N1391" t="s">
        <v>6948</v>
      </c>
      <c r="Z1391" t="s">
        <v>43</v>
      </c>
    </row>
    <row r="1392" spans="1:26" x14ac:dyDescent="0.25">
      <c r="A1392">
        <v>1391</v>
      </c>
      <c r="B1392" t="s">
        <v>30</v>
      </c>
      <c r="C1392" t="s">
        <v>6949</v>
      </c>
      <c r="D1392" t="s">
        <v>46</v>
      </c>
      <c r="E1392" t="s">
        <v>56</v>
      </c>
      <c r="F1392" t="s">
        <v>820</v>
      </c>
      <c r="G1392" t="s">
        <v>57</v>
      </c>
      <c r="I1392" t="s">
        <v>6950</v>
      </c>
      <c r="J1392">
        <f>57-322-212-7946</f>
        <v>-8423</v>
      </c>
      <c r="K1392" t="s">
        <v>6951</v>
      </c>
      <c r="N1392" t="s">
        <v>6952</v>
      </c>
      <c r="Z1392" t="s">
        <v>43</v>
      </c>
    </row>
    <row r="1393" spans="1:26" x14ac:dyDescent="0.25">
      <c r="A1393">
        <v>1392</v>
      </c>
      <c r="B1393" t="s">
        <v>30</v>
      </c>
      <c r="C1393" t="s">
        <v>6953</v>
      </c>
      <c r="D1393" t="s">
        <v>1816</v>
      </c>
      <c r="E1393" t="s">
        <v>56</v>
      </c>
      <c r="F1393" t="s">
        <v>1857</v>
      </c>
      <c r="G1393" t="s">
        <v>57</v>
      </c>
      <c r="I1393" t="s">
        <v>6954</v>
      </c>
      <c r="K1393" t="s">
        <v>6955</v>
      </c>
      <c r="N1393" t="s">
        <v>6956</v>
      </c>
      <c r="Z1393" t="s">
        <v>43</v>
      </c>
    </row>
    <row r="1394" spans="1:26" x14ac:dyDescent="0.25">
      <c r="A1394">
        <v>1393</v>
      </c>
      <c r="B1394" t="s">
        <v>30</v>
      </c>
      <c r="C1394" t="s">
        <v>6957</v>
      </c>
      <c r="D1394" t="s">
        <v>813</v>
      </c>
      <c r="E1394" t="s">
        <v>72</v>
      </c>
      <c r="F1394" t="s">
        <v>6958</v>
      </c>
      <c r="G1394" t="s">
        <v>73</v>
      </c>
      <c r="I1394" t="s">
        <v>6959</v>
      </c>
      <c r="J1394">
        <f>57-310-341-9256</f>
        <v>-9850</v>
      </c>
      <c r="K1394" t="s">
        <v>6960</v>
      </c>
      <c r="N1394" t="s">
        <v>6961</v>
      </c>
      <c r="Z1394" t="s">
        <v>43</v>
      </c>
    </row>
    <row r="1395" spans="1:26" x14ac:dyDescent="0.25">
      <c r="A1395">
        <v>1394</v>
      </c>
      <c r="B1395" t="s">
        <v>30</v>
      </c>
      <c r="C1395" t="s">
        <v>6962</v>
      </c>
      <c r="D1395" t="s">
        <v>799</v>
      </c>
      <c r="E1395" t="s">
        <v>471</v>
      </c>
      <c r="F1395" t="s">
        <v>1811</v>
      </c>
      <c r="G1395" t="s">
        <v>47</v>
      </c>
      <c r="I1395" t="s">
        <v>6963</v>
      </c>
      <c r="J1395">
        <f>57-300-394-3366</f>
        <v>-4003</v>
      </c>
      <c r="K1395" t="s">
        <v>6964</v>
      </c>
      <c r="N1395" t="s">
        <v>6965</v>
      </c>
      <c r="Z1395" t="s">
        <v>43</v>
      </c>
    </row>
    <row r="1396" spans="1:26" x14ac:dyDescent="0.25">
      <c r="A1396">
        <v>1395</v>
      </c>
      <c r="B1396" t="s">
        <v>30</v>
      </c>
      <c r="C1396" t="s">
        <v>6966</v>
      </c>
      <c r="D1396" t="s">
        <v>46</v>
      </c>
      <c r="E1396" t="s">
        <v>471</v>
      </c>
      <c r="F1396" t="s">
        <v>820</v>
      </c>
      <c r="G1396" t="s">
        <v>47</v>
      </c>
      <c r="I1396" t="s">
        <v>6967</v>
      </c>
      <c r="K1396" t="s">
        <v>6968</v>
      </c>
      <c r="N1396" t="s">
        <v>6969</v>
      </c>
      <c r="Z1396" t="s">
        <v>43</v>
      </c>
    </row>
    <row r="1397" spans="1:26" x14ac:dyDescent="0.25">
      <c r="A1397">
        <v>1396</v>
      </c>
      <c r="B1397" t="s">
        <v>30</v>
      </c>
      <c r="C1397" t="s">
        <v>6970</v>
      </c>
      <c r="D1397" t="s">
        <v>6971</v>
      </c>
      <c r="E1397" t="s">
        <v>2319</v>
      </c>
      <c r="F1397" t="s">
        <v>6972</v>
      </c>
      <c r="G1397" t="s">
        <v>2321</v>
      </c>
      <c r="I1397" t="s">
        <v>6973</v>
      </c>
      <c r="J1397">
        <f>57-60-1-253-4095</f>
        <v>-4352</v>
      </c>
      <c r="K1397" t="s">
        <v>6974</v>
      </c>
      <c r="N1397" t="s">
        <v>6975</v>
      </c>
      <c r="Z1397" t="s">
        <v>43</v>
      </c>
    </row>
    <row r="1398" spans="1:26" x14ac:dyDescent="0.25">
      <c r="A1398">
        <v>1397</v>
      </c>
      <c r="B1398" t="s">
        <v>30</v>
      </c>
      <c r="C1398" t="s">
        <v>6976</v>
      </c>
      <c r="D1398" t="s">
        <v>6727</v>
      </c>
      <c r="E1398" t="s">
        <v>1217</v>
      </c>
      <c r="F1398" t="s">
        <v>6977</v>
      </c>
      <c r="G1398" t="s">
        <v>1530</v>
      </c>
      <c r="I1398" t="s">
        <v>6978</v>
      </c>
      <c r="K1398" t="s">
        <v>6979</v>
      </c>
      <c r="N1398" t="s">
        <v>6980</v>
      </c>
      <c r="Z1398" t="s">
        <v>43</v>
      </c>
    </row>
    <row r="1399" spans="1:26" x14ac:dyDescent="0.25">
      <c r="A1399">
        <v>1398</v>
      </c>
      <c r="B1399" t="s">
        <v>30</v>
      </c>
      <c r="C1399" t="s">
        <v>6981</v>
      </c>
      <c r="D1399" t="s">
        <v>72</v>
      </c>
      <c r="E1399" t="s">
        <v>72</v>
      </c>
      <c r="F1399" t="s">
        <v>73</v>
      </c>
      <c r="G1399" t="s">
        <v>73</v>
      </c>
      <c r="I1399" t="s">
        <v>6982</v>
      </c>
      <c r="K1399" t="s">
        <v>6983</v>
      </c>
      <c r="N1399" t="s">
        <v>6984</v>
      </c>
      <c r="Z1399" t="s">
        <v>43</v>
      </c>
    </row>
    <row r="1400" spans="1:26" x14ac:dyDescent="0.25">
      <c r="A1400">
        <v>1399</v>
      </c>
      <c r="B1400" t="s">
        <v>30</v>
      </c>
      <c r="C1400" t="s">
        <v>6985</v>
      </c>
      <c r="D1400" t="s">
        <v>46</v>
      </c>
      <c r="E1400" t="s">
        <v>471</v>
      </c>
      <c r="F1400" t="s">
        <v>941</v>
      </c>
      <c r="G1400" t="s">
        <v>47</v>
      </c>
      <c r="I1400" t="s">
        <v>6986</v>
      </c>
      <c r="K1400" t="s">
        <v>6987</v>
      </c>
      <c r="N1400" t="s">
        <v>6988</v>
      </c>
      <c r="Z1400" t="s">
        <v>43</v>
      </c>
    </row>
    <row r="1401" spans="1:26" x14ac:dyDescent="0.25">
      <c r="A1401">
        <v>1400</v>
      </c>
      <c r="B1401" t="s">
        <v>30</v>
      </c>
      <c r="C1401" t="s">
        <v>6989</v>
      </c>
      <c r="D1401" t="s">
        <v>64</v>
      </c>
      <c r="E1401" t="s">
        <v>64</v>
      </c>
      <c r="F1401" t="s">
        <v>65</v>
      </c>
      <c r="G1401" t="s">
        <v>65</v>
      </c>
      <c r="I1401" t="s">
        <v>6990</v>
      </c>
      <c r="K1401" t="s">
        <v>6991</v>
      </c>
      <c r="N1401" t="s">
        <v>6992</v>
      </c>
      <c r="Z1401" t="s">
        <v>43</v>
      </c>
    </row>
    <row r="1402" spans="1:26" x14ac:dyDescent="0.25">
      <c r="A1402">
        <v>1401</v>
      </c>
      <c r="B1402" t="s">
        <v>30</v>
      </c>
      <c r="C1402" t="s">
        <v>6993</v>
      </c>
      <c r="D1402" t="s">
        <v>56</v>
      </c>
      <c r="E1402" t="s">
        <v>56</v>
      </c>
      <c r="F1402" t="s">
        <v>57</v>
      </c>
      <c r="G1402" t="s">
        <v>57</v>
      </c>
      <c r="I1402" t="s">
        <v>6994</v>
      </c>
      <c r="K1402" t="s">
        <v>6995</v>
      </c>
      <c r="N1402" t="s">
        <v>6996</v>
      </c>
      <c r="Z1402" t="s">
        <v>43</v>
      </c>
    </row>
    <row r="1403" spans="1:26" x14ac:dyDescent="0.25">
      <c r="A1403">
        <v>1402</v>
      </c>
      <c r="B1403" t="s">
        <v>30</v>
      </c>
      <c r="C1403" t="s">
        <v>6997</v>
      </c>
      <c r="D1403" t="s">
        <v>6998</v>
      </c>
      <c r="E1403" t="s">
        <v>6999</v>
      </c>
      <c r="F1403" t="s">
        <v>7000</v>
      </c>
      <c r="G1403" t="s">
        <v>7001</v>
      </c>
      <c r="I1403" t="s">
        <v>7002</v>
      </c>
      <c r="J1403">
        <f>57-314-366-7380</f>
        <v>-8003</v>
      </c>
      <c r="K1403" t="s">
        <v>7003</v>
      </c>
      <c r="N1403" t="s">
        <v>7004</v>
      </c>
      <c r="Z1403" t="s">
        <v>43</v>
      </c>
    </row>
    <row r="1404" spans="1:26" x14ac:dyDescent="0.25">
      <c r="A1404">
        <v>1403</v>
      </c>
      <c r="B1404" t="s">
        <v>30</v>
      </c>
      <c r="C1404" t="s">
        <v>7005</v>
      </c>
      <c r="D1404" t="s">
        <v>7006</v>
      </c>
      <c r="E1404" t="s">
        <v>7007</v>
      </c>
      <c r="F1404" t="s">
        <v>7008</v>
      </c>
      <c r="G1404" t="s">
        <v>7009</v>
      </c>
      <c r="I1404" t="s">
        <v>7010</v>
      </c>
      <c r="K1404" t="s">
        <v>7011</v>
      </c>
      <c r="N1404" t="s">
        <v>7012</v>
      </c>
      <c r="Z1404" t="s">
        <v>43</v>
      </c>
    </row>
    <row r="1405" spans="1:26" x14ac:dyDescent="0.25">
      <c r="A1405">
        <v>1404</v>
      </c>
      <c r="B1405" t="s">
        <v>30</v>
      </c>
      <c r="C1405" t="s">
        <v>7013</v>
      </c>
      <c r="D1405" t="s">
        <v>46</v>
      </c>
      <c r="E1405" t="s">
        <v>56</v>
      </c>
      <c r="F1405" t="s">
        <v>820</v>
      </c>
      <c r="G1405" t="s">
        <v>57</v>
      </c>
      <c r="I1405" t="s">
        <v>7014</v>
      </c>
      <c r="K1405" t="s">
        <v>7015</v>
      </c>
      <c r="N1405" t="s">
        <v>7016</v>
      </c>
      <c r="Z1405" t="s">
        <v>43</v>
      </c>
    </row>
    <row r="1406" spans="1:26" x14ac:dyDescent="0.25">
      <c r="A1406">
        <v>1405</v>
      </c>
      <c r="B1406" t="s">
        <v>30</v>
      </c>
      <c r="C1406" t="s">
        <v>7017</v>
      </c>
      <c r="D1406" t="s">
        <v>867</v>
      </c>
      <c r="E1406" t="s">
        <v>471</v>
      </c>
      <c r="F1406" t="s">
        <v>868</v>
      </c>
      <c r="G1406" t="s">
        <v>47</v>
      </c>
      <c r="I1406" t="s">
        <v>7018</v>
      </c>
      <c r="J1406">
        <f>57-320-842-2822</f>
        <v>-3927</v>
      </c>
      <c r="K1406" t="s">
        <v>7019</v>
      </c>
      <c r="N1406" t="s">
        <v>7020</v>
      </c>
      <c r="Z1406" t="s">
        <v>43</v>
      </c>
    </row>
    <row r="1407" spans="1:26" x14ac:dyDescent="0.25">
      <c r="A1407">
        <v>1406</v>
      </c>
      <c r="B1407" t="s">
        <v>30</v>
      </c>
      <c r="C1407" t="s">
        <v>7021</v>
      </c>
      <c r="D1407" t="s">
        <v>7022</v>
      </c>
      <c r="E1407" t="s">
        <v>1850</v>
      </c>
      <c r="F1407" t="s">
        <v>7023</v>
      </c>
      <c r="G1407" t="s">
        <v>1852</v>
      </c>
      <c r="I1407" t="s">
        <v>7024</v>
      </c>
      <c r="K1407" t="s">
        <v>7025</v>
      </c>
      <c r="N1407" t="s">
        <v>7026</v>
      </c>
      <c r="Z1407" t="s">
        <v>43</v>
      </c>
    </row>
    <row r="1408" spans="1:26" x14ac:dyDescent="0.25">
      <c r="A1408">
        <v>1407</v>
      </c>
      <c r="B1408" t="s">
        <v>30</v>
      </c>
      <c r="C1408" t="s">
        <v>7027</v>
      </c>
      <c r="D1408" t="s">
        <v>2336</v>
      </c>
      <c r="E1408" t="s">
        <v>471</v>
      </c>
      <c r="F1408" t="s">
        <v>2337</v>
      </c>
      <c r="G1408" t="s">
        <v>47</v>
      </c>
      <c r="I1408" t="s">
        <v>7028</v>
      </c>
      <c r="K1408" t="s">
        <v>7029</v>
      </c>
      <c r="N1408" t="s">
        <v>7030</v>
      </c>
      <c r="Z1408" t="s">
        <v>43</v>
      </c>
    </row>
    <row r="1409" spans="1:26" x14ac:dyDescent="0.25">
      <c r="A1409">
        <v>1408</v>
      </c>
      <c r="B1409" t="s">
        <v>30</v>
      </c>
      <c r="C1409" t="s">
        <v>7031</v>
      </c>
      <c r="D1409" t="s">
        <v>64</v>
      </c>
      <c r="E1409" t="s">
        <v>64</v>
      </c>
      <c r="F1409" t="s">
        <v>65</v>
      </c>
      <c r="G1409" t="s">
        <v>65</v>
      </c>
      <c r="I1409" t="s">
        <v>7032</v>
      </c>
      <c r="K1409" t="s">
        <v>7033</v>
      </c>
      <c r="N1409" t="s">
        <v>7034</v>
      </c>
      <c r="Z1409" t="s">
        <v>43</v>
      </c>
    </row>
    <row r="1410" spans="1:26" x14ac:dyDescent="0.25">
      <c r="A1410">
        <v>1409</v>
      </c>
      <c r="B1410" t="s">
        <v>30</v>
      </c>
      <c r="C1410" t="s">
        <v>7035</v>
      </c>
      <c r="D1410" t="s">
        <v>46</v>
      </c>
      <c r="E1410" t="s">
        <v>471</v>
      </c>
      <c r="F1410" t="s">
        <v>820</v>
      </c>
      <c r="G1410" t="s">
        <v>47</v>
      </c>
      <c r="I1410" t="s">
        <v>7036</v>
      </c>
      <c r="K1410" t="s">
        <v>7037</v>
      </c>
      <c r="N1410" t="s">
        <v>7038</v>
      </c>
      <c r="Z1410" t="s">
        <v>43</v>
      </c>
    </row>
    <row r="1411" spans="1:26" x14ac:dyDescent="0.25">
      <c r="A1411">
        <v>1410</v>
      </c>
      <c r="B1411" t="s">
        <v>30</v>
      </c>
      <c r="C1411" t="s">
        <v>7039</v>
      </c>
      <c r="D1411" t="s">
        <v>7040</v>
      </c>
      <c r="E1411" t="s">
        <v>72</v>
      </c>
      <c r="F1411" t="s">
        <v>7041</v>
      </c>
      <c r="G1411" t="s">
        <v>73</v>
      </c>
      <c r="I1411" t="s">
        <v>7042</v>
      </c>
      <c r="K1411" t="s">
        <v>7043</v>
      </c>
      <c r="N1411" t="s">
        <v>7044</v>
      </c>
      <c r="Z1411" t="s">
        <v>43</v>
      </c>
    </row>
    <row r="1412" spans="1:26" x14ac:dyDescent="0.25">
      <c r="A1412">
        <v>1411</v>
      </c>
      <c r="B1412" t="s">
        <v>30</v>
      </c>
      <c r="C1412" t="s">
        <v>7045</v>
      </c>
      <c r="D1412" t="s">
        <v>813</v>
      </c>
      <c r="E1412" t="s">
        <v>72</v>
      </c>
      <c r="F1412" t="s">
        <v>3735</v>
      </c>
      <c r="G1412" t="s">
        <v>73</v>
      </c>
      <c r="I1412" t="s">
        <v>7046</v>
      </c>
      <c r="K1412" t="s">
        <v>7047</v>
      </c>
      <c r="N1412" t="s">
        <v>7048</v>
      </c>
      <c r="Z1412" t="s">
        <v>43</v>
      </c>
    </row>
    <row r="1413" spans="1:26" x14ac:dyDescent="0.25">
      <c r="A1413">
        <v>1412</v>
      </c>
      <c r="B1413" t="s">
        <v>30</v>
      </c>
      <c r="C1413" t="s">
        <v>7049</v>
      </c>
      <c r="D1413" t="s">
        <v>909</v>
      </c>
      <c r="E1413" t="s">
        <v>471</v>
      </c>
      <c r="F1413" t="s">
        <v>1659</v>
      </c>
      <c r="G1413" t="s">
        <v>47</v>
      </c>
      <c r="I1413" t="s">
        <v>7050</v>
      </c>
      <c r="J1413">
        <f>57-60-1-466-622</f>
        <v>-1092</v>
      </c>
      <c r="K1413" t="s">
        <v>7051</v>
      </c>
      <c r="N1413" t="s">
        <v>7052</v>
      </c>
      <c r="Z1413" t="s">
        <v>43</v>
      </c>
    </row>
    <row r="1414" spans="1:26" x14ac:dyDescent="0.25">
      <c r="A1414">
        <v>1413</v>
      </c>
      <c r="B1414" t="s">
        <v>30</v>
      </c>
      <c r="C1414" t="s">
        <v>7053</v>
      </c>
      <c r="D1414" t="s">
        <v>7054</v>
      </c>
      <c r="E1414" t="s">
        <v>64</v>
      </c>
      <c r="F1414" t="s">
        <v>7055</v>
      </c>
      <c r="G1414" t="s">
        <v>65</v>
      </c>
      <c r="I1414" t="s">
        <v>7056</v>
      </c>
      <c r="J1414">
        <f>57-301-590-9538</f>
        <v>-10372</v>
      </c>
      <c r="K1414" t="s">
        <v>7057</v>
      </c>
      <c r="N1414" t="s">
        <v>7058</v>
      </c>
      <c r="Z1414" t="s">
        <v>43</v>
      </c>
    </row>
    <row r="1415" spans="1:26" x14ac:dyDescent="0.25">
      <c r="A1415">
        <v>1414</v>
      </c>
      <c r="B1415" t="s">
        <v>30</v>
      </c>
      <c r="C1415" t="s">
        <v>7059</v>
      </c>
      <c r="D1415" t="s">
        <v>772</v>
      </c>
      <c r="E1415" t="s">
        <v>471</v>
      </c>
      <c r="F1415" t="s">
        <v>773</v>
      </c>
      <c r="G1415" t="s">
        <v>47</v>
      </c>
      <c r="I1415" t="s">
        <v>7060</v>
      </c>
      <c r="J1415">
        <f>57-321-803-3546</f>
        <v>-4613</v>
      </c>
      <c r="K1415" t="s">
        <v>7061</v>
      </c>
      <c r="N1415" t="s">
        <v>7062</v>
      </c>
      <c r="Z1415" t="s">
        <v>43</v>
      </c>
    </row>
    <row r="1416" spans="1:26" x14ac:dyDescent="0.25">
      <c r="A1416">
        <v>1415</v>
      </c>
      <c r="B1416" t="s">
        <v>30</v>
      </c>
      <c r="C1416" t="s">
        <v>7063</v>
      </c>
      <c r="D1416" t="s">
        <v>7064</v>
      </c>
      <c r="E1416" t="s">
        <v>2117</v>
      </c>
      <c r="F1416" t="s">
        <v>7065</v>
      </c>
      <c r="G1416" t="s">
        <v>2119</v>
      </c>
      <c r="I1416" t="s">
        <v>7066</v>
      </c>
      <c r="K1416" t="s">
        <v>7067</v>
      </c>
      <c r="N1416" t="s">
        <v>7068</v>
      </c>
      <c r="Z1416" t="s">
        <v>43</v>
      </c>
    </row>
    <row r="1417" spans="1:26" x14ac:dyDescent="0.25">
      <c r="A1417">
        <v>1416</v>
      </c>
      <c r="B1417" t="s">
        <v>30</v>
      </c>
      <c r="C1417" t="s">
        <v>7069</v>
      </c>
      <c r="D1417" t="s">
        <v>56</v>
      </c>
      <c r="E1417" t="s">
        <v>56</v>
      </c>
      <c r="F1417" t="s">
        <v>57</v>
      </c>
      <c r="G1417" t="s">
        <v>57</v>
      </c>
      <c r="I1417" t="s">
        <v>7070</v>
      </c>
      <c r="J1417">
        <f>57-304-681-323</f>
        <v>-1251</v>
      </c>
      <c r="K1417" t="s">
        <v>7071</v>
      </c>
      <c r="N1417" t="s">
        <v>7072</v>
      </c>
      <c r="Z1417" t="s">
        <v>43</v>
      </c>
    </row>
    <row r="1418" spans="1:26" x14ac:dyDescent="0.25">
      <c r="A1418">
        <v>1417</v>
      </c>
      <c r="B1418" t="s">
        <v>30</v>
      </c>
      <c r="C1418" t="s">
        <v>7073</v>
      </c>
      <c r="D1418" t="s">
        <v>46</v>
      </c>
      <c r="E1418" t="s">
        <v>56</v>
      </c>
      <c r="F1418" t="s">
        <v>820</v>
      </c>
      <c r="G1418" t="s">
        <v>57</v>
      </c>
      <c r="I1418" t="s">
        <v>7074</v>
      </c>
      <c r="J1418">
        <f>57-313-875-4316</f>
        <v>-5447</v>
      </c>
      <c r="K1418" t="s">
        <v>7075</v>
      </c>
      <c r="N1418" t="s">
        <v>7076</v>
      </c>
      <c r="Z1418" t="s">
        <v>43</v>
      </c>
    </row>
    <row r="1419" spans="1:26" x14ac:dyDescent="0.25">
      <c r="A1419">
        <v>1418</v>
      </c>
      <c r="B1419" t="s">
        <v>30</v>
      </c>
      <c r="C1419" t="s">
        <v>7077</v>
      </c>
      <c r="D1419" t="s">
        <v>772</v>
      </c>
      <c r="E1419" t="s">
        <v>471</v>
      </c>
      <c r="F1419" t="s">
        <v>1822</v>
      </c>
      <c r="G1419" t="s">
        <v>966</v>
      </c>
      <c r="I1419" t="s">
        <v>7078</v>
      </c>
      <c r="J1419">
        <f>57-312-379-9331</f>
        <v>-9965</v>
      </c>
      <c r="K1419" t="s">
        <v>7079</v>
      </c>
      <c r="N1419" t="s">
        <v>7080</v>
      </c>
      <c r="Z1419" t="s">
        <v>43</v>
      </c>
    </row>
    <row r="1420" spans="1:26" x14ac:dyDescent="0.25">
      <c r="A1420">
        <v>1419</v>
      </c>
      <c r="B1420" t="s">
        <v>30</v>
      </c>
      <c r="C1420" t="s">
        <v>7081</v>
      </c>
      <c r="D1420" t="s">
        <v>772</v>
      </c>
      <c r="E1420" t="s">
        <v>471</v>
      </c>
      <c r="F1420" t="s">
        <v>773</v>
      </c>
      <c r="G1420" t="s">
        <v>47</v>
      </c>
      <c r="I1420" t="s">
        <v>7082</v>
      </c>
      <c r="J1420">
        <f>57-313-843-7080</f>
        <v>-8179</v>
      </c>
      <c r="K1420" t="s">
        <v>7083</v>
      </c>
      <c r="N1420" t="s">
        <v>7084</v>
      </c>
      <c r="Z1420" t="s">
        <v>43</v>
      </c>
    </row>
    <row r="1421" spans="1:26" x14ac:dyDescent="0.25">
      <c r="A1421">
        <v>1420</v>
      </c>
      <c r="B1421" t="s">
        <v>30</v>
      </c>
      <c r="C1421" t="s">
        <v>7085</v>
      </c>
      <c r="D1421" t="s">
        <v>7086</v>
      </c>
      <c r="E1421" t="s">
        <v>7087</v>
      </c>
      <c r="F1421" t="s">
        <v>7088</v>
      </c>
      <c r="G1421" t="s">
        <v>7089</v>
      </c>
      <c r="H1421" t="s">
        <v>7090</v>
      </c>
      <c r="I1421" t="s">
        <v>7091</v>
      </c>
      <c r="J1421">
        <f>57-60-1-805-769</f>
        <v>-1578</v>
      </c>
      <c r="K1421" t="s">
        <v>7092</v>
      </c>
      <c r="N1421" t="s">
        <v>7093</v>
      </c>
      <c r="O1421" t="s">
        <v>1018</v>
      </c>
      <c r="Z1421" t="s">
        <v>43</v>
      </c>
    </row>
    <row r="1422" spans="1:26" x14ac:dyDescent="0.25">
      <c r="A1422">
        <v>1421</v>
      </c>
      <c r="B1422" t="s">
        <v>30</v>
      </c>
      <c r="C1422" t="s">
        <v>7094</v>
      </c>
      <c r="D1422" t="s">
        <v>72</v>
      </c>
      <c r="E1422" t="s">
        <v>72</v>
      </c>
      <c r="F1422" t="s">
        <v>73</v>
      </c>
      <c r="G1422" t="s">
        <v>73</v>
      </c>
      <c r="I1422" t="s">
        <v>7095</v>
      </c>
      <c r="K1422" t="s">
        <v>7096</v>
      </c>
      <c r="N1422" t="s">
        <v>7097</v>
      </c>
      <c r="Z1422" t="s">
        <v>43</v>
      </c>
    </row>
    <row r="1423" spans="1:26" x14ac:dyDescent="0.25">
      <c r="A1423">
        <v>1422</v>
      </c>
      <c r="B1423" t="s">
        <v>30</v>
      </c>
      <c r="C1423" t="s">
        <v>7098</v>
      </c>
      <c r="D1423" t="s">
        <v>3118</v>
      </c>
      <c r="E1423" t="s">
        <v>385</v>
      </c>
      <c r="F1423" t="s">
        <v>3119</v>
      </c>
      <c r="G1423" t="s">
        <v>387</v>
      </c>
      <c r="I1423" t="s">
        <v>7099</v>
      </c>
      <c r="K1423" t="s">
        <v>7100</v>
      </c>
      <c r="N1423" t="s">
        <v>7101</v>
      </c>
      <c r="Z1423" t="s">
        <v>43</v>
      </c>
    </row>
    <row r="1424" spans="1:26" x14ac:dyDescent="0.25">
      <c r="A1424">
        <v>1423</v>
      </c>
      <c r="B1424" t="s">
        <v>30</v>
      </c>
      <c r="C1424" t="s">
        <v>7102</v>
      </c>
      <c r="D1424" t="s">
        <v>7103</v>
      </c>
      <c r="E1424" t="s">
        <v>471</v>
      </c>
      <c r="F1424" t="s">
        <v>7104</v>
      </c>
      <c r="G1424" t="s">
        <v>47</v>
      </c>
      <c r="I1424" t="s">
        <v>7105</v>
      </c>
      <c r="J1424">
        <f>57-315-368-5943</f>
        <v>-6569</v>
      </c>
      <c r="K1424" t="s">
        <v>7106</v>
      </c>
      <c r="N1424" t="s">
        <v>7107</v>
      </c>
      <c r="Z1424" t="s">
        <v>43</v>
      </c>
    </row>
    <row r="1425" spans="1:26" x14ac:dyDescent="0.25">
      <c r="A1425">
        <v>1424</v>
      </c>
      <c r="B1425" t="s">
        <v>30</v>
      </c>
      <c r="C1425" t="s">
        <v>7108</v>
      </c>
      <c r="D1425" t="s">
        <v>7109</v>
      </c>
      <c r="E1425" t="s">
        <v>64</v>
      </c>
      <c r="F1425" t="s">
        <v>7110</v>
      </c>
      <c r="G1425" t="s">
        <v>65</v>
      </c>
      <c r="I1425" t="s">
        <v>7111</v>
      </c>
      <c r="K1425" t="s">
        <v>7112</v>
      </c>
      <c r="N1425" t="s">
        <v>7113</v>
      </c>
      <c r="Z1425" t="s">
        <v>43</v>
      </c>
    </row>
    <row r="1426" spans="1:26" x14ac:dyDescent="0.25">
      <c r="A1426">
        <v>1425</v>
      </c>
      <c r="B1426" t="s">
        <v>30</v>
      </c>
      <c r="C1426" t="s">
        <v>7114</v>
      </c>
      <c r="D1426" t="s">
        <v>1260</v>
      </c>
      <c r="E1426" t="s">
        <v>471</v>
      </c>
      <c r="F1426" t="s">
        <v>3251</v>
      </c>
      <c r="G1426" t="s">
        <v>47</v>
      </c>
      <c r="I1426" t="s">
        <v>7115</v>
      </c>
      <c r="K1426" t="s">
        <v>7116</v>
      </c>
      <c r="N1426" t="s">
        <v>7117</v>
      </c>
      <c r="Z1426" t="s">
        <v>43</v>
      </c>
    </row>
    <row r="1427" spans="1:26" x14ac:dyDescent="0.25">
      <c r="A1427">
        <v>1426</v>
      </c>
      <c r="B1427" t="s">
        <v>30</v>
      </c>
      <c r="C1427" t="s">
        <v>7118</v>
      </c>
      <c r="D1427" t="s">
        <v>2336</v>
      </c>
      <c r="E1427" t="s">
        <v>471</v>
      </c>
      <c r="F1427" t="s">
        <v>7119</v>
      </c>
      <c r="G1427" t="s">
        <v>47</v>
      </c>
      <c r="I1427" t="s">
        <v>7120</v>
      </c>
      <c r="K1427" t="s">
        <v>7121</v>
      </c>
      <c r="N1427" t="s">
        <v>7122</v>
      </c>
      <c r="Z1427" t="s">
        <v>43</v>
      </c>
    </row>
    <row r="1428" spans="1:26" x14ac:dyDescent="0.25">
      <c r="A1428">
        <v>1427</v>
      </c>
      <c r="B1428" t="s">
        <v>30</v>
      </c>
      <c r="C1428" t="s">
        <v>7123</v>
      </c>
      <c r="D1428" t="s">
        <v>1982</v>
      </c>
      <c r="E1428" t="s">
        <v>64</v>
      </c>
      <c r="F1428" t="s">
        <v>1983</v>
      </c>
      <c r="G1428" t="s">
        <v>65</v>
      </c>
      <c r="I1428" t="s">
        <v>7124</v>
      </c>
      <c r="J1428">
        <f>57-320-492-325</f>
        <v>-1080</v>
      </c>
      <c r="K1428" t="s">
        <v>7125</v>
      </c>
      <c r="N1428" t="s">
        <v>7126</v>
      </c>
      <c r="Z1428" t="s">
        <v>43</v>
      </c>
    </row>
    <row r="1429" spans="1:26" x14ac:dyDescent="0.25">
      <c r="A1429">
        <v>1428</v>
      </c>
      <c r="B1429" t="s">
        <v>30</v>
      </c>
      <c r="C1429" t="s">
        <v>7127</v>
      </c>
      <c r="D1429" t="s">
        <v>899</v>
      </c>
      <c r="E1429" t="s">
        <v>471</v>
      </c>
      <c r="F1429" t="s">
        <v>2456</v>
      </c>
      <c r="G1429" t="s">
        <v>47</v>
      </c>
      <c r="I1429" t="s">
        <v>7128</v>
      </c>
      <c r="J1429">
        <f>57-318-359-1625</f>
        <v>-2245</v>
      </c>
      <c r="K1429" t="s">
        <v>7129</v>
      </c>
      <c r="N1429" t="s">
        <v>7130</v>
      </c>
      <c r="Z1429" t="s">
        <v>43</v>
      </c>
    </row>
    <row r="1430" spans="1:26" x14ac:dyDescent="0.25">
      <c r="A1430">
        <v>1429</v>
      </c>
      <c r="B1430" t="s">
        <v>30</v>
      </c>
      <c r="C1430" t="s">
        <v>7131</v>
      </c>
      <c r="D1430" t="s">
        <v>5093</v>
      </c>
      <c r="E1430" t="s">
        <v>1571</v>
      </c>
      <c r="F1430" t="s">
        <v>5094</v>
      </c>
      <c r="G1430" t="s">
        <v>1573</v>
      </c>
      <c r="I1430" t="s">
        <v>7132</v>
      </c>
      <c r="J1430">
        <f>57-60-1-212-4662</f>
        <v>-4878</v>
      </c>
      <c r="K1430" t="s">
        <v>7133</v>
      </c>
      <c r="N1430" t="s">
        <v>7134</v>
      </c>
      <c r="Z1430" t="s">
        <v>43</v>
      </c>
    </row>
    <row r="1431" spans="1:26" x14ac:dyDescent="0.25">
      <c r="A1431">
        <v>1430</v>
      </c>
      <c r="B1431" t="s">
        <v>30</v>
      </c>
      <c r="C1431" t="s">
        <v>7135</v>
      </c>
      <c r="D1431" t="s">
        <v>7136</v>
      </c>
      <c r="E1431" t="s">
        <v>72</v>
      </c>
      <c r="F1431" t="s">
        <v>7137</v>
      </c>
      <c r="G1431" t="s">
        <v>73</v>
      </c>
      <c r="I1431" t="s">
        <v>7138</v>
      </c>
      <c r="J1431">
        <f>57-310-321-1838</f>
        <v>-2412</v>
      </c>
      <c r="K1431" t="s">
        <v>7139</v>
      </c>
      <c r="N1431" t="s">
        <v>7140</v>
      </c>
      <c r="Z1431" t="s">
        <v>43</v>
      </c>
    </row>
    <row r="1432" spans="1:26" x14ac:dyDescent="0.25">
      <c r="A1432">
        <v>1431</v>
      </c>
      <c r="B1432" t="s">
        <v>30</v>
      </c>
      <c r="C1432" t="s">
        <v>7141</v>
      </c>
      <c r="D1432" t="s">
        <v>754</v>
      </c>
      <c r="E1432" t="s">
        <v>755</v>
      </c>
      <c r="F1432" t="s">
        <v>1636</v>
      </c>
      <c r="G1432" t="s">
        <v>757</v>
      </c>
      <c r="I1432" t="s">
        <v>5971</v>
      </c>
      <c r="J1432">
        <f>57-322-901-2713</f>
        <v>-3879</v>
      </c>
      <c r="K1432" t="s">
        <v>5972</v>
      </c>
      <c r="N1432" t="s">
        <v>5973</v>
      </c>
      <c r="Z1432" t="s">
        <v>43</v>
      </c>
    </row>
    <row r="1433" spans="1:26" x14ac:dyDescent="0.25">
      <c r="A1433">
        <v>1432</v>
      </c>
      <c r="B1433" t="s">
        <v>30</v>
      </c>
      <c r="C1433" t="s">
        <v>7142</v>
      </c>
      <c r="D1433" t="s">
        <v>46</v>
      </c>
      <c r="E1433" t="s">
        <v>471</v>
      </c>
      <c r="F1433" t="s">
        <v>820</v>
      </c>
      <c r="G1433" t="s">
        <v>47</v>
      </c>
      <c r="I1433" t="s">
        <v>7143</v>
      </c>
      <c r="J1433">
        <f>57-320-292-1432</f>
        <v>-1987</v>
      </c>
      <c r="K1433" t="s">
        <v>7144</v>
      </c>
      <c r="N1433" t="s">
        <v>7145</v>
      </c>
      <c r="Z1433" t="s">
        <v>43</v>
      </c>
    </row>
    <row r="1434" spans="1:26" x14ac:dyDescent="0.25">
      <c r="A1434">
        <v>1433</v>
      </c>
      <c r="B1434" t="s">
        <v>30</v>
      </c>
      <c r="C1434" t="s">
        <v>7146</v>
      </c>
      <c r="D1434" t="s">
        <v>7147</v>
      </c>
      <c r="E1434" t="s">
        <v>1217</v>
      </c>
      <c r="F1434" t="s">
        <v>7148</v>
      </c>
      <c r="G1434" t="s">
        <v>2132</v>
      </c>
      <c r="I1434" t="s">
        <v>7149</v>
      </c>
      <c r="J1434">
        <f>57-60-1-288-2010</f>
        <v>-2302</v>
      </c>
      <c r="K1434" t="s">
        <v>7150</v>
      </c>
      <c r="N1434" t="s">
        <v>7151</v>
      </c>
      <c r="Z1434" t="s">
        <v>43</v>
      </c>
    </row>
    <row r="1435" spans="1:26" x14ac:dyDescent="0.25">
      <c r="A1435">
        <v>1434</v>
      </c>
      <c r="B1435" t="s">
        <v>30</v>
      </c>
      <c r="C1435" t="s">
        <v>7152</v>
      </c>
      <c r="D1435" t="s">
        <v>72</v>
      </c>
      <c r="E1435" t="s">
        <v>72</v>
      </c>
      <c r="F1435" t="s">
        <v>73</v>
      </c>
      <c r="G1435" t="s">
        <v>73</v>
      </c>
      <c r="H1435" t="s">
        <v>7153</v>
      </c>
      <c r="I1435" t="s">
        <v>7154</v>
      </c>
      <c r="J1435">
        <f>57-60-1-342-4967</f>
        <v>-5313</v>
      </c>
      <c r="K1435" t="s">
        <v>7155</v>
      </c>
      <c r="N1435" t="s">
        <v>7156</v>
      </c>
      <c r="O1435" t="s">
        <v>7157</v>
      </c>
      <c r="Z1435" t="s">
        <v>43</v>
      </c>
    </row>
    <row r="1436" spans="1:26" x14ac:dyDescent="0.25">
      <c r="A1436">
        <v>1435</v>
      </c>
      <c r="B1436" t="s">
        <v>30</v>
      </c>
      <c r="C1436" t="s">
        <v>7158</v>
      </c>
      <c r="D1436" t="s">
        <v>46</v>
      </c>
      <c r="E1436" t="s">
        <v>471</v>
      </c>
      <c r="F1436" t="s">
        <v>941</v>
      </c>
      <c r="G1436" t="s">
        <v>47</v>
      </c>
      <c r="I1436" t="s">
        <v>7159</v>
      </c>
      <c r="J1436">
        <f>57-314-393-1358</f>
        <v>-2008</v>
      </c>
      <c r="K1436" t="s">
        <v>7160</v>
      </c>
      <c r="N1436" t="s">
        <v>7161</v>
      </c>
      <c r="Z1436" t="s">
        <v>43</v>
      </c>
    </row>
    <row r="1437" spans="1:26" x14ac:dyDescent="0.25">
      <c r="A1437">
        <v>1436</v>
      </c>
      <c r="B1437" t="s">
        <v>30</v>
      </c>
      <c r="C1437" t="s">
        <v>7162</v>
      </c>
      <c r="D1437" t="s">
        <v>1982</v>
      </c>
      <c r="E1437" t="s">
        <v>1269</v>
      </c>
      <c r="F1437" t="s">
        <v>7163</v>
      </c>
      <c r="G1437" t="s">
        <v>1271</v>
      </c>
      <c r="I1437" t="s">
        <v>7164</v>
      </c>
      <c r="J1437">
        <f>57-321-861-8680</f>
        <v>-9805</v>
      </c>
      <c r="K1437" t="s">
        <v>7165</v>
      </c>
      <c r="N1437" t="s">
        <v>7166</v>
      </c>
      <c r="Z1437" t="s">
        <v>43</v>
      </c>
    </row>
    <row r="1438" spans="1:26" x14ac:dyDescent="0.25">
      <c r="A1438">
        <v>1437</v>
      </c>
      <c r="B1438" t="s">
        <v>30</v>
      </c>
      <c r="C1438" t="s">
        <v>7167</v>
      </c>
      <c r="D1438" t="s">
        <v>7168</v>
      </c>
      <c r="E1438" t="s">
        <v>5707</v>
      </c>
      <c r="F1438" t="s">
        <v>7169</v>
      </c>
      <c r="G1438" t="s">
        <v>5709</v>
      </c>
      <c r="I1438" t="s">
        <v>7170</v>
      </c>
      <c r="J1438">
        <f>57-60-1-702-5708</f>
        <v>-6414</v>
      </c>
      <c r="K1438" t="s">
        <v>7171</v>
      </c>
      <c r="N1438" t="s">
        <v>7172</v>
      </c>
      <c r="Z1438" t="s">
        <v>43</v>
      </c>
    </row>
    <row r="1439" spans="1:26" x14ac:dyDescent="0.25">
      <c r="A1439">
        <v>1438</v>
      </c>
      <c r="B1439" t="s">
        <v>30</v>
      </c>
      <c r="C1439" t="s">
        <v>7173</v>
      </c>
      <c r="D1439" t="s">
        <v>1713</v>
      </c>
      <c r="E1439" t="s">
        <v>64</v>
      </c>
      <c r="F1439" t="s">
        <v>3079</v>
      </c>
      <c r="G1439" t="s">
        <v>65</v>
      </c>
      <c r="I1439" t="s">
        <v>7174</v>
      </c>
      <c r="K1439" t="s">
        <v>7175</v>
      </c>
      <c r="N1439" t="s">
        <v>7176</v>
      </c>
      <c r="Z1439" t="s">
        <v>43</v>
      </c>
    </row>
    <row r="1440" spans="1:26" x14ac:dyDescent="0.25">
      <c r="A1440">
        <v>1439</v>
      </c>
      <c r="B1440" t="s">
        <v>30</v>
      </c>
      <c r="C1440" t="s">
        <v>7177</v>
      </c>
      <c r="D1440" t="s">
        <v>5868</v>
      </c>
      <c r="E1440" t="s">
        <v>3133</v>
      </c>
      <c r="F1440" t="s">
        <v>5869</v>
      </c>
      <c r="G1440" t="s">
        <v>3135</v>
      </c>
      <c r="I1440" t="s">
        <v>7178</v>
      </c>
      <c r="J1440">
        <f>57-310-558-4040</f>
        <v>-4851</v>
      </c>
      <c r="K1440" t="s">
        <v>7179</v>
      </c>
      <c r="N1440" t="s">
        <v>7180</v>
      </c>
      <c r="Z1440" t="s">
        <v>43</v>
      </c>
    </row>
    <row r="1441" spans="1:26" x14ac:dyDescent="0.25">
      <c r="A1441">
        <v>1440</v>
      </c>
      <c r="B1441" t="s">
        <v>30</v>
      </c>
      <c r="C1441" t="s">
        <v>7181</v>
      </c>
      <c r="D1441" t="s">
        <v>46</v>
      </c>
      <c r="E1441" t="s">
        <v>471</v>
      </c>
      <c r="F1441" t="s">
        <v>820</v>
      </c>
      <c r="G1441" t="s">
        <v>47</v>
      </c>
      <c r="I1441" t="s">
        <v>7182</v>
      </c>
      <c r="K1441" t="s">
        <v>7183</v>
      </c>
      <c r="N1441" t="s">
        <v>7184</v>
      </c>
      <c r="Z1441" t="s">
        <v>43</v>
      </c>
    </row>
    <row r="1442" spans="1:26" x14ac:dyDescent="0.25">
      <c r="A1442">
        <v>1441</v>
      </c>
      <c r="B1442" t="s">
        <v>30</v>
      </c>
      <c r="C1442" t="s">
        <v>7185</v>
      </c>
      <c r="D1442" t="s">
        <v>7186</v>
      </c>
      <c r="E1442" t="s">
        <v>1248</v>
      </c>
      <c r="F1442" t="s">
        <v>7187</v>
      </c>
      <c r="G1442" t="s">
        <v>1250</v>
      </c>
      <c r="I1442" t="s">
        <v>7188</v>
      </c>
      <c r="J1442">
        <f>57-60-1-400-9985</f>
        <v>-10389</v>
      </c>
      <c r="K1442" t="s">
        <v>7189</v>
      </c>
      <c r="N1442" t="s">
        <v>7190</v>
      </c>
      <c r="Z1442" t="s">
        <v>43</v>
      </c>
    </row>
    <row r="1443" spans="1:26" x14ac:dyDescent="0.25">
      <c r="A1443">
        <v>1442</v>
      </c>
      <c r="B1443" t="s">
        <v>30</v>
      </c>
      <c r="C1443" t="s">
        <v>7191</v>
      </c>
      <c r="D1443" t="s">
        <v>2058</v>
      </c>
      <c r="E1443" t="s">
        <v>56</v>
      </c>
      <c r="F1443" t="s">
        <v>2059</v>
      </c>
      <c r="G1443" t="s">
        <v>57</v>
      </c>
      <c r="I1443" t="s">
        <v>7192</v>
      </c>
      <c r="K1443" t="s">
        <v>7193</v>
      </c>
      <c r="N1443" t="s">
        <v>7194</v>
      </c>
      <c r="Z1443" t="s">
        <v>43</v>
      </c>
    </row>
    <row r="1444" spans="1:26" x14ac:dyDescent="0.25">
      <c r="A1444">
        <v>1443</v>
      </c>
      <c r="B1444" t="s">
        <v>30</v>
      </c>
      <c r="C1444" t="s">
        <v>7195</v>
      </c>
      <c r="D1444" t="s">
        <v>7196</v>
      </c>
      <c r="E1444" t="s">
        <v>471</v>
      </c>
      <c r="F1444" t="s">
        <v>7197</v>
      </c>
      <c r="G1444" t="s">
        <v>47</v>
      </c>
      <c r="I1444" t="s">
        <v>7198</v>
      </c>
      <c r="K1444" t="s">
        <v>7199</v>
      </c>
      <c r="N1444" t="s">
        <v>7200</v>
      </c>
      <c r="Z1444" t="s">
        <v>43</v>
      </c>
    </row>
    <row r="1445" spans="1:26" x14ac:dyDescent="0.25">
      <c r="A1445">
        <v>1444</v>
      </c>
      <c r="B1445" t="s">
        <v>30</v>
      </c>
      <c r="C1445" t="s">
        <v>7201</v>
      </c>
      <c r="D1445" t="s">
        <v>7202</v>
      </c>
      <c r="E1445" t="s">
        <v>7203</v>
      </c>
      <c r="F1445" t="s">
        <v>7204</v>
      </c>
      <c r="G1445" t="s">
        <v>7205</v>
      </c>
      <c r="I1445" t="s">
        <v>7206</v>
      </c>
      <c r="J1445">
        <f>57-314-736-284</f>
        <v>-1277</v>
      </c>
      <c r="K1445" t="s">
        <v>7207</v>
      </c>
      <c r="N1445" t="s">
        <v>7208</v>
      </c>
      <c r="Z1445" t="s">
        <v>43</v>
      </c>
    </row>
    <row r="1446" spans="1:26" x14ac:dyDescent="0.25">
      <c r="A1446">
        <v>1445</v>
      </c>
      <c r="B1446" t="s">
        <v>30</v>
      </c>
      <c r="C1446" t="s">
        <v>7209</v>
      </c>
      <c r="D1446" t="s">
        <v>7210</v>
      </c>
      <c r="E1446" t="s">
        <v>1585</v>
      </c>
      <c r="F1446" t="s">
        <v>7211</v>
      </c>
      <c r="G1446" t="s">
        <v>1587</v>
      </c>
      <c r="I1446" t="s">
        <v>7212</v>
      </c>
      <c r="J1446">
        <f>57-350-374-183</f>
        <v>-850</v>
      </c>
      <c r="K1446" t="s">
        <v>7213</v>
      </c>
      <c r="N1446" t="s">
        <v>7214</v>
      </c>
      <c r="Z1446" t="s">
        <v>43</v>
      </c>
    </row>
    <row r="1447" spans="1:26" x14ac:dyDescent="0.25">
      <c r="A1447">
        <v>1446</v>
      </c>
      <c r="B1447" t="s">
        <v>30</v>
      </c>
      <c r="C1447" t="s">
        <v>7215</v>
      </c>
      <c r="D1447" t="s">
        <v>7216</v>
      </c>
      <c r="E1447" t="s">
        <v>1338</v>
      </c>
      <c r="F1447" t="s">
        <v>7217</v>
      </c>
      <c r="G1447" t="s">
        <v>1340</v>
      </c>
      <c r="I1447" t="s">
        <v>7218</v>
      </c>
      <c r="J1447">
        <f>57-311-232-4048</f>
        <v>-4534</v>
      </c>
      <c r="K1447" t="s">
        <v>7219</v>
      </c>
      <c r="N1447" t="s">
        <v>7220</v>
      </c>
      <c r="Z1447" t="s">
        <v>43</v>
      </c>
    </row>
    <row r="1448" spans="1:26" x14ac:dyDescent="0.25">
      <c r="A1448">
        <v>1447</v>
      </c>
      <c r="B1448" t="s">
        <v>30</v>
      </c>
      <c r="C1448" t="s">
        <v>7221</v>
      </c>
      <c r="D1448" t="s">
        <v>384</v>
      </c>
      <c r="E1448" t="s">
        <v>471</v>
      </c>
      <c r="F1448" t="s">
        <v>386</v>
      </c>
      <c r="G1448" t="s">
        <v>47</v>
      </c>
      <c r="I1448" t="s">
        <v>7222</v>
      </c>
      <c r="K1448" t="s">
        <v>7223</v>
      </c>
      <c r="N1448" t="s">
        <v>7224</v>
      </c>
      <c r="Z1448" t="s">
        <v>43</v>
      </c>
    </row>
    <row r="1449" spans="1:26" x14ac:dyDescent="0.25">
      <c r="A1449">
        <v>1448</v>
      </c>
      <c r="B1449" t="s">
        <v>30</v>
      </c>
      <c r="C1449" t="s">
        <v>7225</v>
      </c>
      <c r="D1449" t="s">
        <v>72</v>
      </c>
      <c r="E1449" t="s">
        <v>72</v>
      </c>
      <c r="F1449" t="s">
        <v>73</v>
      </c>
      <c r="G1449" t="s">
        <v>73</v>
      </c>
      <c r="I1449" t="s">
        <v>7226</v>
      </c>
      <c r="J1449">
        <f>57-310-800-9578</f>
        <v>-10631</v>
      </c>
      <c r="K1449" t="s">
        <v>7227</v>
      </c>
      <c r="N1449" t="s">
        <v>7228</v>
      </c>
      <c r="Z1449" t="s">
        <v>43</v>
      </c>
    </row>
    <row r="1450" spans="1:26" x14ac:dyDescent="0.25">
      <c r="A1450">
        <v>1449</v>
      </c>
      <c r="B1450" t="s">
        <v>30</v>
      </c>
      <c r="C1450" t="s">
        <v>7229</v>
      </c>
      <c r="D1450" t="s">
        <v>2024</v>
      </c>
      <c r="E1450" t="s">
        <v>471</v>
      </c>
      <c r="F1450" t="s">
        <v>2025</v>
      </c>
      <c r="G1450" t="s">
        <v>47</v>
      </c>
      <c r="I1450" t="s">
        <v>7230</v>
      </c>
      <c r="J1450">
        <f>57-60-1-468-8955</f>
        <v>-9427</v>
      </c>
      <c r="K1450" t="s">
        <v>7231</v>
      </c>
      <c r="N1450" t="s">
        <v>7232</v>
      </c>
      <c r="Z1450" t="s">
        <v>43</v>
      </c>
    </row>
    <row r="1451" spans="1:26" x14ac:dyDescent="0.25">
      <c r="A1451">
        <v>1450</v>
      </c>
      <c r="B1451" t="s">
        <v>30</v>
      </c>
      <c r="C1451" t="s">
        <v>7233</v>
      </c>
      <c r="D1451" t="s">
        <v>7234</v>
      </c>
      <c r="E1451" t="s">
        <v>1402</v>
      </c>
      <c r="F1451" t="s">
        <v>7235</v>
      </c>
      <c r="G1451" t="s">
        <v>1404</v>
      </c>
      <c r="I1451" t="s">
        <v>7236</v>
      </c>
      <c r="J1451">
        <f>57-314-312-1992</f>
        <v>-2561</v>
      </c>
      <c r="K1451" t="s">
        <v>7237</v>
      </c>
      <c r="N1451" t="s">
        <v>7238</v>
      </c>
      <c r="Z1451" t="s">
        <v>43</v>
      </c>
    </row>
    <row r="1452" spans="1:26" x14ac:dyDescent="0.25">
      <c r="A1452">
        <v>1451</v>
      </c>
      <c r="B1452" t="s">
        <v>30</v>
      </c>
      <c r="C1452" t="s">
        <v>7239</v>
      </c>
      <c r="D1452" t="s">
        <v>7240</v>
      </c>
      <c r="E1452" t="s">
        <v>64</v>
      </c>
      <c r="F1452" t="s">
        <v>7241</v>
      </c>
      <c r="G1452" t="s">
        <v>65</v>
      </c>
      <c r="I1452" t="s">
        <v>7242</v>
      </c>
      <c r="J1452">
        <f>57-314-389-5437</f>
        <v>-6083</v>
      </c>
      <c r="K1452" t="s">
        <v>7243</v>
      </c>
      <c r="N1452" t="s">
        <v>7244</v>
      </c>
      <c r="Z1452" t="s">
        <v>43</v>
      </c>
    </row>
    <row r="1453" spans="1:26" x14ac:dyDescent="0.25">
      <c r="A1453">
        <v>1452</v>
      </c>
      <c r="B1453" t="s">
        <v>30</v>
      </c>
      <c r="C1453" t="s">
        <v>7245</v>
      </c>
      <c r="D1453" t="s">
        <v>7246</v>
      </c>
      <c r="E1453" t="s">
        <v>471</v>
      </c>
      <c r="F1453" t="s">
        <v>7247</v>
      </c>
      <c r="G1453" t="s">
        <v>47</v>
      </c>
      <c r="I1453" t="s">
        <v>7248</v>
      </c>
      <c r="J1453">
        <f>57-318-622-9001</f>
        <v>-9884</v>
      </c>
      <c r="K1453" t="s">
        <v>1698</v>
      </c>
      <c r="N1453" t="s">
        <v>1695</v>
      </c>
      <c r="Z1453" t="s">
        <v>43</v>
      </c>
    </row>
    <row r="1454" spans="1:26" x14ac:dyDescent="0.25">
      <c r="A1454">
        <v>1453</v>
      </c>
      <c r="B1454" t="s">
        <v>30</v>
      </c>
      <c r="C1454" t="s">
        <v>7249</v>
      </c>
      <c r="D1454" t="s">
        <v>2585</v>
      </c>
      <c r="E1454" t="s">
        <v>56</v>
      </c>
      <c r="F1454" t="s">
        <v>2586</v>
      </c>
      <c r="G1454" t="s">
        <v>57</v>
      </c>
      <c r="I1454" t="s">
        <v>7250</v>
      </c>
      <c r="K1454" t="s">
        <v>7251</v>
      </c>
      <c r="N1454" t="s">
        <v>7252</v>
      </c>
      <c r="Z1454" t="s">
        <v>43</v>
      </c>
    </row>
    <row r="1455" spans="1:26" x14ac:dyDescent="0.25">
      <c r="A1455">
        <v>1454</v>
      </c>
      <c r="B1455" t="s">
        <v>30</v>
      </c>
      <c r="C1455" t="s">
        <v>7253</v>
      </c>
      <c r="D1455" t="s">
        <v>3364</v>
      </c>
      <c r="E1455" t="s">
        <v>471</v>
      </c>
      <c r="F1455" t="s">
        <v>3365</v>
      </c>
      <c r="G1455" t="s">
        <v>47</v>
      </c>
      <c r="I1455" t="s">
        <v>7254</v>
      </c>
      <c r="J1455">
        <f>57-60-1-927-2788</f>
        <v>-3719</v>
      </c>
      <c r="K1455" t="s">
        <v>7255</v>
      </c>
      <c r="N1455" t="s">
        <v>7256</v>
      </c>
      <c r="Z1455" t="s">
        <v>43</v>
      </c>
    </row>
    <row r="1456" spans="1:26" x14ac:dyDescent="0.25">
      <c r="A1456">
        <v>1455</v>
      </c>
      <c r="B1456" t="s">
        <v>30</v>
      </c>
      <c r="C1456" t="s">
        <v>7257</v>
      </c>
      <c r="D1456" t="s">
        <v>5805</v>
      </c>
      <c r="E1456" t="s">
        <v>1658</v>
      </c>
      <c r="F1456" t="s">
        <v>5806</v>
      </c>
      <c r="G1456" t="s">
        <v>1660</v>
      </c>
      <c r="I1456" t="s">
        <v>7258</v>
      </c>
      <c r="J1456">
        <f>57-312-591-7344</f>
        <v>-8190</v>
      </c>
      <c r="K1456" t="s">
        <v>7259</v>
      </c>
      <c r="N1456" t="s">
        <v>7260</v>
      </c>
      <c r="Z1456" t="s">
        <v>43</v>
      </c>
    </row>
    <row r="1457" spans="1:26" x14ac:dyDescent="0.25">
      <c r="A1457">
        <v>1456</v>
      </c>
      <c r="B1457" t="s">
        <v>30</v>
      </c>
      <c r="C1457" t="s">
        <v>7261</v>
      </c>
      <c r="D1457" t="s">
        <v>7262</v>
      </c>
      <c r="E1457" t="s">
        <v>1585</v>
      </c>
      <c r="F1457" t="s">
        <v>7263</v>
      </c>
      <c r="G1457" t="s">
        <v>1587</v>
      </c>
      <c r="I1457" t="s">
        <v>7264</v>
      </c>
      <c r="J1457">
        <f>57-320-498-1360</f>
        <v>-2121</v>
      </c>
      <c r="K1457" t="s">
        <v>7265</v>
      </c>
      <c r="N1457" t="s">
        <v>7266</v>
      </c>
      <c r="Z1457" t="s">
        <v>43</v>
      </c>
    </row>
    <row r="1458" spans="1:26" x14ac:dyDescent="0.25">
      <c r="A1458">
        <v>1457</v>
      </c>
      <c r="B1458" t="s">
        <v>30</v>
      </c>
      <c r="C1458" t="s">
        <v>7267</v>
      </c>
      <c r="D1458" t="s">
        <v>7268</v>
      </c>
      <c r="E1458" t="s">
        <v>3984</v>
      </c>
      <c r="F1458" t="s">
        <v>7269</v>
      </c>
      <c r="G1458" t="s">
        <v>3986</v>
      </c>
      <c r="I1458" t="s">
        <v>7270</v>
      </c>
      <c r="J1458">
        <f>57-312-511-1025</f>
        <v>-1791</v>
      </c>
      <c r="K1458" t="s">
        <v>7271</v>
      </c>
      <c r="N1458" t="s">
        <v>7272</v>
      </c>
      <c r="Z1458" t="s">
        <v>43</v>
      </c>
    </row>
    <row r="1459" spans="1:26" x14ac:dyDescent="0.25">
      <c r="A1459">
        <v>1458</v>
      </c>
      <c r="B1459" t="s">
        <v>30</v>
      </c>
      <c r="C1459" t="s">
        <v>7273</v>
      </c>
      <c r="D1459" t="s">
        <v>7274</v>
      </c>
      <c r="E1459" t="s">
        <v>2814</v>
      </c>
      <c r="F1459" t="s">
        <v>7275</v>
      </c>
      <c r="G1459" t="s">
        <v>2816</v>
      </c>
      <c r="I1459" t="s">
        <v>7276</v>
      </c>
      <c r="K1459" t="s">
        <v>7277</v>
      </c>
      <c r="N1459" t="s">
        <v>7278</v>
      </c>
      <c r="Z1459" t="s">
        <v>43</v>
      </c>
    </row>
    <row r="1460" spans="1:26" x14ac:dyDescent="0.25">
      <c r="A1460">
        <v>1459</v>
      </c>
      <c r="B1460" t="s">
        <v>30</v>
      </c>
      <c r="C1460" t="s">
        <v>7279</v>
      </c>
      <c r="D1460" t="s">
        <v>3465</v>
      </c>
      <c r="E1460" t="s">
        <v>1269</v>
      </c>
      <c r="F1460" t="s">
        <v>3466</v>
      </c>
      <c r="G1460" t="s">
        <v>1271</v>
      </c>
      <c r="I1460" t="s">
        <v>7280</v>
      </c>
      <c r="J1460">
        <f>57-300-427-9676</f>
        <v>-10346</v>
      </c>
      <c r="K1460" t="s">
        <v>7281</v>
      </c>
      <c r="N1460" t="s">
        <v>7282</v>
      </c>
      <c r="Z1460" t="s">
        <v>43</v>
      </c>
    </row>
    <row r="1461" spans="1:26" x14ac:dyDescent="0.25">
      <c r="A1461">
        <v>1460</v>
      </c>
      <c r="B1461" t="s">
        <v>30</v>
      </c>
      <c r="C1461" t="s">
        <v>7283</v>
      </c>
      <c r="D1461" t="s">
        <v>7284</v>
      </c>
      <c r="E1461" t="s">
        <v>471</v>
      </c>
      <c r="F1461" t="s">
        <v>7285</v>
      </c>
      <c r="G1461" t="s">
        <v>47</v>
      </c>
      <c r="I1461" t="s">
        <v>7286</v>
      </c>
      <c r="K1461" t="s">
        <v>7287</v>
      </c>
      <c r="N1461" t="s">
        <v>7288</v>
      </c>
      <c r="Z1461" t="s">
        <v>43</v>
      </c>
    </row>
    <row r="1462" spans="1:26" x14ac:dyDescent="0.25">
      <c r="A1462">
        <v>1461</v>
      </c>
      <c r="B1462" t="s">
        <v>30</v>
      </c>
      <c r="C1462" t="s">
        <v>7289</v>
      </c>
      <c r="D1462" t="s">
        <v>46</v>
      </c>
      <c r="E1462" t="s">
        <v>56</v>
      </c>
      <c r="F1462" t="s">
        <v>820</v>
      </c>
      <c r="G1462" t="s">
        <v>57</v>
      </c>
      <c r="I1462" t="s">
        <v>7290</v>
      </c>
      <c r="J1462">
        <f>57-310-220-5719</f>
        <v>-6192</v>
      </c>
      <c r="K1462" t="s">
        <v>7291</v>
      </c>
      <c r="N1462" t="s">
        <v>7292</v>
      </c>
      <c r="Z1462" t="s">
        <v>43</v>
      </c>
    </row>
    <row r="1463" spans="1:26" x14ac:dyDescent="0.25">
      <c r="A1463">
        <v>1462</v>
      </c>
      <c r="B1463" t="s">
        <v>30</v>
      </c>
      <c r="C1463" t="s">
        <v>7293</v>
      </c>
      <c r="D1463" t="s">
        <v>3359</v>
      </c>
      <c r="E1463" t="s">
        <v>56</v>
      </c>
      <c r="F1463" t="s">
        <v>3360</v>
      </c>
      <c r="G1463" t="s">
        <v>57</v>
      </c>
      <c r="I1463" t="s">
        <v>7294</v>
      </c>
      <c r="K1463" t="s">
        <v>7295</v>
      </c>
      <c r="N1463" t="s">
        <v>7296</v>
      </c>
      <c r="Z1463" t="s">
        <v>43</v>
      </c>
    </row>
    <row r="1464" spans="1:26" x14ac:dyDescent="0.25">
      <c r="A1464">
        <v>1463</v>
      </c>
      <c r="B1464" t="s">
        <v>30</v>
      </c>
      <c r="C1464" t="s">
        <v>7297</v>
      </c>
      <c r="D1464" t="s">
        <v>56</v>
      </c>
      <c r="E1464" t="s">
        <v>56</v>
      </c>
      <c r="F1464" t="s">
        <v>57</v>
      </c>
      <c r="G1464" t="s">
        <v>57</v>
      </c>
      <c r="I1464" t="s">
        <v>7298</v>
      </c>
      <c r="K1464" t="s">
        <v>7299</v>
      </c>
      <c r="N1464" t="s">
        <v>7300</v>
      </c>
      <c r="Z1464" t="s">
        <v>43</v>
      </c>
    </row>
    <row r="1465" spans="1:26" x14ac:dyDescent="0.25">
      <c r="A1465">
        <v>1464</v>
      </c>
      <c r="B1465" t="s">
        <v>30</v>
      </c>
      <c r="C1465" t="s">
        <v>7301</v>
      </c>
      <c r="D1465" t="s">
        <v>2336</v>
      </c>
      <c r="E1465" t="s">
        <v>56</v>
      </c>
      <c r="F1465" t="s">
        <v>2337</v>
      </c>
      <c r="G1465" t="s">
        <v>57</v>
      </c>
      <c r="I1465" t="s">
        <v>7302</v>
      </c>
      <c r="K1465" t="s">
        <v>7303</v>
      </c>
      <c r="N1465" t="s">
        <v>7304</v>
      </c>
      <c r="Z1465" t="s">
        <v>43</v>
      </c>
    </row>
    <row r="1466" spans="1:26" x14ac:dyDescent="0.25">
      <c r="A1466">
        <v>1465</v>
      </c>
      <c r="B1466" t="s">
        <v>30</v>
      </c>
      <c r="C1466" t="s">
        <v>7305</v>
      </c>
      <c r="D1466" t="s">
        <v>7306</v>
      </c>
      <c r="E1466" t="s">
        <v>755</v>
      </c>
      <c r="F1466" t="s">
        <v>7307</v>
      </c>
      <c r="G1466" t="s">
        <v>2199</v>
      </c>
      <c r="I1466" t="s">
        <v>7308</v>
      </c>
      <c r="K1466" t="s">
        <v>7309</v>
      </c>
      <c r="N1466" t="s">
        <v>7310</v>
      </c>
      <c r="Z1466" t="s">
        <v>43</v>
      </c>
    </row>
    <row r="1467" spans="1:26" x14ac:dyDescent="0.25">
      <c r="A1467">
        <v>1466</v>
      </c>
      <c r="B1467" t="s">
        <v>30</v>
      </c>
      <c r="C1467" t="s">
        <v>7311</v>
      </c>
      <c r="D1467" t="s">
        <v>7312</v>
      </c>
      <c r="E1467" t="s">
        <v>72</v>
      </c>
      <c r="F1467" t="s">
        <v>7313</v>
      </c>
      <c r="G1467" t="s">
        <v>73</v>
      </c>
      <c r="I1467" t="s">
        <v>7314</v>
      </c>
      <c r="K1467" t="s">
        <v>7315</v>
      </c>
      <c r="N1467" t="s">
        <v>7316</v>
      </c>
      <c r="Z1467" t="s">
        <v>43</v>
      </c>
    </row>
    <row r="1468" spans="1:26" x14ac:dyDescent="0.25">
      <c r="A1468">
        <v>1467</v>
      </c>
      <c r="B1468" t="s">
        <v>30</v>
      </c>
      <c r="C1468" t="s">
        <v>7317</v>
      </c>
      <c r="D1468" t="s">
        <v>1276</v>
      </c>
      <c r="E1468" t="s">
        <v>471</v>
      </c>
      <c r="F1468" t="s">
        <v>1277</v>
      </c>
      <c r="G1468" t="s">
        <v>47</v>
      </c>
      <c r="I1468" t="s">
        <v>7318</v>
      </c>
      <c r="K1468" t="s">
        <v>7319</v>
      </c>
      <c r="N1468" t="s">
        <v>4906</v>
      </c>
      <c r="Z1468" t="s">
        <v>43</v>
      </c>
    </row>
    <row r="1469" spans="1:26" x14ac:dyDescent="0.25">
      <c r="A1469">
        <v>1468</v>
      </c>
      <c r="B1469" t="s">
        <v>30</v>
      </c>
      <c r="C1469" t="s">
        <v>7320</v>
      </c>
      <c r="D1469" t="s">
        <v>7321</v>
      </c>
      <c r="E1469" t="s">
        <v>755</v>
      </c>
      <c r="F1469" t="s">
        <v>7322</v>
      </c>
      <c r="G1469" t="s">
        <v>2199</v>
      </c>
      <c r="I1469" t="s">
        <v>7323</v>
      </c>
      <c r="K1469" t="s">
        <v>7324</v>
      </c>
      <c r="N1469" t="s">
        <v>7325</v>
      </c>
      <c r="Z1469" t="s">
        <v>43</v>
      </c>
    </row>
    <row r="1470" spans="1:26" x14ac:dyDescent="0.25">
      <c r="A1470">
        <v>1469</v>
      </c>
      <c r="B1470" t="s">
        <v>30</v>
      </c>
      <c r="C1470" t="s">
        <v>7326</v>
      </c>
      <c r="D1470" t="s">
        <v>1260</v>
      </c>
      <c r="E1470" t="s">
        <v>471</v>
      </c>
      <c r="F1470" t="s">
        <v>1653</v>
      </c>
      <c r="G1470" t="s">
        <v>966</v>
      </c>
      <c r="I1470" t="s">
        <v>7327</v>
      </c>
      <c r="K1470" t="s">
        <v>7328</v>
      </c>
      <c r="N1470" t="s">
        <v>7329</v>
      </c>
      <c r="Z1470" t="s">
        <v>43</v>
      </c>
    </row>
    <row r="1471" spans="1:26" x14ac:dyDescent="0.25">
      <c r="A1471">
        <v>1470</v>
      </c>
      <c r="B1471" t="s">
        <v>30</v>
      </c>
      <c r="C1471" t="s">
        <v>7330</v>
      </c>
      <c r="D1471" t="s">
        <v>979</v>
      </c>
      <c r="E1471" t="s">
        <v>1269</v>
      </c>
      <c r="F1471" t="s">
        <v>980</v>
      </c>
      <c r="G1471" t="s">
        <v>1271</v>
      </c>
      <c r="I1471" t="s">
        <v>7331</v>
      </c>
      <c r="J1471">
        <f>57-322-701-7110</f>
        <v>-8076</v>
      </c>
      <c r="K1471" t="s">
        <v>7332</v>
      </c>
      <c r="N1471" t="s">
        <v>7333</v>
      </c>
      <c r="Z1471" t="s">
        <v>43</v>
      </c>
    </row>
    <row r="1472" spans="1:26" x14ac:dyDescent="0.25">
      <c r="A1472">
        <v>1471</v>
      </c>
      <c r="B1472" t="s">
        <v>30</v>
      </c>
      <c r="C1472" t="s">
        <v>7334</v>
      </c>
      <c r="D1472" t="s">
        <v>772</v>
      </c>
      <c r="E1472" t="s">
        <v>72</v>
      </c>
      <c r="F1472" t="s">
        <v>773</v>
      </c>
      <c r="G1472" t="s">
        <v>73</v>
      </c>
      <c r="I1472" t="s">
        <v>7335</v>
      </c>
      <c r="J1472">
        <f>57-60-1-309-9203</f>
        <v>-9516</v>
      </c>
      <c r="K1472" t="s">
        <v>7336</v>
      </c>
      <c r="N1472" t="s">
        <v>7337</v>
      </c>
      <c r="Z1472" t="s">
        <v>43</v>
      </c>
    </row>
    <row r="1473" spans="1:26" x14ac:dyDescent="0.25">
      <c r="A1473">
        <v>1472</v>
      </c>
      <c r="B1473" t="s">
        <v>30</v>
      </c>
      <c r="C1473" t="s">
        <v>7338</v>
      </c>
      <c r="D1473" t="s">
        <v>909</v>
      </c>
      <c r="E1473" t="s">
        <v>471</v>
      </c>
      <c r="F1473" t="s">
        <v>1659</v>
      </c>
      <c r="G1473" t="s">
        <v>47</v>
      </c>
      <c r="I1473" t="s">
        <v>7318</v>
      </c>
      <c r="K1473" t="s">
        <v>7339</v>
      </c>
      <c r="N1473" t="s">
        <v>4906</v>
      </c>
      <c r="Z1473" t="s">
        <v>43</v>
      </c>
    </row>
    <row r="1474" spans="1:26" x14ac:dyDescent="0.25">
      <c r="A1474">
        <v>1473</v>
      </c>
      <c r="B1474" t="s">
        <v>30</v>
      </c>
      <c r="C1474" t="s">
        <v>7340</v>
      </c>
      <c r="D1474" t="s">
        <v>2394</v>
      </c>
      <c r="E1474" t="s">
        <v>64</v>
      </c>
      <c r="F1474" t="s">
        <v>2395</v>
      </c>
      <c r="G1474" t="s">
        <v>65</v>
      </c>
      <c r="I1474" t="s">
        <v>7341</v>
      </c>
      <c r="J1474">
        <f>57-301-496-5920</f>
        <v>-6660</v>
      </c>
      <c r="K1474" t="s">
        <v>7342</v>
      </c>
      <c r="N1474" t="s">
        <v>7343</v>
      </c>
      <c r="Z1474" t="s">
        <v>43</v>
      </c>
    </row>
    <row r="1475" spans="1:26" x14ac:dyDescent="0.25">
      <c r="A1475">
        <v>1474</v>
      </c>
      <c r="B1475" t="s">
        <v>30</v>
      </c>
      <c r="C1475" t="s">
        <v>7344</v>
      </c>
      <c r="D1475" t="s">
        <v>46</v>
      </c>
      <c r="E1475" t="s">
        <v>56</v>
      </c>
      <c r="F1475" t="s">
        <v>820</v>
      </c>
      <c r="G1475" t="s">
        <v>57</v>
      </c>
      <c r="I1475" t="s">
        <v>7345</v>
      </c>
      <c r="K1475" t="s">
        <v>7346</v>
      </c>
      <c r="N1475" t="s">
        <v>7347</v>
      </c>
      <c r="Z1475" t="s">
        <v>43</v>
      </c>
    </row>
    <row r="1476" spans="1:26" x14ac:dyDescent="0.25">
      <c r="A1476">
        <v>1475</v>
      </c>
      <c r="B1476" t="s">
        <v>30</v>
      </c>
      <c r="C1476" t="s">
        <v>7348</v>
      </c>
      <c r="D1476" t="s">
        <v>7349</v>
      </c>
      <c r="E1476" t="s">
        <v>72</v>
      </c>
      <c r="F1476" t="s">
        <v>7350</v>
      </c>
      <c r="G1476" t="s">
        <v>73</v>
      </c>
      <c r="I1476" t="s">
        <v>7351</v>
      </c>
      <c r="J1476">
        <f>57-60-1-613-6252</f>
        <v>-6869</v>
      </c>
      <c r="K1476" t="s">
        <v>7352</v>
      </c>
      <c r="N1476" t="s">
        <v>7353</v>
      </c>
      <c r="Z1476" t="s">
        <v>43</v>
      </c>
    </row>
    <row r="1477" spans="1:26" x14ac:dyDescent="0.25">
      <c r="A1477">
        <v>1476</v>
      </c>
      <c r="B1477" t="s">
        <v>30</v>
      </c>
      <c r="C1477" t="s">
        <v>7354</v>
      </c>
      <c r="D1477" t="s">
        <v>1713</v>
      </c>
      <c r="E1477" t="s">
        <v>64</v>
      </c>
      <c r="F1477" t="s">
        <v>3079</v>
      </c>
      <c r="G1477" t="s">
        <v>65</v>
      </c>
      <c r="I1477" t="s">
        <v>7355</v>
      </c>
      <c r="K1477" t="s">
        <v>7356</v>
      </c>
      <c r="N1477" t="s">
        <v>7357</v>
      </c>
      <c r="Z1477" t="s">
        <v>43</v>
      </c>
    </row>
    <row r="1478" spans="1:26" x14ac:dyDescent="0.25">
      <c r="A1478">
        <v>1477</v>
      </c>
      <c r="B1478" t="s">
        <v>30</v>
      </c>
      <c r="C1478" t="s">
        <v>7358</v>
      </c>
      <c r="D1478" t="s">
        <v>979</v>
      </c>
      <c r="E1478" t="s">
        <v>1269</v>
      </c>
      <c r="F1478" t="s">
        <v>980</v>
      </c>
      <c r="G1478" t="s">
        <v>1271</v>
      </c>
      <c r="I1478" t="s">
        <v>7359</v>
      </c>
      <c r="J1478">
        <f>57-60-1-531-159</f>
        <v>-694</v>
      </c>
      <c r="K1478" t="s">
        <v>7360</v>
      </c>
      <c r="N1478" t="s">
        <v>7361</v>
      </c>
      <c r="Z1478" t="s">
        <v>43</v>
      </c>
    </row>
    <row r="1479" spans="1:26" x14ac:dyDescent="0.25">
      <c r="A1479">
        <v>1478</v>
      </c>
      <c r="B1479" t="s">
        <v>30</v>
      </c>
      <c r="C1479" t="s">
        <v>7362</v>
      </c>
      <c r="D1479" t="s">
        <v>7363</v>
      </c>
      <c r="E1479" t="s">
        <v>56</v>
      </c>
      <c r="F1479" t="s">
        <v>7364</v>
      </c>
      <c r="G1479" t="s">
        <v>57</v>
      </c>
      <c r="I1479" t="s">
        <v>7365</v>
      </c>
      <c r="K1479" t="s">
        <v>7366</v>
      </c>
      <c r="N1479" t="s">
        <v>7367</v>
      </c>
      <c r="Z1479" t="s">
        <v>43</v>
      </c>
    </row>
    <row r="1480" spans="1:26" x14ac:dyDescent="0.25">
      <c r="A1480">
        <v>1479</v>
      </c>
      <c r="B1480" t="s">
        <v>30</v>
      </c>
      <c r="C1480" t="s">
        <v>7368</v>
      </c>
      <c r="D1480" t="s">
        <v>3713</v>
      </c>
      <c r="E1480" t="s">
        <v>471</v>
      </c>
      <c r="F1480" t="s">
        <v>3714</v>
      </c>
      <c r="G1480" t="s">
        <v>47</v>
      </c>
      <c r="I1480" t="s">
        <v>7369</v>
      </c>
      <c r="J1480">
        <f>57-313-350-5611</f>
        <v>-6217</v>
      </c>
      <c r="K1480" t="s">
        <v>7370</v>
      </c>
      <c r="N1480" t="s">
        <v>7371</v>
      </c>
      <c r="Z1480" t="s">
        <v>43</v>
      </c>
    </row>
    <row r="1481" spans="1:26" x14ac:dyDescent="0.25">
      <c r="A1481">
        <v>1480</v>
      </c>
      <c r="B1481" t="s">
        <v>30</v>
      </c>
      <c r="C1481" t="s">
        <v>7372</v>
      </c>
      <c r="D1481" t="s">
        <v>2467</v>
      </c>
      <c r="E1481" t="s">
        <v>1585</v>
      </c>
      <c r="F1481" t="s">
        <v>2468</v>
      </c>
      <c r="G1481" t="s">
        <v>1587</v>
      </c>
      <c r="I1481" t="s">
        <v>7373</v>
      </c>
      <c r="K1481" t="s">
        <v>7374</v>
      </c>
      <c r="N1481" t="s">
        <v>7375</v>
      </c>
      <c r="Z1481" t="s">
        <v>43</v>
      </c>
    </row>
    <row r="1482" spans="1:26" x14ac:dyDescent="0.25">
      <c r="A1482">
        <v>1481</v>
      </c>
      <c r="B1482" t="s">
        <v>30</v>
      </c>
      <c r="C1482" t="s">
        <v>7376</v>
      </c>
      <c r="D1482" t="s">
        <v>1926</v>
      </c>
      <c r="E1482" t="s">
        <v>1155</v>
      </c>
      <c r="F1482" t="s">
        <v>1927</v>
      </c>
      <c r="G1482" t="s">
        <v>1157</v>
      </c>
      <c r="I1482" t="s">
        <v>7377</v>
      </c>
      <c r="J1482">
        <f>57-60-1-250-5619</f>
        <v>-5873</v>
      </c>
      <c r="K1482" t="s">
        <v>7378</v>
      </c>
      <c r="N1482" t="s">
        <v>7379</v>
      </c>
      <c r="Z1482" t="s">
        <v>43</v>
      </c>
    </row>
    <row r="1483" spans="1:26" x14ac:dyDescent="0.25">
      <c r="A1483">
        <v>1482</v>
      </c>
      <c r="B1483" t="s">
        <v>30</v>
      </c>
      <c r="C1483" t="s">
        <v>7380</v>
      </c>
      <c r="D1483" t="s">
        <v>6080</v>
      </c>
      <c r="E1483" t="s">
        <v>1269</v>
      </c>
      <c r="F1483" t="s">
        <v>6081</v>
      </c>
      <c r="G1483" t="s">
        <v>1271</v>
      </c>
      <c r="I1483" t="s">
        <v>7381</v>
      </c>
      <c r="J1483">
        <f>57-318-370-4176</f>
        <v>-4807</v>
      </c>
      <c r="K1483" t="s">
        <v>7382</v>
      </c>
      <c r="N1483" t="s">
        <v>7383</v>
      </c>
      <c r="Z1483" t="s">
        <v>43</v>
      </c>
    </row>
    <row r="1484" spans="1:26" x14ac:dyDescent="0.25">
      <c r="A1484">
        <v>1483</v>
      </c>
      <c r="B1484" t="s">
        <v>30</v>
      </c>
      <c r="C1484" t="s">
        <v>7384</v>
      </c>
      <c r="D1484" t="s">
        <v>2168</v>
      </c>
      <c r="E1484" t="s">
        <v>800</v>
      </c>
      <c r="F1484" t="s">
        <v>2169</v>
      </c>
      <c r="G1484" t="s">
        <v>802</v>
      </c>
      <c r="I1484" t="s">
        <v>7385</v>
      </c>
      <c r="K1484" t="s">
        <v>7386</v>
      </c>
      <c r="N1484" t="s">
        <v>7387</v>
      </c>
      <c r="Z1484" t="s">
        <v>43</v>
      </c>
    </row>
    <row r="1485" spans="1:26" x14ac:dyDescent="0.25">
      <c r="A1485">
        <v>1484</v>
      </c>
      <c r="B1485" t="s">
        <v>30</v>
      </c>
      <c r="C1485" t="s">
        <v>7388</v>
      </c>
      <c r="D1485" t="s">
        <v>46</v>
      </c>
      <c r="E1485" t="s">
        <v>471</v>
      </c>
      <c r="F1485" t="s">
        <v>1708</v>
      </c>
      <c r="G1485" t="s">
        <v>47</v>
      </c>
      <c r="I1485" t="s">
        <v>7389</v>
      </c>
      <c r="K1485" t="s">
        <v>7390</v>
      </c>
      <c r="N1485" t="s">
        <v>7391</v>
      </c>
      <c r="Z1485" t="s">
        <v>43</v>
      </c>
    </row>
    <row r="1486" spans="1:26" x14ac:dyDescent="0.25">
      <c r="A1486">
        <v>1485</v>
      </c>
      <c r="B1486" t="s">
        <v>30</v>
      </c>
      <c r="C1486" t="s">
        <v>7392</v>
      </c>
      <c r="D1486" t="s">
        <v>56</v>
      </c>
      <c r="E1486" t="s">
        <v>56</v>
      </c>
      <c r="F1486" t="s">
        <v>57</v>
      </c>
      <c r="G1486" t="s">
        <v>57</v>
      </c>
      <c r="H1486" t="s">
        <v>7393</v>
      </c>
      <c r="I1486" t="s">
        <v>7394</v>
      </c>
      <c r="J1486">
        <f>57-60-1-218-9594</f>
        <v>-9816</v>
      </c>
      <c r="K1486" t="s">
        <v>7395</v>
      </c>
      <c r="N1486" t="s">
        <v>7396</v>
      </c>
      <c r="O1486" t="s">
        <v>7397</v>
      </c>
      <c r="Z1486" t="s">
        <v>43</v>
      </c>
    </row>
    <row r="1487" spans="1:26" x14ac:dyDescent="0.25">
      <c r="A1487">
        <v>1486</v>
      </c>
      <c r="B1487" t="s">
        <v>30</v>
      </c>
      <c r="C1487" t="s">
        <v>7398</v>
      </c>
      <c r="D1487" t="s">
        <v>899</v>
      </c>
      <c r="E1487" t="s">
        <v>56</v>
      </c>
      <c r="F1487" t="s">
        <v>2456</v>
      </c>
      <c r="G1487" t="s">
        <v>57</v>
      </c>
      <c r="I1487" t="s">
        <v>7399</v>
      </c>
      <c r="J1487">
        <f>57-310-856-7654</f>
        <v>-8763</v>
      </c>
      <c r="K1487" t="s">
        <v>7400</v>
      </c>
      <c r="N1487" t="s">
        <v>2894</v>
      </c>
      <c r="Z1487" t="s">
        <v>43</v>
      </c>
    </row>
    <row r="1488" spans="1:26" x14ac:dyDescent="0.25">
      <c r="A1488">
        <v>1487</v>
      </c>
      <c r="B1488" t="s">
        <v>30</v>
      </c>
      <c r="C1488" t="s">
        <v>7401</v>
      </c>
      <c r="D1488" t="s">
        <v>1713</v>
      </c>
      <c r="E1488" t="s">
        <v>72</v>
      </c>
      <c r="F1488" t="s">
        <v>1714</v>
      </c>
      <c r="G1488" t="s">
        <v>73</v>
      </c>
      <c r="I1488" t="s">
        <v>7402</v>
      </c>
      <c r="K1488" t="s">
        <v>7403</v>
      </c>
      <c r="N1488" t="s">
        <v>7404</v>
      </c>
      <c r="Z1488" t="s">
        <v>43</v>
      </c>
    </row>
    <row r="1489" spans="1:26" x14ac:dyDescent="0.25">
      <c r="A1489">
        <v>1488</v>
      </c>
      <c r="B1489" t="s">
        <v>30</v>
      </c>
      <c r="C1489" t="s">
        <v>7405</v>
      </c>
      <c r="D1489" t="s">
        <v>7406</v>
      </c>
      <c r="E1489" t="s">
        <v>2117</v>
      </c>
      <c r="F1489" t="s">
        <v>7407</v>
      </c>
      <c r="G1489" t="s">
        <v>2119</v>
      </c>
      <c r="I1489" t="s">
        <v>7408</v>
      </c>
      <c r="J1489">
        <f>57-301-790-2363</f>
        <v>-3397</v>
      </c>
      <c r="K1489" t="s">
        <v>7409</v>
      </c>
      <c r="N1489" t="s">
        <v>7410</v>
      </c>
      <c r="Z1489" t="s">
        <v>43</v>
      </c>
    </row>
    <row r="1490" spans="1:26" x14ac:dyDescent="0.25">
      <c r="A1490">
        <v>1489</v>
      </c>
      <c r="B1490" t="s">
        <v>30</v>
      </c>
      <c r="C1490" t="s">
        <v>7411</v>
      </c>
      <c r="D1490" t="s">
        <v>5144</v>
      </c>
      <c r="E1490" t="s">
        <v>2936</v>
      </c>
      <c r="F1490" t="s">
        <v>5145</v>
      </c>
      <c r="G1490" t="s">
        <v>2938</v>
      </c>
      <c r="I1490" t="s">
        <v>7412</v>
      </c>
      <c r="J1490">
        <f>57-315-705-7414</f>
        <v>-8377</v>
      </c>
      <c r="K1490" t="s">
        <v>7413</v>
      </c>
      <c r="N1490" t="s">
        <v>7414</v>
      </c>
      <c r="Z1490" t="s">
        <v>43</v>
      </c>
    </row>
    <row r="1491" spans="1:26" x14ac:dyDescent="0.25">
      <c r="A1491">
        <v>1490</v>
      </c>
      <c r="B1491" t="s">
        <v>30</v>
      </c>
      <c r="C1491" t="s">
        <v>7415</v>
      </c>
      <c r="D1491" t="s">
        <v>2242</v>
      </c>
      <c r="E1491" t="s">
        <v>1269</v>
      </c>
      <c r="F1491" t="s">
        <v>2243</v>
      </c>
      <c r="G1491" t="s">
        <v>1271</v>
      </c>
      <c r="I1491" t="s">
        <v>7416</v>
      </c>
      <c r="J1491">
        <f>57-60-1-755-7462</f>
        <v>-8221</v>
      </c>
      <c r="K1491" t="s">
        <v>7417</v>
      </c>
      <c r="N1491" t="s">
        <v>4188</v>
      </c>
      <c r="Z1491" t="s">
        <v>43</v>
      </c>
    </row>
    <row r="1492" spans="1:26" x14ac:dyDescent="0.25">
      <c r="A1492">
        <v>1491</v>
      </c>
      <c r="B1492" t="s">
        <v>30</v>
      </c>
      <c r="C1492" t="s">
        <v>7418</v>
      </c>
      <c r="D1492" t="s">
        <v>7419</v>
      </c>
      <c r="E1492" t="s">
        <v>471</v>
      </c>
      <c r="F1492" t="s">
        <v>7420</v>
      </c>
      <c r="G1492" t="s">
        <v>47</v>
      </c>
      <c r="I1492" t="s">
        <v>7421</v>
      </c>
      <c r="K1492" t="s">
        <v>7422</v>
      </c>
      <c r="N1492" t="s">
        <v>7423</v>
      </c>
      <c r="Z1492" t="s">
        <v>43</v>
      </c>
    </row>
    <row r="1493" spans="1:26" x14ac:dyDescent="0.25">
      <c r="A1493">
        <v>1492</v>
      </c>
      <c r="B1493" t="s">
        <v>30</v>
      </c>
      <c r="C1493" t="s">
        <v>7424</v>
      </c>
      <c r="D1493" t="s">
        <v>979</v>
      </c>
      <c r="E1493" t="s">
        <v>1269</v>
      </c>
      <c r="F1493" t="s">
        <v>980</v>
      </c>
      <c r="G1493" t="s">
        <v>1271</v>
      </c>
      <c r="I1493" t="s">
        <v>7425</v>
      </c>
      <c r="J1493">
        <f>57-310-275-1681</f>
        <v>-2209</v>
      </c>
      <c r="K1493" t="s">
        <v>7426</v>
      </c>
      <c r="N1493" t="s">
        <v>7427</v>
      </c>
      <c r="Z1493" t="s">
        <v>43</v>
      </c>
    </row>
    <row r="1494" spans="1:26" x14ac:dyDescent="0.25">
      <c r="A1494">
        <v>1493</v>
      </c>
      <c r="B1494" t="s">
        <v>30</v>
      </c>
      <c r="C1494" t="s">
        <v>7428</v>
      </c>
      <c r="D1494" t="s">
        <v>7429</v>
      </c>
      <c r="E1494" t="s">
        <v>471</v>
      </c>
      <c r="F1494" t="s">
        <v>7430</v>
      </c>
      <c r="G1494" t="s">
        <v>47</v>
      </c>
      <c r="I1494" t="s">
        <v>7431</v>
      </c>
      <c r="K1494" t="s">
        <v>7432</v>
      </c>
      <c r="N1494" t="s">
        <v>7433</v>
      </c>
      <c r="Z1494" t="s">
        <v>43</v>
      </c>
    </row>
    <row r="1495" spans="1:26" x14ac:dyDescent="0.25">
      <c r="A1495">
        <v>1494</v>
      </c>
      <c r="B1495" t="s">
        <v>30</v>
      </c>
      <c r="C1495" t="s">
        <v>7434</v>
      </c>
      <c r="D1495" t="s">
        <v>72</v>
      </c>
      <c r="E1495" t="s">
        <v>72</v>
      </c>
      <c r="F1495" t="s">
        <v>3934</v>
      </c>
      <c r="G1495" t="s">
        <v>73</v>
      </c>
      <c r="I1495" t="s">
        <v>7435</v>
      </c>
      <c r="K1495" t="s">
        <v>7436</v>
      </c>
      <c r="N1495" t="s">
        <v>7437</v>
      </c>
      <c r="Z1495" t="s">
        <v>43</v>
      </c>
    </row>
    <row r="1496" spans="1:26" x14ac:dyDescent="0.25">
      <c r="A1496">
        <v>1495</v>
      </c>
      <c r="B1496" t="s">
        <v>30</v>
      </c>
      <c r="C1496" t="s">
        <v>7438</v>
      </c>
      <c r="D1496" t="s">
        <v>979</v>
      </c>
      <c r="E1496" t="s">
        <v>471</v>
      </c>
      <c r="F1496" t="s">
        <v>980</v>
      </c>
      <c r="G1496" t="s">
        <v>47</v>
      </c>
      <c r="I1496" t="s">
        <v>7439</v>
      </c>
      <c r="J1496">
        <f>57-320-808-1626</f>
        <v>-2697</v>
      </c>
      <c r="K1496" t="s">
        <v>7440</v>
      </c>
      <c r="N1496" t="s">
        <v>7441</v>
      </c>
      <c r="Z1496" t="s">
        <v>43</v>
      </c>
    </row>
    <row r="1497" spans="1:26" x14ac:dyDescent="0.25">
      <c r="A1497">
        <v>1496</v>
      </c>
      <c r="B1497" t="s">
        <v>30</v>
      </c>
      <c r="C1497" t="s">
        <v>7442</v>
      </c>
      <c r="D1497" t="s">
        <v>64</v>
      </c>
      <c r="E1497" t="s">
        <v>64</v>
      </c>
      <c r="F1497" t="s">
        <v>65</v>
      </c>
      <c r="G1497" t="s">
        <v>65</v>
      </c>
      <c r="I1497" t="s">
        <v>7443</v>
      </c>
      <c r="J1497">
        <f>57-300-535-915</f>
        <v>-1693</v>
      </c>
      <c r="K1497" t="s">
        <v>7444</v>
      </c>
      <c r="N1497" t="s">
        <v>7445</v>
      </c>
      <c r="Z1497" t="s">
        <v>43</v>
      </c>
    </row>
    <row r="1498" spans="1:26" x14ac:dyDescent="0.25">
      <c r="A1498">
        <v>1497</v>
      </c>
      <c r="B1498" t="s">
        <v>30</v>
      </c>
      <c r="C1498" t="s">
        <v>7446</v>
      </c>
      <c r="D1498" t="s">
        <v>56</v>
      </c>
      <c r="E1498" t="s">
        <v>56</v>
      </c>
      <c r="F1498" t="s">
        <v>57</v>
      </c>
      <c r="G1498" t="s">
        <v>57</v>
      </c>
      <c r="I1498" t="s">
        <v>7447</v>
      </c>
      <c r="J1498">
        <f>57-300-381-4666</f>
        <v>-5290</v>
      </c>
      <c r="K1498" t="s">
        <v>7448</v>
      </c>
      <c r="N1498" t="s">
        <v>7449</v>
      </c>
      <c r="Z1498" t="s">
        <v>43</v>
      </c>
    </row>
    <row r="1499" spans="1:26" x14ac:dyDescent="0.25">
      <c r="A1499">
        <v>1498</v>
      </c>
      <c r="B1499" t="s">
        <v>30</v>
      </c>
      <c r="C1499" t="s">
        <v>7450</v>
      </c>
      <c r="D1499" t="s">
        <v>3465</v>
      </c>
      <c r="E1499" t="s">
        <v>1269</v>
      </c>
      <c r="F1499" t="s">
        <v>3466</v>
      </c>
      <c r="G1499" t="s">
        <v>1271</v>
      </c>
      <c r="I1499" t="s">
        <v>7451</v>
      </c>
      <c r="K1499" t="s">
        <v>7452</v>
      </c>
      <c r="N1499" t="s">
        <v>7453</v>
      </c>
      <c r="Z1499" t="s">
        <v>43</v>
      </c>
    </row>
    <row r="1500" spans="1:26" x14ac:dyDescent="0.25">
      <c r="A1500">
        <v>1499</v>
      </c>
      <c r="B1500" t="s">
        <v>30</v>
      </c>
      <c r="C1500" t="s">
        <v>7454</v>
      </c>
      <c r="D1500" t="s">
        <v>46</v>
      </c>
      <c r="E1500" t="s">
        <v>471</v>
      </c>
      <c r="F1500" t="s">
        <v>820</v>
      </c>
      <c r="G1500" t="s">
        <v>47</v>
      </c>
      <c r="I1500" t="s">
        <v>7455</v>
      </c>
      <c r="J1500">
        <f>57-312-563-6873</f>
        <v>-7691</v>
      </c>
      <c r="K1500" t="s">
        <v>7456</v>
      </c>
      <c r="N1500" t="s">
        <v>7457</v>
      </c>
      <c r="Z1500" t="s">
        <v>43</v>
      </c>
    </row>
    <row r="1501" spans="1:26" x14ac:dyDescent="0.25">
      <c r="A1501">
        <v>1500</v>
      </c>
      <c r="B1501" t="s">
        <v>30</v>
      </c>
      <c r="C1501" t="s">
        <v>7458</v>
      </c>
      <c r="D1501" t="s">
        <v>7459</v>
      </c>
      <c r="E1501" t="s">
        <v>1269</v>
      </c>
      <c r="F1501" t="s">
        <v>7460</v>
      </c>
      <c r="G1501" t="s">
        <v>1271</v>
      </c>
      <c r="I1501" t="s">
        <v>7461</v>
      </c>
      <c r="J1501">
        <f>57-310-240-1136</f>
        <v>-1629</v>
      </c>
      <c r="K1501" t="s">
        <v>7462</v>
      </c>
      <c r="N1501" t="s">
        <v>7463</v>
      </c>
      <c r="Z1501" t="s">
        <v>43</v>
      </c>
    </row>
    <row r="1502" spans="1:26" x14ac:dyDescent="0.25">
      <c r="A1502">
        <v>1501</v>
      </c>
      <c r="B1502" t="s">
        <v>30</v>
      </c>
      <c r="C1502" t="s">
        <v>7464</v>
      </c>
      <c r="D1502" t="s">
        <v>46</v>
      </c>
      <c r="E1502" t="s">
        <v>471</v>
      </c>
      <c r="F1502" t="s">
        <v>820</v>
      </c>
      <c r="G1502" t="s">
        <v>47</v>
      </c>
      <c r="I1502" t="s">
        <v>7465</v>
      </c>
      <c r="K1502" t="s">
        <v>7466</v>
      </c>
      <c r="N1502" t="s">
        <v>7467</v>
      </c>
      <c r="Z1502" t="s">
        <v>43</v>
      </c>
    </row>
    <row r="1503" spans="1:26" x14ac:dyDescent="0.25">
      <c r="A1503">
        <v>1502</v>
      </c>
      <c r="B1503" t="s">
        <v>30</v>
      </c>
      <c r="C1503" t="s">
        <v>7468</v>
      </c>
      <c r="D1503" t="s">
        <v>3723</v>
      </c>
      <c r="E1503" t="s">
        <v>72</v>
      </c>
      <c r="F1503" t="s">
        <v>3724</v>
      </c>
      <c r="G1503" t="s">
        <v>73</v>
      </c>
      <c r="I1503" t="s">
        <v>7469</v>
      </c>
      <c r="K1503" t="s">
        <v>7470</v>
      </c>
      <c r="N1503" t="s">
        <v>7471</v>
      </c>
      <c r="Z1503" t="s">
        <v>43</v>
      </c>
    </row>
    <row r="1504" spans="1:26" x14ac:dyDescent="0.25">
      <c r="A1504">
        <v>1503</v>
      </c>
      <c r="B1504" t="s">
        <v>30</v>
      </c>
      <c r="C1504" t="s">
        <v>7472</v>
      </c>
      <c r="D1504" t="s">
        <v>772</v>
      </c>
      <c r="E1504" t="s">
        <v>471</v>
      </c>
      <c r="F1504" t="s">
        <v>773</v>
      </c>
      <c r="G1504" t="s">
        <v>47</v>
      </c>
      <c r="I1504" t="s">
        <v>7473</v>
      </c>
      <c r="J1504">
        <f>57-310-253-2495</f>
        <v>-3001</v>
      </c>
      <c r="K1504" t="s">
        <v>7474</v>
      </c>
      <c r="N1504" t="s">
        <v>7475</v>
      </c>
      <c r="Z1504" t="s">
        <v>43</v>
      </c>
    </row>
    <row r="1505" spans="1:26" x14ac:dyDescent="0.25">
      <c r="A1505">
        <v>1504</v>
      </c>
      <c r="B1505" t="s">
        <v>30</v>
      </c>
      <c r="C1505" t="s">
        <v>7476</v>
      </c>
      <c r="D1505" t="s">
        <v>46</v>
      </c>
      <c r="E1505" t="s">
        <v>471</v>
      </c>
      <c r="F1505" t="s">
        <v>820</v>
      </c>
      <c r="G1505" t="s">
        <v>47</v>
      </c>
      <c r="I1505" t="s">
        <v>7477</v>
      </c>
      <c r="J1505">
        <f>57-316-698-4147</f>
        <v>-5104</v>
      </c>
      <c r="K1505" t="s">
        <v>7478</v>
      </c>
      <c r="N1505" t="s">
        <v>7479</v>
      </c>
      <c r="Z1505" t="s">
        <v>43</v>
      </c>
    </row>
    <row r="1506" spans="1:26" x14ac:dyDescent="0.25">
      <c r="A1506">
        <v>1505</v>
      </c>
      <c r="B1506" t="s">
        <v>30</v>
      </c>
      <c r="C1506" t="s">
        <v>7480</v>
      </c>
      <c r="D1506" t="s">
        <v>979</v>
      </c>
      <c r="E1506" t="s">
        <v>1269</v>
      </c>
      <c r="F1506" t="s">
        <v>980</v>
      </c>
      <c r="G1506" t="s">
        <v>1271</v>
      </c>
      <c r="I1506" t="s">
        <v>7481</v>
      </c>
      <c r="J1506">
        <f>57-301-394-8881</f>
        <v>-9519</v>
      </c>
      <c r="K1506" t="s">
        <v>7482</v>
      </c>
      <c r="N1506" t="s">
        <v>7483</v>
      </c>
      <c r="Z1506" t="s">
        <v>43</v>
      </c>
    </row>
    <row r="1507" spans="1:26" x14ac:dyDescent="0.25">
      <c r="A1507">
        <v>1506</v>
      </c>
      <c r="B1507" t="s">
        <v>30</v>
      </c>
      <c r="C1507" t="s">
        <v>7484</v>
      </c>
      <c r="D1507" t="s">
        <v>7485</v>
      </c>
      <c r="E1507" t="s">
        <v>1055</v>
      </c>
      <c r="F1507" t="s">
        <v>7486</v>
      </c>
      <c r="G1507" t="s">
        <v>1057</v>
      </c>
      <c r="I1507" t="s">
        <v>7487</v>
      </c>
      <c r="J1507">
        <f>57-320-449-7771</f>
        <v>-8483</v>
      </c>
      <c r="K1507" t="s">
        <v>7488</v>
      </c>
      <c r="N1507" t="s">
        <v>7489</v>
      </c>
      <c r="Z1507" t="s">
        <v>43</v>
      </c>
    </row>
    <row r="1508" spans="1:26" x14ac:dyDescent="0.25">
      <c r="A1508">
        <v>1507</v>
      </c>
      <c r="B1508" t="s">
        <v>30</v>
      </c>
      <c r="C1508" t="s">
        <v>7490</v>
      </c>
      <c r="D1508" t="s">
        <v>2336</v>
      </c>
      <c r="E1508" t="s">
        <v>471</v>
      </c>
      <c r="F1508" t="s">
        <v>2337</v>
      </c>
      <c r="G1508" t="s">
        <v>47</v>
      </c>
      <c r="I1508" t="s">
        <v>7491</v>
      </c>
      <c r="K1508" t="s">
        <v>7492</v>
      </c>
      <c r="N1508" t="s">
        <v>7493</v>
      </c>
      <c r="Z1508" t="s">
        <v>43</v>
      </c>
    </row>
    <row r="1509" spans="1:26" x14ac:dyDescent="0.25">
      <c r="A1509">
        <v>1508</v>
      </c>
      <c r="B1509" t="s">
        <v>30</v>
      </c>
      <c r="C1509" t="s">
        <v>7494</v>
      </c>
      <c r="D1509" t="s">
        <v>46</v>
      </c>
      <c r="E1509" t="s">
        <v>471</v>
      </c>
      <c r="F1509" t="s">
        <v>1708</v>
      </c>
      <c r="G1509" t="s">
        <v>47</v>
      </c>
      <c r="I1509" t="s">
        <v>2771</v>
      </c>
      <c r="K1509" t="s">
        <v>7495</v>
      </c>
      <c r="N1509" t="s">
        <v>7496</v>
      </c>
      <c r="Z1509" t="s">
        <v>43</v>
      </c>
    </row>
    <row r="1510" spans="1:26" x14ac:dyDescent="0.25">
      <c r="A1510">
        <v>1509</v>
      </c>
      <c r="B1510" t="s">
        <v>30</v>
      </c>
      <c r="C1510" t="s">
        <v>7497</v>
      </c>
      <c r="D1510" t="s">
        <v>46</v>
      </c>
      <c r="E1510" t="s">
        <v>56</v>
      </c>
      <c r="F1510" t="s">
        <v>820</v>
      </c>
      <c r="G1510" t="s">
        <v>57</v>
      </c>
      <c r="I1510" t="s">
        <v>7498</v>
      </c>
      <c r="J1510">
        <f>57-300-403-318</f>
        <v>-964</v>
      </c>
      <c r="K1510" t="s">
        <v>7499</v>
      </c>
      <c r="N1510" t="s">
        <v>7500</v>
      </c>
      <c r="Z1510" t="s">
        <v>43</v>
      </c>
    </row>
    <row r="1511" spans="1:26" x14ac:dyDescent="0.25">
      <c r="A1511">
        <v>1510</v>
      </c>
      <c r="B1511" t="s">
        <v>30</v>
      </c>
      <c r="C1511" t="s">
        <v>7501</v>
      </c>
      <c r="D1511" t="s">
        <v>7502</v>
      </c>
      <c r="E1511" t="s">
        <v>1269</v>
      </c>
      <c r="F1511" t="s">
        <v>7503</v>
      </c>
      <c r="G1511" t="s">
        <v>1271</v>
      </c>
      <c r="I1511" t="s">
        <v>1272</v>
      </c>
      <c r="J1511">
        <f>57-60-1-301-6144</f>
        <v>-6449</v>
      </c>
      <c r="K1511" t="s">
        <v>1273</v>
      </c>
      <c r="N1511" t="s">
        <v>7504</v>
      </c>
      <c r="Z1511" t="s">
        <v>43</v>
      </c>
    </row>
    <row r="1512" spans="1:26" x14ac:dyDescent="0.25">
      <c r="A1512">
        <v>1511</v>
      </c>
      <c r="B1512" t="s">
        <v>30</v>
      </c>
      <c r="C1512" t="s">
        <v>7505</v>
      </c>
      <c r="D1512" t="s">
        <v>46</v>
      </c>
      <c r="E1512" t="s">
        <v>471</v>
      </c>
      <c r="F1512" t="s">
        <v>820</v>
      </c>
      <c r="G1512" t="s">
        <v>47</v>
      </c>
      <c r="I1512" t="s">
        <v>7506</v>
      </c>
      <c r="J1512">
        <f>57-60-1-704-4450</f>
        <v>-5158</v>
      </c>
      <c r="K1512" t="s">
        <v>7507</v>
      </c>
      <c r="N1512" t="s">
        <v>7508</v>
      </c>
      <c r="Z1512" t="s">
        <v>43</v>
      </c>
    </row>
    <row r="1513" spans="1:26" x14ac:dyDescent="0.25">
      <c r="A1513">
        <v>1512</v>
      </c>
      <c r="B1513" t="s">
        <v>30</v>
      </c>
      <c r="C1513" t="s">
        <v>7509</v>
      </c>
      <c r="D1513" t="s">
        <v>2024</v>
      </c>
      <c r="E1513" t="s">
        <v>2190</v>
      </c>
      <c r="F1513" t="s">
        <v>2025</v>
      </c>
      <c r="G1513" t="s">
        <v>2192</v>
      </c>
      <c r="I1513" t="s">
        <v>7510</v>
      </c>
      <c r="K1513" t="s">
        <v>7511</v>
      </c>
      <c r="N1513" t="s">
        <v>7512</v>
      </c>
      <c r="Z1513" t="s">
        <v>43</v>
      </c>
    </row>
    <row r="1514" spans="1:26" x14ac:dyDescent="0.25">
      <c r="A1514">
        <v>1513</v>
      </c>
      <c r="B1514" t="s">
        <v>30</v>
      </c>
      <c r="C1514" t="s">
        <v>7513</v>
      </c>
      <c r="D1514" t="s">
        <v>7246</v>
      </c>
      <c r="E1514" t="s">
        <v>1269</v>
      </c>
      <c r="F1514" t="s">
        <v>7514</v>
      </c>
      <c r="G1514" t="s">
        <v>1271</v>
      </c>
      <c r="I1514" t="s">
        <v>7515</v>
      </c>
      <c r="J1514">
        <f>57-312-597-7634</f>
        <v>-8486</v>
      </c>
      <c r="K1514" t="s">
        <v>7516</v>
      </c>
      <c r="N1514" t="s">
        <v>7517</v>
      </c>
      <c r="Z1514" t="s">
        <v>43</v>
      </c>
    </row>
    <row r="1515" spans="1:26" x14ac:dyDescent="0.25">
      <c r="A1515">
        <v>1514</v>
      </c>
      <c r="B1515" t="s">
        <v>30</v>
      </c>
      <c r="C1515" t="s">
        <v>7518</v>
      </c>
      <c r="D1515" t="s">
        <v>7519</v>
      </c>
      <c r="E1515" t="s">
        <v>4043</v>
      </c>
      <c r="F1515" t="s">
        <v>7520</v>
      </c>
      <c r="G1515" t="s">
        <v>4045</v>
      </c>
      <c r="I1515" t="s">
        <v>7521</v>
      </c>
      <c r="K1515" t="s">
        <v>7522</v>
      </c>
      <c r="N1515" t="s">
        <v>7523</v>
      </c>
      <c r="Z1515" t="s">
        <v>43</v>
      </c>
    </row>
    <row r="1516" spans="1:26" x14ac:dyDescent="0.25">
      <c r="A1516">
        <v>1515</v>
      </c>
      <c r="B1516" t="s">
        <v>30</v>
      </c>
      <c r="C1516" t="s">
        <v>7524</v>
      </c>
      <c r="D1516" t="s">
        <v>2336</v>
      </c>
      <c r="E1516" t="s">
        <v>56</v>
      </c>
      <c r="F1516" t="s">
        <v>2337</v>
      </c>
      <c r="G1516" t="s">
        <v>57</v>
      </c>
      <c r="I1516" t="s">
        <v>7525</v>
      </c>
      <c r="K1516" t="s">
        <v>7526</v>
      </c>
      <c r="N1516" t="s">
        <v>7527</v>
      </c>
      <c r="Z1516" t="s">
        <v>43</v>
      </c>
    </row>
    <row r="1517" spans="1:26" x14ac:dyDescent="0.25">
      <c r="A1517">
        <v>1516</v>
      </c>
      <c r="B1517" t="s">
        <v>30</v>
      </c>
      <c r="C1517" t="s">
        <v>7528</v>
      </c>
      <c r="D1517" t="s">
        <v>909</v>
      </c>
      <c r="E1517" t="s">
        <v>471</v>
      </c>
      <c r="F1517" t="s">
        <v>1659</v>
      </c>
      <c r="G1517" t="s">
        <v>47</v>
      </c>
      <c r="I1517" t="s">
        <v>7529</v>
      </c>
      <c r="K1517" t="s">
        <v>7530</v>
      </c>
      <c r="N1517" t="s">
        <v>7531</v>
      </c>
      <c r="Z1517" t="s">
        <v>43</v>
      </c>
    </row>
    <row r="1518" spans="1:26" x14ac:dyDescent="0.25">
      <c r="A1518">
        <v>1517</v>
      </c>
      <c r="B1518" t="s">
        <v>30</v>
      </c>
      <c r="C1518" t="s">
        <v>7532</v>
      </c>
      <c r="D1518" t="s">
        <v>7533</v>
      </c>
      <c r="E1518" t="s">
        <v>471</v>
      </c>
      <c r="F1518" t="s">
        <v>7534</v>
      </c>
      <c r="G1518" t="s">
        <v>47</v>
      </c>
      <c r="I1518" t="s">
        <v>7535</v>
      </c>
      <c r="J1518">
        <f>57-60-1-937-9531</f>
        <v>-10472</v>
      </c>
      <c r="K1518" t="s">
        <v>7536</v>
      </c>
      <c r="N1518" t="s">
        <v>7537</v>
      </c>
      <c r="Z1518" t="s">
        <v>43</v>
      </c>
    </row>
    <row r="1519" spans="1:26" x14ac:dyDescent="0.25">
      <c r="A1519">
        <v>1518</v>
      </c>
      <c r="B1519" t="s">
        <v>30</v>
      </c>
      <c r="C1519" t="s">
        <v>7538</v>
      </c>
      <c r="D1519" t="s">
        <v>1260</v>
      </c>
      <c r="E1519" t="s">
        <v>64</v>
      </c>
      <c r="F1519" t="s">
        <v>1653</v>
      </c>
      <c r="G1519" t="s">
        <v>65</v>
      </c>
      <c r="I1519" t="s">
        <v>7539</v>
      </c>
      <c r="K1519" t="s">
        <v>7540</v>
      </c>
      <c r="N1519" t="s">
        <v>7541</v>
      </c>
      <c r="Z1519" t="s">
        <v>43</v>
      </c>
    </row>
    <row r="1520" spans="1:26" x14ac:dyDescent="0.25">
      <c r="A1520">
        <v>1519</v>
      </c>
      <c r="B1520" t="s">
        <v>30</v>
      </c>
      <c r="C1520" t="s">
        <v>7542</v>
      </c>
      <c r="D1520" t="s">
        <v>7543</v>
      </c>
      <c r="E1520" t="s">
        <v>2210</v>
      </c>
      <c r="F1520" t="s">
        <v>7544</v>
      </c>
      <c r="G1520" t="s">
        <v>2212</v>
      </c>
      <c r="I1520" t="s">
        <v>7545</v>
      </c>
      <c r="J1520">
        <f>57-60-1-703-3383</f>
        <v>-4090</v>
      </c>
      <c r="K1520" t="s">
        <v>7546</v>
      </c>
      <c r="N1520" t="s">
        <v>7547</v>
      </c>
      <c r="Z1520" t="s">
        <v>43</v>
      </c>
    </row>
    <row r="1521" spans="1:26" x14ac:dyDescent="0.25">
      <c r="A1521">
        <v>1520</v>
      </c>
      <c r="B1521" t="s">
        <v>30</v>
      </c>
      <c r="C1521" t="s">
        <v>7548</v>
      </c>
      <c r="D1521" t="s">
        <v>3723</v>
      </c>
      <c r="E1521" t="s">
        <v>72</v>
      </c>
      <c r="F1521" t="s">
        <v>3724</v>
      </c>
      <c r="G1521" t="s">
        <v>73</v>
      </c>
      <c r="I1521" t="s">
        <v>7549</v>
      </c>
      <c r="J1521">
        <f>57-60-1-243-1896</f>
        <v>-2143</v>
      </c>
      <c r="K1521" t="s">
        <v>7550</v>
      </c>
      <c r="N1521" t="s">
        <v>7467</v>
      </c>
      <c r="Z1521" t="s">
        <v>43</v>
      </c>
    </row>
    <row r="1522" spans="1:26" x14ac:dyDescent="0.25">
      <c r="A1522">
        <v>1521</v>
      </c>
      <c r="B1522" t="s">
        <v>30</v>
      </c>
      <c r="C1522" t="s">
        <v>7551</v>
      </c>
      <c r="D1522" t="s">
        <v>46</v>
      </c>
      <c r="E1522" t="s">
        <v>56</v>
      </c>
      <c r="F1522" t="s">
        <v>820</v>
      </c>
      <c r="G1522" t="s">
        <v>57</v>
      </c>
      <c r="I1522" t="s">
        <v>7552</v>
      </c>
      <c r="J1522">
        <f>57-314-330-8977</f>
        <v>-9564</v>
      </c>
      <c r="K1522" t="s">
        <v>7553</v>
      </c>
      <c r="N1522" t="s">
        <v>7554</v>
      </c>
      <c r="Z1522" t="s">
        <v>43</v>
      </c>
    </row>
    <row r="1523" spans="1:26" x14ac:dyDescent="0.25">
      <c r="A1523">
        <v>1522</v>
      </c>
      <c r="B1523" t="s">
        <v>30</v>
      </c>
      <c r="C1523" t="s">
        <v>7555</v>
      </c>
      <c r="D1523" t="s">
        <v>64</v>
      </c>
      <c r="E1523" t="s">
        <v>64</v>
      </c>
      <c r="F1523" t="s">
        <v>65</v>
      </c>
      <c r="G1523" t="s">
        <v>65</v>
      </c>
      <c r="I1523" t="s">
        <v>7556</v>
      </c>
      <c r="K1523" t="s">
        <v>7557</v>
      </c>
      <c r="N1523" t="s">
        <v>7558</v>
      </c>
      <c r="Z1523" t="s">
        <v>43</v>
      </c>
    </row>
    <row r="1524" spans="1:26" x14ac:dyDescent="0.25">
      <c r="A1524">
        <v>1523</v>
      </c>
      <c r="B1524" t="s">
        <v>30</v>
      </c>
      <c r="C1524" t="s">
        <v>7559</v>
      </c>
      <c r="D1524" t="s">
        <v>2098</v>
      </c>
      <c r="E1524" t="s">
        <v>1269</v>
      </c>
      <c r="F1524" t="s">
        <v>7560</v>
      </c>
      <c r="G1524" t="s">
        <v>1271</v>
      </c>
      <c r="I1524" t="s">
        <v>7561</v>
      </c>
      <c r="K1524" t="s">
        <v>7562</v>
      </c>
      <c r="N1524" t="s">
        <v>7563</v>
      </c>
      <c r="Z1524" t="s">
        <v>43</v>
      </c>
    </row>
    <row r="1525" spans="1:26" x14ac:dyDescent="0.25">
      <c r="A1525">
        <v>1524</v>
      </c>
      <c r="B1525" t="s">
        <v>30</v>
      </c>
      <c r="C1525" t="s">
        <v>7564</v>
      </c>
      <c r="D1525" t="s">
        <v>3415</v>
      </c>
      <c r="E1525" t="s">
        <v>3416</v>
      </c>
      <c r="F1525" t="s">
        <v>7565</v>
      </c>
      <c r="G1525" t="s">
        <v>7566</v>
      </c>
      <c r="I1525" t="s">
        <v>7567</v>
      </c>
      <c r="J1525">
        <f>57-321-418-8756</f>
        <v>-9438</v>
      </c>
      <c r="K1525" t="s">
        <v>7568</v>
      </c>
      <c r="N1525" t="s">
        <v>7569</v>
      </c>
      <c r="Z1525" t="s">
        <v>43</v>
      </c>
    </row>
    <row r="1526" spans="1:26" x14ac:dyDescent="0.25">
      <c r="A1526">
        <v>1525</v>
      </c>
      <c r="B1526" t="s">
        <v>30</v>
      </c>
      <c r="C1526" t="s">
        <v>7570</v>
      </c>
      <c r="D1526" t="s">
        <v>7571</v>
      </c>
      <c r="E1526" t="s">
        <v>755</v>
      </c>
      <c r="F1526" t="s">
        <v>7572</v>
      </c>
      <c r="G1526" t="s">
        <v>757</v>
      </c>
      <c r="I1526" t="s">
        <v>7573</v>
      </c>
      <c r="J1526">
        <f>57-60-1-743-843</f>
        <v>-1590</v>
      </c>
      <c r="K1526" t="s">
        <v>7574</v>
      </c>
      <c r="N1526" t="s">
        <v>7575</v>
      </c>
      <c r="Z1526" t="s">
        <v>43</v>
      </c>
    </row>
    <row r="1527" spans="1:26" x14ac:dyDescent="0.25">
      <c r="A1527">
        <v>1526</v>
      </c>
      <c r="B1527" t="s">
        <v>30</v>
      </c>
      <c r="C1527" t="s">
        <v>7576</v>
      </c>
      <c r="D1527" t="s">
        <v>909</v>
      </c>
      <c r="E1527" t="s">
        <v>471</v>
      </c>
      <c r="F1527" t="s">
        <v>1659</v>
      </c>
      <c r="G1527" t="s">
        <v>47</v>
      </c>
      <c r="I1527" t="s">
        <v>7577</v>
      </c>
      <c r="J1527">
        <f>57-311-281-5511</f>
        <v>-6046</v>
      </c>
      <c r="K1527" t="s">
        <v>7578</v>
      </c>
      <c r="N1527" t="s">
        <v>7579</v>
      </c>
      <c r="Z1527" t="s">
        <v>43</v>
      </c>
    </row>
    <row r="1528" spans="1:26" x14ac:dyDescent="0.25">
      <c r="A1528">
        <v>1527</v>
      </c>
      <c r="B1528" t="s">
        <v>30</v>
      </c>
      <c r="C1528" t="s">
        <v>7580</v>
      </c>
      <c r="D1528" t="s">
        <v>72</v>
      </c>
      <c r="E1528" t="s">
        <v>72</v>
      </c>
      <c r="F1528" t="s">
        <v>73</v>
      </c>
      <c r="G1528" t="s">
        <v>73</v>
      </c>
      <c r="I1528" t="s">
        <v>7581</v>
      </c>
      <c r="J1528">
        <f>57-60-1-694-4921</f>
        <v>-5619</v>
      </c>
      <c r="K1528" t="s">
        <v>7582</v>
      </c>
      <c r="N1528" t="s">
        <v>7583</v>
      </c>
      <c r="Z1528" t="s">
        <v>43</v>
      </c>
    </row>
    <row r="1529" spans="1:26" x14ac:dyDescent="0.25">
      <c r="A1529">
        <v>1528</v>
      </c>
      <c r="B1529" t="s">
        <v>30</v>
      </c>
      <c r="C1529" t="s">
        <v>7584</v>
      </c>
      <c r="D1529" t="s">
        <v>2098</v>
      </c>
      <c r="E1529" t="s">
        <v>1269</v>
      </c>
      <c r="F1529" t="s">
        <v>2099</v>
      </c>
      <c r="G1529" t="s">
        <v>1271</v>
      </c>
      <c r="I1529" t="s">
        <v>7585</v>
      </c>
      <c r="J1529">
        <f>57-60-1-619-7097</f>
        <v>-7720</v>
      </c>
      <c r="K1529" t="s">
        <v>3607</v>
      </c>
      <c r="N1529" t="s">
        <v>7586</v>
      </c>
      <c r="Z1529" t="s">
        <v>43</v>
      </c>
    </row>
    <row r="1530" spans="1:26" x14ac:dyDescent="0.25">
      <c r="A1530">
        <v>1529</v>
      </c>
      <c r="B1530" t="s">
        <v>30</v>
      </c>
      <c r="C1530" t="s">
        <v>7587</v>
      </c>
      <c r="D1530" t="s">
        <v>64</v>
      </c>
      <c r="E1530" t="s">
        <v>64</v>
      </c>
      <c r="F1530" t="s">
        <v>65</v>
      </c>
      <c r="G1530" t="s">
        <v>65</v>
      </c>
      <c r="I1530" t="s">
        <v>7588</v>
      </c>
      <c r="J1530">
        <f>57-314-280-6208</f>
        <v>-6745</v>
      </c>
      <c r="K1530" t="s">
        <v>7589</v>
      </c>
      <c r="N1530" t="s">
        <v>7590</v>
      </c>
      <c r="Z1530" t="s">
        <v>43</v>
      </c>
    </row>
    <row r="1531" spans="1:26" x14ac:dyDescent="0.25">
      <c r="A1531">
        <v>1530</v>
      </c>
      <c r="B1531" t="s">
        <v>30</v>
      </c>
      <c r="C1531" t="s">
        <v>7591</v>
      </c>
      <c r="D1531" t="s">
        <v>7592</v>
      </c>
      <c r="E1531" t="s">
        <v>6432</v>
      </c>
      <c r="F1531" t="s">
        <v>7593</v>
      </c>
      <c r="G1531" t="s">
        <v>6434</v>
      </c>
      <c r="I1531" t="s">
        <v>7594</v>
      </c>
      <c r="K1531" t="s">
        <v>7595</v>
      </c>
      <c r="N1531" t="s">
        <v>7596</v>
      </c>
      <c r="Z1531" t="s">
        <v>43</v>
      </c>
    </row>
    <row r="1532" spans="1:26" x14ac:dyDescent="0.25">
      <c r="A1532">
        <v>1531</v>
      </c>
      <c r="B1532" t="s">
        <v>30</v>
      </c>
      <c r="C1532" t="s">
        <v>7597</v>
      </c>
      <c r="D1532" t="s">
        <v>867</v>
      </c>
      <c r="E1532" t="s">
        <v>72</v>
      </c>
      <c r="F1532" t="s">
        <v>1024</v>
      </c>
      <c r="G1532" t="s">
        <v>73</v>
      </c>
      <c r="I1532" t="s">
        <v>7598</v>
      </c>
      <c r="K1532" t="s">
        <v>7599</v>
      </c>
      <c r="N1532" t="s">
        <v>7600</v>
      </c>
      <c r="Z1532" t="s">
        <v>43</v>
      </c>
    </row>
    <row r="1533" spans="1:26" x14ac:dyDescent="0.25">
      <c r="A1533">
        <v>1532</v>
      </c>
      <c r="B1533" t="s">
        <v>30</v>
      </c>
      <c r="C1533" t="s">
        <v>7601</v>
      </c>
      <c r="D1533" t="s">
        <v>56</v>
      </c>
      <c r="E1533" t="s">
        <v>56</v>
      </c>
      <c r="F1533" t="s">
        <v>57</v>
      </c>
      <c r="G1533" t="s">
        <v>57</v>
      </c>
      <c r="I1533" t="s">
        <v>7602</v>
      </c>
      <c r="K1533" t="s">
        <v>7603</v>
      </c>
      <c r="N1533" t="s">
        <v>7604</v>
      </c>
      <c r="Z1533" t="s">
        <v>43</v>
      </c>
    </row>
    <row r="1534" spans="1:26" x14ac:dyDescent="0.25">
      <c r="A1534">
        <v>1533</v>
      </c>
      <c r="B1534" t="s">
        <v>30</v>
      </c>
      <c r="C1534" t="s">
        <v>7605</v>
      </c>
      <c r="D1534" t="s">
        <v>1908</v>
      </c>
      <c r="E1534" t="s">
        <v>56</v>
      </c>
      <c r="F1534" t="s">
        <v>7606</v>
      </c>
      <c r="G1534" t="s">
        <v>57</v>
      </c>
      <c r="I1534" t="s">
        <v>7607</v>
      </c>
      <c r="J1534">
        <f>57-305-399-781</f>
        <v>-1428</v>
      </c>
      <c r="K1534" t="s">
        <v>7608</v>
      </c>
      <c r="N1534" t="s">
        <v>7609</v>
      </c>
      <c r="Z1534" t="s">
        <v>43</v>
      </c>
    </row>
    <row r="1535" spans="1:26" x14ac:dyDescent="0.25">
      <c r="A1535">
        <v>1534</v>
      </c>
      <c r="B1535" t="s">
        <v>30</v>
      </c>
      <c r="C1535" t="s">
        <v>7610</v>
      </c>
      <c r="D1535" t="s">
        <v>2168</v>
      </c>
      <c r="E1535" t="s">
        <v>800</v>
      </c>
      <c r="F1535" t="s">
        <v>2169</v>
      </c>
      <c r="G1535" t="s">
        <v>802</v>
      </c>
      <c r="I1535" t="s">
        <v>7611</v>
      </c>
      <c r="K1535" t="s">
        <v>7612</v>
      </c>
      <c r="N1535" t="s">
        <v>7613</v>
      </c>
      <c r="Z1535" t="s">
        <v>43</v>
      </c>
    </row>
    <row r="1536" spans="1:26" x14ac:dyDescent="0.25">
      <c r="A1536">
        <v>1535</v>
      </c>
      <c r="B1536" t="s">
        <v>30</v>
      </c>
      <c r="C1536" t="s">
        <v>7614</v>
      </c>
      <c r="D1536" t="s">
        <v>46</v>
      </c>
      <c r="E1536" t="s">
        <v>471</v>
      </c>
      <c r="F1536" t="s">
        <v>820</v>
      </c>
      <c r="G1536" t="s">
        <v>47</v>
      </c>
      <c r="I1536" t="s">
        <v>7615</v>
      </c>
      <c r="J1536">
        <f>57-320-996-496</f>
        <v>-1755</v>
      </c>
      <c r="K1536" t="s">
        <v>7616</v>
      </c>
      <c r="N1536" t="s">
        <v>7617</v>
      </c>
      <c r="Z1536" t="s">
        <v>43</v>
      </c>
    </row>
    <row r="1537" spans="1:26" x14ac:dyDescent="0.25">
      <c r="A1537">
        <v>1536</v>
      </c>
      <c r="B1537" t="s">
        <v>30</v>
      </c>
      <c r="C1537" t="s">
        <v>7618</v>
      </c>
      <c r="D1537" t="s">
        <v>7619</v>
      </c>
      <c r="E1537" t="s">
        <v>1248</v>
      </c>
      <c r="F1537" t="s">
        <v>7620</v>
      </c>
      <c r="G1537" t="s">
        <v>1250</v>
      </c>
      <c r="I1537" t="s">
        <v>7621</v>
      </c>
      <c r="J1537">
        <f>57-60-1-806-4552</f>
        <v>-5362</v>
      </c>
      <c r="K1537" t="s">
        <v>7622</v>
      </c>
      <c r="N1537" t="s">
        <v>7623</v>
      </c>
      <c r="Z1537" t="s">
        <v>43</v>
      </c>
    </row>
    <row r="1538" spans="1:26" x14ac:dyDescent="0.25">
      <c r="A1538">
        <v>1537</v>
      </c>
      <c r="B1538" t="s">
        <v>30</v>
      </c>
      <c r="C1538" t="s">
        <v>7624</v>
      </c>
      <c r="D1538" t="s">
        <v>46</v>
      </c>
      <c r="E1538" t="s">
        <v>471</v>
      </c>
      <c r="F1538" t="s">
        <v>820</v>
      </c>
      <c r="G1538" t="s">
        <v>47</v>
      </c>
      <c r="I1538" t="s">
        <v>7625</v>
      </c>
      <c r="J1538">
        <f>57-314-832-8213</f>
        <v>-9302</v>
      </c>
      <c r="K1538" t="s">
        <v>7626</v>
      </c>
      <c r="N1538" t="s">
        <v>7627</v>
      </c>
      <c r="Z1538" t="s">
        <v>43</v>
      </c>
    </row>
    <row r="1539" spans="1:26" x14ac:dyDescent="0.25">
      <c r="A1539">
        <v>1538</v>
      </c>
      <c r="B1539" t="s">
        <v>30</v>
      </c>
      <c r="C1539" t="s">
        <v>7628</v>
      </c>
      <c r="D1539" t="s">
        <v>7629</v>
      </c>
      <c r="E1539" t="s">
        <v>72</v>
      </c>
      <c r="F1539" t="s">
        <v>7630</v>
      </c>
      <c r="G1539" t="s">
        <v>73</v>
      </c>
      <c r="I1539" t="s">
        <v>7631</v>
      </c>
      <c r="K1539" t="s">
        <v>7632</v>
      </c>
      <c r="N1539" t="s">
        <v>7633</v>
      </c>
      <c r="Z1539" t="s">
        <v>43</v>
      </c>
    </row>
    <row r="1540" spans="1:26" x14ac:dyDescent="0.25">
      <c r="A1540">
        <v>1539</v>
      </c>
      <c r="B1540" t="s">
        <v>30</v>
      </c>
      <c r="C1540" t="s">
        <v>7634</v>
      </c>
      <c r="D1540" t="s">
        <v>1896</v>
      </c>
      <c r="E1540" t="s">
        <v>72</v>
      </c>
      <c r="F1540" t="s">
        <v>7635</v>
      </c>
      <c r="G1540" t="s">
        <v>73</v>
      </c>
      <c r="I1540" t="s">
        <v>7636</v>
      </c>
      <c r="K1540" t="s">
        <v>7637</v>
      </c>
      <c r="N1540" t="s">
        <v>7638</v>
      </c>
      <c r="Z1540" t="s">
        <v>43</v>
      </c>
    </row>
    <row r="1541" spans="1:26" x14ac:dyDescent="0.25">
      <c r="A1541">
        <v>1540</v>
      </c>
      <c r="B1541" t="s">
        <v>30</v>
      </c>
      <c r="C1541" t="s">
        <v>7639</v>
      </c>
      <c r="D1541" t="s">
        <v>7640</v>
      </c>
      <c r="E1541" t="s">
        <v>471</v>
      </c>
      <c r="F1541" t="s">
        <v>7641</v>
      </c>
      <c r="G1541" t="s">
        <v>47</v>
      </c>
      <c r="I1541" t="s">
        <v>7642</v>
      </c>
      <c r="J1541">
        <f>57-60-1-663-5051</f>
        <v>-5718</v>
      </c>
      <c r="K1541" t="s">
        <v>7643</v>
      </c>
      <c r="N1541" t="s">
        <v>7644</v>
      </c>
      <c r="Z1541" t="s">
        <v>43</v>
      </c>
    </row>
    <row r="1542" spans="1:26" x14ac:dyDescent="0.25">
      <c r="A1542">
        <v>1541</v>
      </c>
      <c r="B1542" t="s">
        <v>30</v>
      </c>
      <c r="C1542" t="s">
        <v>7645</v>
      </c>
      <c r="D1542" t="s">
        <v>46</v>
      </c>
      <c r="E1542" t="s">
        <v>471</v>
      </c>
      <c r="F1542" t="s">
        <v>941</v>
      </c>
      <c r="G1542" t="s">
        <v>966</v>
      </c>
      <c r="I1542" t="s">
        <v>7646</v>
      </c>
      <c r="J1542">
        <f>57-310-230-7424</f>
        <v>-7907</v>
      </c>
      <c r="K1542" t="s">
        <v>7647</v>
      </c>
      <c r="N1542" t="s">
        <v>7648</v>
      </c>
      <c r="Z1542" t="s">
        <v>43</v>
      </c>
    </row>
    <row r="1543" spans="1:26" x14ac:dyDescent="0.25">
      <c r="A1543">
        <v>1542</v>
      </c>
      <c r="B1543" t="s">
        <v>30</v>
      </c>
      <c r="C1543" t="s">
        <v>7649</v>
      </c>
      <c r="D1543" t="s">
        <v>7650</v>
      </c>
      <c r="E1543" t="s">
        <v>7651</v>
      </c>
      <c r="F1543" t="s">
        <v>7652</v>
      </c>
      <c r="G1543" t="s">
        <v>7653</v>
      </c>
      <c r="I1543" t="s">
        <v>7654</v>
      </c>
      <c r="J1543">
        <f>57-60-1-222-4539</f>
        <v>-4765</v>
      </c>
      <c r="K1543" t="s">
        <v>7655</v>
      </c>
      <c r="N1543" t="s">
        <v>7656</v>
      </c>
      <c r="Z1543" t="s">
        <v>43</v>
      </c>
    </row>
    <row r="1544" spans="1:26" x14ac:dyDescent="0.25">
      <c r="A1544">
        <v>1543</v>
      </c>
      <c r="B1544" t="s">
        <v>30</v>
      </c>
      <c r="C1544" t="s">
        <v>7657</v>
      </c>
      <c r="D1544" t="s">
        <v>46</v>
      </c>
      <c r="E1544" t="s">
        <v>56</v>
      </c>
      <c r="F1544" t="s">
        <v>820</v>
      </c>
      <c r="G1544" t="s">
        <v>57</v>
      </c>
      <c r="I1544" t="s">
        <v>7658</v>
      </c>
      <c r="J1544">
        <f>57-60-1-221-3574</f>
        <v>-3799</v>
      </c>
      <c r="K1544" t="s">
        <v>7659</v>
      </c>
      <c r="N1544" t="s">
        <v>699</v>
      </c>
      <c r="Z1544" t="s">
        <v>43</v>
      </c>
    </row>
    <row r="1545" spans="1:26" x14ac:dyDescent="0.25">
      <c r="A1545">
        <v>1544</v>
      </c>
      <c r="B1545" t="s">
        <v>30</v>
      </c>
      <c r="C1545" t="s">
        <v>7660</v>
      </c>
      <c r="D1545" t="s">
        <v>5933</v>
      </c>
      <c r="E1545" t="s">
        <v>56</v>
      </c>
      <c r="F1545" t="s">
        <v>7661</v>
      </c>
      <c r="G1545" t="s">
        <v>57</v>
      </c>
      <c r="I1545" t="s">
        <v>7662</v>
      </c>
      <c r="J1545">
        <f>57-60-1-601-474</f>
        <v>-1079</v>
      </c>
      <c r="K1545" t="s">
        <v>7663</v>
      </c>
      <c r="N1545" t="s">
        <v>7664</v>
      </c>
      <c r="Z1545" t="s">
        <v>43</v>
      </c>
    </row>
    <row r="1546" spans="1:26" x14ac:dyDescent="0.25">
      <c r="A1546">
        <v>1545</v>
      </c>
      <c r="B1546" t="s">
        <v>30</v>
      </c>
      <c r="C1546" t="s">
        <v>7665</v>
      </c>
      <c r="D1546" t="s">
        <v>7666</v>
      </c>
      <c r="E1546" t="s">
        <v>1269</v>
      </c>
      <c r="F1546" t="s">
        <v>7667</v>
      </c>
      <c r="G1546" t="s">
        <v>1271</v>
      </c>
      <c r="I1546" t="s">
        <v>7668</v>
      </c>
      <c r="J1546">
        <f>57-310-310-8928</f>
        <v>-9491</v>
      </c>
      <c r="K1546" t="s">
        <v>7669</v>
      </c>
      <c r="N1546" t="s">
        <v>7670</v>
      </c>
      <c r="Z1546" t="s">
        <v>43</v>
      </c>
    </row>
    <row r="1547" spans="1:26" x14ac:dyDescent="0.25">
      <c r="A1547">
        <v>1546</v>
      </c>
      <c r="B1547" t="s">
        <v>30</v>
      </c>
      <c r="C1547" t="s">
        <v>7671</v>
      </c>
      <c r="D1547" t="s">
        <v>64</v>
      </c>
      <c r="E1547" t="s">
        <v>64</v>
      </c>
      <c r="F1547" t="s">
        <v>65</v>
      </c>
      <c r="G1547" t="s">
        <v>65</v>
      </c>
      <c r="I1547" t="s">
        <v>7672</v>
      </c>
      <c r="J1547">
        <f>57-60-1-211-3004</f>
        <v>-3219</v>
      </c>
      <c r="K1547" t="s">
        <v>7673</v>
      </c>
      <c r="N1547" t="s">
        <v>7674</v>
      </c>
      <c r="Z1547" t="s">
        <v>43</v>
      </c>
    </row>
    <row r="1548" spans="1:26" x14ac:dyDescent="0.25">
      <c r="A1548">
        <v>1547</v>
      </c>
      <c r="B1548" t="s">
        <v>30</v>
      </c>
      <c r="C1548" t="s">
        <v>7675</v>
      </c>
      <c r="D1548" t="s">
        <v>3670</v>
      </c>
      <c r="E1548" t="s">
        <v>755</v>
      </c>
      <c r="F1548" t="s">
        <v>3671</v>
      </c>
      <c r="G1548" t="s">
        <v>757</v>
      </c>
      <c r="I1548" t="s">
        <v>7676</v>
      </c>
      <c r="K1548" t="s">
        <v>7677</v>
      </c>
      <c r="N1548" t="s">
        <v>7678</v>
      </c>
      <c r="Z1548" t="s">
        <v>43</v>
      </c>
    </row>
    <row r="1549" spans="1:26" x14ac:dyDescent="0.25">
      <c r="A1549">
        <v>1548</v>
      </c>
      <c r="B1549" t="s">
        <v>30</v>
      </c>
      <c r="C1549" t="s">
        <v>7679</v>
      </c>
      <c r="D1549" t="s">
        <v>754</v>
      </c>
      <c r="E1549" t="s">
        <v>755</v>
      </c>
      <c r="F1549" t="s">
        <v>1636</v>
      </c>
      <c r="G1549" t="s">
        <v>757</v>
      </c>
      <c r="I1549" t="s">
        <v>7680</v>
      </c>
      <c r="J1549">
        <f>57-60-1-710-93</f>
        <v>-807</v>
      </c>
      <c r="K1549" t="s">
        <v>7681</v>
      </c>
      <c r="N1549" t="s">
        <v>7682</v>
      </c>
      <c r="Z1549" t="s">
        <v>43</v>
      </c>
    </row>
    <row r="1550" spans="1:26" x14ac:dyDescent="0.25">
      <c r="A1550">
        <v>1549</v>
      </c>
      <c r="B1550" t="s">
        <v>30</v>
      </c>
      <c r="C1550" t="s">
        <v>7683</v>
      </c>
      <c r="D1550" t="s">
        <v>1896</v>
      </c>
      <c r="E1550" t="s">
        <v>471</v>
      </c>
      <c r="F1550" t="s">
        <v>6518</v>
      </c>
      <c r="G1550" t="s">
        <v>47</v>
      </c>
      <c r="I1550" t="s">
        <v>7684</v>
      </c>
      <c r="J1550">
        <f>57-60-1-477-3776</f>
        <v>-4257</v>
      </c>
      <c r="K1550" t="s">
        <v>7685</v>
      </c>
      <c r="N1550" t="s">
        <v>7686</v>
      </c>
      <c r="Z1550" t="s">
        <v>43</v>
      </c>
    </row>
    <row r="1551" spans="1:26" x14ac:dyDescent="0.25">
      <c r="A1551">
        <v>1550</v>
      </c>
      <c r="B1551" t="s">
        <v>30</v>
      </c>
      <c r="C1551" t="s">
        <v>7687</v>
      </c>
      <c r="D1551" t="s">
        <v>72</v>
      </c>
      <c r="E1551" t="s">
        <v>72</v>
      </c>
      <c r="F1551" t="s">
        <v>73</v>
      </c>
      <c r="G1551" t="s">
        <v>73</v>
      </c>
      <c r="I1551" t="s">
        <v>7688</v>
      </c>
      <c r="K1551" t="s">
        <v>7689</v>
      </c>
      <c r="N1551" t="s">
        <v>7690</v>
      </c>
      <c r="Z1551" t="s">
        <v>43</v>
      </c>
    </row>
    <row r="1552" spans="1:26" x14ac:dyDescent="0.25">
      <c r="A1552">
        <v>1551</v>
      </c>
      <c r="B1552" t="s">
        <v>30</v>
      </c>
      <c r="C1552" t="s">
        <v>7691</v>
      </c>
      <c r="D1552" t="s">
        <v>46</v>
      </c>
      <c r="E1552" t="s">
        <v>471</v>
      </c>
      <c r="F1552" t="s">
        <v>820</v>
      </c>
      <c r="G1552" t="s">
        <v>47</v>
      </c>
      <c r="I1552" t="s">
        <v>7692</v>
      </c>
      <c r="J1552">
        <f>57-60-1-474-3221</f>
        <v>-3699</v>
      </c>
      <c r="K1552" t="s">
        <v>7693</v>
      </c>
      <c r="N1552" t="s">
        <v>7694</v>
      </c>
      <c r="Z1552" t="s">
        <v>43</v>
      </c>
    </row>
    <row r="1553" spans="1:26" x14ac:dyDescent="0.25">
      <c r="A1553">
        <v>1552</v>
      </c>
      <c r="B1553" t="s">
        <v>30</v>
      </c>
      <c r="C1553" t="s">
        <v>7695</v>
      </c>
      <c r="D1553" t="s">
        <v>46</v>
      </c>
      <c r="E1553" t="s">
        <v>471</v>
      </c>
      <c r="F1553" t="s">
        <v>820</v>
      </c>
      <c r="G1553" t="s">
        <v>47</v>
      </c>
      <c r="I1553" t="s">
        <v>7696</v>
      </c>
      <c r="K1553" t="s">
        <v>7697</v>
      </c>
      <c r="N1553" t="s">
        <v>7698</v>
      </c>
      <c r="Z1553" t="s">
        <v>43</v>
      </c>
    </row>
    <row r="1554" spans="1:26" x14ac:dyDescent="0.25">
      <c r="A1554">
        <v>1553</v>
      </c>
      <c r="B1554" t="s">
        <v>30</v>
      </c>
      <c r="C1554" t="s">
        <v>7699</v>
      </c>
      <c r="D1554" t="s">
        <v>46</v>
      </c>
      <c r="E1554" t="s">
        <v>471</v>
      </c>
      <c r="F1554" t="s">
        <v>820</v>
      </c>
      <c r="G1554" t="s">
        <v>47</v>
      </c>
      <c r="I1554" t="s">
        <v>7700</v>
      </c>
      <c r="J1554">
        <f>57-60-1-671-1196</f>
        <v>-1871</v>
      </c>
      <c r="K1554" t="s">
        <v>7701</v>
      </c>
      <c r="N1554" t="s">
        <v>7702</v>
      </c>
      <c r="Z1554" t="s">
        <v>43</v>
      </c>
    </row>
    <row r="1555" spans="1:26" x14ac:dyDescent="0.25">
      <c r="A1555">
        <v>1554</v>
      </c>
      <c r="B1555" t="s">
        <v>30</v>
      </c>
      <c r="C1555" t="s">
        <v>7703</v>
      </c>
      <c r="D1555" t="s">
        <v>56</v>
      </c>
      <c r="E1555" t="s">
        <v>56</v>
      </c>
      <c r="F1555" t="s">
        <v>57</v>
      </c>
      <c r="G1555" t="s">
        <v>57</v>
      </c>
      <c r="I1555" t="s">
        <v>7704</v>
      </c>
      <c r="K1555" t="s">
        <v>7705</v>
      </c>
      <c r="N1555" t="s">
        <v>7706</v>
      </c>
      <c r="Z1555" t="s">
        <v>43</v>
      </c>
    </row>
    <row r="1556" spans="1:26" x14ac:dyDescent="0.25">
      <c r="A1556">
        <v>1555</v>
      </c>
      <c r="B1556" t="s">
        <v>30</v>
      </c>
      <c r="C1556" t="s">
        <v>7707</v>
      </c>
      <c r="D1556" t="s">
        <v>772</v>
      </c>
      <c r="E1556" t="s">
        <v>471</v>
      </c>
      <c r="F1556" t="s">
        <v>773</v>
      </c>
      <c r="G1556" t="s">
        <v>47</v>
      </c>
      <c r="I1556" t="s">
        <v>7708</v>
      </c>
      <c r="K1556" t="s">
        <v>7709</v>
      </c>
      <c r="N1556" t="s">
        <v>7710</v>
      </c>
      <c r="Z1556" t="s">
        <v>43</v>
      </c>
    </row>
    <row r="1557" spans="1:26" x14ac:dyDescent="0.25">
      <c r="A1557">
        <v>1556</v>
      </c>
      <c r="B1557" t="s">
        <v>30</v>
      </c>
      <c r="C1557" t="s">
        <v>7711</v>
      </c>
      <c r="D1557" t="s">
        <v>4463</v>
      </c>
      <c r="E1557" t="s">
        <v>385</v>
      </c>
      <c r="F1557" t="s">
        <v>7712</v>
      </c>
      <c r="G1557" t="s">
        <v>387</v>
      </c>
      <c r="I1557" t="s">
        <v>7713</v>
      </c>
      <c r="J1557">
        <f>57-350-515-5804</f>
        <v>-6612</v>
      </c>
      <c r="K1557" t="s">
        <v>7714</v>
      </c>
      <c r="N1557" t="s">
        <v>7715</v>
      </c>
      <c r="Z1557" t="s">
        <v>43</v>
      </c>
    </row>
    <row r="1558" spans="1:26" x14ac:dyDescent="0.25">
      <c r="A1558">
        <v>1557</v>
      </c>
      <c r="B1558" t="s">
        <v>30</v>
      </c>
      <c r="C1558" t="s">
        <v>7716</v>
      </c>
      <c r="D1558" t="s">
        <v>72</v>
      </c>
      <c r="E1558" t="s">
        <v>72</v>
      </c>
      <c r="F1558" t="s">
        <v>73</v>
      </c>
      <c r="G1558" t="s">
        <v>73</v>
      </c>
      <c r="I1558" t="s">
        <v>7717</v>
      </c>
      <c r="K1558" t="s">
        <v>7718</v>
      </c>
      <c r="N1558" t="s">
        <v>7719</v>
      </c>
      <c r="Z1558" t="s">
        <v>43</v>
      </c>
    </row>
    <row r="1559" spans="1:26" x14ac:dyDescent="0.25">
      <c r="A1559">
        <v>1558</v>
      </c>
      <c r="B1559" t="s">
        <v>30</v>
      </c>
      <c r="C1559" t="s">
        <v>7720</v>
      </c>
      <c r="D1559" t="s">
        <v>72</v>
      </c>
      <c r="E1559" t="s">
        <v>72</v>
      </c>
      <c r="F1559" t="s">
        <v>73</v>
      </c>
      <c r="G1559" t="s">
        <v>73</v>
      </c>
      <c r="I1559" t="s">
        <v>7721</v>
      </c>
      <c r="K1559" t="s">
        <v>7722</v>
      </c>
      <c r="N1559" t="s">
        <v>7723</v>
      </c>
      <c r="Z1559" t="s">
        <v>43</v>
      </c>
    </row>
    <row r="1560" spans="1:26" x14ac:dyDescent="0.25">
      <c r="A1560">
        <v>1559</v>
      </c>
      <c r="B1560" t="s">
        <v>30</v>
      </c>
      <c r="C1560" t="s">
        <v>7724</v>
      </c>
      <c r="D1560" t="s">
        <v>72</v>
      </c>
      <c r="E1560" t="s">
        <v>72</v>
      </c>
      <c r="F1560" t="s">
        <v>73</v>
      </c>
      <c r="G1560" t="s">
        <v>73</v>
      </c>
      <c r="I1560" t="s">
        <v>7725</v>
      </c>
      <c r="J1560">
        <f>57-320-364-1747</f>
        <v>-2374</v>
      </c>
      <c r="K1560" t="s">
        <v>7726</v>
      </c>
      <c r="N1560" t="s">
        <v>7727</v>
      </c>
      <c r="Z1560" t="s">
        <v>43</v>
      </c>
    </row>
    <row r="1561" spans="1:26" x14ac:dyDescent="0.25">
      <c r="A1561">
        <v>1560</v>
      </c>
      <c r="B1561" t="s">
        <v>30</v>
      </c>
      <c r="C1561" t="s">
        <v>7728</v>
      </c>
      <c r="D1561" t="s">
        <v>1713</v>
      </c>
      <c r="E1561" t="s">
        <v>471</v>
      </c>
      <c r="F1561" t="s">
        <v>6475</v>
      </c>
      <c r="G1561" t="s">
        <v>47</v>
      </c>
      <c r="I1561" t="s">
        <v>7729</v>
      </c>
      <c r="K1561" t="s">
        <v>7730</v>
      </c>
      <c r="N1561" t="s">
        <v>7731</v>
      </c>
      <c r="Z1561" t="s">
        <v>43</v>
      </c>
    </row>
    <row r="1562" spans="1:26" x14ac:dyDescent="0.25">
      <c r="A1562">
        <v>1561</v>
      </c>
      <c r="B1562" t="s">
        <v>30</v>
      </c>
      <c r="C1562" t="s">
        <v>7732</v>
      </c>
      <c r="D1562" t="s">
        <v>72</v>
      </c>
      <c r="E1562" t="s">
        <v>72</v>
      </c>
      <c r="F1562" t="s">
        <v>73</v>
      </c>
      <c r="G1562" t="s">
        <v>73</v>
      </c>
      <c r="I1562" t="s">
        <v>7733</v>
      </c>
      <c r="J1562">
        <f>57-60-1-643-4896</f>
        <v>-5543</v>
      </c>
      <c r="K1562" t="s">
        <v>7734</v>
      </c>
      <c r="N1562" t="s">
        <v>7735</v>
      </c>
      <c r="Z1562" t="s">
        <v>43</v>
      </c>
    </row>
    <row r="1563" spans="1:26" x14ac:dyDescent="0.25">
      <c r="A1563">
        <v>1562</v>
      </c>
      <c r="B1563" t="s">
        <v>30</v>
      </c>
      <c r="C1563" t="s">
        <v>7736</v>
      </c>
      <c r="D1563" t="s">
        <v>1805</v>
      </c>
      <c r="E1563" t="s">
        <v>56</v>
      </c>
      <c r="F1563" t="s">
        <v>4959</v>
      </c>
      <c r="G1563" t="s">
        <v>57</v>
      </c>
      <c r="I1563" t="s">
        <v>7737</v>
      </c>
      <c r="K1563" t="s">
        <v>7738</v>
      </c>
      <c r="N1563" t="s">
        <v>7739</v>
      </c>
      <c r="Z1563" t="s">
        <v>43</v>
      </c>
    </row>
    <row r="1564" spans="1:26" x14ac:dyDescent="0.25">
      <c r="A1564">
        <v>1563</v>
      </c>
      <c r="B1564" t="s">
        <v>30</v>
      </c>
      <c r="C1564" t="s">
        <v>7740</v>
      </c>
      <c r="D1564" t="s">
        <v>2801</v>
      </c>
      <c r="E1564" t="s">
        <v>471</v>
      </c>
      <c r="F1564" t="s">
        <v>2802</v>
      </c>
      <c r="G1564" t="s">
        <v>47</v>
      </c>
      <c r="I1564" t="s">
        <v>7741</v>
      </c>
      <c r="J1564">
        <f>57-60-1-759-1246</f>
        <v>-2009</v>
      </c>
      <c r="K1564" t="s">
        <v>7742</v>
      </c>
      <c r="N1564" t="s">
        <v>7743</v>
      </c>
      <c r="Z1564" t="s">
        <v>43</v>
      </c>
    </row>
    <row r="1565" spans="1:26" x14ac:dyDescent="0.25">
      <c r="A1565">
        <v>1564</v>
      </c>
      <c r="B1565" t="s">
        <v>30</v>
      </c>
      <c r="C1565" t="s">
        <v>7744</v>
      </c>
      <c r="D1565" t="s">
        <v>7745</v>
      </c>
      <c r="E1565" t="s">
        <v>72</v>
      </c>
      <c r="F1565" t="s">
        <v>7746</v>
      </c>
      <c r="G1565" t="s">
        <v>73</v>
      </c>
      <c r="I1565" t="s">
        <v>7747</v>
      </c>
      <c r="K1565" t="s">
        <v>7748</v>
      </c>
      <c r="N1565" t="s">
        <v>7749</v>
      </c>
      <c r="Z1565" t="s">
        <v>43</v>
      </c>
    </row>
    <row r="1566" spans="1:26" x14ac:dyDescent="0.25">
      <c r="A1566">
        <v>1565</v>
      </c>
      <c r="B1566" t="s">
        <v>30</v>
      </c>
      <c r="C1566" t="s">
        <v>7750</v>
      </c>
      <c r="D1566" t="s">
        <v>7751</v>
      </c>
      <c r="E1566" t="s">
        <v>56</v>
      </c>
      <c r="F1566" t="s">
        <v>7752</v>
      </c>
      <c r="G1566" t="s">
        <v>57</v>
      </c>
      <c r="I1566" t="s">
        <v>7753</v>
      </c>
      <c r="K1566" t="s">
        <v>7754</v>
      </c>
      <c r="N1566" t="s">
        <v>7755</v>
      </c>
      <c r="Z1566" t="s">
        <v>43</v>
      </c>
    </row>
    <row r="1567" spans="1:26" x14ac:dyDescent="0.25">
      <c r="A1567">
        <v>1566</v>
      </c>
      <c r="B1567" t="s">
        <v>30</v>
      </c>
      <c r="C1567" t="s">
        <v>7756</v>
      </c>
      <c r="D1567" t="s">
        <v>754</v>
      </c>
      <c r="E1567" t="s">
        <v>755</v>
      </c>
      <c r="F1567" t="s">
        <v>1636</v>
      </c>
      <c r="G1567" t="s">
        <v>757</v>
      </c>
      <c r="I1567" t="s">
        <v>7757</v>
      </c>
      <c r="J1567">
        <f>57-60-1-250-2459</f>
        <v>-2713</v>
      </c>
      <c r="K1567" t="s">
        <v>7758</v>
      </c>
      <c r="N1567" t="s">
        <v>7759</v>
      </c>
      <c r="Z1567" t="s">
        <v>43</v>
      </c>
    </row>
    <row r="1568" spans="1:26" x14ac:dyDescent="0.25">
      <c r="A1568">
        <v>1567</v>
      </c>
      <c r="B1568" t="s">
        <v>30</v>
      </c>
      <c r="C1568" t="s">
        <v>7760</v>
      </c>
      <c r="D1568" t="s">
        <v>7761</v>
      </c>
      <c r="E1568" t="s">
        <v>471</v>
      </c>
      <c r="F1568" t="s">
        <v>7762</v>
      </c>
      <c r="G1568" t="s">
        <v>47</v>
      </c>
      <c r="I1568" t="s">
        <v>7763</v>
      </c>
      <c r="J1568">
        <f>57-315-482-8053</f>
        <v>-8793</v>
      </c>
      <c r="K1568" t="s">
        <v>7764</v>
      </c>
      <c r="N1568" t="s">
        <v>7765</v>
      </c>
      <c r="Z1568" t="s">
        <v>43</v>
      </c>
    </row>
    <row r="1569" spans="1:26" x14ac:dyDescent="0.25">
      <c r="A1569">
        <v>1568</v>
      </c>
      <c r="B1569" t="s">
        <v>30</v>
      </c>
      <c r="C1569" t="s">
        <v>7766</v>
      </c>
      <c r="D1569" t="s">
        <v>7767</v>
      </c>
      <c r="E1569" t="s">
        <v>471</v>
      </c>
      <c r="F1569" t="s">
        <v>7768</v>
      </c>
      <c r="G1569" t="s">
        <v>47</v>
      </c>
      <c r="I1569" t="s">
        <v>7769</v>
      </c>
      <c r="J1569">
        <f>57-310-306-870</f>
        <v>-1429</v>
      </c>
      <c r="K1569" t="s">
        <v>7770</v>
      </c>
      <c r="N1569" t="s">
        <v>7771</v>
      </c>
      <c r="Z1569" t="s">
        <v>43</v>
      </c>
    </row>
    <row r="1570" spans="1:26" x14ac:dyDescent="0.25">
      <c r="A1570">
        <v>1569</v>
      </c>
      <c r="B1570" t="s">
        <v>30</v>
      </c>
      <c r="C1570" t="s">
        <v>7772</v>
      </c>
      <c r="D1570" t="s">
        <v>2394</v>
      </c>
      <c r="E1570" t="s">
        <v>471</v>
      </c>
      <c r="F1570" t="s">
        <v>2395</v>
      </c>
      <c r="G1570" t="s">
        <v>47</v>
      </c>
      <c r="I1570" t="s">
        <v>7773</v>
      </c>
      <c r="J1570">
        <f>57-313-295-678</f>
        <v>-1229</v>
      </c>
      <c r="K1570" t="s">
        <v>7774</v>
      </c>
      <c r="N1570" t="s">
        <v>7775</v>
      </c>
      <c r="Z1570" t="s">
        <v>43</v>
      </c>
    </row>
    <row r="1571" spans="1:26" x14ac:dyDescent="0.25">
      <c r="A1571">
        <v>1570</v>
      </c>
      <c r="B1571" t="s">
        <v>30</v>
      </c>
      <c r="C1571" t="s">
        <v>7776</v>
      </c>
      <c r="D1571" t="s">
        <v>46</v>
      </c>
      <c r="E1571" t="s">
        <v>471</v>
      </c>
      <c r="F1571" t="s">
        <v>820</v>
      </c>
      <c r="G1571" t="s">
        <v>47</v>
      </c>
      <c r="I1571" t="s">
        <v>7777</v>
      </c>
      <c r="K1571" t="s">
        <v>7778</v>
      </c>
      <c r="N1571" t="s">
        <v>7779</v>
      </c>
      <c r="Z1571" t="s">
        <v>43</v>
      </c>
    </row>
    <row r="1572" spans="1:26" x14ac:dyDescent="0.25">
      <c r="A1572">
        <v>1571</v>
      </c>
      <c r="B1572" t="s">
        <v>30</v>
      </c>
      <c r="C1572" t="s">
        <v>7780</v>
      </c>
      <c r="D1572" t="s">
        <v>7781</v>
      </c>
      <c r="E1572" t="s">
        <v>64</v>
      </c>
      <c r="F1572" t="s">
        <v>7782</v>
      </c>
      <c r="G1572" t="s">
        <v>65</v>
      </c>
      <c r="I1572" t="s">
        <v>7783</v>
      </c>
      <c r="J1572">
        <f>57-300-347-4768</f>
        <v>-5358</v>
      </c>
      <c r="K1572" t="s">
        <v>7784</v>
      </c>
      <c r="N1572" t="s">
        <v>7785</v>
      </c>
      <c r="Z1572" t="s">
        <v>43</v>
      </c>
    </row>
    <row r="1573" spans="1:26" x14ac:dyDescent="0.25">
      <c r="A1573">
        <v>1572</v>
      </c>
      <c r="B1573" t="s">
        <v>30</v>
      </c>
      <c r="C1573" t="s">
        <v>7786</v>
      </c>
      <c r="D1573" t="s">
        <v>5641</v>
      </c>
      <c r="E1573" t="s">
        <v>2916</v>
      </c>
      <c r="F1573" t="s">
        <v>5642</v>
      </c>
      <c r="G1573" t="s">
        <v>2918</v>
      </c>
      <c r="I1573" t="s">
        <v>7787</v>
      </c>
      <c r="J1573">
        <f>57-310-315-6959</f>
        <v>-7527</v>
      </c>
      <c r="K1573" t="s">
        <v>7788</v>
      </c>
      <c r="N1573" t="s">
        <v>7789</v>
      </c>
      <c r="Z1573" t="s">
        <v>43</v>
      </c>
    </row>
    <row r="1574" spans="1:26" x14ac:dyDescent="0.25">
      <c r="A1574">
        <v>1573</v>
      </c>
      <c r="B1574" t="s">
        <v>30</v>
      </c>
      <c r="C1574" t="s">
        <v>7790</v>
      </c>
      <c r="D1574" t="s">
        <v>7791</v>
      </c>
      <c r="E1574" t="s">
        <v>2416</v>
      </c>
      <c r="F1574" t="s">
        <v>7792</v>
      </c>
      <c r="G1574" t="s">
        <v>2418</v>
      </c>
      <c r="I1574" t="s">
        <v>7793</v>
      </c>
      <c r="J1574">
        <f>57-320-259-5010</f>
        <v>-5532</v>
      </c>
      <c r="K1574" t="s">
        <v>7794</v>
      </c>
      <c r="N1574" t="s">
        <v>7795</v>
      </c>
      <c r="Z1574" t="s">
        <v>43</v>
      </c>
    </row>
    <row r="1575" spans="1:26" x14ac:dyDescent="0.25">
      <c r="A1575">
        <v>1574</v>
      </c>
      <c r="B1575" t="s">
        <v>30</v>
      </c>
      <c r="C1575" t="s">
        <v>7796</v>
      </c>
      <c r="D1575" t="s">
        <v>46</v>
      </c>
      <c r="E1575" t="s">
        <v>471</v>
      </c>
      <c r="F1575" t="s">
        <v>820</v>
      </c>
      <c r="G1575" t="s">
        <v>47</v>
      </c>
      <c r="I1575" t="s">
        <v>7797</v>
      </c>
      <c r="J1575">
        <f>57-60-1-433-6689</f>
        <v>-7126</v>
      </c>
      <c r="K1575" t="s">
        <v>7798</v>
      </c>
      <c r="N1575" t="s">
        <v>7799</v>
      </c>
      <c r="Z1575" t="s">
        <v>43</v>
      </c>
    </row>
    <row r="1576" spans="1:26" x14ac:dyDescent="0.25">
      <c r="A1576">
        <v>1575</v>
      </c>
      <c r="B1576" t="s">
        <v>30</v>
      </c>
      <c r="C1576" t="s">
        <v>7800</v>
      </c>
      <c r="D1576" t="s">
        <v>64</v>
      </c>
      <c r="E1576" t="s">
        <v>64</v>
      </c>
      <c r="F1576" t="s">
        <v>65</v>
      </c>
      <c r="G1576" t="s">
        <v>65</v>
      </c>
      <c r="I1576" t="s">
        <v>7801</v>
      </c>
      <c r="J1576">
        <f>57-321-494-1575</f>
        <v>-2333</v>
      </c>
      <c r="K1576" t="s">
        <v>7802</v>
      </c>
      <c r="N1576" t="s">
        <v>5987</v>
      </c>
      <c r="Z1576" t="s">
        <v>43</v>
      </c>
    </row>
    <row r="1577" spans="1:26" x14ac:dyDescent="0.25">
      <c r="A1577">
        <v>1576</v>
      </c>
      <c r="B1577" t="s">
        <v>30</v>
      </c>
      <c r="C1577" t="s">
        <v>7803</v>
      </c>
      <c r="D1577" t="s">
        <v>7804</v>
      </c>
      <c r="E1577" t="s">
        <v>2319</v>
      </c>
      <c r="F1577" t="s">
        <v>7805</v>
      </c>
      <c r="G1577" t="s">
        <v>2321</v>
      </c>
      <c r="I1577" t="s">
        <v>7806</v>
      </c>
      <c r="K1577" t="s">
        <v>7807</v>
      </c>
      <c r="N1577" t="s">
        <v>7808</v>
      </c>
      <c r="Z1577" t="s">
        <v>43</v>
      </c>
    </row>
    <row r="1578" spans="1:26" x14ac:dyDescent="0.25">
      <c r="A1578">
        <v>1577</v>
      </c>
      <c r="B1578" t="s">
        <v>30</v>
      </c>
      <c r="C1578" t="s">
        <v>7809</v>
      </c>
      <c r="D1578" t="s">
        <v>6783</v>
      </c>
      <c r="E1578" t="s">
        <v>471</v>
      </c>
      <c r="F1578" t="s">
        <v>6784</v>
      </c>
      <c r="G1578" t="s">
        <v>47</v>
      </c>
      <c r="I1578" t="s">
        <v>7810</v>
      </c>
      <c r="J1578">
        <f>57-60-1-743-6</f>
        <v>-753</v>
      </c>
      <c r="K1578" t="s">
        <v>7811</v>
      </c>
      <c r="N1578" t="s">
        <v>7812</v>
      </c>
      <c r="Z1578" t="s">
        <v>43</v>
      </c>
    </row>
    <row r="1579" spans="1:26" x14ac:dyDescent="0.25">
      <c r="A1579">
        <v>1578</v>
      </c>
      <c r="B1579" t="s">
        <v>30</v>
      </c>
      <c r="C1579" t="s">
        <v>7813</v>
      </c>
      <c r="D1579" t="s">
        <v>64</v>
      </c>
      <c r="E1579" t="s">
        <v>64</v>
      </c>
      <c r="F1579" t="s">
        <v>65</v>
      </c>
      <c r="G1579" t="s">
        <v>65</v>
      </c>
      <c r="I1579" t="s">
        <v>7814</v>
      </c>
      <c r="J1579">
        <f>57-302-460-7906</f>
        <v>-8611</v>
      </c>
      <c r="K1579" t="s">
        <v>7815</v>
      </c>
      <c r="N1579" t="s">
        <v>7816</v>
      </c>
      <c r="Z1579" t="s">
        <v>43</v>
      </c>
    </row>
    <row r="1580" spans="1:26" x14ac:dyDescent="0.25">
      <c r="A1580">
        <v>1579</v>
      </c>
      <c r="B1580" t="s">
        <v>30</v>
      </c>
      <c r="C1580" t="s">
        <v>7817</v>
      </c>
      <c r="D1580" t="s">
        <v>3957</v>
      </c>
      <c r="E1580" t="s">
        <v>385</v>
      </c>
      <c r="F1580" t="s">
        <v>4007</v>
      </c>
      <c r="G1580" t="s">
        <v>387</v>
      </c>
      <c r="I1580" t="s">
        <v>7818</v>
      </c>
      <c r="J1580">
        <f>57-60-1-357-3509</f>
        <v>-3870</v>
      </c>
      <c r="K1580" t="s">
        <v>7819</v>
      </c>
      <c r="N1580" t="s">
        <v>7820</v>
      </c>
      <c r="Z1580" t="s">
        <v>43</v>
      </c>
    </row>
    <row r="1581" spans="1:26" x14ac:dyDescent="0.25">
      <c r="A1581">
        <v>1580</v>
      </c>
      <c r="B1581" t="s">
        <v>30</v>
      </c>
      <c r="C1581" t="s">
        <v>7821</v>
      </c>
      <c r="D1581" t="s">
        <v>2150</v>
      </c>
      <c r="E1581" t="s">
        <v>755</v>
      </c>
      <c r="F1581" t="s">
        <v>2151</v>
      </c>
      <c r="G1581" t="s">
        <v>757</v>
      </c>
      <c r="I1581" t="s">
        <v>7822</v>
      </c>
      <c r="J1581">
        <f>57-60-1-231-4796</f>
        <v>-5031</v>
      </c>
      <c r="K1581" t="s">
        <v>7823</v>
      </c>
      <c r="N1581" t="s">
        <v>7824</v>
      </c>
      <c r="Z1581" t="s">
        <v>43</v>
      </c>
    </row>
    <row r="1582" spans="1:26" x14ac:dyDescent="0.25">
      <c r="A1582">
        <v>1581</v>
      </c>
      <c r="B1582" t="s">
        <v>30</v>
      </c>
      <c r="C1582" t="s">
        <v>7825</v>
      </c>
      <c r="D1582" t="s">
        <v>7826</v>
      </c>
      <c r="E1582" t="s">
        <v>56</v>
      </c>
      <c r="F1582" t="s">
        <v>7827</v>
      </c>
      <c r="G1582" t="s">
        <v>57</v>
      </c>
      <c r="I1582" t="s">
        <v>7828</v>
      </c>
      <c r="J1582">
        <f>57-310-217-2156</f>
        <v>-2626</v>
      </c>
      <c r="K1582" t="s">
        <v>7829</v>
      </c>
      <c r="N1582" t="s">
        <v>7830</v>
      </c>
      <c r="Z1582" t="s">
        <v>43</v>
      </c>
    </row>
    <row r="1583" spans="1:26" x14ac:dyDescent="0.25">
      <c r="A1583">
        <v>1582</v>
      </c>
      <c r="B1583" t="s">
        <v>30</v>
      </c>
      <c r="C1583" t="s">
        <v>7831</v>
      </c>
      <c r="D1583" t="s">
        <v>7832</v>
      </c>
      <c r="E1583" t="s">
        <v>1055</v>
      </c>
      <c r="F1583" t="s">
        <v>7833</v>
      </c>
      <c r="G1583" t="s">
        <v>1057</v>
      </c>
      <c r="I1583" t="s">
        <v>7834</v>
      </c>
      <c r="J1583">
        <f>57-60-1-245-2313</f>
        <v>-2562</v>
      </c>
      <c r="K1583" t="s">
        <v>7835</v>
      </c>
      <c r="N1583" t="s">
        <v>7836</v>
      </c>
      <c r="Z1583" t="s">
        <v>43</v>
      </c>
    </row>
    <row r="1584" spans="1:26" x14ac:dyDescent="0.25">
      <c r="A1584">
        <v>1583</v>
      </c>
      <c r="B1584" t="s">
        <v>30</v>
      </c>
      <c r="C1584" t="s">
        <v>7837</v>
      </c>
      <c r="D1584" t="s">
        <v>7838</v>
      </c>
      <c r="E1584" t="s">
        <v>800</v>
      </c>
      <c r="F1584" t="s">
        <v>7839</v>
      </c>
      <c r="G1584" t="s">
        <v>802</v>
      </c>
      <c r="I1584" t="s">
        <v>7840</v>
      </c>
      <c r="J1584">
        <f>57-60-1-672-4659</f>
        <v>-5335</v>
      </c>
      <c r="K1584" t="s">
        <v>7841</v>
      </c>
      <c r="N1584" t="s">
        <v>7842</v>
      </c>
      <c r="Z1584" t="s">
        <v>43</v>
      </c>
    </row>
    <row r="1585" spans="1:26" x14ac:dyDescent="0.25">
      <c r="A1585">
        <v>1584</v>
      </c>
      <c r="B1585" t="s">
        <v>30</v>
      </c>
      <c r="C1585" t="s">
        <v>7843</v>
      </c>
      <c r="D1585" t="s">
        <v>7592</v>
      </c>
      <c r="E1585" t="s">
        <v>6432</v>
      </c>
      <c r="F1585" t="s">
        <v>7593</v>
      </c>
      <c r="G1585" t="s">
        <v>6434</v>
      </c>
      <c r="I1585" t="s">
        <v>7844</v>
      </c>
      <c r="J1585">
        <f>57-312-582-8273</f>
        <v>-9110</v>
      </c>
      <c r="K1585" t="s">
        <v>7845</v>
      </c>
      <c r="N1585" t="s">
        <v>7846</v>
      </c>
      <c r="Z1585" t="s">
        <v>43</v>
      </c>
    </row>
    <row r="1586" spans="1:26" x14ac:dyDescent="0.25">
      <c r="A1586">
        <v>1585</v>
      </c>
      <c r="B1586" t="s">
        <v>30</v>
      </c>
      <c r="C1586" t="s">
        <v>7847</v>
      </c>
      <c r="D1586" t="s">
        <v>909</v>
      </c>
      <c r="E1586" t="s">
        <v>1658</v>
      </c>
      <c r="F1586" t="s">
        <v>1659</v>
      </c>
      <c r="G1586" t="s">
        <v>1660</v>
      </c>
      <c r="I1586" t="s">
        <v>3516</v>
      </c>
      <c r="K1586" t="s">
        <v>3517</v>
      </c>
      <c r="N1586" t="s">
        <v>3518</v>
      </c>
      <c r="Z1586" t="s">
        <v>43</v>
      </c>
    </row>
    <row r="1587" spans="1:26" x14ac:dyDescent="0.25">
      <c r="A1587">
        <v>1586</v>
      </c>
      <c r="B1587" t="s">
        <v>30</v>
      </c>
      <c r="C1587" t="s">
        <v>7848</v>
      </c>
      <c r="D1587" t="s">
        <v>772</v>
      </c>
      <c r="E1587" t="s">
        <v>471</v>
      </c>
      <c r="F1587" t="s">
        <v>773</v>
      </c>
      <c r="G1587" t="s">
        <v>47</v>
      </c>
      <c r="I1587" t="s">
        <v>7849</v>
      </c>
      <c r="K1587" t="s">
        <v>7850</v>
      </c>
      <c r="N1587" t="s">
        <v>7851</v>
      </c>
      <c r="Z1587" t="s">
        <v>43</v>
      </c>
    </row>
    <row r="1588" spans="1:26" x14ac:dyDescent="0.25">
      <c r="A1588">
        <v>1587</v>
      </c>
      <c r="B1588" t="s">
        <v>30</v>
      </c>
      <c r="C1588" t="s">
        <v>7852</v>
      </c>
      <c r="D1588" t="s">
        <v>7832</v>
      </c>
      <c r="E1588" t="s">
        <v>1055</v>
      </c>
      <c r="F1588" t="s">
        <v>7833</v>
      </c>
      <c r="G1588" t="s">
        <v>1057</v>
      </c>
      <c r="I1588" t="s">
        <v>7853</v>
      </c>
      <c r="K1588" t="s">
        <v>7854</v>
      </c>
      <c r="N1588" t="s">
        <v>7855</v>
      </c>
      <c r="Z1588" t="s">
        <v>43</v>
      </c>
    </row>
    <row r="1589" spans="1:26" x14ac:dyDescent="0.25">
      <c r="A1589">
        <v>1588</v>
      </c>
      <c r="B1589" t="s">
        <v>30</v>
      </c>
      <c r="C1589" t="s">
        <v>7856</v>
      </c>
      <c r="D1589" t="s">
        <v>4331</v>
      </c>
      <c r="E1589" t="s">
        <v>56</v>
      </c>
      <c r="F1589" t="s">
        <v>4332</v>
      </c>
      <c r="G1589" t="s">
        <v>57</v>
      </c>
      <c r="I1589" t="s">
        <v>7857</v>
      </c>
      <c r="J1589">
        <f>57-300-853-9020</f>
        <v>-10116</v>
      </c>
      <c r="K1589" t="s">
        <v>7858</v>
      </c>
      <c r="N1589" t="s">
        <v>7859</v>
      </c>
      <c r="Z1589" t="s">
        <v>43</v>
      </c>
    </row>
    <row r="1590" spans="1:26" x14ac:dyDescent="0.25">
      <c r="A1590">
        <v>1589</v>
      </c>
      <c r="B1590" t="s">
        <v>30</v>
      </c>
      <c r="C1590" t="s">
        <v>7860</v>
      </c>
      <c r="D1590" t="s">
        <v>7861</v>
      </c>
      <c r="E1590" t="s">
        <v>56</v>
      </c>
      <c r="F1590" t="s">
        <v>7862</v>
      </c>
      <c r="G1590" t="s">
        <v>57</v>
      </c>
      <c r="I1590" t="s">
        <v>7863</v>
      </c>
      <c r="K1590" t="s">
        <v>7864</v>
      </c>
      <c r="N1590" t="s">
        <v>7865</v>
      </c>
      <c r="Z1590" t="s">
        <v>43</v>
      </c>
    </row>
    <row r="1591" spans="1:26" x14ac:dyDescent="0.25">
      <c r="A1591">
        <v>1590</v>
      </c>
      <c r="B1591" t="s">
        <v>30</v>
      </c>
      <c r="C1591" t="s">
        <v>7866</v>
      </c>
      <c r="D1591" t="s">
        <v>3199</v>
      </c>
      <c r="E1591" t="s">
        <v>471</v>
      </c>
      <c r="F1591" t="s">
        <v>3200</v>
      </c>
      <c r="G1591" t="s">
        <v>47</v>
      </c>
      <c r="I1591" t="s">
        <v>7867</v>
      </c>
      <c r="J1591">
        <f>57-316-510-8110</f>
        <v>-8879</v>
      </c>
      <c r="K1591" t="s">
        <v>7868</v>
      </c>
      <c r="N1591" t="s">
        <v>7869</v>
      </c>
      <c r="Z1591" t="s">
        <v>43</v>
      </c>
    </row>
    <row r="1592" spans="1:26" x14ac:dyDescent="0.25">
      <c r="A1592">
        <v>1591</v>
      </c>
      <c r="B1592" t="s">
        <v>30</v>
      </c>
      <c r="C1592" t="s">
        <v>7870</v>
      </c>
      <c r="D1592" t="s">
        <v>72</v>
      </c>
      <c r="E1592" t="s">
        <v>72</v>
      </c>
      <c r="F1592" t="s">
        <v>73</v>
      </c>
      <c r="G1592" t="s">
        <v>73</v>
      </c>
      <c r="I1592" t="s">
        <v>7871</v>
      </c>
      <c r="J1592">
        <f>57-301-527-5206</f>
        <v>-5977</v>
      </c>
      <c r="K1592" t="s">
        <v>7872</v>
      </c>
      <c r="N1592" t="s">
        <v>7873</v>
      </c>
      <c r="Z1592" t="s">
        <v>43</v>
      </c>
    </row>
    <row r="1593" spans="1:26" x14ac:dyDescent="0.25">
      <c r="A1593">
        <v>1592</v>
      </c>
      <c r="B1593" t="s">
        <v>30</v>
      </c>
      <c r="C1593" t="s">
        <v>7874</v>
      </c>
      <c r="D1593" t="s">
        <v>46</v>
      </c>
      <c r="E1593" t="s">
        <v>471</v>
      </c>
      <c r="F1593" t="s">
        <v>941</v>
      </c>
      <c r="G1593" t="s">
        <v>47</v>
      </c>
      <c r="I1593" t="s">
        <v>7875</v>
      </c>
      <c r="K1593" t="s">
        <v>4979</v>
      </c>
      <c r="N1593" t="s">
        <v>4980</v>
      </c>
      <c r="Z1593" t="s">
        <v>43</v>
      </c>
    </row>
    <row r="1594" spans="1:26" x14ac:dyDescent="0.25">
      <c r="A1594">
        <v>1593</v>
      </c>
      <c r="B1594" t="s">
        <v>30</v>
      </c>
      <c r="C1594" t="s">
        <v>7876</v>
      </c>
      <c r="D1594" t="s">
        <v>72</v>
      </c>
      <c r="E1594" t="s">
        <v>72</v>
      </c>
      <c r="F1594" t="s">
        <v>73</v>
      </c>
      <c r="G1594" t="s">
        <v>73</v>
      </c>
      <c r="I1594" t="s">
        <v>7877</v>
      </c>
      <c r="K1594" t="s">
        <v>7878</v>
      </c>
      <c r="N1594" t="s">
        <v>7879</v>
      </c>
      <c r="Z1594" t="s">
        <v>43</v>
      </c>
    </row>
    <row r="1595" spans="1:26" x14ac:dyDescent="0.25">
      <c r="A1595">
        <v>1594</v>
      </c>
      <c r="B1595" t="s">
        <v>30</v>
      </c>
      <c r="C1595" t="s">
        <v>7880</v>
      </c>
      <c r="D1595" t="s">
        <v>7881</v>
      </c>
      <c r="E1595" t="s">
        <v>56</v>
      </c>
      <c r="F1595" t="s">
        <v>7882</v>
      </c>
      <c r="G1595" t="s">
        <v>57</v>
      </c>
      <c r="I1595" t="s">
        <v>7883</v>
      </c>
      <c r="K1595" t="s">
        <v>7884</v>
      </c>
      <c r="N1595" t="s">
        <v>7885</v>
      </c>
      <c r="Z1595" t="s">
        <v>43</v>
      </c>
    </row>
    <row r="1596" spans="1:26" x14ac:dyDescent="0.25">
      <c r="A1596">
        <v>1595</v>
      </c>
      <c r="B1596" t="s">
        <v>30</v>
      </c>
      <c r="C1596" t="s">
        <v>7886</v>
      </c>
      <c r="D1596" t="s">
        <v>2168</v>
      </c>
      <c r="E1596" t="s">
        <v>800</v>
      </c>
      <c r="F1596" t="s">
        <v>2169</v>
      </c>
      <c r="G1596" t="s">
        <v>802</v>
      </c>
      <c r="I1596" t="s">
        <v>7887</v>
      </c>
      <c r="K1596" t="s">
        <v>7888</v>
      </c>
      <c r="N1596" t="s">
        <v>7889</v>
      </c>
      <c r="Z1596" t="s">
        <v>43</v>
      </c>
    </row>
    <row r="1597" spans="1:26" x14ac:dyDescent="0.25">
      <c r="A1597">
        <v>1596</v>
      </c>
      <c r="B1597" t="s">
        <v>30</v>
      </c>
      <c r="C1597" t="s">
        <v>7890</v>
      </c>
      <c r="D1597" t="s">
        <v>72</v>
      </c>
      <c r="E1597" t="s">
        <v>72</v>
      </c>
      <c r="F1597" t="s">
        <v>73</v>
      </c>
      <c r="G1597" t="s">
        <v>73</v>
      </c>
      <c r="I1597" t="s">
        <v>7891</v>
      </c>
      <c r="J1597">
        <f>57-313-210-909</f>
        <v>-1375</v>
      </c>
      <c r="K1597" t="s">
        <v>7722</v>
      </c>
      <c r="N1597" t="s">
        <v>7723</v>
      </c>
      <c r="Z1597" t="s">
        <v>43</v>
      </c>
    </row>
    <row r="1598" spans="1:26" x14ac:dyDescent="0.25">
      <c r="A1598">
        <v>1597</v>
      </c>
      <c r="B1598" t="s">
        <v>30</v>
      </c>
      <c r="C1598" t="s">
        <v>7892</v>
      </c>
      <c r="D1598" t="s">
        <v>2433</v>
      </c>
      <c r="E1598" t="s">
        <v>1155</v>
      </c>
      <c r="F1598" t="s">
        <v>2434</v>
      </c>
      <c r="G1598" t="s">
        <v>1157</v>
      </c>
      <c r="I1598" t="s">
        <v>7893</v>
      </c>
      <c r="J1598">
        <f>57-312-373-700</f>
        <v>-1328</v>
      </c>
      <c r="K1598" t="s">
        <v>7894</v>
      </c>
      <c r="N1598" t="s">
        <v>7895</v>
      </c>
      <c r="Z1598" t="s">
        <v>43</v>
      </c>
    </row>
    <row r="1599" spans="1:26" x14ac:dyDescent="0.25">
      <c r="A1599">
        <v>1598</v>
      </c>
      <c r="B1599" t="s">
        <v>30</v>
      </c>
      <c r="C1599" t="s">
        <v>7896</v>
      </c>
      <c r="D1599" t="s">
        <v>1713</v>
      </c>
      <c r="E1599" t="s">
        <v>64</v>
      </c>
      <c r="F1599" t="s">
        <v>3079</v>
      </c>
      <c r="G1599" t="s">
        <v>65</v>
      </c>
      <c r="I1599" t="s">
        <v>7897</v>
      </c>
      <c r="K1599" t="s">
        <v>7898</v>
      </c>
      <c r="N1599" t="s">
        <v>7899</v>
      </c>
      <c r="Z1599" t="s">
        <v>43</v>
      </c>
    </row>
    <row r="1600" spans="1:26" x14ac:dyDescent="0.25">
      <c r="A1600">
        <v>1599</v>
      </c>
      <c r="B1600" t="s">
        <v>30</v>
      </c>
      <c r="C1600" t="s">
        <v>7900</v>
      </c>
      <c r="D1600" t="s">
        <v>72</v>
      </c>
      <c r="E1600" t="s">
        <v>72</v>
      </c>
      <c r="F1600" t="s">
        <v>73</v>
      </c>
      <c r="G1600" t="s">
        <v>73</v>
      </c>
      <c r="I1600" t="s">
        <v>7901</v>
      </c>
      <c r="J1600">
        <f>57-321-215-8783</f>
        <v>-9262</v>
      </c>
      <c r="K1600" t="s">
        <v>7902</v>
      </c>
      <c r="N1600" t="s">
        <v>7903</v>
      </c>
      <c r="Z1600" t="s">
        <v>43</v>
      </c>
    </row>
    <row r="1601" spans="1:26" x14ac:dyDescent="0.25">
      <c r="A1601">
        <v>1600</v>
      </c>
      <c r="B1601" t="s">
        <v>30</v>
      </c>
      <c r="C1601" t="s">
        <v>7904</v>
      </c>
      <c r="D1601" t="s">
        <v>754</v>
      </c>
      <c r="E1601" t="s">
        <v>755</v>
      </c>
      <c r="F1601" t="s">
        <v>1636</v>
      </c>
      <c r="G1601" t="s">
        <v>757</v>
      </c>
      <c r="I1601" t="s">
        <v>7905</v>
      </c>
      <c r="J1601">
        <f>57-60-1-565-8713</f>
        <v>-9282</v>
      </c>
      <c r="K1601" t="s">
        <v>7701</v>
      </c>
      <c r="N1601" t="s">
        <v>7906</v>
      </c>
      <c r="Z1601" t="s">
        <v>43</v>
      </c>
    </row>
    <row r="1602" spans="1:26" x14ac:dyDescent="0.25">
      <c r="A1602">
        <v>1601</v>
      </c>
      <c r="B1602" t="s">
        <v>30</v>
      </c>
      <c r="C1602" t="s">
        <v>7907</v>
      </c>
      <c r="D1602" t="s">
        <v>64</v>
      </c>
      <c r="E1602" t="s">
        <v>64</v>
      </c>
      <c r="F1602" t="s">
        <v>65</v>
      </c>
      <c r="G1602" t="s">
        <v>65</v>
      </c>
      <c r="I1602" t="s">
        <v>7908</v>
      </c>
      <c r="J1602">
        <f>57-317-432-3567</f>
        <v>-4259</v>
      </c>
      <c r="K1602" t="s">
        <v>7909</v>
      </c>
      <c r="N1602" t="s">
        <v>7910</v>
      </c>
      <c r="Z1602" t="s">
        <v>43</v>
      </c>
    </row>
    <row r="1603" spans="1:26" x14ac:dyDescent="0.25">
      <c r="A1603">
        <v>1602</v>
      </c>
      <c r="B1603" t="s">
        <v>30</v>
      </c>
      <c r="C1603" t="s">
        <v>7911</v>
      </c>
      <c r="D1603" t="s">
        <v>7912</v>
      </c>
      <c r="E1603" t="s">
        <v>471</v>
      </c>
      <c r="F1603" t="s">
        <v>7913</v>
      </c>
      <c r="G1603" t="s">
        <v>47</v>
      </c>
      <c r="I1603" t="s">
        <v>7914</v>
      </c>
      <c r="J1603">
        <f>57-60-1-284-9462</f>
        <v>-9750</v>
      </c>
      <c r="K1603" t="s">
        <v>7915</v>
      </c>
      <c r="N1603" t="s">
        <v>7916</v>
      </c>
      <c r="Z1603" t="s">
        <v>43</v>
      </c>
    </row>
    <row r="1604" spans="1:26" x14ac:dyDescent="0.25">
      <c r="A1604">
        <v>1603</v>
      </c>
      <c r="B1604" t="s">
        <v>30</v>
      </c>
      <c r="C1604" t="s">
        <v>7917</v>
      </c>
      <c r="D1604" t="s">
        <v>813</v>
      </c>
      <c r="E1604" t="s">
        <v>471</v>
      </c>
      <c r="F1604" t="s">
        <v>3735</v>
      </c>
      <c r="G1604" t="s">
        <v>47</v>
      </c>
      <c r="I1604" t="s">
        <v>7918</v>
      </c>
      <c r="K1604" t="s">
        <v>7919</v>
      </c>
      <c r="N1604" t="s">
        <v>7920</v>
      </c>
      <c r="Z1604" t="s">
        <v>43</v>
      </c>
    </row>
    <row r="1605" spans="1:26" x14ac:dyDescent="0.25">
      <c r="A1605">
        <v>1604</v>
      </c>
      <c r="B1605" t="s">
        <v>30</v>
      </c>
      <c r="C1605" t="s">
        <v>7921</v>
      </c>
      <c r="D1605" t="s">
        <v>772</v>
      </c>
      <c r="E1605" t="s">
        <v>471</v>
      </c>
      <c r="F1605" t="s">
        <v>773</v>
      </c>
      <c r="G1605" t="s">
        <v>47</v>
      </c>
      <c r="I1605" t="s">
        <v>7922</v>
      </c>
      <c r="J1605">
        <f>57-310-572-7622</f>
        <v>-8447</v>
      </c>
      <c r="K1605" t="s">
        <v>7923</v>
      </c>
      <c r="N1605" t="s">
        <v>7924</v>
      </c>
      <c r="Z1605" t="s">
        <v>43</v>
      </c>
    </row>
    <row r="1606" spans="1:26" x14ac:dyDescent="0.25">
      <c r="A1606">
        <v>1605</v>
      </c>
      <c r="B1606" t="s">
        <v>30</v>
      </c>
      <c r="C1606" t="s">
        <v>7925</v>
      </c>
      <c r="D1606" t="s">
        <v>46</v>
      </c>
      <c r="E1606" t="s">
        <v>471</v>
      </c>
      <c r="F1606" t="s">
        <v>820</v>
      </c>
      <c r="G1606" t="s">
        <v>47</v>
      </c>
      <c r="I1606" t="s">
        <v>7926</v>
      </c>
      <c r="J1606">
        <f>57-60-1-702-6697</f>
        <v>-7403</v>
      </c>
      <c r="K1606" t="s">
        <v>7927</v>
      </c>
      <c r="N1606" t="s">
        <v>7928</v>
      </c>
      <c r="Z1606" t="s">
        <v>43</v>
      </c>
    </row>
    <row r="1607" spans="1:26" x14ac:dyDescent="0.25">
      <c r="A1607">
        <v>1606</v>
      </c>
      <c r="B1607" t="s">
        <v>30</v>
      </c>
      <c r="C1607" t="s">
        <v>7929</v>
      </c>
      <c r="D1607" t="s">
        <v>46</v>
      </c>
      <c r="E1607" t="s">
        <v>471</v>
      </c>
      <c r="F1607" t="s">
        <v>820</v>
      </c>
      <c r="G1607" t="s">
        <v>47</v>
      </c>
      <c r="I1607" t="s">
        <v>7930</v>
      </c>
      <c r="K1607" t="s">
        <v>7927</v>
      </c>
      <c r="N1607" t="s">
        <v>7931</v>
      </c>
      <c r="Z1607" t="s">
        <v>43</v>
      </c>
    </row>
    <row r="1608" spans="1:26" x14ac:dyDescent="0.25">
      <c r="A1608">
        <v>1607</v>
      </c>
      <c r="B1608" t="s">
        <v>30</v>
      </c>
      <c r="C1608" t="s">
        <v>7932</v>
      </c>
      <c r="D1608" t="s">
        <v>3168</v>
      </c>
      <c r="E1608" t="s">
        <v>471</v>
      </c>
      <c r="F1608" t="s">
        <v>7933</v>
      </c>
      <c r="G1608" t="s">
        <v>47</v>
      </c>
      <c r="I1608" t="s">
        <v>7934</v>
      </c>
      <c r="K1608" t="s">
        <v>7935</v>
      </c>
      <c r="N1608" t="s">
        <v>7936</v>
      </c>
      <c r="Z1608" t="s">
        <v>43</v>
      </c>
    </row>
    <row r="1609" spans="1:26" x14ac:dyDescent="0.25">
      <c r="A1609">
        <v>1608</v>
      </c>
      <c r="B1609" t="s">
        <v>30</v>
      </c>
      <c r="C1609" t="s">
        <v>7937</v>
      </c>
      <c r="D1609" t="s">
        <v>979</v>
      </c>
      <c r="E1609" t="s">
        <v>471</v>
      </c>
      <c r="F1609" t="s">
        <v>980</v>
      </c>
      <c r="G1609" t="s">
        <v>47</v>
      </c>
      <c r="I1609" t="s">
        <v>7938</v>
      </c>
      <c r="J1609">
        <f>57-310-773-2641</f>
        <v>-3667</v>
      </c>
      <c r="K1609" t="s">
        <v>7939</v>
      </c>
      <c r="N1609" t="s">
        <v>7940</v>
      </c>
      <c r="Z1609" t="s">
        <v>43</v>
      </c>
    </row>
    <row r="1610" spans="1:26" x14ac:dyDescent="0.25">
      <c r="A1610">
        <v>1609</v>
      </c>
      <c r="B1610" t="s">
        <v>30</v>
      </c>
      <c r="C1610" t="s">
        <v>7941</v>
      </c>
      <c r="D1610" t="s">
        <v>867</v>
      </c>
      <c r="E1610" t="s">
        <v>471</v>
      </c>
      <c r="F1610" t="s">
        <v>868</v>
      </c>
      <c r="G1610" t="s">
        <v>47</v>
      </c>
      <c r="I1610" t="s">
        <v>7942</v>
      </c>
      <c r="J1610">
        <f>57-60-1-491-5744</f>
        <v>-6239</v>
      </c>
      <c r="K1610" t="s">
        <v>7943</v>
      </c>
      <c r="N1610" t="s">
        <v>7944</v>
      </c>
      <c r="Z1610" t="s">
        <v>43</v>
      </c>
    </row>
    <row r="1611" spans="1:26" x14ac:dyDescent="0.25">
      <c r="A1611">
        <v>1610</v>
      </c>
      <c r="B1611" t="s">
        <v>30</v>
      </c>
      <c r="C1611" t="s">
        <v>7945</v>
      </c>
      <c r="D1611" t="s">
        <v>7946</v>
      </c>
      <c r="E1611" t="s">
        <v>800</v>
      </c>
      <c r="F1611" t="s">
        <v>7947</v>
      </c>
      <c r="G1611" t="s">
        <v>802</v>
      </c>
      <c r="I1611" t="s">
        <v>7948</v>
      </c>
      <c r="J1611">
        <f>57-310-553-638</f>
        <v>-1444</v>
      </c>
      <c r="K1611" t="s">
        <v>7949</v>
      </c>
      <c r="N1611" t="s">
        <v>7950</v>
      </c>
      <c r="Z1611" t="s">
        <v>43</v>
      </c>
    </row>
    <row r="1612" spans="1:26" x14ac:dyDescent="0.25">
      <c r="A1612">
        <v>1611</v>
      </c>
      <c r="B1612" t="s">
        <v>30</v>
      </c>
      <c r="C1612" t="s">
        <v>7951</v>
      </c>
      <c r="D1612" t="s">
        <v>72</v>
      </c>
      <c r="E1612" t="s">
        <v>72</v>
      </c>
      <c r="F1612" t="s">
        <v>73</v>
      </c>
      <c r="G1612" t="s">
        <v>73</v>
      </c>
      <c r="I1612" t="s">
        <v>7952</v>
      </c>
      <c r="J1612">
        <f>57-318-345-7248</f>
        <v>-7854</v>
      </c>
      <c r="K1612" t="s">
        <v>7953</v>
      </c>
      <c r="N1612" t="s">
        <v>7954</v>
      </c>
      <c r="Z1612" t="s">
        <v>43</v>
      </c>
    </row>
    <row r="1613" spans="1:26" x14ac:dyDescent="0.25">
      <c r="A1613">
        <v>1612</v>
      </c>
      <c r="B1613" t="s">
        <v>30</v>
      </c>
      <c r="C1613" t="s">
        <v>7955</v>
      </c>
      <c r="D1613" t="s">
        <v>46</v>
      </c>
      <c r="E1613" t="s">
        <v>471</v>
      </c>
      <c r="F1613" t="s">
        <v>1708</v>
      </c>
      <c r="G1613" t="s">
        <v>47</v>
      </c>
      <c r="I1613" t="s">
        <v>7956</v>
      </c>
      <c r="J1613">
        <f>57-60-1-432-7495</f>
        <v>-7931</v>
      </c>
      <c r="K1613" t="s">
        <v>7957</v>
      </c>
      <c r="N1613" t="s">
        <v>7958</v>
      </c>
      <c r="Z1613" t="s">
        <v>43</v>
      </c>
    </row>
    <row r="1614" spans="1:26" x14ac:dyDescent="0.25">
      <c r="A1614">
        <v>1613</v>
      </c>
      <c r="B1614" t="s">
        <v>30</v>
      </c>
      <c r="C1614" t="s">
        <v>7959</v>
      </c>
      <c r="D1614" t="s">
        <v>813</v>
      </c>
      <c r="E1614" t="s">
        <v>72</v>
      </c>
      <c r="F1614" t="s">
        <v>814</v>
      </c>
      <c r="G1614" t="s">
        <v>73</v>
      </c>
      <c r="I1614" t="s">
        <v>7960</v>
      </c>
      <c r="J1614">
        <f>57-317-373-6028</f>
        <v>-6661</v>
      </c>
      <c r="K1614" t="s">
        <v>7961</v>
      </c>
      <c r="N1614" t="s">
        <v>7962</v>
      </c>
      <c r="Z1614" t="s">
        <v>43</v>
      </c>
    </row>
    <row r="1615" spans="1:26" x14ac:dyDescent="0.25">
      <c r="A1615">
        <v>1614</v>
      </c>
      <c r="B1615" t="s">
        <v>30</v>
      </c>
      <c r="C1615" t="s">
        <v>7963</v>
      </c>
      <c r="D1615" t="s">
        <v>384</v>
      </c>
      <c r="E1615" t="s">
        <v>385</v>
      </c>
      <c r="F1615" t="s">
        <v>2439</v>
      </c>
      <c r="G1615" t="s">
        <v>387</v>
      </c>
      <c r="I1615" t="s">
        <v>7964</v>
      </c>
      <c r="J1615">
        <f>57-311-513-7878</f>
        <v>-8645</v>
      </c>
      <c r="K1615" t="s">
        <v>7965</v>
      </c>
      <c r="N1615" t="s">
        <v>7966</v>
      </c>
      <c r="Z1615" t="s">
        <v>43</v>
      </c>
    </row>
    <row r="1616" spans="1:26" x14ac:dyDescent="0.25">
      <c r="A1616">
        <v>1615</v>
      </c>
      <c r="B1616" t="s">
        <v>30</v>
      </c>
      <c r="C1616" t="s">
        <v>7967</v>
      </c>
      <c r="D1616" t="s">
        <v>2336</v>
      </c>
      <c r="E1616" t="s">
        <v>1402</v>
      </c>
      <c r="F1616" t="s">
        <v>2337</v>
      </c>
      <c r="G1616" t="s">
        <v>1404</v>
      </c>
      <c r="I1616" t="s">
        <v>7968</v>
      </c>
      <c r="J1616">
        <f>57-314-759-8568</f>
        <v>-9584</v>
      </c>
      <c r="K1616" t="s">
        <v>7969</v>
      </c>
      <c r="N1616" t="s">
        <v>7970</v>
      </c>
      <c r="Z1616" t="s">
        <v>43</v>
      </c>
    </row>
    <row r="1617" spans="1:26" x14ac:dyDescent="0.25">
      <c r="A1617">
        <v>1616</v>
      </c>
      <c r="B1617" t="s">
        <v>30</v>
      </c>
      <c r="C1617" t="s">
        <v>7971</v>
      </c>
      <c r="D1617" t="s">
        <v>1713</v>
      </c>
      <c r="E1617" t="s">
        <v>64</v>
      </c>
      <c r="F1617" t="s">
        <v>3079</v>
      </c>
      <c r="G1617" t="s">
        <v>65</v>
      </c>
      <c r="I1617" t="s">
        <v>7972</v>
      </c>
      <c r="K1617" t="s">
        <v>7973</v>
      </c>
      <c r="N1617" t="s">
        <v>7974</v>
      </c>
      <c r="Z1617" t="s">
        <v>43</v>
      </c>
    </row>
    <row r="1618" spans="1:26" x14ac:dyDescent="0.25">
      <c r="A1618">
        <v>1617</v>
      </c>
      <c r="B1618" t="s">
        <v>30</v>
      </c>
      <c r="C1618" t="s">
        <v>7975</v>
      </c>
      <c r="D1618" t="s">
        <v>867</v>
      </c>
      <c r="E1618" t="s">
        <v>471</v>
      </c>
      <c r="F1618" t="s">
        <v>1024</v>
      </c>
      <c r="G1618" t="s">
        <v>47</v>
      </c>
      <c r="I1618" t="s">
        <v>7976</v>
      </c>
      <c r="J1618">
        <f>57-317-637-2690</f>
        <v>-3587</v>
      </c>
      <c r="K1618" t="s">
        <v>7977</v>
      </c>
      <c r="N1618" t="s">
        <v>7978</v>
      </c>
      <c r="Z1618" t="s">
        <v>43</v>
      </c>
    </row>
    <row r="1619" spans="1:26" x14ac:dyDescent="0.25">
      <c r="A1619">
        <v>1618</v>
      </c>
      <c r="B1619" t="s">
        <v>30</v>
      </c>
      <c r="C1619" t="s">
        <v>7979</v>
      </c>
      <c r="D1619" t="s">
        <v>64</v>
      </c>
      <c r="E1619" t="s">
        <v>64</v>
      </c>
      <c r="F1619" t="s">
        <v>65</v>
      </c>
      <c r="G1619" t="s">
        <v>65</v>
      </c>
      <c r="I1619" t="s">
        <v>7980</v>
      </c>
      <c r="J1619">
        <f>57-313-394-9223</f>
        <v>-9873</v>
      </c>
      <c r="K1619" t="s">
        <v>7981</v>
      </c>
      <c r="N1619" t="s">
        <v>7982</v>
      </c>
      <c r="Z1619" t="s">
        <v>43</v>
      </c>
    </row>
    <row r="1620" spans="1:26" x14ac:dyDescent="0.25">
      <c r="A1620">
        <v>1619</v>
      </c>
      <c r="B1620" t="s">
        <v>30</v>
      </c>
      <c r="C1620" t="s">
        <v>7983</v>
      </c>
      <c r="D1620" t="s">
        <v>2346</v>
      </c>
      <c r="E1620" t="s">
        <v>385</v>
      </c>
      <c r="F1620" t="s">
        <v>2347</v>
      </c>
      <c r="G1620" t="s">
        <v>387</v>
      </c>
      <c r="I1620" t="s">
        <v>7984</v>
      </c>
      <c r="J1620">
        <f>57-314-825-9510</f>
        <v>-10592</v>
      </c>
      <c r="K1620" t="s">
        <v>7985</v>
      </c>
      <c r="N1620" t="s">
        <v>7986</v>
      </c>
      <c r="Z1620" t="s">
        <v>43</v>
      </c>
    </row>
    <row r="1621" spans="1:26" x14ac:dyDescent="0.25">
      <c r="A1621">
        <v>1620</v>
      </c>
      <c r="B1621" t="s">
        <v>30</v>
      </c>
      <c r="C1621" t="s">
        <v>7987</v>
      </c>
      <c r="D1621" t="s">
        <v>384</v>
      </c>
      <c r="E1621" t="s">
        <v>471</v>
      </c>
      <c r="F1621" t="s">
        <v>386</v>
      </c>
      <c r="G1621" t="s">
        <v>47</v>
      </c>
      <c r="I1621" t="s">
        <v>7988</v>
      </c>
      <c r="J1621">
        <f>57-311-262-1858</f>
        <v>-2374</v>
      </c>
      <c r="K1621" t="s">
        <v>7989</v>
      </c>
      <c r="N1621" t="s">
        <v>7990</v>
      </c>
      <c r="Z1621" t="s">
        <v>43</v>
      </c>
    </row>
    <row r="1622" spans="1:26" x14ac:dyDescent="0.25">
      <c r="A1622">
        <v>1621</v>
      </c>
      <c r="B1622" t="s">
        <v>30</v>
      </c>
      <c r="C1622" t="s">
        <v>7991</v>
      </c>
      <c r="D1622" t="s">
        <v>7992</v>
      </c>
      <c r="E1622" t="s">
        <v>7007</v>
      </c>
      <c r="F1622" t="s">
        <v>7993</v>
      </c>
      <c r="G1622" t="s">
        <v>7009</v>
      </c>
      <c r="I1622" t="s">
        <v>7994</v>
      </c>
      <c r="J1622">
        <f>57-301-631-5318</f>
        <v>-6193</v>
      </c>
      <c r="K1622" t="s">
        <v>7995</v>
      </c>
      <c r="N1622" t="s">
        <v>7996</v>
      </c>
      <c r="Z1622" t="s">
        <v>43</v>
      </c>
    </row>
    <row r="1623" spans="1:26" x14ac:dyDescent="0.25">
      <c r="A1623">
        <v>1622</v>
      </c>
      <c r="B1623" t="s">
        <v>30</v>
      </c>
      <c r="C1623" t="s">
        <v>7997</v>
      </c>
      <c r="D1623" t="s">
        <v>772</v>
      </c>
      <c r="E1623" t="s">
        <v>72</v>
      </c>
      <c r="F1623" t="s">
        <v>773</v>
      </c>
      <c r="G1623" t="s">
        <v>73</v>
      </c>
      <c r="I1623" t="s">
        <v>7998</v>
      </c>
      <c r="K1623" t="s">
        <v>7999</v>
      </c>
      <c r="N1623" t="s">
        <v>6626</v>
      </c>
      <c r="Z1623" t="s">
        <v>43</v>
      </c>
    </row>
    <row r="1624" spans="1:26" x14ac:dyDescent="0.25">
      <c r="A1624">
        <v>1623</v>
      </c>
      <c r="B1624" t="s">
        <v>30</v>
      </c>
      <c r="C1624" t="s">
        <v>8000</v>
      </c>
      <c r="D1624" t="s">
        <v>46</v>
      </c>
      <c r="E1624" t="s">
        <v>471</v>
      </c>
      <c r="F1624" t="s">
        <v>941</v>
      </c>
      <c r="G1624" t="s">
        <v>966</v>
      </c>
      <c r="I1624" t="s">
        <v>8001</v>
      </c>
      <c r="J1624">
        <f>57-300-510-1100</f>
        <v>-1853</v>
      </c>
      <c r="K1624" t="s">
        <v>8002</v>
      </c>
      <c r="N1624" t="s">
        <v>8003</v>
      </c>
      <c r="Z1624" t="s">
        <v>43</v>
      </c>
    </row>
    <row r="1625" spans="1:26" x14ac:dyDescent="0.25">
      <c r="A1625">
        <v>1624</v>
      </c>
      <c r="B1625" t="s">
        <v>30</v>
      </c>
      <c r="C1625" t="s">
        <v>8004</v>
      </c>
      <c r="D1625" t="s">
        <v>3670</v>
      </c>
      <c r="E1625" t="s">
        <v>755</v>
      </c>
      <c r="F1625" t="s">
        <v>3671</v>
      </c>
      <c r="G1625" t="s">
        <v>757</v>
      </c>
      <c r="I1625" t="s">
        <v>8005</v>
      </c>
      <c r="K1625" t="s">
        <v>7681</v>
      </c>
      <c r="N1625" t="s">
        <v>7682</v>
      </c>
      <c r="Z1625" t="s">
        <v>43</v>
      </c>
    </row>
    <row r="1626" spans="1:26" x14ac:dyDescent="0.25">
      <c r="A1626">
        <v>1625</v>
      </c>
      <c r="B1626" t="s">
        <v>30</v>
      </c>
      <c r="C1626" t="s">
        <v>8006</v>
      </c>
      <c r="D1626" t="s">
        <v>72</v>
      </c>
      <c r="E1626" t="s">
        <v>72</v>
      </c>
      <c r="F1626" t="s">
        <v>73</v>
      </c>
      <c r="G1626" t="s">
        <v>73</v>
      </c>
      <c r="I1626" t="s">
        <v>8007</v>
      </c>
      <c r="K1626" t="s">
        <v>8008</v>
      </c>
      <c r="N1626" t="s">
        <v>8009</v>
      </c>
      <c r="Z1626" t="s">
        <v>43</v>
      </c>
    </row>
    <row r="1627" spans="1:26" x14ac:dyDescent="0.25">
      <c r="A1627">
        <v>1626</v>
      </c>
      <c r="B1627" t="s">
        <v>30</v>
      </c>
      <c r="C1627" t="s">
        <v>8010</v>
      </c>
      <c r="D1627" t="s">
        <v>4698</v>
      </c>
      <c r="E1627" t="s">
        <v>385</v>
      </c>
      <c r="F1627" t="s">
        <v>4699</v>
      </c>
      <c r="G1627" t="s">
        <v>387</v>
      </c>
      <c r="I1627" t="s">
        <v>8011</v>
      </c>
      <c r="J1627">
        <f>57-324-518-654</f>
        <v>-1439</v>
      </c>
      <c r="K1627" t="s">
        <v>8012</v>
      </c>
      <c r="N1627" t="s">
        <v>8013</v>
      </c>
      <c r="Z1627" t="s">
        <v>43</v>
      </c>
    </row>
    <row r="1628" spans="1:26" x14ac:dyDescent="0.25">
      <c r="A1628">
        <v>1627</v>
      </c>
      <c r="B1628" t="s">
        <v>30</v>
      </c>
      <c r="C1628" t="s">
        <v>8014</v>
      </c>
      <c r="D1628" t="s">
        <v>8015</v>
      </c>
      <c r="E1628" t="s">
        <v>755</v>
      </c>
      <c r="F1628" t="s">
        <v>8016</v>
      </c>
      <c r="G1628" t="s">
        <v>757</v>
      </c>
      <c r="I1628" t="s">
        <v>8017</v>
      </c>
      <c r="J1628">
        <f>57-60-1-710-2945</f>
        <v>-3659</v>
      </c>
      <c r="K1628" t="s">
        <v>8018</v>
      </c>
      <c r="N1628" t="s">
        <v>8019</v>
      </c>
      <c r="Z1628" t="s">
        <v>43</v>
      </c>
    </row>
    <row r="1629" spans="1:26" x14ac:dyDescent="0.25">
      <c r="A1629">
        <v>1628</v>
      </c>
      <c r="B1629" t="s">
        <v>30</v>
      </c>
      <c r="C1629" t="s">
        <v>8020</v>
      </c>
      <c r="D1629" t="s">
        <v>2394</v>
      </c>
      <c r="E1629" t="s">
        <v>471</v>
      </c>
      <c r="F1629" t="s">
        <v>8021</v>
      </c>
      <c r="G1629" t="s">
        <v>47</v>
      </c>
      <c r="I1629" t="s">
        <v>8022</v>
      </c>
      <c r="K1629" t="s">
        <v>8023</v>
      </c>
      <c r="N1629" t="s">
        <v>8024</v>
      </c>
      <c r="Z1629" t="s">
        <v>43</v>
      </c>
    </row>
    <row r="1630" spans="1:26" x14ac:dyDescent="0.25">
      <c r="A1630">
        <v>1629</v>
      </c>
      <c r="B1630" t="s">
        <v>30</v>
      </c>
      <c r="C1630" t="s">
        <v>8025</v>
      </c>
      <c r="D1630" t="s">
        <v>8026</v>
      </c>
      <c r="E1630" t="s">
        <v>2105</v>
      </c>
      <c r="F1630" t="s">
        <v>8027</v>
      </c>
      <c r="G1630" t="s">
        <v>5419</v>
      </c>
      <c r="I1630" t="s">
        <v>8028</v>
      </c>
      <c r="J1630">
        <f>57-313-496-4143</f>
        <v>-4895</v>
      </c>
      <c r="K1630" t="s">
        <v>8029</v>
      </c>
      <c r="N1630" t="s">
        <v>8030</v>
      </c>
      <c r="Z1630" t="s">
        <v>43</v>
      </c>
    </row>
    <row r="1631" spans="1:26" x14ac:dyDescent="0.25">
      <c r="A1631">
        <v>1630</v>
      </c>
      <c r="B1631" t="s">
        <v>30</v>
      </c>
      <c r="C1631" t="s">
        <v>8031</v>
      </c>
      <c r="D1631" t="s">
        <v>2336</v>
      </c>
      <c r="E1631" t="s">
        <v>471</v>
      </c>
      <c r="F1631" t="s">
        <v>2337</v>
      </c>
      <c r="G1631" t="s">
        <v>47</v>
      </c>
      <c r="I1631" t="s">
        <v>8032</v>
      </c>
      <c r="J1631">
        <f>57-319-755-6892</f>
        <v>-7909</v>
      </c>
      <c r="K1631" t="s">
        <v>8033</v>
      </c>
      <c r="N1631" t="s">
        <v>8034</v>
      </c>
      <c r="Z1631" t="s">
        <v>43</v>
      </c>
    </row>
    <row r="1632" spans="1:26" x14ac:dyDescent="0.25">
      <c r="A1632">
        <v>1631</v>
      </c>
      <c r="B1632" t="s">
        <v>30</v>
      </c>
      <c r="C1632" t="s">
        <v>8035</v>
      </c>
      <c r="D1632" t="s">
        <v>8036</v>
      </c>
      <c r="E1632" t="s">
        <v>471</v>
      </c>
      <c r="F1632" t="s">
        <v>8037</v>
      </c>
      <c r="G1632" t="s">
        <v>47</v>
      </c>
      <c r="I1632" t="s">
        <v>8038</v>
      </c>
      <c r="J1632">
        <f>57-60-1-262-967</f>
        <v>-1233</v>
      </c>
      <c r="K1632" t="s">
        <v>8039</v>
      </c>
      <c r="N1632" t="s">
        <v>8040</v>
      </c>
      <c r="Z1632" t="s">
        <v>43</v>
      </c>
    </row>
    <row r="1633" spans="1:26" x14ac:dyDescent="0.25">
      <c r="A1633">
        <v>1632</v>
      </c>
      <c r="B1633" t="s">
        <v>30</v>
      </c>
      <c r="C1633" t="s">
        <v>8041</v>
      </c>
      <c r="D1633" t="s">
        <v>1260</v>
      </c>
      <c r="E1633" t="s">
        <v>64</v>
      </c>
      <c r="F1633" t="s">
        <v>1653</v>
      </c>
      <c r="G1633" t="s">
        <v>65</v>
      </c>
      <c r="I1633" t="s">
        <v>8042</v>
      </c>
      <c r="K1633" t="s">
        <v>8043</v>
      </c>
      <c r="N1633" t="s">
        <v>8044</v>
      </c>
      <c r="Z1633" t="s">
        <v>43</v>
      </c>
    </row>
    <row r="1634" spans="1:26" x14ac:dyDescent="0.25">
      <c r="A1634">
        <v>1633</v>
      </c>
      <c r="B1634" t="s">
        <v>30</v>
      </c>
      <c r="C1634" t="s">
        <v>8045</v>
      </c>
      <c r="D1634" t="s">
        <v>72</v>
      </c>
      <c r="E1634" t="s">
        <v>72</v>
      </c>
      <c r="F1634" t="s">
        <v>73</v>
      </c>
      <c r="G1634" t="s">
        <v>73</v>
      </c>
      <c r="I1634" t="s">
        <v>8046</v>
      </c>
      <c r="K1634" t="s">
        <v>8047</v>
      </c>
      <c r="N1634" t="s">
        <v>8048</v>
      </c>
      <c r="Z1634" t="s">
        <v>43</v>
      </c>
    </row>
    <row r="1635" spans="1:26" x14ac:dyDescent="0.25">
      <c r="A1635">
        <v>1634</v>
      </c>
      <c r="B1635" t="s">
        <v>30</v>
      </c>
      <c r="C1635" t="s">
        <v>8049</v>
      </c>
      <c r="D1635" t="s">
        <v>8050</v>
      </c>
      <c r="E1635" t="s">
        <v>2936</v>
      </c>
      <c r="F1635" t="s">
        <v>8051</v>
      </c>
      <c r="G1635" t="s">
        <v>2938</v>
      </c>
      <c r="I1635" t="s">
        <v>8052</v>
      </c>
      <c r="K1635" t="s">
        <v>8053</v>
      </c>
      <c r="N1635" t="s">
        <v>8054</v>
      </c>
      <c r="Z1635" t="s">
        <v>43</v>
      </c>
    </row>
    <row r="1636" spans="1:26" x14ac:dyDescent="0.25">
      <c r="A1636">
        <v>1635</v>
      </c>
      <c r="B1636" t="s">
        <v>30</v>
      </c>
      <c r="C1636" t="s">
        <v>8055</v>
      </c>
      <c r="D1636" t="s">
        <v>8056</v>
      </c>
      <c r="E1636" t="s">
        <v>56</v>
      </c>
      <c r="F1636" t="s">
        <v>8057</v>
      </c>
      <c r="G1636" t="s">
        <v>57</v>
      </c>
      <c r="I1636" t="s">
        <v>8058</v>
      </c>
      <c r="J1636">
        <f>57-350-447-8545</f>
        <v>-9285</v>
      </c>
      <c r="K1636" t="s">
        <v>8059</v>
      </c>
      <c r="N1636" t="s">
        <v>8060</v>
      </c>
      <c r="Z1636" t="s">
        <v>43</v>
      </c>
    </row>
    <row r="1637" spans="1:26" x14ac:dyDescent="0.25">
      <c r="A1637">
        <v>1636</v>
      </c>
      <c r="B1637" t="s">
        <v>30</v>
      </c>
      <c r="C1637" t="s">
        <v>8061</v>
      </c>
      <c r="D1637" t="s">
        <v>2585</v>
      </c>
      <c r="E1637" t="s">
        <v>56</v>
      </c>
      <c r="F1637" t="s">
        <v>2586</v>
      </c>
      <c r="G1637" t="s">
        <v>57</v>
      </c>
      <c r="I1637" t="s">
        <v>8062</v>
      </c>
      <c r="K1637" t="s">
        <v>8063</v>
      </c>
      <c r="N1637" t="s">
        <v>8064</v>
      </c>
      <c r="Z1637" t="s">
        <v>43</v>
      </c>
    </row>
    <row r="1638" spans="1:26" x14ac:dyDescent="0.25">
      <c r="A1638">
        <v>1637</v>
      </c>
      <c r="B1638" t="s">
        <v>30</v>
      </c>
      <c r="C1638" t="s">
        <v>8065</v>
      </c>
      <c r="D1638" t="s">
        <v>46</v>
      </c>
      <c r="E1638" t="s">
        <v>471</v>
      </c>
      <c r="F1638" t="s">
        <v>820</v>
      </c>
      <c r="G1638" t="s">
        <v>47</v>
      </c>
      <c r="I1638" t="s">
        <v>8066</v>
      </c>
      <c r="J1638">
        <f>57-314-299-7648</f>
        <v>-8204</v>
      </c>
      <c r="K1638" t="s">
        <v>8067</v>
      </c>
      <c r="N1638" t="s">
        <v>8068</v>
      </c>
      <c r="Z1638" t="s">
        <v>43</v>
      </c>
    </row>
    <row r="1639" spans="1:26" x14ac:dyDescent="0.25">
      <c r="A1639">
        <v>1638</v>
      </c>
      <c r="B1639" t="s">
        <v>30</v>
      </c>
      <c r="C1639" t="s">
        <v>8069</v>
      </c>
      <c r="D1639" t="s">
        <v>46</v>
      </c>
      <c r="E1639" t="s">
        <v>471</v>
      </c>
      <c r="F1639" t="s">
        <v>820</v>
      </c>
      <c r="G1639" t="s">
        <v>47</v>
      </c>
      <c r="I1639" t="s">
        <v>8070</v>
      </c>
      <c r="J1639">
        <f>57-60-1-263-7347</f>
        <v>-7614</v>
      </c>
      <c r="K1639" t="s">
        <v>8071</v>
      </c>
      <c r="N1639" t="s">
        <v>8072</v>
      </c>
      <c r="Z1639" t="s">
        <v>43</v>
      </c>
    </row>
    <row r="1640" spans="1:26" x14ac:dyDescent="0.25">
      <c r="A1640">
        <v>1639</v>
      </c>
      <c r="B1640" t="s">
        <v>30</v>
      </c>
      <c r="C1640" t="s">
        <v>8073</v>
      </c>
      <c r="D1640" t="s">
        <v>754</v>
      </c>
      <c r="E1640" t="s">
        <v>755</v>
      </c>
      <c r="F1640" t="s">
        <v>756</v>
      </c>
      <c r="G1640" t="s">
        <v>757</v>
      </c>
      <c r="I1640" t="s">
        <v>8074</v>
      </c>
      <c r="J1640">
        <f>57-60-1-454-69</f>
        <v>-527</v>
      </c>
      <c r="K1640" t="s">
        <v>8075</v>
      </c>
      <c r="N1640" t="s">
        <v>8076</v>
      </c>
      <c r="Z1640" t="s">
        <v>43</v>
      </c>
    </row>
    <row r="1641" spans="1:26" x14ac:dyDescent="0.25">
      <c r="A1641">
        <v>1640</v>
      </c>
      <c r="B1641" t="s">
        <v>30</v>
      </c>
      <c r="C1641" t="s">
        <v>8077</v>
      </c>
      <c r="D1641" t="s">
        <v>8078</v>
      </c>
      <c r="E1641" t="s">
        <v>5472</v>
      </c>
      <c r="F1641" t="s">
        <v>8079</v>
      </c>
      <c r="G1641" t="s">
        <v>8080</v>
      </c>
      <c r="I1641" t="s">
        <v>8081</v>
      </c>
      <c r="K1641" t="s">
        <v>8082</v>
      </c>
      <c r="N1641" t="s">
        <v>8083</v>
      </c>
      <c r="Z1641" t="s">
        <v>43</v>
      </c>
    </row>
    <row r="1642" spans="1:26" x14ac:dyDescent="0.25">
      <c r="A1642">
        <v>1641</v>
      </c>
      <c r="B1642" t="s">
        <v>30</v>
      </c>
      <c r="C1642" t="s">
        <v>8084</v>
      </c>
      <c r="D1642" t="s">
        <v>754</v>
      </c>
      <c r="E1642" t="s">
        <v>755</v>
      </c>
      <c r="F1642" t="s">
        <v>1636</v>
      </c>
      <c r="G1642" t="s">
        <v>757</v>
      </c>
      <c r="I1642" t="s">
        <v>7680</v>
      </c>
      <c r="J1642">
        <f>57-60-1-710-7862</f>
        <v>-8576</v>
      </c>
      <c r="K1642" t="s">
        <v>4156</v>
      </c>
      <c r="N1642" t="s">
        <v>8085</v>
      </c>
      <c r="Z1642" t="s">
        <v>43</v>
      </c>
    </row>
    <row r="1643" spans="1:26" x14ac:dyDescent="0.25">
      <c r="A1643">
        <v>1642</v>
      </c>
      <c r="B1643" t="s">
        <v>30</v>
      </c>
      <c r="C1643" t="s">
        <v>8086</v>
      </c>
      <c r="D1643" t="s">
        <v>72</v>
      </c>
      <c r="E1643" t="s">
        <v>72</v>
      </c>
      <c r="F1643" t="s">
        <v>73</v>
      </c>
      <c r="G1643" t="s">
        <v>73</v>
      </c>
      <c r="I1643" t="s">
        <v>8087</v>
      </c>
      <c r="K1643" t="s">
        <v>8088</v>
      </c>
      <c r="N1643" t="s">
        <v>8089</v>
      </c>
      <c r="Z1643" t="s">
        <v>43</v>
      </c>
    </row>
    <row r="1644" spans="1:26" x14ac:dyDescent="0.25">
      <c r="A1644">
        <v>1643</v>
      </c>
      <c r="B1644" t="s">
        <v>30</v>
      </c>
      <c r="C1644" t="s">
        <v>8090</v>
      </c>
      <c r="D1644" t="s">
        <v>2394</v>
      </c>
      <c r="E1644" t="s">
        <v>64</v>
      </c>
      <c r="F1644" t="s">
        <v>2395</v>
      </c>
      <c r="G1644" t="s">
        <v>65</v>
      </c>
      <c r="I1644" t="s">
        <v>8091</v>
      </c>
      <c r="J1644">
        <f>57-60-1-702-5598</f>
        <v>-6304</v>
      </c>
      <c r="K1644" t="s">
        <v>8092</v>
      </c>
      <c r="N1644" t="s">
        <v>8093</v>
      </c>
      <c r="Z1644" t="s">
        <v>43</v>
      </c>
    </row>
    <row r="1645" spans="1:26" x14ac:dyDescent="0.25">
      <c r="A1645">
        <v>1644</v>
      </c>
      <c r="B1645" t="s">
        <v>30</v>
      </c>
      <c r="C1645" t="s">
        <v>8094</v>
      </c>
      <c r="D1645" t="s">
        <v>8095</v>
      </c>
      <c r="E1645" t="s">
        <v>1760</v>
      </c>
      <c r="F1645" t="s">
        <v>8096</v>
      </c>
      <c r="G1645" t="s">
        <v>1762</v>
      </c>
      <c r="I1645" t="s">
        <v>8097</v>
      </c>
      <c r="K1645" t="s">
        <v>8098</v>
      </c>
      <c r="N1645" t="s">
        <v>8099</v>
      </c>
      <c r="Z1645" t="s">
        <v>43</v>
      </c>
    </row>
    <row r="1646" spans="1:26" x14ac:dyDescent="0.25">
      <c r="A1646">
        <v>1645</v>
      </c>
      <c r="B1646" t="s">
        <v>30</v>
      </c>
      <c r="C1646" t="s">
        <v>8100</v>
      </c>
      <c r="D1646" t="s">
        <v>772</v>
      </c>
      <c r="E1646" t="s">
        <v>471</v>
      </c>
      <c r="F1646" t="s">
        <v>773</v>
      </c>
      <c r="G1646" t="s">
        <v>47</v>
      </c>
      <c r="I1646" t="s">
        <v>8101</v>
      </c>
      <c r="K1646" t="s">
        <v>8102</v>
      </c>
      <c r="N1646" t="s">
        <v>8103</v>
      </c>
      <c r="Z1646" t="s">
        <v>43</v>
      </c>
    </row>
    <row r="1647" spans="1:26" x14ac:dyDescent="0.25">
      <c r="A1647">
        <v>1646</v>
      </c>
      <c r="B1647" t="s">
        <v>30</v>
      </c>
      <c r="C1647" t="s">
        <v>8104</v>
      </c>
      <c r="D1647" t="s">
        <v>8105</v>
      </c>
      <c r="E1647" t="s">
        <v>2814</v>
      </c>
      <c r="F1647" t="s">
        <v>8106</v>
      </c>
      <c r="G1647" t="s">
        <v>2816</v>
      </c>
      <c r="I1647" t="s">
        <v>8107</v>
      </c>
      <c r="J1647">
        <f>57-316-523-925</f>
        <v>-1707</v>
      </c>
      <c r="K1647" t="s">
        <v>8108</v>
      </c>
      <c r="N1647" t="s">
        <v>8109</v>
      </c>
      <c r="Z1647" t="s">
        <v>43</v>
      </c>
    </row>
    <row r="1648" spans="1:26" x14ac:dyDescent="0.25">
      <c r="A1648">
        <v>1647</v>
      </c>
      <c r="B1648" t="s">
        <v>30</v>
      </c>
      <c r="C1648" t="s">
        <v>8110</v>
      </c>
      <c r="D1648" t="s">
        <v>772</v>
      </c>
      <c r="E1648" t="s">
        <v>471</v>
      </c>
      <c r="F1648" t="s">
        <v>1822</v>
      </c>
      <c r="G1648" t="s">
        <v>47</v>
      </c>
      <c r="I1648" t="s">
        <v>8111</v>
      </c>
      <c r="J1648">
        <f>57-310-237-6661</f>
        <v>-7151</v>
      </c>
      <c r="K1648" t="s">
        <v>8112</v>
      </c>
      <c r="N1648" t="s">
        <v>8113</v>
      </c>
      <c r="Z1648" t="s">
        <v>43</v>
      </c>
    </row>
    <row r="1649" spans="1:26" x14ac:dyDescent="0.25">
      <c r="A1649">
        <v>1648</v>
      </c>
      <c r="B1649" t="s">
        <v>30</v>
      </c>
      <c r="C1649" t="s">
        <v>8114</v>
      </c>
      <c r="D1649" t="s">
        <v>64</v>
      </c>
      <c r="E1649" t="s">
        <v>64</v>
      </c>
      <c r="F1649" t="s">
        <v>65</v>
      </c>
      <c r="G1649" t="s">
        <v>65</v>
      </c>
      <c r="I1649" t="s">
        <v>8115</v>
      </c>
      <c r="J1649">
        <f>57-60-1-675-3365</f>
        <v>-4044</v>
      </c>
      <c r="K1649" t="s">
        <v>8116</v>
      </c>
      <c r="N1649" t="s">
        <v>8117</v>
      </c>
      <c r="Z1649" t="s">
        <v>43</v>
      </c>
    </row>
    <row r="1650" spans="1:26" x14ac:dyDescent="0.25">
      <c r="A1650">
        <v>1649</v>
      </c>
      <c r="B1650" t="s">
        <v>30</v>
      </c>
      <c r="C1650" t="s">
        <v>8118</v>
      </c>
      <c r="D1650" t="s">
        <v>46</v>
      </c>
      <c r="E1650" t="s">
        <v>471</v>
      </c>
      <c r="F1650" t="s">
        <v>820</v>
      </c>
      <c r="G1650" t="s">
        <v>47</v>
      </c>
      <c r="I1650" t="s">
        <v>8119</v>
      </c>
      <c r="K1650" t="s">
        <v>8120</v>
      </c>
      <c r="N1650" t="s">
        <v>8121</v>
      </c>
      <c r="Z1650" t="s">
        <v>43</v>
      </c>
    </row>
    <row r="1651" spans="1:26" x14ac:dyDescent="0.25">
      <c r="A1651">
        <v>1650</v>
      </c>
      <c r="B1651" t="s">
        <v>30</v>
      </c>
      <c r="C1651" t="s">
        <v>8122</v>
      </c>
      <c r="D1651" t="s">
        <v>3465</v>
      </c>
      <c r="E1651" t="s">
        <v>1269</v>
      </c>
      <c r="F1651" t="s">
        <v>3466</v>
      </c>
      <c r="G1651" t="s">
        <v>1271</v>
      </c>
      <c r="I1651" t="s">
        <v>8123</v>
      </c>
      <c r="J1651">
        <f>57-60-1-217-1231</f>
        <v>-1452</v>
      </c>
      <c r="K1651" t="s">
        <v>7462</v>
      </c>
      <c r="N1651" t="s">
        <v>7586</v>
      </c>
      <c r="Z1651" t="s">
        <v>43</v>
      </c>
    </row>
    <row r="1652" spans="1:26" x14ac:dyDescent="0.25">
      <c r="A1652">
        <v>1651</v>
      </c>
      <c r="B1652" t="s">
        <v>30</v>
      </c>
      <c r="C1652" t="s">
        <v>8124</v>
      </c>
      <c r="D1652" t="s">
        <v>3521</v>
      </c>
      <c r="E1652" t="s">
        <v>800</v>
      </c>
      <c r="F1652" t="s">
        <v>3522</v>
      </c>
      <c r="G1652" t="s">
        <v>802</v>
      </c>
      <c r="I1652" t="s">
        <v>8125</v>
      </c>
      <c r="J1652">
        <f>57-313-812-3744</f>
        <v>-4812</v>
      </c>
      <c r="K1652" t="s">
        <v>8126</v>
      </c>
      <c r="N1652" t="s">
        <v>8127</v>
      </c>
      <c r="Z1652" t="s">
        <v>43</v>
      </c>
    </row>
    <row r="1653" spans="1:26" x14ac:dyDescent="0.25">
      <c r="A1653">
        <v>1652</v>
      </c>
      <c r="B1653" t="s">
        <v>30</v>
      </c>
      <c r="C1653" t="s">
        <v>8128</v>
      </c>
      <c r="D1653" t="s">
        <v>3723</v>
      </c>
      <c r="E1653" t="s">
        <v>72</v>
      </c>
      <c r="F1653" t="s">
        <v>3724</v>
      </c>
      <c r="G1653" t="s">
        <v>73</v>
      </c>
      <c r="I1653" t="s">
        <v>8129</v>
      </c>
      <c r="K1653" t="s">
        <v>8130</v>
      </c>
      <c r="N1653" t="s">
        <v>8131</v>
      </c>
      <c r="Z1653" t="s">
        <v>43</v>
      </c>
    </row>
    <row r="1654" spans="1:26" x14ac:dyDescent="0.25">
      <c r="A1654">
        <v>1653</v>
      </c>
      <c r="B1654" t="s">
        <v>30</v>
      </c>
      <c r="C1654" t="s">
        <v>8132</v>
      </c>
      <c r="D1654" t="s">
        <v>8133</v>
      </c>
      <c r="E1654" t="s">
        <v>1613</v>
      </c>
      <c r="F1654" t="s">
        <v>8134</v>
      </c>
      <c r="G1654" t="s">
        <v>1615</v>
      </c>
      <c r="I1654" t="s">
        <v>8135</v>
      </c>
      <c r="J1654">
        <f>57-311-874-7557</f>
        <v>-8685</v>
      </c>
      <c r="K1654" t="s">
        <v>8136</v>
      </c>
      <c r="N1654" t="s">
        <v>8137</v>
      </c>
      <c r="Z1654" t="s">
        <v>43</v>
      </c>
    </row>
    <row r="1655" spans="1:26" x14ac:dyDescent="0.25">
      <c r="A1655">
        <v>1654</v>
      </c>
      <c r="B1655" t="s">
        <v>30</v>
      </c>
      <c r="C1655" t="s">
        <v>8138</v>
      </c>
      <c r="D1655" t="s">
        <v>72</v>
      </c>
      <c r="E1655" t="s">
        <v>72</v>
      </c>
      <c r="F1655" t="s">
        <v>73</v>
      </c>
      <c r="G1655" t="s">
        <v>73</v>
      </c>
      <c r="I1655" t="s">
        <v>8139</v>
      </c>
      <c r="J1655">
        <f>57-310-762-7229</f>
        <v>-8244</v>
      </c>
      <c r="K1655" t="s">
        <v>8140</v>
      </c>
      <c r="N1655" t="s">
        <v>8141</v>
      </c>
      <c r="Z1655" t="s">
        <v>43</v>
      </c>
    </row>
    <row r="1656" spans="1:26" x14ac:dyDescent="0.25">
      <c r="A1656">
        <v>1655</v>
      </c>
      <c r="B1656" t="s">
        <v>30</v>
      </c>
      <c r="C1656" t="s">
        <v>8142</v>
      </c>
      <c r="D1656" t="s">
        <v>1054</v>
      </c>
      <c r="E1656" t="s">
        <v>1055</v>
      </c>
      <c r="F1656" t="s">
        <v>1056</v>
      </c>
      <c r="G1656" t="s">
        <v>1057</v>
      </c>
      <c r="I1656" t="s">
        <v>8143</v>
      </c>
      <c r="J1656">
        <f>57-60-1-742-4108</f>
        <v>-4854</v>
      </c>
      <c r="K1656" t="s">
        <v>8144</v>
      </c>
      <c r="N1656" t="s">
        <v>8145</v>
      </c>
      <c r="Z1656" t="s">
        <v>43</v>
      </c>
    </row>
    <row r="1657" spans="1:26" x14ac:dyDescent="0.25">
      <c r="A1657">
        <v>1656</v>
      </c>
      <c r="B1657" t="s">
        <v>30</v>
      </c>
      <c r="C1657" t="s">
        <v>8146</v>
      </c>
      <c r="D1657" t="s">
        <v>6849</v>
      </c>
      <c r="E1657" t="s">
        <v>471</v>
      </c>
      <c r="F1657" t="s">
        <v>6850</v>
      </c>
      <c r="G1657" t="s">
        <v>47</v>
      </c>
      <c r="I1657" t="s">
        <v>8147</v>
      </c>
      <c r="J1657">
        <f>57-304-565-9309</f>
        <v>-10121</v>
      </c>
      <c r="K1657" t="s">
        <v>8148</v>
      </c>
      <c r="N1657" t="s">
        <v>8149</v>
      </c>
      <c r="Z1657" t="s">
        <v>43</v>
      </c>
    </row>
    <row r="1658" spans="1:26" x14ac:dyDescent="0.25">
      <c r="A1658">
        <v>1657</v>
      </c>
      <c r="B1658" t="s">
        <v>30</v>
      </c>
      <c r="C1658" t="s">
        <v>8150</v>
      </c>
      <c r="D1658" t="s">
        <v>772</v>
      </c>
      <c r="E1658" t="s">
        <v>471</v>
      </c>
      <c r="F1658" t="s">
        <v>773</v>
      </c>
      <c r="G1658" t="s">
        <v>47</v>
      </c>
      <c r="I1658" t="s">
        <v>8151</v>
      </c>
      <c r="K1658" t="s">
        <v>8152</v>
      </c>
      <c r="N1658" t="s">
        <v>8153</v>
      </c>
      <c r="Z1658" t="s">
        <v>43</v>
      </c>
    </row>
    <row r="1659" spans="1:26" x14ac:dyDescent="0.25">
      <c r="A1659">
        <v>1658</v>
      </c>
      <c r="B1659" t="s">
        <v>30</v>
      </c>
      <c r="C1659" t="s">
        <v>8154</v>
      </c>
      <c r="D1659" t="s">
        <v>979</v>
      </c>
      <c r="E1659" t="s">
        <v>1269</v>
      </c>
      <c r="F1659" t="s">
        <v>980</v>
      </c>
      <c r="G1659" t="s">
        <v>1271</v>
      </c>
      <c r="I1659" t="s">
        <v>8155</v>
      </c>
      <c r="K1659" t="s">
        <v>8156</v>
      </c>
      <c r="N1659" t="s">
        <v>8157</v>
      </c>
      <c r="Z1659" t="s">
        <v>43</v>
      </c>
    </row>
    <row r="1660" spans="1:26" x14ac:dyDescent="0.25">
      <c r="A1660">
        <v>1659</v>
      </c>
      <c r="B1660" t="s">
        <v>30</v>
      </c>
      <c r="C1660" t="s">
        <v>8158</v>
      </c>
      <c r="D1660" t="s">
        <v>772</v>
      </c>
      <c r="E1660" t="s">
        <v>72</v>
      </c>
      <c r="F1660" t="s">
        <v>3559</v>
      </c>
      <c r="G1660" t="s">
        <v>73</v>
      </c>
      <c r="I1660" t="s">
        <v>8159</v>
      </c>
      <c r="J1660">
        <f>57-301-504-9536</f>
        <v>-10284</v>
      </c>
      <c r="K1660" t="s">
        <v>8160</v>
      </c>
      <c r="N1660" t="s">
        <v>8161</v>
      </c>
      <c r="Z1660" t="s">
        <v>43</v>
      </c>
    </row>
    <row r="1661" spans="1:26" x14ac:dyDescent="0.25">
      <c r="A1661">
        <v>1660</v>
      </c>
      <c r="B1661" t="s">
        <v>30</v>
      </c>
      <c r="C1661" t="s">
        <v>8162</v>
      </c>
      <c r="D1661" t="s">
        <v>3364</v>
      </c>
      <c r="E1661" t="s">
        <v>385</v>
      </c>
      <c r="F1661" t="s">
        <v>3365</v>
      </c>
      <c r="G1661" t="s">
        <v>387</v>
      </c>
      <c r="I1661" t="s">
        <v>8163</v>
      </c>
      <c r="J1661">
        <f>57-301-796-3360</f>
        <v>-4400</v>
      </c>
      <c r="K1661" t="s">
        <v>8164</v>
      </c>
      <c r="N1661" t="s">
        <v>8165</v>
      </c>
      <c r="Z1661" t="s">
        <v>43</v>
      </c>
    </row>
    <row r="1662" spans="1:26" x14ac:dyDescent="0.25">
      <c r="A1662">
        <v>1661</v>
      </c>
      <c r="B1662" t="s">
        <v>30</v>
      </c>
      <c r="C1662" t="s">
        <v>8166</v>
      </c>
      <c r="D1662" t="s">
        <v>2168</v>
      </c>
      <c r="E1662" t="s">
        <v>800</v>
      </c>
      <c r="F1662" t="s">
        <v>2169</v>
      </c>
      <c r="G1662" t="s">
        <v>802</v>
      </c>
      <c r="I1662" t="s">
        <v>8167</v>
      </c>
      <c r="K1662" t="s">
        <v>8168</v>
      </c>
      <c r="N1662" t="s">
        <v>8169</v>
      </c>
      <c r="Z1662" t="s">
        <v>43</v>
      </c>
    </row>
    <row r="1663" spans="1:26" x14ac:dyDescent="0.25">
      <c r="A1663">
        <v>1662</v>
      </c>
      <c r="B1663" t="s">
        <v>30</v>
      </c>
      <c r="C1663" t="s">
        <v>8170</v>
      </c>
      <c r="D1663" t="s">
        <v>2098</v>
      </c>
      <c r="E1663" t="s">
        <v>1269</v>
      </c>
      <c r="F1663" t="s">
        <v>2099</v>
      </c>
      <c r="G1663" t="s">
        <v>1271</v>
      </c>
      <c r="I1663" t="s">
        <v>8171</v>
      </c>
      <c r="K1663" t="s">
        <v>8172</v>
      </c>
      <c r="N1663" t="s">
        <v>8173</v>
      </c>
      <c r="Z1663" t="s">
        <v>43</v>
      </c>
    </row>
    <row r="1664" spans="1:26" x14ac:dyDescent="0.25">
      <c r="A1664">
        <v>1663</v>
      </c>
      <c r="B1664" t="s">
        <v>30</v>
      </c>
      <c r="C1664" t="s">
        <v>8174</v>
      </c>
      <c r="D1664" t="s">
        <v>3287</v>
      </c>
      <c r="E1664" t="s">
        <v>72</v>
      </c>
      <c r="F1664" t="s">
        <v>8175</v>
      </c>
      <c r="G1664" t="s">
        <v>73</v>
      </c>
      <c r="I1664" t="s">
        <v>8176</v>
      </c>
      <c r="K1664" t="s">
        <v>8177</v>
      </c>
      <c r="N1664" t="s">
        <v>8178</v>
      </c>
      <c r="Z1664" t="s">
        <v>43</v>
      </c>
    </row>
    <row r="1665" spans="1:26" x14ac:dyDescent="0.25">
      <c r="A1665">
        <v>1664</v>
      </c>
      <c r="B1665" t="s">
        <v>30</v>
      </c>
      <c r="C1665" t="s">
        <v>8179</v>
      </c>
      <c r="D1665" t="s">
        <v>384</v>
      </c>
      <c r="E1665" t="s">
        <v>385</v>
      </c>
      <c r="F1665" t="s">
        <v>386</v>
      </c>
      <c r="G1665" t="s">
        <v>387</v>
      </c>
      <c r="I1665" t="s">
        <v>8180</v>
      </c>
      <c r="J1665">
        <f>57-320-463-1032</f>
        <v>-1758</v>
      </c>
      <c r="K1665" t="s">
        <v>8181</v>
      </c>
      <c r="N1665" t="s">
        <v>8182</v>
      </c>
      <c r="Z1665" t="s">
        <v>43</v>
      </c>
    </row>
    <row r="1666" spans="1:26" x14ac:dyDescent="0.25">
      <c r="A1666">
        <v>1665</v>
      </c>
      <c r="B1666" t="s">
        <v>30</v>
      </c>
      <c r="C1666" t="s">
        <v>8183</v>
      </c>
      <c r="D1666" t="s">
        <v>6504</v>
      </c>
      <c r="E1666" t="s">
        <v>56</v>
      </c>
      <c r="F1666" t="s">
        <v>6505</v>
      </c>
      <c r="G1666" t="s">
        <v>57</v>
      </c>
      <c r="I1666" t="s">
        <v>8184</v>
      </c>
      <c r="K1666" t="s">
        <v>8185</v>
      </c>
      <c r="N1666" t="s">
        <v>8186</v>
      </c>
      <c r="Z1666" t="s">
        <v>43</v>
      </c>
    </row>
    <row r="1667" spans="1:26" x14ac:dyDescent="0.25">
      <c r="A1667">
        <v>1666</v>
      </c>
      <c r="B1667" t="s">
        <v>30</v>
      </c>
      <c r="C1667" t="s">
        <v>8187</v>
      </c>
      <c r="D1667" t="s">
        <v>46</v>
      </c>
      <c r="E1667" t="s">
        <v>471</v>
      </c>
      <c r="F1667" t="s">
        <v>1708</v>
      </c>
      <c r="G1667" t="s">
        <v>47</v>
      </c>
      <c r="I1667" t="s">
        <v>8188</v>
      </c>
      <c r="K1667" t="s">
        <v>8189</v>
      </c>
      <c r="N1667" t="s">
        <v>8190</v>
      </c>
      <c r="Z1667" t="s">
        <v>43</v>
      </c>
    </row>
    <row r="1668" spans="1:26" x14ac:dyDescent="0.25">
      <c r="A1668">
        <v>1667</v>
      </c>
      <c r="B1668" t="s">
        <v>30</v>
      </c>
      <c r="C1668" t="s">
        <v>8191</v>
      </c>
      <c r="D1668" t="s">
        <v>2098</v>
      </c>
      <c r="E1668" t="s">
        <v>1269</v>
      </c>
      <c r="F1668" t="s">
        <v>2099</v>
      </c>
      <c r="G1668" t="s">
        <v>1271</v>
      </c>
      <c r="I1668" t="s">
        <v>8192</v>
      </c>
      <c r="J1668">
        <f>57-60-1-324-4038</f>
        <v>-4366</v>
      </c>
      <c r="K1668" t="s">
        <v>8193</v>
      </c>
      <c r="N1668" t="s">
        <v>8194</v>
      </c>
      <c r="Z1668" t="s">
        <v>43</v>
      </c>
    </row>
    <row r="1669" spans="1:26" x14ac:dyDescent="0.25">
      <c r="A1669">
        <v>1668</v>
      </c>
      <c r="B1669" t="s">
        <v>30</v>
      </c>
      <c r="C1669" t="s">
        <v>8195</v>
      </c>
      <c r="D1669" t="s">
        <v>772</v>
      </c>
      <c r="E1669" t="s">
        <v>471</v>
      </c>
      <c r="F1669" t="s">
        <v>773</v>
      </c>
      <c r="G1669" t="s">
        <v>47</v>
      </c>
      <c r="I1669" t="s">
        <v>8196</v>
      </c>
      <c r="J1669">
        <f>57-60-1-236-5614</f>
        <v>-5854</v>
      </c>
      <c r="K1669" t="s">
        <v>8197</v>
      </c>
      <c r="N1669" t="s">
        <v>8198</v>
      </c>
      <c r="Z1669" t="s">
        <v>43</v>
      </c>
    </row>
    <row r="1670" spans="1:26" x14ac:dyDescent="0.25">
      <c r="A1670">
        <v>1669</v>
      </c>
      <c r="B1670" t="s">
        <v>30</v>
      </c>
      <c r="C1670" t="s">
        <v>8199</v>
      </c>
      <c r="D1670" t="s">
        <v>1908</v>
      </c>
      <c r="E1670" t="s">
        <v>471</v>
      </c>
      <c r="F1670" t="s">
        <v>1909</v>
      </c>
      <c r="G1670" t="s">
        <v>47</v>
      </c>
      <c r="I1670" t="s">
        <v>8200</v>
      </c>
      <c r="J1670">
        <f>57-310-236-9480</f>
        <v>-9969</v>
      </c>
      <c r="K1670" t="s">
        <v>8201</v>
      </c>
      <c r="N1670" t="s">
        <v>8202</v>
      </c>
      <c r="Z1670" t="s">
        <v>43</v>
      </c>
    </row>
    <row r="1671" spans="1:26" x14ac:dyDescent="0.25">
      <c r="A1671">
        <v>1670</v>
      </c>
      <c r="B1671" t="s">
        <v>30</v>
      </c>
      <c r="C1671" t="s">
        <v>8203</v>
      </c>
      <c r="D1671" t="s">
        <v>5947</v>
      </c>
      <c r="E1671" t="s">
        <v>2190</v>
      </c>
      <c r="F1671" t="s">
        <v>8204</v>
      </c>
      <c r="G1671" t="s">
        <v>2192</v>
      </c>
      <c r="I1671" t="s">
        <v>8205</v>
      </c>
      <c r="J1671">
        <f>57-60-1-347-1730</f>
        <v>-2081</v>
      </c>
      <c r="K1671" t="s">
        <v>8206</v>
      </c>
      <c r="N1671" t="s">
        <v>8207</v>
      </c>
      <c r="Z1671" t="s">
        <v>43</v>
      </c>
    </row>
    <row r="1672" spans="1:26" x14ac:dyDescent="0.25">
      <c r="A1672">
        <v>1671</v>
      </c>
      <c r="B1672" t="s">
        <v>30</v>
      </c>
      <c r="C1672" t="s">
        <v>8208</v>
      </c>
      <c r="D1672" t="s">
        <v>8209</v>
      </c>
      <c r="E1672" t="s">
        <v>8210</v>
      </c>
      <c r="F1672" t="s">
        <v>8211</v>
      </c>
      <c r="G1672" t="s">
        <v>8212</v>
      </c>
      <c r="I1672" t="s">
        <v>8213</v>
      </c>
      <c r="J1672">
        <f>57-311-284-4147</f>
        <v>-4685</v>
      </c>
      <c r="K1672" t="s">
        <v>8214</v>
      </c>
      <c r="N1672" t="s">
        <v>8215</v>
      </c>
      <c r="Z1672" t="s">
        <v>43</v>
      </c>
    </row>
    <row r="1673" spans="1:26" x14ac:dyDescent="0.25">
      <c r="A1673">
        <v>1672</v>
      </c>
      <c r="B1673" t="s">
        <v>30</v>
      </c>
      <c r="C1673" t="s">
        <v>8216</v>
      </c>
      <c r="D1673" t="s">
        <v>8217</v>
      </c>
      <c r="E1673" t="s">
        <v>3984</v>
      </c>
      <c r="F1673" t="s">
        <v>8218</v>
      </c>
      <c r="G1673" t="s">
        <v>3986</v>
      </c>
      <c r="I1673" t="s">
        <v>8219</v>
      </c>
      <c r="J1673">
        <f>57-318-719-1679</f>
        <v>-2659</v>
      </c>
      <c r="K1673" t="s">
        <v>8220</v>
      </c>
      <c r="N1673" t="s">
        <v>8221</v>
      </c>
      <c r="Z1673" t="s">
        <v>43</v>
      </c>
    </row>
    <row r="1674" spans="1:26" x14ac:dyDescent="0.25">
      <c r="A1674">
        <v>1673</v>
      </c>
      <c r="B1674" t="s">
        <v>30</v>
      </c>
      <c r="C1674" t="s">
        <v>8222</v>
      </c>
      <c r="D1674" t="s">
        <v>3957</v>
      </c>
      <c r="E1674" t="s">
        <v>72</v>
      </c>
      <c r="F1674" t="s">
        <v>4007</v>
      </c>
      <c r="G1674" t="s">
        <v>73</v>
      </c>
      <c r="I1674" t="s">
        <v>3305</v>
      </c>
      <c r="J1674">
        <f>57-60-1-288-3766</f>
        <v>-4058</v>
      </c>
      <c r="K1674" t="s">
        <v>8223</v>
      </c>
      <c r="N1674" t="s">
        <v>8224</v>
      </c>
      <c r="Z1674" t="s">
        <v>43</v>
      </c>
    </row>
    <row r="1675" spans="1:26" x14ac:dyDescent="0.25">
      <c r="A1675">
        <v>1674</v>
      </c>
      <c r="B1675" t="s">
        <v>30</v>
      </c>
      <c r="C1675" t="s">
        <v>8225</v>
      </c>
      <c r="D1675" t="s">
        <v>2336</v>
      </c>
      <c r="E1675" t="s">
        <v>56</v>
      </c>
      <c r="F1675" t="s">
        <v>2337</v>
      </c>
      <c r="G1675" t="s">
        <v>57</v>
      </c>
      <c r="I1675" t="s">
        <v>8226</v>
      </c>
      <c r="J1675">
        <f>57-310-871-7868</f>
        <v>-8992</v>
      </c>
      <c r="K1675" t="s">
        <v>8227</v>
      </c>
      <c r="N1675" t="s">
        <v>8228</v>
      </c>
      <c r="Z1675" t="s">
        <v>43</v>
      </c>
    </row>
    <row r="1676" spans="1:26" x14ac:dyDescent="0.25">
      <c r="A1676">
        <v>1675</v>
      </c>
      <c r="B1676" t="s">
        <v>30</v>
      </c>
      <c r="C1676" t="s">
        <v>8229</v>
      </c>
      <c r="D1676" t="s">
        <v>8230</v>
      </c>
      <c r="E1676" t="s">
        <v>1760</v>
      </c>
      <c r="F1676" t="s">
        <v>8231</v>
      </c>
      <c r="G1676" t="s">
        <v>1762</v>
      </c>
      <c r="I1676" t="s">
        <v>8232</v>
      </c>
      <c r="J1676">
        <f>57-315-413-6071</f>
        <v>-6742</v>
      </c>
      <c r="K1676" t="s">
        <v>8233</v>
      </c>
      <c r="N1676" t="s">
        <v>8234</v>
      </c>
      <c r="Z1676" t="s">
        <v>43</v>
      </c>
    </row>
    <row r="1677" spans="1:26" x14ac:dyDescent="0.25">
      <c r="A1677">
        <v>1676</v>
      </c>
      <c r="B1677" t="s">
        <v>30</v>
      </c>
      <c r="C1677" t="s">
        <v>8235</v>
      </c>
      <c r="D1677" t="s">
        <v>2058</v>
      </c>
      <c r="E1677" t="s">
        <v>1760</v>
      </c>
      <c r="F1677" t="s">
        <v>2059</v>
      </c>
      <c r="G1677" t="s">
        <v>1762</v>
      </c>
      <c r="I1677" t="s">
        <v>8236</v>
      </c>
      <c r="J1677">
        <f>57-323-289-8227</f>
        <v>-8782</v>
      </c>
      <c r="K1677" t="s">
        <v>8237</v>
      </c>
      <c r="N1677" t="s">
        <v>8238</v>
      </c>
      <c r="Z1677" t="s">
        <v>43</v>
      </c>
    </row>
    <row r="1678" spans="1:26" x14ac:dyDescent="0.25">
      <c r="A1678">
        <v>1677</v>
      </c>
      <c r="B1678" t="s">
        <v>30</v>
      </c>
      <c r="C1678" t="s">
        <v>8239</v>
      </c>
      <c r="D1678" t="s">
        <v>64</v>
      </c>
      <c r="E1678" t="s">
        <v>64</v>
      </c>
      <c r="F1678" t="s">
        <v>65</v>
      </c>
      <c r="G1678" t="s">
        <v>65</v>
      </c>
      <c r="I1678" t="s">
        <v>8240</v>
      </c>
      <c r="J1678">
        <f>57-301-667-9527</f>
        <v>-10438</v>
      </c>
      <c r="K1678" t="s">
        <v>8241</v>
      </c>
      <c r="N1678" t="s">
        <v>8242</v>
      </c>
      <c r="Z1678" t="s">
        <v>43</v>
      </c>
    </row>
    <row r="1679" spans="1:26" x14ac:dyDescent="0.25">
      <c r="A1679">
        <v>1678</v>
      </c>
      <c r="B1679" t="s">
        <v>30</v>
      </c>
      <c r="C1679" t="s">
        <v>8243</v>
      </c>
      <c r="D1679" t="s">
        <v>8244</v>
      </c>
      <c r="E1679" t="s">
        <v>800</v>
      </c>
      <c r="F1679" t="s">
        <v>8245</v>
      </c>
      <c r="G1679" t="s">
        <v>802</v>
      </c>
      <c r="I1679" t="s">
        <v>8246</v>
      </c>
      <c r="J1679">
        <f>57-317-236-5580</f>
        <v>-6076</v>
      </c>
      <c r="K1679" t="s">
        <v>8247</v>
      </c>
      <c r="N1679" t="s">
        <v>8248</v>
      </c>
      <c r="Z1679" t="s">
        <v>43</v>
      </c>
    </row>
    <row r="1680" spans="1:26" x14ac:dyDescent="0.25">
      <c r="A1680">
        <v>1679</v>
      </c>
      <c r="B1680" t="s">
        <v>30</v>
      </c>
      <c r="C1680" t="s">
        <v>8249</v>
      </c>
      <c r="D1680" t="s">
        <v>1606</v>
      </c>
      <c r="E1680" t="s">
        <v>1658</v>
      </c>
      <c r="F1680" t="s">
        <v>1607</v>
      </c>
      <c r="G1680" t="s">
        <v>1660</v>
      </c>
      <c r="I1680" t="s">
        <v>8250</v>
      </c>
      <c r="J1680">
        <f>57-324-636-1373</f>
        <v>-2276</v>
      </c>
      <c r="K1680" t="s">
        <v>8251</v>
      </c>
      <c r="N1680" t="s">
        <v>8252</v>
      </c>
      <c r="Z1680" t="s">
        <v>43</v>
      </c>
    </row>
    <row r="1681" spans="1:26" x14ac:dyDescent="0.25">
      <c r="A1681">
        <v>1680</v>
      </c>
      <c r="B1681" t="s">
        <v>30</v>
      </c>
      <c r="C1681" t="s">
        <v>8253</v>
      </c>
      <c r="D1681" t="s">
        <v>8254</v>
      </c>
      <c r="E1681" t="s">
        <v>56</v>
      </c>
      <c r="F1681" t="s">
        <v>8255</v>
      </c>
      <c r="G1681" t="s">
        <v>57</v>
      </c>
      <c r="I1681" t="s">
        <v>8256</v>
      </c>
      <c r="J1681">
        <f>57-311-269-4934</f>
        <v>-5457</v>
      </c>
      <c r="K1681" t="s">
        <v>8257</v>
      </c>
      <c r="N1681" t="s">
        <v>8258</v>
      </c>
      <c r="Z1681" t="s">
        <v>43</v>
      </c>
    </row>
    <row r="1682" spans="1:26" x14ac:dyDescent="0.25">
      <c r="A1682">
        <v>1681</v>
      </c>
      <c r="B1682" t="s">
        <v>30</v>
      </c>
      <c r="C1682" t="s">
        <v>8259</v>
      </c>
      <c r="D1682" t="s">
        <v>8260</v>
      </c>
      <c r="E1682" t="s">
        <v>3657</v>
      </c>
      <c r="F1682" t="s">
        <v>8261</v>
      </c>
      <c r="G1682" t="s">
        <v>3659</v>
      </c>
      <c r="I1682" t="s">
        <v>8262</v>
      </c>
      <c r="K1682" t="s">
        <v>8263</v>
      </c>
      <c r="N1682" t="s">
        <v>8264</v>
      </c>
      <c r="Z1682" t="s">
        <v>43</v>
      </c>
    </row>
    <row r="1683" spans="1:26" x14ac:dyDescent="0.25">
      <c r="A1683">
        <v>1682</v>
      </c>
      <c r="B1683" t="s">
        <v>30</v>
      </c>
      <c r="C1683" t="s">
        <v>8265</v>
      </c>
      <c r="D1683" t="s">
        <v>8266</v>
      </c>
      <c r="E1683" t="s">
        <v>1338</v>
      </c>
      <c r="F1683" t="s">
        <v>8267</v>
      </c>
      <c r="G1683" t="s">
        <v>1340</v>
      </c>
      <c r="I1683" t="s">
        <v>8268</v>
      </c>
      <c r="K1683" t="s">
        <v>8269</v>
      </c>
      <c r="N1683" t="s">
        <v>8270</v>
      </c>
      <c r="Z1683" t="s">
        <v>43</v>
      </c>
    </row>
    <row r="1684" spans="1:26" x14ac:dyDescent="0.25">
      <c r="A1684">
        <v>1683</v>
      </c>
      <c r="B1684" t="s">
        <v>30</v>
      </c>
      <c r="C1684" t="s">
        <v>8271</v>
      </c>
      <c r="D1684" t="s">
        <v>7246</v>
      </c>
      <c r="E1684" t="s">
        <v>56</v>
      </c>
      <c r="F1684" t="s">
        <v>7247</v>
      </c>
      <c r="G1684" t="s">
        <v>57</v>
      </c>
      <c r="I1684" t="s">
        <v>5732</v>
      </c>
      <c r="J1684">
        <f>57-301-736-3436</f>
        <v>-4416</v>
      </c>
      <c r="K1684" t="s">
        <v>8272</v>
      </c>
      <c r="N1684" t="s">
        <v>8273</v>
      </c>
      <c r="Z1684" t="s">
        <v>43</v>
      </c>
    </row>
    <row r="1685" spans="1:26" x14ac:dyDescent="0.25">
      <c r="A1685">
        <v>1684</v>
      </c>
      <c r="B1685" t="s">
        <v>30</v>
      </c>
      <c r="C1685" t="s">
        <v>8274</v>
      </c>
      <c r="D1685" t="s">
        <v>8275</v>
      </c>
      <c r="E1685" t="s">
        <v>1269</v>
      </c>
      <c r="F1685" t="s">
        <v>8276</v>
      </c>
      <c r="G1685" t="s">
        <v>1271</v>
      </c>
      <c r="I1685" t="s">
        <v>8277</v>
      </c>
      <c r="J1685">
        <f>57-310-771-9839</f>
        <v>-10863</v>
      </c>
      <c r="K1685" t="s">
        <v>8278</v>
      </c>
      <c r="N1685" t="s">
        <v>8279</v>
      </c>
      <c r="Z1685" t="s">
        <v>43</v>
      </c>
    </row>
    <row r="1686" spans="1:26" x14ac:dyDescent="0.25">
      <c r="A1686">
        <v>1685</v>
      </c>
      <c r="B1686" t="s">
        <v>30</v>
      </c>
      <c r="C1686" t="s">
        <v>8280</v>
      </c>
      <c r="D1686" t="s">
        <v>8281</v>
      </c>
      <c r="E1686" t="s">
        <v>64</v>
      </c>
      <c r="F1686" t="s">
        <v>8282</v>
      </c>
      <c r="G1686" t="s">
        <v>65</v>
      </c>
      <c r="I1686" t="s">
        <v>8283</v>
      </c>
      <c r="K1686" t="s">
        <v>8284</v>
      </c>
      <c r="N1686" t="s">
        <v>8285</v>
      </c>
      <c r="Z1686" t="s">
        <v>43</v>
      </c>
    </row>
    <row r="1687" spans="1:26" x14ac:dyDescent="0.25">
      <c r="A1687">
        <v>1686</v>
      </c>
      <c r="B1687" t="s">
        <v>30</v>
      </c>
      <c r="C1687" t="s">
        <v>8286</v>
      </c>
      <c r="D1687" t="s">
        <v>8287</v>
      </c>
      <c r="E1687" t="s">
        <v>1613</v>
      </c>
      <c r="F1687" t="s">
        <v>8288</v>
      </c>
      <c r="G1687" t="s">
        <v>1615</v>
      </c>
      <c r="I1687" t="s">
        <v>8289</v>
      </c>
      <c r="J1687">
        <f>57-60-1-345-8068</f>
        <v>-8417</v>
      </c>
      <c r="K1687" t="s">
        <v>8290</v>
      </c>
      <c r="N1687" t="s">
        <v>8291</v>
      </c>
      <c r="Z1687" t="s">
        <v>43</v>
      </c>
    </row>
    <row r="1688" spans="1:26" x14ac:dyDescent="0.25">
      <c r="A1688">
        <v>1687</v>
      </c>
      <c r="B1688" t="s">
        <v>30</v>
      </c>
      <c r="C1688" t="s">
        <v>8292</v>
      </c>
      <c r="D1688" t="s">
        <v>8293</v>
      </c>
      <c r="E1688" t="s">
        <v>1055</v>
      </c>
      <c r="F1688" t="s">
        <v>8294</v>
      </c>
      <c r="G1688" t="s">
        <v>1057</v>
      </c>
      <c r="I1688" t="s">
        <v>8295</v>
      </c>
      <c r="K1688" t="s">
        <v>8296</v>
      </c>
      <c r="N1688" t="s">
        <v>8297</v>
      </c>
      <c r="Z1688" t="s">
        <v>43</v>
      </c>
    </row>
    <row r="1689" spans="1:26" x14ac:dyDescent="0.25">
      <c r="A1689">
        <v>1688</v>
      </c>
      <c r="B1689" t="s">
        <v>30</v>
      </c>
      <c r="C1689" t="s">
        <v>8298</v>
      </c>
      <c r="D1689" t="s">
        <v>909</v>
      </c>
      <c r="E1689" t="s">
        <v>1658</v>
      </c>
      <c r="F1689" t="s">
        <v>1659</v>
      </c>
      <c r="G1689" t="s">
        <v>1660</v>
      </c>
      <c r="I1689" t="s">
        <v>8299</v>
      </c>
      <c r="J1689">
        <f>57-311-263-6448</f>
        <v>-6965</v>
      </c>
      <c r="K1689" t="s">
        <v>8300</v>
      </c>
      <c r="N1689" t="s">
        <v>8301</v>
      </c>
      <c r="Z1689" t="s">
        <v>43</v>
      </c>
    </row>
    <row r="1690" spans="1:26" x14ac:dyDescent="0.25">
      <c r="A1690">
        <v>1689</v>
      </c>
      <c r="B1690" t="s">
        <v>30</v>
      </c>
      <c r="C1690" t="s">
        <v>8302</v>
      </c>
      <c r="D1690" t="s">
        <v>72</v>
      </c>
      <c r="E1690" t="s">
        <v>72</v>
      </c>
      <c r="F1690" t="s">
        <v>73</v>
      </c>
      <c r="G1690" t="s">
        <v>73</v>
      </c>
      <c r="I1690" t="s">
        <v>8303</v>
      </c>
      <c r="J1690">
        <f>57-60-1-317-4500</f>
        <v>-4821</v>
      </c>
      <c r="K1690" t="s">
        <v>8304</v>
      </c>
      <c r="N1690" t="s">
        <v>8305</v>
      </c>
      <c r="Z1690" t="s">
        <v>43</v>
      </c>
    </row>
    <row r="1691" spans="1:26" x14ac:dyDescent="0.25">
      <c r="A1691">
        <v>1690</v>
      </c>
      <c r="B1691" t="s">
        <v>30</v>
      </c>
      <c r="C1691" t="s">
        <v>8306</v>
      </c>
      <c r="D1691" t="s">
        <v>4421</v>
      </c>
      <c r="E1691" t="s">
        <v>471</v>
      </c>
      <c r="F1691" t="s">
        <v>4422</v>
      </c>
      <c r="G1691" t="s">
        <v>47</v>
      </c>
      <c r="I1691" t="s">
        <v>8307</v>
      </c>
      <c r="K1691" t="s">
        <v>8308</v>
      </c>
      <c r="N1691" t="s">
        <v>8309</v>
      </c>
      <c r="Z1691" t="s">
        <v>43</v>
      </c>
    </row>
    <row r="1692" spans="1:26" x14ac:dyDescent="0.25">
      <c r="A1692">
        <v>1691</v>
      </c>
      <c r="B1692" t="s">
        <v>30</v>
      </c>
      <c r="C1692" t="s">
        <v>8310</v>
      </c>
      <c r="D1692" t="s">
        <v>8311</v>
      </c>
      <c r="E1692" t="s">
        <v>1248</v>
      </c>
      <c r="F1692" t="s">
        <v>8312</v>
      </c>
      <c r="G1692" t="s">
        <v>1250</v>
      </c>
      <c r="I1692" t="s">
        <v>8313</v>
      </c>
      <c r="J1692">
        <f>57-320-896-1117</f>
        <v>-2276</v>
      </c>
      <c r="K1692" t="s">
        <v>8314</v>
      </c>
      <c r="N1692" t="s">
        <v>8315</v>
      </c>
      <c r="Z1692" t="s">
        <v>43</v>
      </c>
    </row>
    <row r="1693" spans="1:26" x14ac:dyDescent="0.25">
      <c r="A1693">
        <v>1692</v>
      </c>
      <c r="B1693" t="s">
        <v>30</v>
      </c>
      <c r="C1693" t="s">
        <v>8316</v>
      </c>
      <c r="D1693" t="s">
        <v>8317</v>
      </c>
      <c r="E1693" t="s">
        <v>56</v>
      </c>
      <c r="F1693" t="s">
        <v>8318</v>
      </c>
      <c r="G1693" t="s">
        <v>57</v>
      </c>
      <c r="I1693" t="s">
        <v>8319</v>
      </c>
      <c r="K1693" t="s">
        <v>8320</v>
      </c>
      <c r="N1693" t="s">
        <v>8321</v>
      </c>
      <c r="Z1693" t="s">
        <v>43</v>
      </c>
    </row>
    <row r="1694" spans="1:26" x14ac:dyDescent="0.25">
      <c r="A1694">
        <v>1693</v>
      </c>
      <c r="B1694" t="s">
        <v>30</v>
      </c>
      <c r="C1694" t="s">
        <v>8322</v>
      </c>
      <c r="D1694" t="s">
        <v>8323</v>
      </c>
      <c r="E1694" t="s">
        <v>64</v>
      </c>
      <c r="F1694" t="s">
        <v>8324</v>
      </c>
      <c r="G1694" t="s">
        <v>65</v>
      </c>
      <c r="I1694" t="s">
        <v>8325</v>
      </c>
      <c r="K1694" t="s">
        <v>8326</v>
      </c>
      <c r="N1694" t="s">
        <v>8327</v>
      </c>
      <c r="Z1694" t="s">
        <v>43</v>
      </c>
    </row>
    <row r="1695" spans="1:26" x14ac:dyDescent="0.25">
      <c r="A1695">
        <v>1694</v>
      </c>
      <c r="B1695" t="s">
        <v>30</v>
      </c>
      <c r="C1695" t="s">
        <v>8328</v>
      </c>
      <c r="D1695" t="s">
        <v>8329</v>
      </c>
      <c r="E1695" t="s">
        <v>1269</v>
      </c>
      <c r="F1695" t="s">
        <v>8330</v>
      </c>
      <c r="G1695" t="s">
        <v>1271</v>
      </c>
      <c r="I1695" t="s">
        <v>8331</v>
      </c>
      <c r="K1695" t="s">
        <v>8332</v>
      </c>
      <c r="N1695" t="s">
        <v>8333</v>
      </c>
      <c r="Z1695" t="s">
        <v>43</v>
      </c>
    </row>
    <row r="1696" spans="1:26" x14ac:dyDescent="0.25">
      <c r="A1696">
        <v>1695</v>
      </c>
      <c r="B1696" t="s">
        <v>30</v>
      </c>
      <c r="C1696" t="s">
        <v>8334</v>
      </c>
      <c r="D1696" t="s">
        <v>5959</v>
      </c>
      <c r="E1696" t="s">
        <v>56</v>
      </c>
      <c r="F1696" t="s">
        <v>5960</v>
      </c>
      <c r="G1696" t="s">
        <v>57</v>
      </c>
      <c r="I1696" t="s">
        <v>8335</v>
      </c>
      <c r="K1696" t="s">
        <v>8336</v>
      </c>
      <c r="N1696" t="s">
        <v>8337</v>
      </c>
      <c r="Z1696" t="s">
        <v>43</v>
      </c>
    </row>
    <row r="1697" spans="1:26" x14ac:dyDescent="0.25">
      <c r="A1697">
        <v>1696</v>
      </c>
      <c r="B1697" t="s">
        <v>30</v>
      </c>
      <c r="C1697" t="s">
        <v>8338</v>
      </c>
      <c r="D1697" t="s">
        <v>46</v>
      </c>
      <c r="E1697" t="s">
        <v>471</v>
      </c>
      <c r="F1697" t="s">
        <v>820</v>
      </c>
      <c r="G1697" t="s">
        <v>47</v>
      </c>
      <c r="I1697" t="s">
        <v>8339</v>
      </c>
      <c r="K1697" t="s">
        <v>8340</v>
      </c>
      <c r="N1697" t="s">
        <v>8341</v>
      </c>
      <c r="Z1697" t="s">
        <v>43</v>
      </c>
    </row>
    <row r="1698" spans="1:26" x14ac:dyDescent="0.25">
      <c r="A1698">
        <v>1697</v>
      </c>
      <c r="B1698" t="s">
        <v>30</v>
      </c>
      <c r="C1698" t="s">
        <v>8342</v>
      </c>
      <c r="D1698" t="s">
        <v>1950</v>
      </c>
      <c r="E1698" t="s">
        <v>1774</v>
      </c>
      <c r="F1698" t="s">
        <v>1951</v>
      </c>
      <c r="G1698" t="s">
        <v>1776</v>
      </c>
      <c r="I1698" t="s">
        <v>8343</v>
      </c>
      <c r="J1698">
        <f>57-318-253-599</f>
        <v>-1113</v>
      </c>
      <c r="K1698" t="s">
        <v>8344</v>
      </c>
      <c r="N1698" t="s">
        <v>8345</v>
      </c>
      <c r="Z1698" t="s">
        <v>43</v>
      </c>
    </row>
    <row r="1699" spans="1:26" x14ac:dyDescent="0.25">
      <c r="A1699">
        <v>1698</v>
      </c>
      <c r="B1699" t="s">
        <v>30</v>
      </c>
      <c r="C1699" t="s">
        <v>8346</v>
      </c>
      <c r="D1699" t="s">
        <v>46</v>
      </c>
      <c r="E1699" t="s">
        <v>56</v>
      </c>
      <c r="F1699" t="s">
        <v>820</v>
      </c>
      <c r="G1699" t="s">
        <v>57</v>
      </c>
      <c r="I1699" t="s">
        <v>8347</v>
      </c>
      <c r="K1699" t="s">
        <v>8348</v>
      </c>
      <c r="N1699" t="s">
        <v>8349</v>
      </c>
      <c r="Z1699" t="s">
        <v>43</v>
      </c>
    </row>
    <row r="1700" spans="1:26" x14ac:dyDescent="0.25">
      <c r="A1700">
        <v>1699</v>
      </c>
      <c r="B1700" t="s">
        <v>30</v>
      </c>
      <c r="C1700" t="s">
        <v>8350</v>
      </c>
      <c r="D1700" t="s">
        <v>46</v>
      </c>
      <c r="E1700" t="s">
        <v>471</v>
      </c>
      <c r="F1700" t="s">
        <v>820</v>
      </c>
      <c r="G1700" t="s">
        <v>47</v>
      </c>
      <c r="I1700" t="s">
        <v>8351</v>
      </c>
      <c r="J1700">
        <f>57-300-704-9566</f>
        <v>-10513</v>
      </c>
      <c r="K1700" t="s">
        <v>8352</v>
      </c>
      <c r="N1700" t="s">
        <v>8353</v>
      </c>
      <c r="Z1700" t="s">
        <v>43</v>
      </c>
    </row>
    <row r="1701" spans="1:26" x14ac:dyDescent="0.25">
      <c r="A1701">
        <v>1700</v>
      </c>
      <c r="B1701" t="s">
        <v>30</v>
      </c>
      <c r="C1701" t="s">
        <v>8354</v>
      </c>
      <c r="D1701" t="s">
        <v>2467</v>
      </c>
      <c r="E1701" t="s">
        <v>1585</v>
      </c>
      <c r="F1701" t="s">
        <v>2468</v>
      </c>
      <c r="G1701" t="s">
        <v>1587</v>
      </c>
      <c r="I1701" t="s">
        <v>8355</v>
      </c>
      <c r="J1701">
        <f>57-60-1-768-2499</f>
        <v>-3271</v>
      </c>
      <c r="K1701" t="s">
        <v>8356</v>
      </c>
      <c r="N1701" t="s">
        <v>8357</v>
      </c>
      <c r="Z1701" t="s">
        <v>43</v>
      </c>
    </row>
    <row r="1702" spans="1:26" x14ac:dyDescent="0.25">
      <c r="A1702">
        <v>1701</v>
      </c>
      <c r="B1702" t="s">
        <v>30</v>
      </c>
      <c r="C1702" t="s">
        <v>8358</v>
      </c>
      <c r="D1702" t="s">
        <v>8359</v>
      </c>
      <c r="E1702" t="s">
        <v>385</v>
      </c>
      <c r="F1702" t="s">
        <v>8360</v>
      </c>
      <c r="G1702" t="s">
        <v>387</v>
      </c>
      <c r="I1702" t="s">
        <v>8361</v>
      </c>
      <c r="J1702">
        <f>57-60-1-336-9261</f>
        <v>-9601</v>
      </c>
      <c r="K1702" t="s">
        <v>8362</v>
      </c>
      <c r="N1702" t="s">
        <v>8363</v>
      </c>
      <c r="Z1702" t="s">
        <v>43</v>
      </c>
    </row>
    <row r="1703" spans="1:26" x14ac:dyDescent="0.25">
      <c r="A1703">
        <v>1702</v>
      </c>
      <c r="B1703" t="s">
        <v>30</v>
      </c>
      <c r="C1703" t="s">
        <v>8364</v>
      </c>
      <c r="D1703" t="s">
        <v>1276</v>
      </c>
      <c r="E1703" t="s">
        <v>1658</v>
      </c>
      <c r="F1703" t="s">
        <v>1277</v>
      </c>
      <c r="G1703" t="s">
        <v>1660</v>
      </c>
      <c r="I1703" t="s">
        <v>8365</v>
      </c>
      <c r="K1703" t="s">
        <v>8366</v>
      </c>
      <c r="N1703" t="s">
        <v>8367</v>
      </c>
      <c r="Z1703" t="s">
        <v>43</v>
      </c>
    </row>
    <row r="1704" spans="1:26" x14ac:dyDescent="0.25">
      <c r="A1704">
        <v>1703</v>
      </c>
      <c r="B1704" t="s">
        <v>30</v>
      </c>
      <c r="C1704" t="s">
        <v>8368</v>
      </c>
      <c r="D1704" t="s">
        <v>8369</v>
      </c>
      <c r="E1704" t="s">
        <v>72</v>
      </c>
      <c r="F1704" t="s">
        <v>8370</v>
      </c>
      <c r="G1704" t="s">
        <v>73</v>
      </c>
      <c r="I1704" t="s">
        <v>8371</v>
      </c>
      <c r="K1704" t="s">
        <v>4244</v>
      </c>
      <c r="N1704" t="s">
        <v>4245</v>
      </c>
      <c r="Z1704" t="s">
        <v>43</v>
      </c>
    </row>
    <row r="1705" spans="1:26" x14ac:dyDescent="0.25">
      <c r="A1705">
        <v>1704</v>
      </c>
      <c r="B1705" t="s">
        <v>30</v>
      </c>
      <c r="C1705" t="s">
        <v>8372</v>
      </c>
      <c r="D1705" t="s">
        <v>8373</v>
      </c>
      <c r="E1705" t="s">
        <v>1585</v>
      </c>
      <c r="F1705" t="s">
        <v>8374</v>
      </c>
      <c r="G1705" t="s">
        <v>1587</v>
      </c>
      <c r="I1705" t="s">
        <v>8375</v>
      </c>
      <c r="J1705">
        <f>57-317-437-1704</f>
        <v>-2401</v>
      </c>
      <c r="K1705" t="s">
        <v>8376</v>
      </c>
      <c r="N1705" t="s">
        <v>8377</v>
      </c>
      <c r="Z1705" t="s">
        <v>43</v>
      </c>
    </row>
    <row r="1706" spans="1:26" x14ac:dyDescent="0.25">
      <c r="A1706">
        <v>1705</v>
      </c>
      <c r="B1706" t="s">
        <v>30</v>
      </c>
      <c r="C1706" t="s">
        <v>8378</v>
      </c>
      <c r="D1706" t="s">
        <v>64</v>
      </c>
      <c r="E1706" t="s">
        <v>64</v>
      </c>
      <c r="F1706" t="s">
        <v>65</v>
      </c>
      <c r="G1706" t="s">
        <v>65</v>
      </c>
      <c r="I1706" t="s">
        <v>8379</v>
      </c>
      <c r="K1706" t="s">
        <v>8380</v>
      </c>
      <c r="N1706" t="s">
        <v>8381</v>
      </c>
      <c r="Z1706" t="s">
        <v>43</v>
      </c>
    </row>
    <row r="1707" spans="1:26" x14ac:dyDescent="0.25">
      <c r="A1707">
        <v>1706</v>
      </c>
      <c r="B1707" t="s">
        <v>30</v>
      </c>
      <c r="C1707" t="s">
        <v>8382</v>
      </c>
      <c r="D1707" t="s">
        <v>8383</v>
      </c>
      <c r="E1707" t="s">
        <v>385</v>
      </c>
      <c r="F1707" t="s">
        <v>8384</v>
      </c>
      <c r="G1707" t="s">
        <v>387</v>
      </c>
      <c r="I1707" t="s">
        <v>8385</v>
      </c>
      <c r="K1707" t="s">
        <v>8386</v>
      </c>
      <c r="N1707" t="s">
        <v>8387</v>
      </c>
      <c r="Z1707" t="s">
        <v>43</v>
      </c>
    </row>
    <row r="1708" spans="1:26" x14ac:dyDescent="0.25">
      <c r="A1708">
        <v>1707</v>
      </c>
      <c r="B1708" t="s">
        <v>30</v>
      </c>
      <c r="C1708" t="s">
        <v>8388</v>
      </c>
      <c r="D1708" t="s">
        <v>46</v>
      </c>
      <c r="E1708" t="s">
        <v>471</v>
      </c>
      <c r="F1708" t="s">
        <v>820</v>
      </c>
      <c r="G1708" t="s">
        <v>47</v>
      </c>
      <c r="I1708" t="s">
        <v>8389</v>
      </c>
      <c r="K1708" t="s">
        <v>8390</v>
      </c>
      <c r="N1708" t="s">
        <v>8391</v>
      </c>
      <c r="Z1708" t="s">
        <v>43</v>
      </c>
    </row>
    <row r="1709" spans="1:26" x14ac:dyDescent="0.25">
      <c r="A1709">
        <v>1708</v>
      </c>
      <c r="B1709" t="s">
        <v>30</v>
      </c>
      <c r="C1709" t="s">
        <v>8392</v>
      </c>
      <c r="D1709" t="s">
        <v>46</v>
      </c>
      <c r="E1709" t="s">
        <v>56</v>
      </c>
      <c r="F1709" t="s">
        <v>820</v>
      </c>
      <c r="G1709" t="s">
        <v>57</v>
      </c>
      <c r="I1709" t="s">
        <v>8393</v>
      </c>
      <c r="K1709" t="s">
        <v>8394</v>
      </c>
      <c r="N1709" t="s">
        <v>8395</v>
      </c>
      <c r="Z1709" t="s">
        <v>43</v>
      </c>
    </row>
    <row r="1710" spans="1:26" x14ac:dyDescent="0.25">
      <c r="A1710">
        <v>1709</v>
      </c>
      <c r="B1710" t="s">
        <v>30</v>
      </c>
      <c r="C1710" t="s">
        <v>8396</v>
      </c>
      <c r="D1710" t="s">
        <v>8397</v>
      </c>
      <c r="E1710" t="s">
        <v>56</v>
      </c>
      <c r="F1710" t="s">
        <v>8398</v>
      </c>
      <c r="G1710" t="s">
        <v>57</v>
      </c>
      <c r="I1710" t="s">
        <v>8399</v>
      </c>
      <c r="J1710">
        <f>57-315-797-9535</f>
        <v>-10590</v>
      </c>
      <c r="K1710" t="s">
        <v>8400</v>
      </c>
      <c r="N1710" t="s">
        <v>8401</v>
      </c>
      <c r="Z1710" t="s">
        <v>43</v>
      </c>
    </row>
    <row r="1711" spans="1:26" x14ac:dyDescent="0.25">
      <c r="A1711">
        <v>1710</v>
      </c>
      <c r="B1711" t="s">
        <v>30</v>
      </c>
      <c r="C1711" t="s">
        <v>8402</v>
      </c>
      <c r="D1711" t="s">
        <v>8403</v>
      </c>
      <c r="E1711" t="s">
        <v>800</v>
      </c>
      <c r="F1711" t="s">
        <v>8404</v>
      </c>
      <c r="G1711" t="s">
        <v>802</v>
      </c>
      <c r="I1711" t="s">
        <v>8405</v>
      </c>
      <c r="J1711">
        <f>57-60-1-383-5979</f>
        <v>-6366</v>
      </c>
      <c r="K1711" t="s">
        <v>8406</v>
      </c>
      <c r="N1711" t="s">
        <v>8407</v>
      </c>
      <c r="Z1711" t="s">
        <v>43</v>
      </c>
    </row>
    <row r="1712" spans="1:26" x14ac:dyDescent="0.25">
      <c r="A1712">
        <v>1711</v>
      </c>
      <c r="B1712" t="s">
        <v>30</v>
      </c>
      <c r="C1712" t="s">
        <v>8408</v>
      </c>
      <c r="D1712" t="s">
        <v>867</v>
      </c>
      <c r="E1712" t="s">
        <v>471</v>
      </c>
      <c r="F1712" t="s">
        <v>868</v>
      </c>
      <c r="G1712" t="s">
        <v>47</v>
      </c>
      <c r="I1712" t="s">
        <v>8409</v>
      </c>
      <c r="K1712" t="s">
        <v>8410</v>
      </c>
      <c r="N1712" t="s">
        <v>8411</v>
      </c>
      <c r="Z1712" t="s">
        <v>43</v>
      </c>
    </row>
    <row r="1713" spans="1:26" x14ac:dyDescent="0.25">
      <c r="A1713">
        <v>1712</v>
      </c>
      <c r="B1713" t="s">
        <v>30</v>
      </c>
      <c r="C1713" t="s">
        <v>8412</v>
      </c>
      <c r="D1713" t="s">
        <v>2150</v>
      </c>
      <c r="E1713" t="s">
        <v>755</v>
      </c>
      <c r="F1713" t="s">
        <v>2151</v>
      </c>
      <c r="G1713" t="s">
        <v>757</v>
      </c>
      <c r="I1713" t="s">
        <v>8413</v>
      </c>
      <c r="J1713">
        <f>57-60-1-231-7705</f>
        <v>-7940</v>
      </c>
      <c r="K1713" t="s">
        <v>8414</v>
      </c>
      <c r="N1713" t="s">
        <v>8415</v>
      </c>
      <c r="Z1713" t="s">
        <v>43</v>
      </c>
    </row>
    <row r="1714" spans="1:26" x14ac:dyDescent="0.25">
      <c r="A1714">
        <v>1713</v>
      </c>
      <c r="B1714" t="s">
        <v>30</v>
      </c>
      <c r="C1714" t="s">
        <v>8416</v>
      </c>
      <c r="D1714" t="s">
        <v>72</v>
      </c>
      <c r="E1714" t="s">
        <v>72</v>
      </c>
      <c r="F1714" t="s">
        <v>73</v>
      </c>
      <c r="G1714" t="s">
        <v>73</v>
      </c>
      <c r="I1714" t="s">
        <v>8417</v>
      </c>
      <c r="K1714" t="s">
        <v>8418</v>
      </c>
      <c r="N1714" t="s">
        <v>8419</v>
      </c>
      <c r="Z1714" t="s">
        <v>43</v>
      </c>
    </row>
    <row r="1715" spans="1:26" x14ac:dyDescent="0.25">
      <c r="A1715">
        <v>1714</v>
      </c>
      <c r="B1715" t="s">
        <v>30</v>
      </c>
      <c r="C1715" t="s">
        <v>8420</v>
      </c>
      <c r="D1715" t="s">
        <v>1260</v>
      </c>
      <c r="E1715" t="s">
        <v>471</v>
      </c>
      <c r="F1715" t="s">
        <v>2178</v>
      </c>
      <c r="G1715" t="s">
        <v>47</v>
      </c>
      <c r="I1715" t="s">
        <v>8421</v>
      </c>
      <c r="K1715" t="s">
        <v>8422</v>
      </c>
      <c r="N1715" t="s">
        <v>8423</v>
      </c>
      <c r="Z1715" t="s">
        <v>43</v>
      </c>
    </row>
    <row r="1716" spans="1:26" x14ac:dyDescent="0.25">
      <c r="A1716">
        <v>1715</v>
      </c>
      <c r="B1716" t="s">
        <v>30</v>
      </c>
      <c r="C1716" t="s">
        <v>8424</v>
      </c>
      <c r="D1716" t="s">
        <v>64</v>
      </c>
      <c r="E1716" t="s">
        <v>64</v>
      </c>
      <c r="F1716" t="s">
        <v>65</v>
      </c>
      <c r="G1716" t="s">
        <v>65</v>
      </c>
      <c r="I1716" t="s">
        <v>8425</v>
      </c>
      <c r="J1716">
        <f>57-300-210-2556</f>
        <v>-3009</v>
      </c>
      <c r="K1716" t="s">
        <v>8426</v>
      </c>
      <c r="N1716" t="s">
        <v>8427</v>
      </c>
      <c r="Z1716" t="s">
        <v>43</v>
      </c>
    </row>
    <row r="1717" spans="1:26" x14ac:dyDescent="0.25">
      <c r="A1717">
        <v>1716</v>
      </c>
      <c r="B1717" t="s">
        <v>30</v>
      </c>
      <c r="C1717" t="s">
        <v>8428</v>
      </c>
      <c r="D1717" t="s">
        <v>384</v>
      </c>
      <c r="E1717" t="s">
        <v>385</v>
      </c>
      <c r="F1717" t="s">
        <v>386</v>
      </c>
      <c r="G1717" t="s">
        <v>387</v>
      </c>
      <c r="I1717" t="s">
        <v>8429</v>
      </c>
      <c r="J1717">
        <f>57-60-1-749-5150</f>
        <v>-5903</v>
      </c>
      <c r="K1717" t="s">
        <v>8430</v>
      </c>
      <c r="N1717" t="s">
        <v>8431</v>
      </c>
      <c r="Z1717" t="s">
        <v>43</v>
      </c>
    </row>
    <row r="1718" spans="1:26" x14ac:dyDescent="0.25">
      <c r="A1718">
        <v>1717</v>
      </c>
      <c r="B1718" t="s">
        <v>30</v>
      </c>
      <c r="C1718" t="s">
        <v>8432</v>
      </c>
      <c r="D1718" t="s">
        <v>8433</v>
      </c>
      <c r="E1718" t="s">
        <v>471</v>
      </c>
      <c r="F1718" t="s">
        <v>8434</v>
      </c>
      <c r="G1718" t="s">
        <v>47</v>
      </c>
      <c r="I1718" t="s">
        <v>8435</v>
      </c>
      <c r="K1718" t="s">
        <v>8436</v>
      </c>
      <c r="N1718" t="s">
        <v>8437</v>
      </c>
      <c r="Z1718" t="s">
        <v>43</v>
      </c>
    </row>
    <row r="1719" spans="1:26" x14ac:dyDescent="0.25">
      <c r="A1719">
        <v>1718</v>
      </c>
      <c r="B1719" t="s">
        <v>30</v>
      </c>
      <c r="C1719" t="s">
        <v>8438</v>
      </c>
      <c r="D1719" t="s">
        <v>2346</v>
      </c>
      <c r="E1719" t="s">
        <v>385</v>
      </c>
      <c r="F1719" t="s">
        <v>2347</v>
      </c>
      <c r="G1719" t="s">
        <v>387</v>
      </c>
      <c r="I1719" t="s">
        <v>8439</v>
      </c>
      <c r="K1719" t="s">
        <v>8440</v>
      </c>
      <c r="N1719" t="s">
        <v>8441</v>
      </c>
      <c r="Z1719" t="s">
        <v>43</v>
      </c>
    </row>
    <row r="1720" spans="1:26" x14ac:dyDescent="0.25">
      <c r="A1720">
        <v>1719</v>
      </c>
      <c r="B1720" t="s">
        <v>30</v>
      </c>
      <c r="C1720" t="s">
        <v>8442</v>
      </c>
      <c r="D1720" t="s">
        <v>46</v>
      </c>
      <c r="E1720" t="s">
        <v>471</v>
      </c>
      <c r="F1720" t="s">
        <v>820</v>
      </c>
      <c r="G1720" t="s">
        <v>47</v>
      </c>
      <c r="I1720" t="s">
        <v>8443</v>
      </c>
      <c r="K1720" t="s">
        <v>8444</v>
      </c>
      <c r="N1720" t="s">
        <v>8445</v>
      </c>
      <c r="Z1720" t="s">
        <v>43</v>
      </c>
    </row>
    <row r="1721" spans="1:26" x14ac:dyDescent="0.25">
      <c r="A1721">
        <v>1720</v>
      </c>
      <c r="B1721" t="s">
        <v>30</v>
      </c>
      <c r="C1721" t="s">
        <v>8446</v>
      </c>
      <c r="D1721" t="s">
        <v>46</v>
      </c>
      <c r="E1721" t="s">
        <v>471</v>
      </c>
      <c r="F1721" t="s">
        <v>820</v>
      </c>
      <c r="G1721" t="s">
        <v>47</v>
      </c>
      <c r="I1721" t="s">
        <v>8447</v>
      </c>
      <c r="K1721" t="s">
        <v>8448</v>
      </c>
      <c r="N1721" t="s">
        <v>8449</v>
      </c>
      <c r="Z1721" t="s">
        <v>43</v>
      </c>
    </row>
    <row r="1722" spans="1:26" x14ac:dyDescent="0.25">
      <c r="A1722">
        <v>1721</v>
      </c>
      <c r="B1722" t="s">
        <v>30</v>
      </c>
      <c r="C1722" t="s">
        <v>8450</v>
      </c>
      <c r="D1722" t="s">
        <v>3287</v>
      </c>
      <c r="E1722" t="s">
        <v>385</v>
      </c>
      <c r="F1722" t="s">
        <v>8451</v>
      </c>
      <c r="G1722" t="s">
        <v>387</v>
      </c>
      <c r="I1722" t="s">
        <v>8452</v>
      </c>
      <c r="J1722">
        <f>57-301-754-2567</f>
        <v>-3565</v>
      </c>
      <c r="K1722" t="s">
        <v>8453</v>
      </c>
      <c r="N1722" t="s">
        <v>8454</v>
      </c>
      <c r="Z1722" t="s">
        <v>43</v>
      </c>
    </row>
    <row r="1723" spans="1:26" x14ac:dyDescent="0.25">
      <c r="A1723">
        <v>1722</v>
      </c>
      <c r="B1723" t="s">
        <v>30</v>
      </c>
      <c r="C1723" t="s">
        <v>8455</v>
      </c>
      <c r="D1723" t="s">
        <v>1260</v>
      </c>
      <c r="E1723" t="s">
        <v>471</v>
      </c>
      <c r="F1723" t="s">
        <v>1653</v>
      </c>
      <c r="G1723" t="s">
        <v>966</v>
      </c>
      <c r="I1723" t="s">
        <v>8456</v>
      </c>
      <c r="K1723" t="s">
        <v>8457</v>
      </c>
      <c r="N1723" t="s">
        <v>8458</v>
      </c>
      <c r="Z1723" t="s">
        <v>43</v>
      </c>
    </row>
    <row r="1724" spans="1:26" x14ac:dyDescent="0.25">
      <c r="A1724">
        <v>1723</v>
      </c>
      <c r="B1724" t="s">
        <v>30</v>
      </c>
      <c r="C1724" t="s">
        <v>8459</v>
      </c>
      <c r="D1724" t="s">
        <v>46</v>
      </c>
      <c r="E1724" t="s">
        <v>471</v>
      </c>
      <c r="F1724" t="s">
        <v>820</v>
      </c>
      <c r="G1724" t="s">
        <v>47</v>
      </c>
      <c r="I1724" t="s">
        <v>8460</v>
      </c>
      <c r="K1724" t="s">
        <v>8461</v>
      </c>
      <c r="N1724" t="s">
        <v>8462</v>
      </c>
      <c r="Z1724" t="s">
        <v>43</v>
      </c>
    </row>
    <row r="1725" spans="1:26" x14ac:dyDescent="0.25">
      <c r="A1725">
        <v>1724</v>
      </c>
      <c r="B1725" t="s">
        <v>30</v>
      </c>
      <c r="C1725" t="s">
        <v>8463</v>
      </c>
      <c r="D1725" t="s">
        <v>8464</v>
      </c>
      <c r="E1725" t="s">
        <v>1248</v>
      </c>
      <c r="F1725" t="s">
        <v>8465</v>
      </c>
      <c r="G1725" t="s">
        <v>1250</v>
      </c>
      <c r="I1725" t="s">
        <v>8466</v>
      </c>
      <c r="J1725">
        <f>57-310-268-2987</f>
        <v>-3508</v>
      </c>
      <c r="K1725" t="s">
        <v>8467</v>
      </c>
      <c r="N1725" t="s">
        <v>8468</v>
      </c>
      <c r="Z1725" t="s">
        <v>43</v>
      </c>
    </row>
    <row r="1726" spans="1:26" x14ac:dyDescent="0.25">
      <c r="A1726">
        <v>1725</v>
      </c>
      <c r="B1726" t="s">
        <v>30</v>
      </c>
      <c r="C1726" t="s">
        <v>8469</v>
      </c>
      <c r="D1726" t="s">
        <v>46</v>
      </c>
      <c r="E1726" t="s">
        <v>471</v>
      </c>
      <c r="F1726" t="s">
        <v>820</v>
      </c>
      <c r="G1726" t="s">
        <v>47</v>
      </c>
      <c r="I1726" t="s">
        <v>8470</v>
      </c>
      <c r="J1726">
        <f>57-312-540-6042</f>
        <v>-6837</v>
      </c>
      <c r="K1726" t="s">
        <v>8471</v>
      </c>
      <c r="N1726" t="s">
        <v>8472</v>
      </c>
      <c r="Z1726" t="s">
        <v>43</v>
      </c>
    </row>
    <row r="1727" spans="1:26" x14ac:dyDescent="0.25">
      <c r="A1727">
        <v>1726</v>
      </c>
      <c r="B1727" t="s">
        <v>30</v>
      </c>
      <c r="C1727" t="s">
        <v>8473</v>
      </c>
      <c r="D1727" t="s">
        <v>56</v>
      </c>
      <c r="E1727" t="s">
        <v>56</v>
      </c>
      <c r="F1727" t="s">
        <v>57</v>
      </c>
      <c r="G1727" t="s">
        <v>57</v>
      </c>
      <c r="H1727" t="s">
        <v>8474</v>
      </c>
      <c r="I1727" t="s">
        <v>8475</v>
      </c>
      <c r="J1727">
        <f>57-60-1-641-5322</f>
        <v>-5967</v>
      </c>
      <c r="K1727" t="s">
        <v>8476</v>
      </c>
      <c r="N1727" t="s">
        <v>8477</v>
      </c>
      <c r="O1727" t="s">
        <v>8478</v>
      </c>
      <c r="Z1727" t="s">
        <v>43</v>
      </c>
    </row>
    <row r="1728" spans="1:26" x14ac:dyDescent="0.25">
      <c r="A1728">
        <v>1727</v>
      </c>
      <c r="B1728" t="s">
        <v>30</v>
      </c>
      <c r="C1728" t="s">
        <v>8479</v>
      </c>
      <c r="D1728" t="s">
        <v>3670</v>
      </c>
      <c r="E1728" t="s">
        <v>755</v>
      </c>
      <c r="F1728" t="s">
        <v>3671</v>
      </c>
      <c r="G1728" t="s">
        <v>757</v>
      </c>
      <c r="I1728" t="s">
        <v>8480</v>
      </c>
      <c r="J1728">
        <f>57-310-554-9094</f>
        <v>-9901</v>
      </c>
      <c r="K1728" t="s">
        <v>3673</v>
      </c>
      <c r="N1728" t="s">
        <v>3674</v>
      </c>
      <c r="Z1728" t="s">
        <v>43</v>
      </c>
    </row>
    <row r="1729" spans="1:26" x14ac:dyDescent="0.25">
      <c r="A1729">
        <v>1728</v>
      </c>
      <c r="B1729" t="s">
        <v>30</v>
      </c>
      <c r="C1729" t="s">
        <v>8481</v>
      </c>
      <c r="D1729" t="s">
        <v>979</v>
      </c>
      <c r="E1729" t="s">
        <v>1269</v>
      </c>
      <c r="F1729" t="s">
        <v>980</v>
      </c>
      <c r="G1729" t="s">
        <v>1271</v>
      </c>
      <c r="I1729" t="s">
        <v>8482</v>
      </c>
      <c r="K1729" t="s">
        <v>3607</v>
      </c>
      <c r="N1729" t="s">
        <v>7586</v>
      </c>
      <c r="Z1729" t="s">
        <v>43</v>
      </c>
    </row>
    <row r="1730" spans="1:26" x14ac:dyDescent="0.25">
      <c r="A1730">
        <v>1729</v>
      </c>
      <c r="B1730" t="s">
        <v>30</v>
      </c>
      <c r="C1730" t="s">
        <v>8483</v>
      </c>
      <c r="D1730" t="s">
        <v>8484</v>
      </c>
      <c r="E1730" t="s">
        <v>72</v>
      </c>
      <c r="F1730" t="s">
        <v>8485</v>
      </c>
      <c r="G1730" t="s">
        <v>73</v>
      </c>
      <c r="I1730" t="s">
        <v>8486</v>
      </c>
      <c r="K1730" t="s">
        <v>8487</v>
      </c>
      <c r="N1730" t="s">
        <v>8488</v>
      </c>
      <c r="Z1730" t="s">
        <v>43</v>
      </c>
    </row>
    <row r="1731" spans="1:26" x14ac:dyDescent="0.25">
      <c r="A1731">
        <v>1730</v>
      </c>
      <c r="B1731" t="s">
        <v>30</v>
      </c>
      <c r="C1731" t="s">
        <v>8489</v>
      </c>
      <c r="D1731" t="s">
        <v>8490</v>
      </c>
      <c r="E1731" t="s">
        <v>56</v>
      </c>
      <c r="F1731" t="s">
        <v>8491</v>
      </c>
      <c r="G1731" t="s">
        <v>57</v>
      </c>
      <c r="I1731" t="s">
        <v>8492</v>
      </c>
      <c r="J1731">
        <f>57-310-344-9960</f>
        <v>-10557</v>
      </c>
      <c r="K1731" t="s">
        <v>8493</v>
      </c>
      <c r="N1731" t="s">
        <v>8494</v>
      </c>
      <c r="Z1731" t="s">
        <v>43</v>
      </c>
    </row>
    <row r="1732" spans="1:26" x14ac:dyDescent="0.25">
      <c r="A1732">
        <v>1731</v>
      </c>
      <c r="B1732" t="s">
        <v>30</v>
      </c>
      <c r="C1732" t="s">
        <v>8495</v>
      </c>
      <c r="D1732" t="s">
        <v>7321</v>
      </c>
      <c r="E1732" t="s">
        <v>755</v>
      </c>
      <c r="F1732" t="s">
        <v>8496</v>
      </c>
      <c r="G1732" t="s">
        <v>757</v>
      </c>
      <c r="I1732" t="s">
        <v>8497</v>
      </c>
      <c r="J1732">
        <f>57-60-1-564-7643</f>
        <v>-8211</v>
      </c>
      <c r="K1732" t="s">
        <v>8498</v>
      </c>
      <c r="N1732" t="s">
        <v>8499</v>
      </c>
      <c r="Z1732" t="s">
        <v>43</v>
      </c>
    </row>
    <row r="1733" spans="1:26" x14ac:dyDescent="0.25">
      <c r="A1733">
        <v>1732</v>
      </c>
      <c r="B1733" t="s">
        <v>30</v>
      </c>
      <c r="C1733" t="s">
        <v>8500</v>
      </c>
      <c r="D1733" t="s">
        <v>4770</v>
      </c>
      <c r="E1733" t="s">
        <v>800</v>
      </c>
      <c r="F1733" t="s">
        <v>4771</v>
      </c>
      <c r="G1733" t="s">
        <v>802</v>
      </c>
      <c r="I1733" t="s">
        <v>8501</v>
      </c>
      <c r="K1733" t="s">
        <v>8502</v>
      </c>
      <c r="N1733" t="s">
        <v>8503</v>
      </c>
      <c r="Z1733" t="s">
        <v>43</v>
      </c>
    </row>
    <row r="1734" spans="1:26" x14ac:dyDescent="0.25">
      <c r="A1734">
        <v>1733</v>
      </c>
      <c r="B1734" t="s">
        <v>30</v>
      </c>
      <c r="C1734" t="s">
        <v>8504</v>
      </c>
      <c r="D1734" t="s">
        <v>909</v>
      </c>
      <c r="E1734" t="s">
        <v>471</v>
      </c>
      <c r="F1734" t="s">
        <v>1659</v>
      </c>
      <c r="G1734" t="s">
        <v>47</v>
      </c>
      <c r="I1734" t="s">
        <v>8505</v>
      </c>
      <c r="J1734">
        <f>57-310-884-128</f>
        <v>-1265</v>
      </c>
      <c r="K1734" t="s">
        <v>8506</v>
      </c>
      <c r="N1734" t="s">
        <v>8507</v>
      </c>
      <c r="Z1734" t="s">
        <v>43</v>
      </c>
    </row>
    <row r="1735" spans="1:26" x14ac:dyDescent="0.25">
      <c r="A1735">
        <v>1734</v>
      </c>
      <c r="B1735" t="s">
        <v>30</v>
      </c>
      <c r="C1735" t="s">
        <v>8508</v>
      </c>
      <c r="D1735" t="s">
        <v>1713</v>
      </c>
      <c r="E1735" t="s">
        <v>64</v>
      </c>
      <c r="F1735" t="s">
        <v>6475</v>
      </c>
      <c r="G1735" t="s">
        <v>65</v>
      </c>
      <c r="I1735" t="s">
        <v>8509</v>
      </c>
      <c r="J1735">
        <f>57-60-1-404-5555</f>
        <v>-5963</v>
      </c>
      <c r="K1735" t="s">
        <v>8510</v>
      </c>
      <c r="N1735" t="s">
        <v>8511</v>
      </c>
      <c r="Z1735" t="s">
        <v>43</v>
      </c>
    </row>
    <row r="1736" spans="1:26" x14ac:dyDescent="0.25">
      <c r="A1736">
        <v>1735</v>
      </c>
      <c r="B1736" t="s">
        <v>30</v>
      </c>
      <c r="C1736" t="s">
        <v>8512</v>
      </c>
      <c r="D1736" t="s">
        <v>7136</v>
      </c>
      <c r="E1736" t="s">
        <v>1571</v>
      </c>
      <c r="F1736" t="s">
        <v>7137</v>
      </c>
      <c r="G1736" t="s">
        <v>1573</v>
      </c>
      <c r="I1736" t="s">
        <v>8513</v>
      </c>
      <c r="J1736">
        <f>57-317-643-576</f>
        <v>-1479</v>
      </c>
      <c r="K1736" t="s">
        <v>8514</v>
      </c>
      <c r="N1736" t="s">
        <v>8515</v>
      </c>
      <c r="Z1736" t="s">
        <v>43</v>
      </c>
    </row>
    <row r="1737" spans="1:26" x14ac:dyDescent="0.25">
      <c r="A1737">
        <v>1736</v>
      </c>
      <c r="B1737" t="s">
        <v>30</v>
      </c>
      <c r="C1737" t="s">
        <v>8516</v>
      </c>
      <c r="D1737" t="s">
        <v>2644</v>
      </c>
      <c r="E1737" t="s">
        <v>800</v>
      </c>
      <c r="F1737" t="s">
        <v>3386</v>
      </c>
      <c r="G1737" t="s">
        <v>802</v>
      </c>
      <c r="I1737" t="s">
        <v>8517</v>
      </c>
      <c r="K1737" t="s">
        <v>8518</v>
      </c>
      <c r="N1737" t="s">
        <v>8519</v>
      </c>
      <c r="Z1737" t="s">
        <v>43</v>
      </c>
    </row>
    <row r="1738" spans="1:26" x14ac:dyDescent="0.25">
      <c r="A1738">
        <v>1737</v>
      </c>
      <c r="B1738" t="s">
        <v>30</v>
      </c>
      <c r="C1738" t="s">
        <v>8520</v>
      </c>
      <c r="D1738" t="s">
        <v>46</v>
      </c>
      <c r="E1738" t="s">
        <v>471</v>
      </c>
      <c r="F1738" t="s">
        <v>941</v>
      </c>
      <c r="G1738" t="s">
        <v>47</v>
      </c>
      <c r="I1738" t="s">
        <v>8521</v>
      </c>
      <c r="J1738">
        <f>57-302-843-9169</f>
        <v>-10257</v>
      </c>
      <c r="K1738" t="s">
        <v>8522</v>
      </c>
      <c r="N1738" t="s">
        <v>8523</v>
      </c>
      <c r="Z1738" t="s">
        <v>43</v>
      </c>
    </row>
    <row r="1739" spans="1:26" x14ac:dyDescent="0.25">
      <c r="A1739">
        <v>1738</v>
      </c>
      <c r="B1739" t="s">
        <v>30</v>
      </c>
      <c r="C1739" t="s">
        <v>8524</v>
      </c>
      <c r="D1739" t="s">
        <v>2098</v>
      </c>
      <c r="E1739" t="s">
        <v>1269</v>
      </c>
      <c r="F1739" t="s">
        <v>2099</v>
      </c>
      <c r="G1739" t="s">
        <v>1271</v>
      </c>
      <c r="I1739" t="s">
        <v>8525</v>
      </c>
      <c r="K1739" t="s">
        <v>8526</v>
      </c>
      <c r="N1739" t="s">
        <v>8527</v>
      </c>
      <c r="Z1739" t="s">
        <v>43</v>
      </c>
    </row>
    <row r="1740" spans="1:26" x14ac:dyDescent="0.25">
      <c r="A1740">
        <v>1739</v>
      </c>
      <c r="B1740" t="s">
        <v>30</v>
      </c>
      <c r="C1740" t="s">
        <v>8528</v>
      </c>
      <c r="D1740" t="s">
        <v>1816</v>
      </c>
      <c r="E1740" t="s">
        <v>56</v>
      </c>
      <c r="F1740" t="s">
        <v>1857</v>
      </c>
      <c r="G1740" t="s">
        <v>57</v>
      </c>
      <c r="I1740" t="s">
        <v>8529</v>
      </c>
      <c r="K1740" t="s">
        <v>8530</v>
      </c>
      <c r="N1740" t="s">
        <v>8531</v>
      </c>
      <c r="Z1740" t="s">
        <v>43</v>
      </c>
    </row>
    <row r="1741" spans="1:26" x14ac:dyDescent="0.25">
      <c r="A1741">
        <v>1740</v>
      </c>
      <c r="B1741" t="s">
        <v>30</v>
      </c>
      <c r="C1741" t="s">
        <v>8532</v>
      </c>
      <c r="D1741" t="s">
        <v>8533</v>
      </c>
      <c r="E1741" t="s">
        <v>64</v>
      </c>
      <c r="F1741" t="s">
        <v>8534</v>
      </c>
      <c r="G1741" t="s">
        <v>65</v>
      </c>
      <c r="I1741" t="s">
        <v>8535</v>
      </c>
      <c r="K1741" t="s">
        <v>8536</v>
      </c>
      <c r="N1741" t="s">
        <v>8537</v>
      </c>
      <c r="Z1741" t="s">
        <v>43</v>
      </c>
    </row>
    <row r="1742" spans="1:26" x14ac:dyDescent="0.25">
      <c r="A1742">
        <v>1741</v>
      </c>
      <c r="B1742" t="s">
        <v>30</v>
      </c>
      <c r="C1742" t="s">
        <v>8538</v>
      </c>
      <c r="D1742" t="s">
        <v>8539</v>
      </c>
      <c r="E1742" t="s">
        <v>1055</v>
      </c>
      <c r="F1742" t="s">
        <v>8540</v>
      </c>
      <c r="G1742" t="s">
        <v>1057</v>
      </c>
      <c r="I1742" t="s">
        <v>8541</v>
      </c>
      <c r="J1742">
        <f>57-60-1-776-980</f>
        <v>-1760</v>
      </c>
      <c r="K1742" t="s">
        <v>8542</v>
      </c>
      <c r="N1742" t="s">
        <v>8543</v>
      </c>
      <c r="Z1742" t="s">
        <v>43</v>
      </c>
    </row>
    <row r="1743" spans="1:26" x14ac:dyDescent="0.25">
      <c r="A1743">
        <v>1742</v>
      </c>
      <c r="B1743" t="s">
        <v>30</v>
      </c>
      <c r="C1743" t="s">
        <v>8544</v>
      </c>
      <c r="D1743" t="s">
        <v>754</v>
      </c>
      <c r="E1743" t="s">
        <v>755</v>
      </c>
      <c r="F1743" t="s">
        <v>1636</v>
      </c>
      <c r="G1743" t="s">
        <v>757</v>
      </c>
      <c r="I1743" t="s">
        <v>8545</v>
      </c>
      <c r="J1743">
        <f>57-60-1-212-9029</f>
        <v>-9245</v>
      </c>
      <c r="K1743" t="s">
        <v>8546</v>
      </c>
      <c r="N1743" t="s">
        <v>8547</v>
      </c>
      <c r="Z1743" t="s">
        <v>43</v>
      </c>
    </row>
    <row r="1744" spans="1:26" x14ac:dyDescent="0.25">
      <c r="A1744">
        <v>1743</v>
      </c>
      <c r="B1744" t="s">
        <v>30</v>
      </c>
      <c r="C1744" t="s">
        <v>8548</v>
      </c>
      <c r="D1744" t="s">
        <v>8549</v>
      </c>
      <c r="E1744" t="s">
        <v>3984</v>
      </c>
      <c r="F1744" t="s">
        <v>8550</v>
      </c>
      <c r="G1744" t="s">
        <v>3986</v>
      </c>
      <c r="I1744" t="s">
        <v>8551</v>
      </c>
      <c r="K1744" t="s">
        <v>8552</v>
      </c>
      <c r="N1744" t="s">
        <v>8553</v>
      </c>
      <c r="Z1744" t="s">
        <v>43</v>
      </c>
    </row>
    <row r="1745" spans="1:26" x14ac:dyDescent="0.25">
      <c r="A1745">
        <v>1744</v>
      </c>
      <c r="B1745" t="s">
        <v>30</v>
      </c>
      <c r="C1745" t="s">
        <v>8554</v>
      </c>
      <c r="D1745" t="s">
        <v>2551</v>
      </c>
      <c r="E1745" t="s">
        <v>1055</v>
      </c>
      <c r="F1745" t="s">
        <v>8555</v>
      </c>
      <c r="G1745" t="s">
        <v>1057</v>
      </c>
      <c r="I1745" t="s">
        <v>8556</v>
      </c>
      <c r="K1745" t="s">
        <v>8557</v>
      </c>
      <c r="N1745" t="s">
        <v>8558</v>
      </c>
      <c r="Z1745" t="s">
        <v>43</v>
      </c>
    </row>
    <row r="1746" spans="1:26" x14ac:dyDescent="0.25">
      <c r="A1746">
        <v>1745</v>
      </c>
      <c r="B1746" t="s">
        <v>30</v>
      </c>
      <c r="C1746" t="s">
        <v>8559</v>
      </c>
      <c r="D1746" t="s">
        <v>5933</v>
      </c>
      <c r="E1746" t="s">
        <v>755</v>
      </c>
      <c r="F1746" t="s">
        <v>7661</v>
      </c>
      <c r="G1746" t="s">
        <v>757</v>
      </c>
      <c r="I1746" t="s">
        <v>8560</v>
      </c>
      <c r="J1746">
        <f>57-60-1-814-9731</f>
        <v>-10549</v>
      </c>
      <c r="K1746" t="s">
        <v>8561</v>
      </c>
      <c r="N1746" t="s">
        <v>8562</v>
      </c>
      <c r="Z1746" t="s">
        <v>43</v>
      </c>
    </row>
    <row r="1747" spans="1:26" x14ac:dyDescent="0.25">
      <c r="A1747">
        <v>1746</v>
      </c>
      <c r="B1747" t="s">
        <v>30</v>
      </c>
      <c r="C1747" t="s">
        <v>8563</v>
      </c>
      <c r="D1747" t="s">
        <v>64</v>
      </c>
      <c r="E1747" t="s">
        <v>64</v>
      </c>
      <c r="F1747" t="s">
        <v>65</v>
      </c>
      <c r="G1747" t="s">
        <v>65</v>
      </c>
      <c r="I1747" t="s">
        <v>8564</v>
      </c>
      <c r="J1747">
        <f>57-315-602-2675</f>
        <v>-3535</v>
      </c>
      <c r="K1747" t="s">
        <v>8565</v>
      </c>
      <c r="N1747" t="s">
        <v>8566</v>
      </c>
      <c r="Z1747" t="s">
        <v>43</v>
      </c>
    </row>
    <row r="1748" spans="1:26" x14ac:dyDescent="0.25">
      <c r="A1748">
        <v>1747</v>
      </c>
      <c r="B1748" t="s">
        <v>30</v>
      </c>
      <c r="C1748" t="s">
        <v>8567</v>
      </c>
      <c r="D1748" t="s">
        <v>8568</v>
      </c>
      <c r="E1748" t="s">
        <v>64</v>
      </c>
      <c r="F1748" t="s">
        <v>8569</v>
      </c>
      <c r="G1748" t="s">
        <v>65</v>
      </c>
      <c r="I1748" t="s">
        <v>8570</v>
      </c>
      <c r="J1748">
        <f>57-312-363-4614</f>
        <v>-5232</v>
      </c>
      <c r="K1748" t="s">
        <v>8571</v>
      </c>
      <c r="N1748" t="s">
        <v>8572</v>
      </c>
      <c r="Z1748" t="s">
        <v>43</v>
      </c>
    </row>
    <row r="1749" spans="1:26" x14ac:dyDescent="0.25">
      <c r="A1749">
        <v>1748</v>
      </c>
      <c r="B1749" t="s">
        <v>30</v>
      </c>
      <c r="C1749" t="s">
        <v>8573</v>
      </c>
      <c r="D1749" t="s">
        <v>8574</v>
      </c>
      <c r="E1749" t="s">
        <v>64</v>
      </c>
      <c r="F1749" t="s">
        <v>8575</v>
      </c>
      <c r="G1749" t="s">
        <v>65</v>
      </c>
      <c r="I1749" t="s">
        <v>8576</v>
      </c>
      <c r="K1749" t="s">
        <v>8577</v>
      </c>
      <c r="N1749" t="s">
        <v>8578</v>
      </c>
      <c r="Z1749" t="s">
        <v>43</v>
      </c>
    </row>
    <row r="1750" spans="1:26" x14ac:dyDescent="0.25">
      <c r="A1750">
        <v>1749</v>
      </c>
      <c r="B1750" t="s">
        <v>30</v>
      </c>
      <c r="C1750" t="s">
        <v>8579</v>
      </c>
      <c r="D1750" t="s">
        <v>8580</v>
      </c>
      <c r="E1750" t="s">
        <v>56</v>
      </c>
      <c r="F1750" t="s">
        <v>8581</v>
      </c>
      <c r="G1750" t="s">
        <v>57</v>
      </c>
      <c r="I1750" t="s">
        <v>8582</v>
      </c>
      <c r="J1750">
        <f>57-60-1-629-944</f>
        <v>-1577</v>
      </c>
      <c r="K1750" t="s">
        <v>8583</v>
      </c>
      <c r="N1750" t="s">
        <v>8584</v>
      </c>
      <c r="Z1750" t="s">
        <v>43</v>
      </c>
    </row>
    <row r="1751" spans="1:26" x14ac:dyDescent="0.25">
      <c r="A1751">
        <v>1750</v>
      </c>
      <c r="B1751" t="s">
        <v>30</v>
      </c>
      <c r="C1751" t="s">
        <v>8585</v>
      </c>
      <c r="D1751" t="s">
        <v>8586</v>
      </c>
      <c r="E1751" t="s">
        <v>1658</v>
      </c>
      <c r="F1751" t="s">
        <v>8587</v>
      </c>
      <c r="G1751" t="s">
        <v>1660</v>
      </c>
      <c r="I1751" t="s">
        <v>8588</v>
      </c>
      <c r="J1751">
        <f>57-350-415-1969</f>
        <v>-2677</v>
      </c>
      <c r="K1751" t="s">
        <v>8589</v>
      </c>
      <c r="N1751" t="s">
        <v>8590</v>
      </c>
      <c r="Z1751" t="s">
        <v>43</v>
      </c>
    </row>
    <row r="1752" spans="1:26" x14ac:dyDescent="0.25">
      <c r="A1752">
        <v>1751</v>
      </c>
      <c r="B1752" t="s">
        <v>30</v>
      </c>
      <c r="C1752" t="s">
        <v>8591</v>
      </c>
      <c r="D1752" t="s">
        <v>2336</v>
      </c>
      <c r="E1752" t="s">
        <v>56</v>
      </c>
      <c r="F1752" t="s">
        <v>2337</v>
      </c>
      <c r="G1752" t="s">
        <v>57</v>
      </c>
      <c r="I1752" t="s">
        <v>8592</v>
      </c>
      <c r="K1752" t="s">
        <v>8593</v>
      </c>
      <c r="N1752" t="s">
        <v>8594</v>
      </c>
      <c r="Z1752" t="s">
        <v>43</v>
      </c>
    </row>
    <row r="1753" spans="1:26" x14ac:dyDescent="0.25">
      <c r="A1753">
        <v>1752</v>
      </c>
      <c r="B1753" t="s">
        <v>30</v>
      </c>
      <c r="C1753" t="s">
        <v>8595</v>
      </c>
      <c r="D1753" t="s">
        <v>8596</v>
      </c>
      <c r="E1753" t="s">
        <v>56</v>
      </c>
      <c r="F1753" t="s">
        <v>8597</v>
      </c>
      <c r="G1753" t="s">
        <v>57</v>
      </c>
      <c r="I1753" t="s">
        <v>8598</v>
      </c>
      <c r="J1753">
        <f>57-310-559-2315</f>
        <v>-3127</v>
      </c>
      <c r="K1753" t="s">
        <v>8599</v>
      </c>
      <c r="N1753" t="s">
        <v>8600</v>
      </c>
      <c r="Z1753" t="s">
        <v>43</v>
      </c>
    </row>
    <row r="1754" spans="1:26" x14ac:dyDescent="0.25">
      <c r="A1754">
        <v>1753</v>
      </c>
      <c r="B1754" t="s">
        <v>30</v>
      </c>
      <c r="C1754" t="s">
        <v>8601</v>
      </c>
      <c r="D1754" t="s">
        <v>8602</v>
      </c>
      <c r="E1754" t="s">
        <v>64</v>
      </c>
      <c r="F1754" t="s">
        <v>8603</v>
      </c>
      <c r="G1754" t="s">
        <v>65</v>
      </c>
      <c r="I1754" t="s">
        <v>8604</v>
      </c>
      <c r="K1754" t="s">
        <v>8605</v>
      </c>
      <c r="N1754" t="s">
        <v>8606</v>
      </c>
      <c r="Z1754" t="s">
        <v>43</v>
      </c>
    </row>
    <row r="1755" spans="1:26" x14ac:dyDescent="0.25">
      <c r="A1755">
        <v>1754</v>
      </c>
      <c r="B1755" t="s">
        <v>30</v>
      </c>
      <c r="C1755" t="s">
        <v>8607</v>
      </c>
      <c r="D1755" t="s">
        <v>7751</v>
      </c>
      <c r="E1755" t="s">
        <v>56</v>
      </c>
      <c r="F1755" t="s">
        <v>7752</v>
      </c>
      <c r="G1755" t="s">
        <v>57</v>
      </c>
      <c r="I1755" t="s">
        <v>8608</v>
      </c>
      <c r="J1755">
        <f>57-350-532-9091</f>
        <v>-9916</v>
      </c>
      <c r="K1755" t="s">
        <v>8609</v>
      </c>
      <c r="N1755" t="s">
        <v>8610</v>
      </c>
      <c r="Z1755" t="s">
        <v>43</v>
      </c>
    </row>
    <row r="1756" spans="1:26" x14ac:dyDescent="0.25">
      <c r="A1756">
        <v>1755</v>
      </c>
      <c r="B1756" t="s">
        <v>30</v>
      </c>
      <c r="C1756" t="s">
        <v>8611</v>
      </c>
      <c r="D1756" t="s">
        <v>8612</v>
      </c>
      <c r="E1756" t="s">
        <v>56</v>
      </c>
      <c r="F1756" t="s">
        <v>8613</v>
      </c>
      <c r="G1756" t="s">
        <v>57</v>
      </c>
      <c r="I1756" t="s">
        <v>8614</v>
      </c>
      <c r="J1756">
        <f>57-315-640-3298</f>
        <v>-4196</v>
      </c>
      <c r="K1756" t="s">
        <v>8615</v>
      </c>
      <c r="N1756" t="s">
        <v>8616</v>
      </c>
      <c r="Z1756" t="s">
        <v>43</v>
      </c>
    </row>
    <row r="1757" spans="1:26" x14ac:dyDescent="0.25">
      <c r="A1757">
        <v>1756</v>
      </c>
      <c r="B1757" t="s">
        <v>30</v>
      </c>
      <c r="C1757" t="s">
        <v>8617</v>
      </c>
      <c r="D1757" t="s">
        <v>754</v>
      </c>
      <c r="E1757" t="s">
        <v>755</v>
      </c>
      <c r="F1757" t="s">
        <v>1636</v>
      </c>
      <c r="G1757" t="s">
        <v>757</v>
      </c>
      <c r="I1757" t="s">
        <v>8618</v>
      </c>
      <c r="J1757">
        <f>57-60-1-311-9914</f>
        <v>-10229</v>
      </c>
      <c r="K1757" t="s">
        <v>8619</v>
      </c>
      <c r="N1757" t="s">
        <v>8620</v>
      </c>
      <c r="Z1757" t="s">
        <v>43</v>
      </c>
    </row>
    <row r="1758" spans="1:26" x14ac:dyDescent="0.25">
      <c r="A1758">
        <v>1757</v>
      </c>
      <c r="B1758" t="s">
        <v>30</v>
      </c>
      <c r="C1758" t="s">
        <v>8621</v>
      </c>
      <c r="D1758" t="s">
        <v>1260</v>
      </c>
      <c r="E1758" t="s">
        <v>64</v>
      </c>
      <c r="F1758" t="s">
        <v>1653</v>
      </c>
      <c r="G1758" t="s">
        <v>65</v>
      </c>
      <c r="I1758" t="s">
        <v>8622</v>
      </c>
      <c r="J1758">
        <f>57-60-1-383-6975</f>
        <v>-7362</v>
      </c>
      <c r="K1758" t="s">
        <v>8623</v>
      </c>
      <c r="N1758" t="s">
        <v>8624</v>
      </c>
      <c r="Z1758" t="s">
        <v>43</v>
      </c>
    </row>
    <row r="1759" spans="1:26" x14ac:dyDescent="0.25">
      <c r="A1759">
        <v>1758</v>
      </c>
      <c r="B1759" t="s">
        <v>30</v>
      </c>
      <c r="C1759" t="s">
        <v>8625</v>
      </c>
      <c r="D1759" t="s">
        <v>384</v>
      </c>
      <c r="E1759" t="s">
        <v>385</v>
      </c>
      <c r="F1759" t="s">
        <v>386</v>
      </c>
      <c r="G1759" t="s">
        <v>387</v>
      </c>
      <c r="I1759" t="s">
        <v>6293</v>
      </c>
      <c r="J1759">
        <f>57-313-827-1362</f>
        <v>-2445</v>
      </c>
      <c r="K1759" t="s">
        <v>8626</v>
      </c>
      <c r="N1759" t="s">
        <v>8627</v>
      </c>
      <c r="Z1759" t="s">
        <v>43</v>
      </c>
    </row>
    <row r="1760" spans="1:26" x14ac:dyDescent="0.25">
      <c r="A1760">
        <v>1759</v>
      </c>
      <c r="B1760" t="s">
        <v>30</v>
      </c>
      <c r="C1760" t="s">
        <v>8628</v>
      </c>
      <c r="D1760" t="s">
        <v>8629</v>
      </c>
      <c r="E1760" t="s">
        <v>8630</v>
      </c>
      <c r="F1760" t="s">
        <v>8631</v>
      </c>
      <c r="G1760" t="s">
        <v>8632</v>
      </c>
      <c r="I1760" t="s">
        <v>8633</v>
      </c>
      <c r="K1760" t="s">
        <v>8634</v>
      </c>
      <c r="N1760" t="s">
        <v>8635</v>
      </c>
      <c r="Z1760" t="s">
        <v>43</v>
      </c>
    </row>
    <row r="1761" spans="1:26" x14ac:dyDescent="0.25">
      <c r="A1761">
        <v>1760</v>
      </c>
      <c r="B1761" t="s">
        <v>30</v>
      </c>
      <c r="C1761" t="s">
        <v>8636</v>
      </c>
      <c r="D1761" t="s">
        <v>8637</v>
      </c>
      <c r="E1761" t="s">
        <v>72</v>
      </c>
      <c r="F1761" t="s">
        <v>8638</v>
      </c>
      <c r="G1761" t="s">
        <v>73</v>
      </c>
      <c r="I1761" t="s">
        <v>8639</v>
      </c>
      <c r="K1761" t="s">
        <v>8640</v>
      </c>
      <c r="N1761" t="s">
        <v>8641</v>
      </c>
      <c r="Z1761" t="s">
        <v>43</v>
      </c>
    </row>
    <row r="1762" spans="1:26" x14ac:dyDescent="0.25">
      <c r="A1762">
        <v>1761</v>
      </c>
      <c r="B1762" t="s">
        <v>30</v>
      </c>
      <c r="C1762" t="s">
        <v>8642</v>
      </c>
      <c r="D1762" t="s">
        <v>8643</v>
      </c>
      <c r="E1762" t="s">
        <v>8644</v>
      </c>
      <c r="F1762" t="s">
        <v>8645</v>
      </c>
      <c r="G1762" t="s">
        <v>8646</v>
      </c>
      <c r="I1762" t="s">
        <v>8647</v>
      </c>
      <c r="J1762">
        <f>57-314-624-1296</f>
        <v>-2177</v>
      </c>
      <c r="K1762" t="s">
        <v>8648</v>
      </c>
      <c r="N1762" t="s">
        <v>8649</v>
      </c>
      <c r="Z1762" t="s">
        <v>43</v>
      </c>
    </row>
    <row r="1763" spans="1:26" x14ac:dyDescent="0.25">
      <c r="A1763">
        <v>1762</v>
      </c>
      <c r="B1763" t="s">
        <v>30</v>
      </c>
      <c r="C1763" t="s">
        <v>8650</v>
      </c>
      <c r="D1763" t="s">
        <v>3723</v>
      </c>
      <c r="E1763" t="s">
        <v>72</v>
      </c>
      <c r="F1763" t="s">
        <v>3724</v>
      </c>
      <c r="G1763" t="s">
        <v>73</v>
      </c>
      <c r="I1763" t="s">
        <v>8651</v>
      </c>
      <c r="K1763" t="s">
        <v>8652</v>
      </c>
      <c r="N1763" t="s">
        <v>8653</v>
      </c>
      <c r="Z1763" t="s">
        <v>43</v>
      </c>
    </row>
    <row r="1764" spans="1:26" x14ac:dyDescent="0.25">
      <c r="A1764">
        <v>1763</v>
      </c>
      <c r="B1764" t="s">
        <v>30</v>
      </c>
      <c r="C1764" t="s">
        <v>8654</v>
      </c>
      <c r="D1764" t="s">
        <v>8655</v>
      </c>
      <c r="E1764" t="s">
        <v>56</v>
      </c>
      <c r="F1764" t="s">
        <v>8656</v>
      </c>
      <c r="G1764" t="s">
        <v>57</v>
      </c>
      <c r="I1764" t="s">
        <v>8657</v>
      </c>
      <c r="J1764">
        <f>57-319-202-1962</f>
        <v>-2426</v>
      </c>
      <c r="K1764" t="s">
        <v>8658</v>
      </c>
      <c r="N1764" t="s">
        <v>8659</v>
      </c>
      <c r="Z1764" t="s">
        <v>43</v>
      </c>
    </row>
    <row r="1765" spans="1:26" x14ac:dyDescent="0.25">
      <c r="A1765">
        <v>1764</v>
      </c>
      <c r="B1765" t="s">
        <v>30</v>
      </c>
      <c r="C1765" t="s">
        <v>8660</v>
      </c>
      <c r="D1765" t="s">
        <v>46</v>
      </c>
      <c r="E1765" t="s">
        <v>56</v>
      </c>
      <c r="F1765" t="s">
        <v>820</v>
      </c>
      <c r="G1765" t="s">
        <v>57</v>
      </c>
      <c r="I1765" t="s">
        <v>8661</v>
      </c>
      <c r="K1765" t="s">
        <v>8662</v>
      </c>
      <c r="N1765" t="s">
        <v>8663</v>
      </c>
      <c r="Z1765" t="s">
        <v>43</v>
      </c>
    </row>
    <row r="1766" spans="1:26" x14ac:dyDescent="0.25">
      <c r="A1766">
        <v>1765</v>
      </c>
      <c r="B1766" t="s">
        <v>30</v>
      </c>
      <c r="C1766" t="s">
        <v>8664</v>
      </c>
      <c r="D1766" t="s">
        <v>8665</v>
      </c>
      <c r="E1766" t="s">
        <v>471</v>
      </c>
      <c r="F1766" t="s">
        <v>8666</v>
      </c>
      <c r="G1766" t="s">
        <v>966</v>
      </c>
      <c r="I1766" t="s">
        <v>8667</v>
      </c>
      <c r="J1766">
        <f>57-302-306-6532</f>
        <v>-7083</v>
      </c>
      <c r="K1766" t="s">
        <v>8668</v>
      </c>
      <c r="N1766" t="s">
        <v>8669</v>
      </c>
      <c r="Z1766" t="s">
        <v>43</v>
      </c>
    </row>
    <row r="1767" spans="1:26" x14ac:dyDescent="0.25">
      <c r="A1767">
        <v>1766</v>
      </c>
      <c r="B1767" t="s">
        <v>30</v>
      </c>
      <c r="C1767" t="s">
        <v>8670</v>
      </c>
      <c r="D1767" t="s">
        <v>72</v>
      </c>
      <c r="E1767" t="s">
        <v>72</v>
      </c>
      <c r="F1767" t="s">
        <v>73</v>
      </c>
      <c r="G1767" t="s">
        <v>73</v>
      </c>
      <c r="I1767" t="s">
        <v>8671</v>
      </c>
      <c r="K1767" t="s">
        <v>8672</v>
      </c>
      <c r="N1767" t="s">
        <v>8673</v>
      </c>
      <c r="Z1767" t="s">
        <v>43</v>
      </c>
    </row>
    <row r="1768" spans="1:26" x14ac:dyDescent="0.25">
      <c r="A1768">
        <v>1767</v>
      </c>
      <c r="B1768" t="s">
        <v>30</v>
      </c>
      <c r="C1768" t="s">
        <v>8674</v>
      </c>
      <c r="D1768" t="s">
        <v>2336</v>
      </c>
      <c r="E1768" t="s">
        <v>56</v>
      </c>
      <c r="F1768" t="s">
        <v>2337</v>
      </c>
      <c r="G1768" t="s">
        <v>57</v>
      </c>
      <c r="I1768" t="s">
        <v>8675</v>
      </c>
      <c r="J1768">
        <f>57-320-811-1111</f>
        <v>-2185</v>
      </c>
      <c r="K1768" t="s">
        <v>8676</v>
      </c>
      <c r="N1768" t="s">
        <v>8677</v>
      </c>
      <c r="Z1768" t="s">
        <v>43</v>
      </c>
    </row>
    <row r="1769" spans="1:26" x14ac:dyDescent="0.25">
      <c r="A1769">
        <v>1768</v>
      </c>
      <c r="B1769" t="s">
        <v>30</v>
      </c>
      <c r="C1769" t="s">
        <v>8678</v>
      </c>
      <c r="D1769" t="s">
        <v>2168</v>
      </c>
      <c r="E1769" t="s">
        <v>64</v>
      </c>
      <c r="F1769" t="s">
        <v>2169</v>
      </c>
      <c r="G1769" t="s">
        <v>65</v>
      </c>
      <c r="I1769" t="s">
        <v>8679</v>
      </c>
      <c r="J1769">
        <f>57-320-455-8605</f>
        <v>-9323</v>
      </c>
      <c r="K1769" t="s">
        <v>8680</v>
      </c>
      <c r="N1769" t="s">
        <v>8681</v>
      </c>
      <c r="Z1769" t="s">
        <v>43</v>
      </c>
    </row>
    <row r="1770" spans="1:26" x14ac:dyDescent="0.25">
      <c r="A1770">
        <v>1769</v>
      </c>
      <c r="B1770" t="s">
        <v>30</v>
      </c>
      <c r="C1770" t="s">
        <v>8682</v>
      </c>
      <c r="D1770" t="s">
        <v>8683</v>
      </c>
      <c r="E1770" t="s">
        <v>471</v>
      </c>
      <c r="F1770" t="s">
        <v>8684</v>
      </c>
      <c r="G1770" t="s">
        <v>966</v>
      </c>
      <c r="I1770" t="s">
        <v>8685</v>
      </c>
      <c r="J1770">
        <f>57-312-581-5112</f>
        <v>-5948</v>
      </c>
      <c r="K1770" t="s">
        <v>8686</v>
      </c>
      <c r="N1770" t="s">
        <v>8687</v>
      </c>
      <c r="Z1770" t="s">
        <v>43</v>
      </c>
    </row>
    <row r="1771" spans="1:26" x14ac:dyDescent="0.25">
      <c r="A1771">
        <v>1770</v>
      </c>
      <c r="B1771" t="s">
        <v>30</v>
      </c>
      <c r="C1771" t="s">
        <v>8688</v>
      </c>
      <c r="D1771" t="s">
        <v>8689</v>
      </c>
      <c r="E1771" t="s">
        <v>8690</v>
      </c>
      <c r="F1771" t="s">
        <v>8691</v>
      </c>
      <c r="G1771" t="s">
        <v>8692</v>
      </c>
      <c r="I1771" t="s">
        <v>8693</v>
      </c>
      <c r="K1771" t="s">
        <v>8694</v>
      </c>
      <c r="N1771" t="s">
        <v>8695</v>
      </c>
      <c r="Z1771" t="s">
        <v>43</v>
      </c>
    </row>
    <row r="1772" spans="1:26" x14ac:dyDescent="0.25">
      <c r="A1772">
        <v>1771</v>
      </c>
      <c r="B1772" t="s">
        <v>30</v>
      </c>
      <c r="C1772" t="s">
        <v>8696</v>
      </c>
      <c r="D1772" t="s">
        <v>867</v>
      </c>
      <c r="E1772" t="s">
        <v>471</v>
      </c>
      <c r="F1772" t="s">
        <v>868</v>
      </c>
      <c r="G1772" t="s">
        <v>47</v>
      </c>
      <c r="I1772" t="s">
        <v>8697</v>
      </c>
      <c r="J1772">
        <f>57-350-269-6875</f>
        <v>-7437</v>
      </c>
      <c r="K1772" t="s">
        <v>3631</v>
      </c>
      <c r="N1772" t="s">
        <v>3632</v>
      </c>
      <c r="Z1772" t="s">
        <v>43</v>
      </c>
    </row>
    <row r="1773" spans="1:26" x14ac:dyDescent="0.25">
      <c r="A1773">
        <v>1772</v>
      </c>
      <c r="B1773" t="s">
        <v>30</v>
      </c>
      <c r="C1773" t="s">
        <v>8698</v>
      </c>
      <c r="D1773" t="s">
        <v>3364</v>
      </c>
      <c r="E1773" t="s">
        <v>385</v>
      </c>
      <c r="F1773" t="s">
        <v>3365</v>
      </c>
      <c r="G1773" t="s">
        <v>387</v>
      </c>
      <c r="I1773" t="s">
        <v>8699</v>
      </c>
      <c r="J1773">
        <f>57-317-749-319</f>
        <v>-1328</v>
      </c>
      <c r="K1773" t="s">
        <v>8700</v>
      </c>
      <c r="N1773" t="s">
        <v>8701</v>
      </c>
      <c r="Z1773" t="s">
        <v>43</v>
      </c>
    </row>
    <row r="1774" spans="1:26" x14ac:dyDescent="0.25">
      <c r="A1774">
        <v>1773</v>
      </c>
      <c r="B1774" t="s">
        <v>30</v>
      </c>
      <c r="C1774" t="s">
        <v>8702</v>
      </c>
      <c r="D1774" t="s">
        <v>8703</v>
      </c>
      <c r="E1774" t="s">
        <v>72</v>
      </c>
      <c r="F1774" t="s">
        <v>8704</v>
      </c>
      <c r="G1774" t="s">
        <v>73</v>
      </c>
      <c r="I1774" t="s">
        <v>8705</v>
      </c>
      <c r="J1774">
        <f>57-350-267-5810</f>
        <v>-6370</v>
      </c>
      <c r="K1774" t="s">
        <v>8706</v>
      </c>
      <c r="N1774" t="s">
        <v>8707</v>
      </c>
      <c r="Z1774" t="s">
        <v>43</v>
      </c>
    </row>
    <row r="1775" spans="1:26" x14ac:dyDescent="0.25">
      <c r="A1775">
        <v>1774</v>
      </c>
      <c r="B1775" t="s">
        <v>30</v>
      </c>
      <c r="C1775" t="s">
        <v>8708</v>
      </c>
      <c r="D1775" t="s">
        <v>772</v>
      </c>
      <c r="E1775" t="s">
        <v>471</v>
      </c>
      <c r="F1775" t="s">
        <v>773</v>
      </c>
      <c r="G1775" t="s">
        <v>47</v>
      </c>
      <c r="I1775" t="s">
        <v>8709</v>
      </c>
      <c r="K1775" t="s">
        <v>8710</v>
      </c>
      <c r="N1775" t="s">
        <v>8711</v>
      </c>
      <c r="Z1775" t="s">
        <v>43</v>
      </c>
    </row>
    <row r="1776" spans="1:26" x14ac:dyDescent="0.25">
      <c r="A1776">
        <v>1775</v>
      </c>
      <c r="B1776" t="s">
        <v>30</v>
      </c>
      <c r="C1776" t="s">
        <v>8712</v>
      </c>
      <c r="D1776" t="s">
        <v>772</v>
      </c>
      <c r="E1776" t="s">
        <v>471</v>
      </c>
      <c r="F1776" t="s">
        <v>773</v>
      </c>
      <c r="G1776" t="s">
        <v>47</v>
      </c>
      <c r="I1776" t="s">
        <v>8713</v>
      </c>
      <c r="J1776">
        <f>57-315-612-9144</f>
        <v>-10014</v>
      </c>
      <c r="K1776" t="s">
        <v>8714</v>
      </c>
      <c r="N1776" t="s">
        <v>8715</v>
      </c>
      <c r="Z1776" t="s">
        <v>43</v>
      </c>
    </row>
    <row r="1777" spans="1:26" x14ac:dyDescent="0.25">
      <c r="A1777">
        <v>1776</v>
      </c>
      <c r="B1777" t="s">
        <v>30</v>
      </c>
      <c r="C1777" t="s">
        <v>8716</v>
      </c>
      <c r="D1777" t="s">
        <v>8717</v>
      </c>
      <c r="E1777" t="s">
        <v>2190</v>
      </c>
      <c r="F1777" t="s">
        <v>8718</v>
      </c>
      <c r="G1777" t="s">
        <v>2192</v>
      </c>
      <c r="I1777" t="s">
        <v>8719</v>
      </c>
      <c r="J1777">
        <f>57-320-270-9792</f>
        <v>-10325</v>
      </c>
      <c r="K1777" t="s">
        <v>8720</v>
      </c>
      <c r="N1777" t="s">
        <v>8721</v>
      </c>
      <c r="Z1777" t="s">
        <v>43</v>
      </c>
    </row>
    <row r="1778" spans="1:26" x14ac:dyDescent="0.25">
      <c r="A1778">
        <v>1777</v>
      </c>
      <c r="B1778" t="s">
        <v>30</v>
      </c>
      <c r="C1778" t="s">
        <v>8722</v>
      </c>
      <c r="D1778" t="s">
        <v>8723</v>
      </c>
      <c r="E1778" t="s">
        <v>471</v>
      </c>
      <c r="F1778" t="s">
        <v>8724</v>
      </c>
      <c r="G1778" t="s">
        <v>47</v>
      </c>
      <c r="I1778" t="s">
        <v>8725</v>
      </c>
      <c r="K1778" t="s">
        <v>8726</v>
      </c>
      <c r="N1778" t="s">
        <v>8727</v>
      </c>
      <c r="Z1778" t="s">
        <v>43</v>
      </c>
    </row>
    <row r="1779" spans="1:26" x14ac:dyDescent="0.25">
      <c r="A1779">
        <v>1778</v>
      </c>
      <c r="B1779" t="s">
        <v>30</v>
      </c>
      <c r="C1779" t="s">
        <v>8728</v>
      </c>
      <c r="D1779" t="s">
        <v>8729</v>
      </c>
      <c r="E1779" t="s">
        <v>64</v>
      </c>
      <c r="F1779" t="s">
        <v>8730</v>
      </c>
      <c r="G1779" t="s">
        <v>65</v>
      </c>
      <c r="I1779" t="s">
        <v>8731</v>
      </c>
      <c r="J1779">
        <f>57-60-1-466-6593</f>
        <v>-7063</v>
      </c>
      <c r="K1779" t="s">
        <v>8732</v>
      </c>
      <c r="N1779" t="s">
        <v>8733</v>
      </c>
      <c r="Z1779" t="s">
        <v>43</v>
      </c>
    </row>
    <row r="1780" spans="1:26" x14ac:dyDescent="0.25">
      <c r="A1780">
        <v>1779</v>
      </c>
      <c r="B1780" t="s">
        <v>30</v>
      </c>
      <c r="C1780" t="s">
        <v>8734</v>
      </c>
      <c r="D1780" t="s">
        <v>6604</v>
      </c>
      <c r="E1780" t="s">
        <v>471</v>
      </c>
      <c r="F1780" t="s">
        <v>6605</v>
      </c>
      <c r="G1780" t="s">
        <v>47</v>
      </c>
      <c r="I1780" t="s">
        <v>8735</v>
      </c>
      <c r="J1780">
        <f>57-350-538-8318</f>
        <v>-9149</v>
      </c>
      <c r="K1780" t="s">
        <v>8736</v>
      </c>
      <c r="N1780" t="s">
        <v>8737</v>
      </c>
      <c r="Z1780" t="s">
        <v>43</v>
      </c>
    </row>
    <row r="1781" spans="1:26" x14ac:dyDescent="0.25">
      <c r="A1781">
        <v>1780</v>
      </c>
      <c r="B1781" t="s">
        <v>30</v>
      </c>
      <c r="C1781" t="s">
        <v>8738</v>
      </c>
      <c r="D1781" t="s">
        <v>899</v>
      </c>
      <c r="E1781" t="s">
        <v>56</v>
      </c>
      <c r="F1781" t="s">
        <v>2456</v>
      </c>
      <c r="G1781" t="s">
        <v>57</v>
      </c>
      <c r="I1781" t="s">
        <v>8739</v>
      </c>
      <c r="K1781" t="s">
        <v>8740</v>
      </c>
      <c r="N1781" t="s">
        <v>8741</v>
      </c>
      <c r="Z1781" t="s">
        <v>43</v>
      </c>
    </row>
    <row r="1782" spans="1:26" x14ac:dyDescent="0.25">
      <c r="A1782">
        <v>1781</v>
      </c>
      <c r="B1782" t="s">
        <v>30</v>
      </c>
      <c r="C1782" t="s">
        <v>8742</v>
      </c>
      <c r="D1782" t="s">
        <v>909</v>
      </c>
      <c r="E1782" t="s">
        <v>471</v>
      </c>
      <c r="F1782" t="s">
        <v>1659</v>
      </c>
      <c r="G1782" t="s">
        <v>47</v>
      </c>
      <c r="I1782" t="s">
        <v>8743</v>
      </c>
      <c r="J1782">
        <f>57-311-570-3662</f>
        <v>-4486</v>
      </c>
      <c r="K1782" t="s">
        <v>8744</v>
      </c>
      <c r="N1782" t="s">
        <v>8745</v>
      </c>
      <c r="Z1782" t="s">
        <v>43</v>
      </c>
    </row>
    <row r="1783" spans="1:26" x14ac:dyDescent="0.25">
      <c r="A1783">
        <v>1782</v>
      </c>
      <c r="B1783" t="s">
        <v>30</v>
      </c>
      <c r="C1783" t="s">
        <v>8746</v>
      </c>
      <c r="D1783" t="s">
        <v>909</v>
      </c>
      <c r="E1783" t="s">
        <v>471</v>
      </c>
      <c r="F1783" t="s">
        <v>2233</v>
      </c>
      <c r="G1783" t="s">
        <v>47</v>
      </c>
      <c r="I1783" t="s">
        <v>8747</v>
      </c>
      <c r="J1783">
        <f>57-313-432-3677</f>
        <v>-4365</v>
      </c>
      <c r="K1783" t="s">
        <v>8748</v>
      </c>
      <c r="N1783" t="s">
        <v>8749</v>
      </c>
      <c r="Z1783" t="s">
        <v>43</v>
      </c>
    </row>
    <row r="1784" spans="1:26" x14ac:dyDescent="0.25">
      <c r="A1784">
        <v>1783</v>
      </c>
      <c r="B1784" t="s">
        <v>30</v>
      </c>
      <c r="C1784" t="s">
        <v>8750</v>
      </c>
      <c r="D1784" t="s">
        <v>8751</v>
      </c>
      <c r="E1784" t="s">
        <v>2706</v>
      </c>
      <c r="F1784" t="s">
        <v>8752</v>
      </c>
      <c r="G1784" t="s">
        <v>2708</v>
      </c>
      <c r="I1784" t="s">
        <v>8753</v>
      </c>
      <c r="K1784" t="s">
        <v>8754</v>
      </c>
      <c r="N1784" t="s">
        <v>8755</v>
      </c>
      <c r="Z1784" t="s">
        <v>43</v>
      </c>
    </row>
    <row r="1785" spans="1:26" x14ac:dyDescent="0.25">
      <c r="A1785">
        <v>1784</v>
      </c>
      <c r="B1785" t="s">
        <v>30</v>
      </c>
      <c r="C1785" t="s">
        <v>8756</v>
      </c>
      <c r="D1785" t="s">
        <v>8757</v>
      </c>
      <c r="E1785" t="s">
        <v>56</v>
      </c>
      <c r="F1785" t="s">
        <v>8758</v>
      </c>
      <c r="G1785" t="s">
        <v>57</v>
      </c>
      <c r="I1785" t="s">
        <v>8759</v>
      </c>
      <c r="K1785" t="s">
        <v>8760</v>
      </c>
      <c r="N1785" t="s">
        <v>8761</v>
      </c>
      <c r="Z1785" t="s">
        <v>43</v>
      </c>
    </row>
    <row r="1786" spans="1:26" x14ac:dyDescent="0.25">
      <c r="A1786">
        <v>1785</v>
      </c>
      <c r="B1786" t="s">
        <v>30</v>
      </c>
      <c r="C1786" t="s">
        <v>8762</v>
      </c>
      <c r="D1786" t="s">
        <v>4202</v>
      </c>
      <c r="E1786" t="s">
        <v>1155</v>
      </c>
      <c r="F1786" t="s">
        <v>4203</v>
      </c>
      <c r="G1786" t="s">
        <v>1157</v>
      </c>
      <c r="I1786" t="s">
        <v>8763</v>
      </c>
      <c r="J1786">
        <f>57-60-1-807-2429</f>
        <v>-3240</v>
      </c>
      <c r="K1786" t="s">
        <v>8764</v>
      </c>
      <c r="N1786" t="s">
        <v>8765</v>
      </c>
      <c r="Z1786" t="s">
        <v>43</v>
      </c>
    </row>
    <row r="1787" spans="1:26" x14ac:dyDescent="0.25">
      <c r="A1787">
        <v>1786</v>
      </c>
      <c r="B1787" t="s">
        <v>30</v>
      </c>
      <c r="C1787" t="s">
        <v>8766</v>
      </c>
      <c r="D1787" t="s">
        <v>8767</v>
      </c>
      <c r="E1787" t="s">
        <v>72</v>
      </c>
      <c r="F1787" t="s">
        <v>8768</v>
      </c>
      <c r="G1787" t="s">
        <v>73</v>
      </c>
      <c r="I1787" t="s">
        <v>8769</v>
      </c>
      <c r="J1787">
        <f>57-319-540-773</f>
        <v>-1575</v>
      </c>
      <c r="K1787" t="s">
        <v>8770</v>
      </c>
      <c r="N1787" t="s">
        <v>8771</v>
      </c>
      <c r="Z1787" t="s">
        <v>43</v>
      </c>
    </row>
    <row r="1788" spans="1:26" x14ac:dyDescent="0.25">
      <c r="A1788">
        <v>1787</v>
      </c>
      <c r="B1788" t="s">
        <v>30</v>
      </c>
      <c r="C1788" t="s">
        <v>8772</v>
      </c>
      <c r="D1788" t="s">
        <v>46</v>
      </c>
      <c r="E1788" t="s">
        <v>471</v>
      </c>
      <c r="F1788" t="s">
        <v>820</v>
      </c>
      <c r="G1788" t="s">
        <v>47</v>
      </c>
      <c r="I1788" t="s">
        <v>8773</v>
      </c>
      <c r="K1788" t="s">
        <v>8774</v>
      </c>
      <c r="N1788" t="s">
        <v>8775</v>
      </c>
      <c r="Z1788" t="s">
        <v>43</v>
      </c>
    </row>
    <row r="1789" spans="1:26" x14ac:dyDescent="0.25">
      <c r="A1789">
        <v>1788</v>
      </c>
      <c r="B1789" t="s">
        <v>30</v>
      </c>
      <c r="C1789" t="s">
        <v>8776</v>
      </c>
      <c r="D1789" t="s">
        <v>867</v>
      </c>
      <c r="E1789" t="s">
        <v>471</v>
      </c>
      <c r="F1789" t="s">
        <v>1024</v>
      </c>
      <c r="G1789" t="s">
        <v>47</v>
      </c>
      <c r="I1789" t="s">
        <v>8777</v>
      </c>
      <c r="K1789" t="s">
        <v>8778</v>
      </c>
      <c r="N1789" t="s">
        <v>8779</v>
      </c>
      <c r="Z1789" t="s">
        <v>43</v>
      </c>
    </row>
    <row r="1790" spans="1:26" x14ac:dyDescent="0.25">
      <c r="A1790">
        <v>1789</v>
      </c>
      <c r="B1790" t="s">
        <v>30</v>
      </c>
      <c r="C1790" t="s">
        <v>8780</v>
      </c>
      <c r="D1790" t="s">
        <v>8781</v>
      </c>
      <c r="E1790" t="s">
        <v>1774</v>
      </c>
      <c r="F1790" t="s">
        <v>8782</v>
      </c>
      <c r="G1790" t="s">
        <v>1776</v>
      </c>
      <c r="I1790" t="s">
        <v>8783</v>
      </c>
      <c r="K1790" t="s">
        <v>8784</v>
      </c>
      <c r="N1790" t="s">
        <v>8785</v>
      </c>
      <c r="Z1790" t="s">
        <v>43</v>
      </c>
    </row>
    <row r="1791" spans="1:26" x14ac:dyDescent="0.25">
      <c r="A1791">
        <v>1790</v>
      </c>
      <c r="B1791" t="s">
        <v>30</v>
      </c>
      <c r="C1791" t="s">
        <v>8786</v>
      </c>
      <c r="D1791" t="s">
        <v>2699</v>
      </c>
      <c r="E1791" t="s">
        <v>385</v>
      </c>
      <c r="F1791" t="s">
        <v>8787</v>
      </c>
      <c r="G1791" t="s">
        <v>387</v>
      </c>
      <c r="I1791" t="s">
        <v>8788</v>
      </c>
      <c r="J1791">
        <f>57-60-1-613-8615</f>
        <v>-9232</v>
      </c>
      <c r="K1791" t="s">
        <v>8789</v>
      </c>
      <c r="N1791" t="s">
        <v>8790</v>
      </c>
      <c r="Z1791" t="s">
        <v>43</v>
      </c>
    </row>
    <row r="1792" spans="1:26" x14ac:dyDescent="0.25">
      <c r="A1792">
        <v>1791</v>
      </c>
      <c r="B1792" t="s">
        <v>30</v>
      </c>
      <c r="C1792" t="s">
        <v>8791</v>
      </c>
      <c r="D1792" t="s">
        <v>1926</v>
      </c>
      <c r="E1792" t="s">
        <v>1155</v>
      </c>
      <c r="F1792" t="s">
        <v>1927</v>
      </c>
      <c r="G1792" t="s">
        <v>1157</v>
      </c>
      <c r="I1792" t="s">
        <v>8792</v>
      </c>
      <c r="J1792">
        <f>57-301-212-7030</f>
        <v>-7486</v>
      </c>
      <c r="K1792" t="s">
        <v>8793</v>
      </c>
      <c r="N1792" t="s">
        <v>8794</v>
      </c>
      <c r="Z1792" t="s">
        <v>43</v>
      </c>
    </row>
    <row r="1793" spans="1:26" x14ac:dyDescent="0.25">
      <c r="A1793">
        <v>1792</v>
      </c>
      <c r="B1793" t="s">
        <v>30</v>
      </c>
      <c r="C1793" t="s">
        <v>8795</v>
      </c>
      <c r="D1793" t="s">
        <v>46</v>
      </c>
      <c r="E1793" t="s">
        <v>471</v>
      </c>
      <c r="F1793" t="s">
        <v>820</v>
      </c>
      <c r="G1793" t="s">
        <v>47</v>
      </c>
      <c r="I1793" t="s">
        <v>8796</v>
      </c>
      <c r="K1793" t="s">
        <v>8797</v>
      </c>
      <c r="N1793" t="s">
        <v>8798</v>
      </c>
      <c r="Z1793" t="s">
        <v>43</v>
      </c>
    </row>
    <row r="1794" spans="1:26" x14ac:dyDescent="0.25">
      <c r="A1794">
        <v>1793</v>
      </c>
      <c r="B1794" t="s">
        <v>30</v>
      </c>
      <c r="C1794" t="s">
        <v>8799</v>
      </c>
      <c r="D1794" t="s">
        <v>8800</v>
      </c>
      <c r="E1794" t="s">
        <v>471</v>
      </c>
      <c r="F1794" t="s">
        <v>8801</v>
      </c>
      <c r="G1794" t="s">
        <v>47</v>
      </c>
      <c r="I1794" t="s">
        <v>8802</v>
      </c>
      <c r="K1794" t="s">
        <v>8803</v>
      </c>
      <c r="N1794" t="s">
        <v>8804</v>
      </c>
      <c r="Z1794" t="s">
        <v>43</v>
      </c>
    </row>
    <row r="1795" spans="1:26" x14ac:dyDescent="0.25">
      <c r="A1795">
        <v>1794</v>
      </c>
      <c r="B1795" t="s">
        <v>30</v>
      </c>
      <c r="C1795" t="s">
        <v>8805</v>
      </c>
      <c r="D1795" t="s">
        <v>5258</v>
      </c>
      <c r="E1795" t="s">
        <v>2210</v>
      </c>
      <c r="F1795" t="s">
        <v>5259</v>
      </c>
      <c r="G1795" t="s">
        <v>2212</v>
      </c>
      <c r="I1795" t="s">
        <v>8806</v>
      </c>
      <c r="K1795" t="s">
        <v>8807</v>
      </c>
      <c r="N1795" t="s">
        <v>8808</v>
      </c>
      <c r="Z1795" t="s">
        <v>43</v>
      </c>
    </row>
    <row r="1796" spans="1:26" x14ac:dyDescent="0.25">
      <c r="A1796">
        <v>1795</v>
      </c>
      <c r="B1796" t="s">
        <v>30</v>
      </c>
      <c r="C1796" t="s">
        <v>8809</v>
      </c>
      <c r="D1796" t="s">
        <v>8810</v>
      </c>
      <c r="E1796" t="s">
        <v>1774</v>
      </c>
      <c r="F1796" t="s">
        <v>8811</v>
      </c>
      <c r="G1796" t="s">
        <v>1776</v>
      </c>
      <c r="I1796" t="s">
        <v>8812</v>
      </c>
      <c r="K1796" t="s">
        <v>8813</v>
      </c>
      <c r="N1796" t="s">
        <v>8814</v>
      </c>
      <c r="Z1796" t="s">
        <v>43</v>
      </c>
    </row>
    <row r="1797" spans="1:26" x14ac:dyDescent="0.25">
      <c r="A1797">
        <v>1796</v>
      </c>
      <c r="B1797" t="s">
        <v>30</v>
      </c>
      <c r="C1797" t="s">
        <v>8815</v>
      </c>
      <c r="D1797" t="s">
        <v>1805</v>
      </c>
      <c r="E1797" t="s">
        <v>56</v>
      </c>
      <c r="F1797" t="s">
        <v>4959</v>
      </c>
      <c r="G1797" t="s">
        <v>57</v>
      </c>
      <c r="I1797" t="s">
        <v>8816</v>
      </c>
      <c r="J1797">
        <f>57-314-202-5043</f>
        <v>-5502</v>
      </c>
      <c r="K1797" t="s">
        <v>8817</v>
      </c>
      <c r="N1797" t="s">
        <v>7739</v>
      </c>
      <c r="Z1797" t="s">
        <v>43</v>
      </c>
    </row>
    <row r="1798" spans="1:26" x14ac:dyDescent="0.25">
      <c r="A1798">
        <v>1797</v>
      </c>
      <c r="B1798" t="s">
        <v>30</v>
      </c>
      <c r="C1798" t="s">
        <v>8818</v>
      </c>
      <c r="D1798" t="s">
        <v>8819</v>
      </c>
      <c r="E1798" t="s">
        <v>471</v>
      </c>
      <c r="F1798" t="s">
        <v>8820</v>
      </c>
      <c r="G1798" t="s">
        <v>47</v>
      </c>
      <c r="I1798" t="s">
        <v>8821</v>
      </c>
      <c r="K1798" t="s">
        <v>8822</v>
      </c>
      <c r="N1798" t="s">
        <v>8823</v>
      </c>
      <c r="Z1798" t="s">
        <v>43</v>
      </c>
    </row>
    <row r="1799" spans="1:26" x14ac:dyDescent="0.25">
      <c r="A1799">
        <v>1798</v>
      </c>
      <c r="B1799" t="s">
        <v>30</v>
      </c>
      <c r="C1799" t="s">
        <v>8824</v>
      </c>
      <c r="D1799" t="s">
        <v>8825</v>
      </c>
      <c r="E1799" t="s">
        <v>1269</v>
      </c>
      <c r="F1799" t="s">
        <v>8826</v>
      </c>
      <c r="G1799" t="s">
        <v>1271</v>
      </c>
      <c r="I1799" t="s">
        <v>8827</v>
      </c>
      <c r="J1799">
        <f>57-311-542-7777</f>
        <v>-8573</v>
      </c>
      <c r="K1799" t="s">
        <v>8828</v>
      </c>
      <c r="N1799" t="s">
        <v>8829</v>
      </c>
      <c r="Z1799" t="s">
        <v>43</v>
      </c>
    </row>
    <row r="1800" spans="1:26" x14ac:dyDescent="0.25">
      <c r="A1800">
        <v>1799</v>
      </c>
      <c r="B1800" t="s">
        <v>30</v>
      </c>
      <c r="C1800" t="s">
        <v>8830</v>
      </c>
      <c r="D1800" t="s">
        <v>56</v>
      </c>
      <c r="E1800" t="s">
        <v>56</v>
      </c>
      <c r="F1800" t="s">
        <v>57</v>
      </c>
      <c r="G1800" t="s">
        <v>57</v>
      </c>
      <c r="I1800" t="s">
        <v>8831</v>
      </c>
      <c r="K1800" t="s">
        <v>8832</v>
      </c>
      <c r="N1800" t="s">
        <v>8833</v>
      </c>
      <c r="Z1800" t="s">
        <v>43</v>
      </c>
    </row>
    <row r="1801" spans="1:26" x14ac:dyDescent="0.25">
      <c r="A1801">
        <v>1800</v>
      </c>
      <c r="B1801" t="s">
        <v>30</v>
      </c>
      <c r="C1801" t="s">
        <v>8834</v>
      </c>
      <c r="D1801" t="s">
        <v>8835</v>
      </c>
      <c r="E1801" t="s">
        <v>56</v>
      </c>
      <c r="F1801" t="s">
        <v>8836</v>
      </c>
      <c r="G1801" t="s">
        <v>57</v>
      </c>
      <c r="I1801" t="s">
        <v>8837</v>
      </c>
      <c r="K1801" t="s">
        <v>8838</v>
      </c>
      <c r="N1801" t="s">
        <v>8839</v>
      </c>
      <c r="Z1801" t="s">
        <v>43</v>
      </c>
    </row>
    <row r="1802" spans="1:26" x14ac:dyDescent="0.25">
      <c r="A1802">
        <v>1801</v>
      </c>
      <c r="B1802" t="s">
        <v>30</v>
      </c>
      <c r="C1802" t="s">
        <v>8840</v>
      </c>
      <c r="D1802" t="s">
        <v>8841</v>
      </c>
      <c r="E1802" t="s">
        <v>471</v>
      </c>
      <c r="F1802" t="s">
        <v>8842</v>
      </c>
      <c r="G1802" t="s">
        <v>47</v>
      </c>
      <c r="I1802" t="s">
        <v>8843</v>
      </c>
      <c r="J1802">
        <f>57-60-1-209-1151</f>
        <v>-1364</v>
      </c>
      <c r="K1802" t="s">
        <v>8844</v>
      </c>
      <c r="N1802" t="s">
        <v>8845</v>
      </c>
      <c r="Z1802" t="s">
        <v>43</v>
      </c>
    </row>
    <row r="1803" spans="1:26" x14ac:dyDescent="0.25">
      <c r="A1803">
        <v>1802</v>
      </c>
      <c r="B1803" t="s">
        <v>30</v>
      </c>
      <c r="C1803" t="s">
        <v>8846</v>
      </c>
      <c r="D1803" t="s">
        <v>8847</v>
      </c>
      <c r="E1803" t="s">
        <v>1338</v>
      </c>
      <c r="F1803" t="s">
        <v>8848</v>
      </c>
      <c r="G1803" t="s">
        <v>1340</v>
      </c>
      <c r="I1803" t="s">
        <v>8849</v>
      </c>
      <c r="J1803">
        <f>57-310-266-7354</f>
        <v>-7873</v>
      </c>
      <c r="K1803" t="s">
        <v>8850</v>
      </c>
      <c r="N1803" t="s">
        <v>8851</v>
      </c>
      <c r="Z1803" t="s">
        <v>43</v>
      </c>
    </row>
    <row r="1804" spans="1:26" x14ac:dyDescent="0.25">
      <c r="A1804">
        <v>1803</v>
      </c>
      <c r="B1804" t="s">
        <v>30</v>
      </c>
      <c r="C1804" t="s">
        <v>8852</v>
      </c>
      <c r="D1804" t="s">
        <v>46</v>
      </c>
      <c r="E1804" t="s">
        <v>471</v>
      </c>
      <c r="F1804" t="s">
        <v>820</v>
      </c>
      <c r="G1804" t="s">
        <v>47</v>
      </c>
      <c r="I1804" t="s">
        <v>8853</v>
      </c>
      <c r="K1804" t="s">
        <v>8854</v>
      </c>
      <c r="N1804" t="s">
        <v>8855</v>
      </c>
      <c r="Z1804" t="s">
        <v>43</v>
      </c>
    </row>
    <row r="1805" spans="1:26" x14ac:dyDescent="0.25">
      <c r="A1805">
        <v>1804</v>
      </c>
      <c r="B1805" t="s">
        <v>30</v>
      </c>
      <c r="C1805" t="s">
        <v>8856</v>
      </c>
      <c r="D1805" t="s">
        <v>8857</v>
      </c>
      <c r="E1805" t="s">
        <v>471</v>
      </c>
      <c r="F1805" t="s">
        <v>8858</v>
      </c>
      <c r="G1805" t="s">
        <v>47</v>
      </c>
      <c r="I1805" t="s">
        <v>8859</v>
      </c>
      <c r="J1805">
        <f>57-310-868-6683</f>
        <v>-7804</v>
      </c>
      <c r="K1805" t="s">
        <v>8860</v>
      </c>
      <c r="N1805" t="s">
        <v>6455</v>
      </c>
      <c r="Z1805" t="s">
        <v>43</v>
      </c>
    </row>
    <row r="1806" spans="1:26" x14ac:dyDescent="0.25">
      <c r="A1806">
        <v>1805</v>
      </c>
      <c r="B1806" t="s">
        <v>30</v>
      </c>
      <c r="C1806" t="s">
        <v>8861</v>
      </c>
      <c r="D1806" t="s">
        <v>8862</v>
      </c>
      <c r="E1806" t="s">
        <v>471</v>
      </c>
      <c r="F1806" t="s">
        <v>8863</v>
      </c>
      <c r="G1806" t="s">
        <v>966</v>
      </c>
      <c r="I1806" t="s">
        <v>8864</v>
      </c>
      <c r="J1806">
        <f>57-60-1-675-6756</f>
        <v>-7435</v>
      </c>
      <c r="K1806" t="s">
        <v>8865</v>
      </c>
      <c r="N1806" t="s">
        <v>8866</v>
      </c>
      <c r="Z1806" t="s">
        <v>43</v>
      </c>
    </row>
    <row r="1807" spans="1:26" x14ac:dyDescent="0.25">
      <c r="A1807">
        <v>1806</v>
      </c>
      <c r="B1807" t="s">
        <v>30</v>
      </c>
      <c r="C1807" t="s">
        <v>8867</v>
      </c>
      <c r="D1807" t="s">
        <v>5805</v>
      </c>
      <c r="E1807" t="s">
        <v>385</v>
      </c>
      <c r="F1807" t="s">
        <v>8868</v>
      </c>
      <c r="G1807" t="s">
        <v>387</v>
      </c>
      <c r="I1807" t="s">
        <v>8869</v>
      </c>
      <c r="J1807">
        <f>57-301-611-1361</f>
        <v>-2216</v>
      </c>
      <c r="K1807" t="s">
        <v>8870</v>
      </c>
      <c r="N1807" t="s">
        <v>8871</v>
      </c>
      <c r="Z1807" t="s">
        <v>43</v>
      </c>
    </row>
    <row r="1808" spans="1:26" x14ac:dyDescent="0.25">
      <c r="A1808">
        <v>1807</v>
      </c>
      <c r="B1808" t="s">
        <v>30</v>
      </c>
      <c r="C1808" t="s">
        <v>8872</v>
      </c>
      <c r="D1808" t="s">
        <v>909</v>
      </c>
      <c r="E1808" t="s">
        <v>471</v>
      </c>
      <c r="F1808" t="s">
        <v>1659</v>
      </c>
      <c r="G1808" t="s">
        <v>47</v>
      </c>
      <c r="I1808" t="s">
        <v>8873</v>
      </c>
      <c r="J1808">
        <f>57-311-846-8473</f>
        <v>-9573</v>
      </c>
      <c r="K1808" t="s">
        <v>8874</v>
      </c>
      <c r="N1808" t="s">
        <v>8749</v>
      </c>
      <c r="Z1808" t="s">
        <v>43</v>
      </c>
    </row>
    <row r="1809" spans="1:26" x14ac:dyDescent="0.25">
      <c r="A1809">
        <v>1808</v>
      </c>
      <c r="B1809" t="s">
        <v>30</v>
      </c>
      <c r="C1809" t="s">
        <v>8875</v>
      </c>
      <c r="D1809" t="s">
        <v>5093</v>
      </c>
      <c r="E1809" t="s">
        <v>72</v>
      </c>
      <c r="F1809" t="s">
        <v>5094</v>
      </c>
      <c r="G1809" t="s">
        <v>73</v>
      </c>
      <c r="I1809" t="s">
        <v>8876</v>
      </c>
      <c r="J1809">
        <f>57-318-568-622</f>
        <v>-1451</v>
      </c>
      <c r="K1809" t="s">
        <v>8877</v>
      </c>
      <c r="N1809" t="s">
        <v>8878</v>
      </c>
      <c r="Z1809" t="s">
        <v>43</v>
      </c>
    </row>
    <row r="1810" spans="1:26" x14ac:dyDescent="0.25">
      <c r="A1810">
        <v>1809</v>
      </c>
      <c r="B1810" t="s">
        <v>30</v>
      </c>
      <c r="C1810" t="s">
        <v>8879</v>
      </c>
      <c r="D1810" t="s">
        <v>4421</v>
      </c>
      <c r="E1810" t="s">
        <v>471</v>
      </c>
      <c r="F1810" t="s">
        <v>8880</v>
      </c>
      <c r="G1810" t="s">
        <v>47</v>
      </c>
      <c r="I1810" t="s">
        <v>8881</v>
      </c>
      <c r="K1810" t="s">
        <v>8882</v>
      </c>
      <c r="N1810" t="s">
        <v>8883</v>
      </c>
      <c r="Z1810" t="s">
        <v>43</v>
      </c>
    </row>
    <row r="1811" spans="1:26" x14ac:dyDescent="0.25">
      <c r="A1811">
        <v>1810</v>
      </c>
      <c r="B1811" t="s">
        <v>30</v>
      </c>
      <c r="C1811" t="s">
        <v>8884</v>
      </c>
      <c r="D1811" t="s">
        <v>8885</v>
      </c>
      <c r="E1811" t="s">
        <v>385</v>
      </c>
      <c r="F1811" t="s">
        <v>8886</v>
      </c>
      <c r="G1811" t="s">
        <v>387</v>
      </c>
      <c r="I1811" t="s">
        <v>8887</v>
      </c>
      <c r="J1811">
        <f>57-313-840-2658</f>
        <v>-3754</v>
      </c>
      <c r="K1811" t="s">
        <v>8888</v>
      </c>
      <c r="N1811" t="s">
        <v>8889</v>
      </c>
      <c r="Z1811" t="s">
        <v>43</v>
      </c>
    </row>
    <row r="1812" spans="1:26" x14ac:dyDescent="0.25">
      <c r="A1812">
        <v>1811</v>
      </c>
      <c r="B1812" t="s">
        <v>30</v>
      </c>
      <c r="C1812" t="s">
        <v>8890</v>
      </c>
      <c r="D1812" t="s">
        <v>772</v>
      </c>
      <c r="E1812" t="s">
        <v>471</v>
      </c>
      <c r="F1812" t="s">
        <v>773</v>
      </c>
      <c r="G1812" t="s">
        <v>47</v>
      </c>
      <c r="I1812" t="s">
        <v>8891</v>
      </c>
      <c r="K1812" t="s">
        <v>8892</v>
      </c>
      <c r="N1812" t="s">
        <v>8893</v>
      </c>
      <c r="Z1812" t="s">
        <v>43</v>
      </c>
    </row>
    <row r="1813" spans="1:26" x14ac:dyDescent="0.25">
      <c r="A1813">
        <v>1812</v>
      </c>
      <c r="B1813" t="s">
        <v>30</v>
      </c>
      <c r="C1813" t="s">
        <v>8894</v>
      </c>
      <c r="D1813" t="s">
        <v>772</v>
      </c>
      <c r="E1813" t="s">
        <v>471</v>
      </c>
      <c r="F1813" t="s">
        <v>773</v>
      </c>
      <c r="G1813" t="s">
        <v>47</v>
      </c>
      <c r="I1813" t="s">
        <v>8895</v>
      </c>
      <c r="K1813" t="s">
        <v>8896</v>
      </c>
      <c r="N1813" t="s">
        <v>8897</v>
      </c>
      <c r="Z1813" t="s">
        <v>43</v>
      </c>
    </row>
    <row r="1814" spans="1:26" x14ac:dyDescent="0.25">
      <c r="A1814">
        <v>1813</v>
      </c>
      <c r="B1814" t="s">
        <v>30</v>
      </c>
      <c r="C1814" t="s">
        <v>8898</v>
      </c>
      <c r="D1814" t="s">
        <v>46</v>
      </c>
      <c r="E1814" t="s">
        <v>471</v>
      </c>
      <c r="F1814" t="s">
        <v>820</v>
      </c>
      <c r="G1814" t="s">
        <v>47</v>
      </c>
      <c r="I1814" t="s">
        <v>8899</v>
      </c>
      <c r="K1814" t="s">
        <v>8900</v>
      </c>
      <c r="N1814" t="s">
        <v>8901</v>
      </c>
      <c r="Z1814" t="s">
        <v>43</v>
      </c>
    </row>
    <row r="1815" spans="1:26" x14ac:dyDescent="0.25">
      <c r="A1815">
        <v>1814</v>
      </c>
      <c r="B1815" t="s">
        <v>30</v>
      </c>
      <c r="C1815" t="s">
        <v>8902</v>
      </c>
      <c r="D1815" t="s">
        <v>72</v>
      </c>
      <c r="E1815" t="s">
        <v>72</v>
      </c>
      <c r="F1815" t="s">
        <v>73</v>
      </c>
      <c r="G1815" t="s">
        <v>73</v>
      </c>
      <c r="I1815" t="s">
        <v>8903</v>
      </c>
      <c r="J1815">
        <f>57-60-1-300-2217</f>
        <v>-2521</v>
      </c>
      <c r="K1815" t="s">
        <v>8904</v>
      </c>
      <c r="N1815" t="s">
        <v>6693</v>
      </c>
      <c r="Z1815" t="s">
        <v>43</v>
      </c>
    </row>
    <row r="1816" spans="1:26" x14ac:dyDescent="0.25">
      <c r="A1816">
        <v>1815</v>
      </c>
      <c r="B1816" t="s">
        <v>30</v>
      </c>
      <c r="C1816" t="s">
        <v>8905</v>
      </c>
      <c r="D1816" t="s">
        <v>46</v>
      </c>
      <c r="E1816" t="s">
        <v>471</v>
      </c>
      <c r="F1816" t="s">
        <v>820</v>
      </c>
      <c r="G1816" t="s">
        <v>47</v>
      </c>
      <c r="I1816" t="s">
        <v>8906</v>
      </c>
      <c r="J1816">
        <f>57-305-350-3289</f>
        <v>-3887</v>
      </c>
      <c r="K1816" t="s">
        <v>8907</v>
      </c>
      <c r="N1816" t="s">
        <v>8908</v>
      </c>
      <c r="Z1816" t="s">
        <v>43</v>
      </c>
    </row>
    <row r="1817" spans="1:26" x14ac:dyDescent="0.25">
      <c r="A1817">
        <v>1816</v>
      </c>
      <c r="B1817" t="s">
        <v>30</v>
      </c>
      <c r="C1817" t="s">
        <v>8909</v>
      </c>
      <c r="D1817" t="s">
        <v>8910</v>
      </c>
      <c r="E1817" t="s">
        <v>2706</v>
      </c>
      <c r="F1817" t="s">
        <v>8911</v>
      </c>
      <c r="G1817" t="s">
        <v>2708</v>
      </c>
      <c r="I1817" t="s">
        <v>8912</v>
      </c>
      <c r="K1817" t="s">
        <v>8913</v>
      </c>
      <c r="N1817" t="s">
        <v>8914</v>
      </c>
      <c r="Z1817" t="s">
        <v>43</v>
      </c>
    </row>
    <row r="1818" spans="1:26" x14ac:dyDescent="0.25">
      <c r="A1818">
        <v>1817</v>
      </c>
      <c r="B1818" t="s">
        <v>30</v>
      </c>
      <c r="C1818" t="s">
        <v>8915</v>
      </c>
      <c r="D1818" t="s">
        <v>3199</v>
      </c>
      <c r="E1818" t="s">
        <v>471</v>
      </c>
      <c r="F1818" t="s">
        <v>3200</v>
      </c>
      <c r="G1818" t="s">
        <v>47</v>
      </c>
      <c r="I1818" t="s">
        <v>8916</v>
      </c>
      <c r="J1818">
        <f>57-310-791-6868</f>
        <v>-7912</v>
      </c>
      <c r="K1818" t="s">
        <v>8917</v>
      </c>
      <c r="N1818" t="s">
        <v>8918</v>
      </c>
      <c r="Z1818" t="s">
        <v>43</v>
      </c>
    </row>
    <row r="1819" spans="1:26" x14ac:dyDescent="0.25">
      <c r="A1819">
        <v>1818</v>
      </c>
      <c r="B1819" t="s">
        <v>30</v>
      </c>
      <c r="C1819" t="s">
        <v>8919</v>
      </c>
      <c r="D1819" t="s">
        <v>46</v>
      </c>
      <c r="E1819" t="s">
        <v>471</v>
      </c>
      <c r="F1819" t="s">
        <v>820</v>
      </c>
      <c r="G1819" t="s">
        <v>47</v>
      </c>
      <c r="I1819" t="s">
        <v>8920</v>
      </c>
      <c r="K1819" t="s">
        <v>8921</v>
      </c>
      <c r="N1819" t="s">
        <v>8922</v>
      </c>
      <c r="Z1819" t="s">
        <v>43</v>
      </c>
    </row>
    <row r="1820" spans="1:26" x14ac:dyDescent="0.25">
      <c r="A1820">
        <v>1819</v>
      </c>
      <c r="B1820" t="s">
        <v>30</v>
      </c>
      <c r="C1820" t="s">
        <v>8923</v>
      </c>
      <c r="D1820" t="s">
        <v>899</v>
      </c>
      <c r="E1820" t="s">
        <v>56</v>
      </c>
      <c r="F1820" t="s">
        <v>1218</v>
      </c>
      <c r="G1820" t="s">
        <v>57</v>
      </c>
      <c r="I1820" t="s">
        <v>8924</v>
      </c>
      <c r="K1820" t="s">
        <v>8925</v>
      </c>
      <c r="N1820" t="s">
        <v>1076</v>
      </c>
      <c r="Z1820" t="s">
        <v>43</v>
      </c>
    </row>
    <row r="1821" spans="1:26" x14ac:dyDescent="0.25">
      <c r="A1821">
        <v>1820</v>
      </c>
      <c r="B1821" t="s">
        <v>30</v>
      </c>
      <c r="C1821" t="s">
        <v>8926</v>
      </c>
      <c r="D1821" t="s">
        <v>56</v>
      </c>
      <c r="E1821" t="s">
        <v>56</v>
      </c>
      <c r="F1821" t="s">
        <v>57</v>
      </c>
      <c r="G1821" t="s">
        <v>57</v>
      </c>
      <c r="I1821" t="s">
        <v>8927</v>
      </c>
      <c r="K1821" t="s">
        <v>8928</v>
      </c>
      <c r="O1821" t="s">
        <v>1072</v>
      </c>
      <c r="Z1821" t="s">
        <v>43</v>
      </c>
    </row>
    <row r="1822" spans="1:26" x14ac:dyDescent="0.25">
      <c r="A1822">
        <v>1821</v>
      </c>
      <c r="B1822" t="s">
        <v>30</v>
      </c>
      <c r="C1822" t="s">
        <v>8929</v>
      </c>
      <c r="D1822" t="s">
        <v>8930</v>
      </c>
      <c r="E1822" t="s">
        <v>5472</v>
      </c>
      <c r="F1822" t="s">
        <v>8931</v>
      </c>
      <c r="G1822" t="s">
        <v>8080</v>
      </c>
      <c r="I1822" t="s">
        <v>8932</v>
      </c>
      <c r="J1822">
        <f>57-314-810-5217</f>
        <v>-6284</v>
      </c>
      <c r="K1822" t="s">
        <v>8933</v>
      </c>
      <c r="N1822" t="s">
        <v>8934</v>
      </c>
      <c r="Z1822" t="s">
        <v>43</v>
      </c>
    </row>
    <row r="1823" spans="1:26" x14ac:dyDescent="0.25">
      <c r="A1823">
        <v>1822</v>
      </c>
      <c r="B1823" t="s">
        <v>30</v>
      </c>
      <c r="C1823" t="s">
        <v>8935</v>
      </c>
      <c r="D1823" t="s">
        <v>8936</v>
      </c>
      <c r="E1823" t="s">
        <v>2592</v>
      </c>
      <c r="F1823" t="s">
        <v>8937</v>
      </c>
      <c r="G1823" t="s">
        <v>2594</v>
      </c>
      <c r="I1823" t="s">
        <v>8938</v>
      </c>
      <c r="J1823">
        <f>57-60-1-216-6499</f>
        <v>-6719</v>
      </c>
      <c r="K1823" t="s">
        <v>8939</v>
      </c>
      <c r="N1823" t="s">
        <v>8940</v>
      </c>
      <c r="Z1823" t="s">
        <v>43</v>
      </c>
    </row>
    <row r="1824" spans="1:26" x14ac:dyDescent="0.25">
      <c r="A1824">
        <v>1823</v>
      </c>
      <c r="B1824" t="s">
        <v>30</v>
      </c>
      <c r="C1824" t="s">
        <v>8941</v>
      </c>
      <c r="D1824" t="s">
        <v>8942</v>
      </c>
      <c r="E1824" t="s">
        <v>1055</v>
      </c>
      <c r="F1824" t="s">
        <v>8943</v>
      </c>
      <c r="G1824" t="s">
        <v>1057</v>
      </c>
      <c r="I1824" t="s">
        <v>8944</v>
      </c>
      <c r="K1824" t="s">
        <v>8945</v>
      </c>
      <c r="N1824" t="s">
        <v>8946</v>
      </c>
      <c r="Z1824" t="s">
        <v>43</v>
      </c>
    </row>
    <row r="1825" spans="1:26" x14ac:dyDescent="0.25">
      <c r="A1825">
        <v>1824</v>
      </c>
      <c r="B1825" t="s">
        <v>30</v>
      </c>
      <c r="C1825" t="s">
        <v>8947</v>
      </c>
      <c r="D1825" t="s">
        <v>8948</v>
      </c>
      <c r="E1825" t="s">
        <v>1055</v>
      </c>
      <c r="F1825" t="s">
        <v>8949</v>
      </c>
      <c r="G1825" t="s">
        <v>1057</v>
      </c>
      <c r="I1825" t="s">
        <v>8950</v>
      </c>
      <c r="J1825">
        <f>57-320-492-4631</f>
        <v>-5386</v>
      </c>
      <c r="K1825" t="s">
        <v>8951</v>
      </c>
      <c r="N1825" t="s">
        <v>8952</v>
      </c>
      <c r="Z1825" t="s">
        <v>43</v>
      </c>
    </row>
    <row r="1826" spans="1:26" x14ac:dyDescent="0.25">
      <c r="A1826">
        <v>1825</v>
      </c>
      <c r="B1826" t="s">
        <v>30</v>
      </c>
      <c r="C1826" t="s">
        <v>8953</v>
      </c>
      <c r="D1826" t="s">
        <v>8954</v>
      </c>
      <c r="E1826" t="s">
        <v>1055</v>
      </c>
      <c r="F1826" t="s">
        <v>8955</v>
      </c>
      <c r="G1826" t="s">
        <v>1057</v>
      </c>
      <c r="I1826" t="s">
        <v>8956</v>
      </c>
      <c r="J1826">
        <f>57-60-1-678-4010</f>
        <v>-4692</v>
      </c>
      <c r="K1826" t="s">
        <v>8957</v>
      </c>
      <c r="N1826" t="s">
        <v>8958</v>
      </c>
      <c r="Z1826" t="s">
        <v>43</v>
      </c>
    </row>
    <row r="1827" spans="1:26" x14ac:dyDescent="0.25">
      <c r="A1827">
        <v>1826</v>
      </c>
      <c r="B1827" t="s">
        <v>30</v>
      </c>
      <c r="C1827" t="s">
        <v>8959</v>
      </c>
      <c r="D1827" t="s">
        <v>8960</v>
      </c>
      <c r="E1827" t="s">
        <v>1055</v>
      </c>
      <c r="F1827" t="s">
        <v>8961</v>
      </c>
      <c r="G1827" t="s">
        <v>1057</v>
      </c>
      <c r="I1827" t="s">
        <v>8962</v>
      </c>
      <c r="K1827" t="s">
        <v>8963</v>
      </c>
      <c r="N1827" t="s">
        <v>8964</v>
      </c>
      <c r="Z1827" t="s">
        <v>43</v>
      </c>
    </row>
    <row r="1828" spans="1:26" x14ac:dyDescent="0.25">
      <c r="A1828">
        <v>1827</v>
      </c>
      <c r="B1828" t="s">
        <v>30</v>
      </c>
      <c r="C1828" t="s">
        <v>8965</v>
      </c>
      <c r="D1828" t="s">
        <v>8948</v>
      </c>
      <c r="E1828" t="s">
        <v>1055</v>
      </c>
      <c r="F1828" t="s">
        <v>8949</v>
      </c>
      <c r="G1828" t="s">
        <v>1057</v>
      </c>
      <c r="I1828" t="s">
        <v>8966</v>
      </c>
      <c r="K1828" t="s">
        <v>8967</v>
      </c>
      <c r="N1828" t="s">
        <v>8968</v>
      </c>
      <c r="Z1828" t="s">
        <v>43</v>
      </c>
    </row>
    <row r="1829" spans="1:26" x14ac:dyDescent="0.25">
      <c r="A1829">
        <v>1828</v>
      </c>
      <c r="B1829" t="s">
        <v>30</v>
      </c>
      <c r="C1829" t="s">
        <v>8969</v>
      </c>
      <c r="D1829" t="s">
        <v>7832</v>
      </c>
      <c r="E1829" t="s">
        <v>1055</v>
      </c>
      <c r="F1829" t="s">
        <v>7833</v>
      </c>
      <c r="G1829" t="s">
        <v>1057</v>
      </c>
      <c r="I1829" t="s">
        <v>8970</v>
      </c>
      <c r="K1829" t="s">
        <v>8971</v>
      </c>
      <c r="N1829" t="s">
        <v>8972</v>
      </c>
      <c r="Z1829" t="s">
        <v>43</v>
      </c>
    </row>
    <row r="1830" spans="1:26" x14ac:dyDescent="0.25">
      <c r="A1830">
        <v>1829</v>
      </c>
      <c r="B1830" t="s">
        <v>30</v>
      </c>
      <c r="C1830" t="s">
        <v>8973</v>
      </c>
      <c r="D1830" t="s">
        <v>7832</v>
      </c>
      <c r="E1830" t="s">
        <v>1055</v>
      </c>
      <c r="F1830" t="s">
        <v>7833</v>
      </c>
      <c r="G1830" t="s">
        <v>1057</v>
      </c>
      <c r="I1830" t="s">
        <v>8974</v>
      </c>
      <c r="J1830">
        <f>57-60-1-217-480</f>
        <v>-701</v>
      </c>
      <c r="K1830" t="s">
        <v>8971</v>
      </c>
      <c r="N1830" t="s">
        <v>8972</v>
      </c>
      <c r="Z1830" t="s">
        <v>43</v>
      </c>
    </row>
    <row r="1831" spans="1:26" x14ac:dyDescent="0.25">
      <c r="A1831">
        <v>1830</v>
      </c>
      <c r="B1831" t="s">
        <v>30</v>
      </c>
      <c r="C1831" t="s">
        <v>8975</v>
      </c>
      <c r="D1831" t="s">
        <v>8948</v>
      </c>
      <c r="E1831" t="s">
        <v>1055</v>
      </c>
      <c r="F1831" t="s">
        <v>8949</v>
      </c>
      <c r="G1831" t="s">
        <v>1057</v>
      </c>
      <c r="I1831" t="s">
        <v>8976</v>
      </c>
      <c r="J1831">
        <f>57-300-225-1990</f>
        <v>-2458</v>
      </c>
      <c r="K1831" t="s">
        <v>8977</v>
      </c>
      <c r="N1831" t="s">
        <v>8978</v>
      </c>
      <c r="Z1831" t="s">
        <v>43</v>
      </c>
    </row>
    <row r="1832" spans="1:26" x14ac:dyDescent="0.25">
      <c r="A1832">
        <v>1831</v>
      </c>
      <c r="B1832" t="s">
        <v>30</v>
      </c>
      <c r="C1832" t="s">
        <v>8979</v>
      </c>
      <c r="D1832" t="s">
        <v>3053</v>
      </c>
      <c r="E1832" t="s">
        <v>1055</v>
      </c>
      <c r="F1832" t="s">
        <v>3054</v>
      </c>
      <c r="G1832" t="s">
        <v>1057</v>
      </c>
      <c r="I1832" t="s">
        <v>8980</v>
      </c>
      <c r="J1832">
        <f>57-312-780-9688</f>
        <v>-10723</v>
      </c>
      <c r="K1832" t="s">
        <v>8981</v>
      </c>
      <c r="N1832" t="s">
        <v>8982</v>
      </c>
      <c r="Z1832" t="s">
        <v>43</v>
      </c>
    </row>
    <row r="1833" spans="1:26" x14ac:dyDescent="0.25">
      <c r="A1833">
        <v>1832</v>
      </c>
      <c r="B1833" t="s">
        <v>30</v>
      </c>
      <c r="C1833" t="s">
        <v>8983</v>
      </c>
      <c r="D1833" t="s">
        <v>8984</v>
      </c>
      <c r="E1833" t="s">
        <v>1055</v>
      </c>
      <c r="F1833" t="s">
        <v>8985</v>
      </c>
      <c r="G1833" t="s">
        <v>1057</v>
      </c>
      <c r="I1833" t="s">
        <v>8986</v>
      </c>
      <c r="K1833" t="s">
        <v>8987</v>
      </c>
      <c r="N1833" t="s">
        <v>8988</v>
      </c>
      <c r="Z1833" t="s">
        <v>43</v>
      </c>
    </row>
    <row r="1834" spans="1:26" x14ac:dyDescent="0.25">
      <c r="A1834">
        <v>1833</v>
      </c>
      <c r="B1834" t="s">
        <v>30</v>
      </c>
      <c r="C1834" t="s">
        <v>8989</v>
      </c>
      <c r="D1834" t="s">
        <v>4698</v>
      </c>
      <c r="E1834" t="s">
        <v>385</v>
      </c>
      <c r="F1834" t="s">
        <v>4699</v>
      </c>
      <c r="G1834" t="s">
        <v>387</v>
      </c>
      <c r="I1834" t="s">
        <v>8990</v>
      </c>
      <c r="J1834">
        <f>57-320-838-4370</f>
        <v>-5471</v>
      </c>
      <c r="K1834" t="s">
        <v>8991</v>
      </c>
      <c r="N1834" t="s">
        <v>8992</v>
      </c>
      <c r="Z1834" t="s">
        <v>43</v>
      </c>
    </row>
    <row r="1835" spans="1:26" x14ac:dyDescent="0.25">
      <c r="A1835">
        <v>1834</v>
      </c>
      <c r="B1835" t="s">
        <v>30</v>
      </c>
      <c r="C1835" t="s">
        <v>8993</v>
      </c>
      <c r="D1835" t="s">
        <v>8994</v>
      </c>
      <c r="E1835" t="s">
        <v>755</v>
      </c>
      <c r="F1835" t="s">
        <v>8995</v>
      </c>
      <c r="G1835" t="s">
        <v>2199</v>
      </c>
      <c r="I1835" t="s">
        <v>8996</v>
      </c>
      <c r="J1835">
        <f>57-316-648-7587</f>
        <v>-8494</v>
      </c>
      <c r="K1835" t="s">
        <v>2148</v>
      </c>
      <c r="N1835" t="s">
        <v>8997</v>
      </c>
      <c r="Z1835" t="s">
        <v>43</v>
      </c>
    </row>
    <row r="1836" spans="1:26" x14ac:dyDescent="0.25">
      <c r="A1836">
        <v>1835</v>
      </c>
      <c r="B1836" t="s">
        <v>30</v>
      </c>
      <c r="C1836" t="s">
        <v>8998</v>
      </c>
      <c r="D1836" t="s">
        <v>8999</v>
      </c>
      <c r="E1836" t="s">
        <v>755</v>
      </c>
      <c r="F1836" t="s">
        <v>9000</v>
      </c>
      <c r="G1836" t="s">
        <v>2199</v>
      </c>
      <c r="I1836" t="s">
        <v>9001</v>
      </c>
      <c r="J1836">
        <f>57-318-772-6589</f>
        <v>-7622</v>
      </c>
      <c r="K1836" t="s">
        <v>9002</v>
      </c>
      <c r="N1836" t="s">
        <v>9003</v>
      </c>
      <c r="Z1836" t="s">
        <v>43</v>
      </c>
    </row>
    <row r="1837" spans="1:26" x14ac:dyDescent="0.25">
      <c r="A1837">
        <v>1836</v>
      </c>
      <c r="B1837" t="s">
        <v>30</v>
      </c>
      <c r="C1837" t="s">
        <v>9004</v>
      </c>
      <c r="D1837" t="s">
        <v>9005</v>
      </c>
      <c r="E1837" t="s">
        <v>755</v>
      </c>
      <c r="F1837" t="s">
        <v>9006</v>
      </c>
      <c r="G1837" t="s">
        <v>2199</v>
      </c>
      <c r="I1837" t="s">
        <v>9007</v>
      </c>
      <c r="J1837">
        <f>57-310-330-4182</f>
        <v>-4765</v>
      </c>
      <c r="K1837" t="s">
        <v>9008</v>
      </c>
      <c r="N1837" t="s">
        <v>9009</v>
      </c>
      <c r="Z1837" t="s">
        <v>43</v>
      </c>
    </row>
    <row r="1838" spans="1:26" x14ac:dyDescent="0.25">
      <c r="A1838">
        <v>1837</v>
      </c>
      <c r="B1838" t="s">
        <v>30</v>
      </c>
      <c r="C1838" t="s">
        <v>9010</v>
      </c>
      <c r="D1838" t="s">
        <v>9011</v>
      </c>
      <c r="E1838" t="s">
        <v>5472</v>
      </c>
      <c r="F1838" t="s">
        <v>9012</v>
      </c>
      <c r="G1838" t="s">
        <v>8080</v>
      </c>
      <c r="I1838" t="s">
        <v>9013</v>
      </c>
      <c r="K1838" t="s">
        <v>9014</v>
      </c>
      <c r="N1838" t="s">
        <v>9015</v>
      </c>
      <c r="Z1838" t="s">
        <v>43</v>
      </c>
    </row>
    <row r="1839" spans="1:26" x14ac:dyDescent="0.25">
      <c r="A1839">
        <v>1838</v>
      </c>
      <c r="B1839" t="s">
        <v>30</v>
      </c>
      <c r="C1839" t="s">
        <v>9016</v>
      </c>
      <c r="D1839" t="s">
        <v>909</v>
      </c>
      <c r="E1839" t="s">
        <v>1658</v>
      </c>
      <c r="F1839" t="s">
        <v>1659</v>
      </c>
      <c r="G1839" t="s">
        <v>1660</v>
      </c>
      <c r="I1839" t="s">
        <v>9017</v>
      </c>
      <c r="J1839">
        <f>57-319-365-7555</f>
        <v>-8182</v>
      </c>
      <c r="K1839" t="s">
        <v>9018</v>
      </c>
      <c r="N1839" t="s">
        <v>9019</v>
      </c>
      <c r="Z1839" t="s">
        <v>43</v>
      </c>
    </row>
    <row r="1840" spans="1:26" x14ac:dyDescent="0.25">
      <c r="A1840">
        <v>1839</v>
      </c>
      <c r="B1840" t="s">
        <v>30</v>
      </c>
      <c r="C1840" t="s">
        <v>9020</v>
      </c>
      <c r="D1840" t="s">
        <v>5258</v>
      </c>
      <c r="E1840" t="s">
        <v>2210</v>
      </c>
      <c r="F1840" t="s">
        <v>5259</v>
      </c>
      <c r="G1840" t="s">
        <v>2212</v>
      </c>
      <c r="I1840" t="s">
        <v>9021</v>
      </c>
      <c r="J1840">
        <f>57-60-1-345-650</f>
        <v>-999</v>
      </c>
      <c r="K1840" t="s">
        <v>9022</v>
      </c>
      <c r="N1840" t="s">
        <v>9023</v>
      </c>
      <c r="Z1840" t="s">
        <v>43</v>
      </c>
    </row>
    <row r="1841" spans="1:26" x14ac:dyDescent="0.25">
      <c r="A1841">
        <v>1840</v>
      </c>
      <c r="B1841" t="s">
        <v>30</v>
      </c>
      <c r="C1841" t="s">
        <v>9024</v>
      </c>
      <c r="D1841" t="s">
        <v>1896</v>
      </c>
      <c r="E1841" t="s">
        <v>72</v>
      </c>
      <c r="F1841" t="s">
        <v>6518</v>
      </c>
      <c r="G1841" t="s">
        <v>73</v>
      </c>
      <c r="I1841" t="s">
        <v>9025</v>
      </c>
      <c r="J1841">
        <f>57-312-454-4024</f>
        <v>-4733</v>
      </c>
      <c r="K1841" t="s">
        <v>9026</v>
      </c>
      <c r="N1841" t="s">
        <v>9027</v>
      </c>
      <c r="Z1841" t="s">
        <v>43</v>
      </c>
    </row>
    <row r="1842" spans="1:26" x14ac:dyDescent="0.25">
      <c r="A1842">
        <v>1841</v>
      </c>
      <c r="B1842" t="s">
        <v>30</v>
      </c>
      <c r="C1842" t="s">
        <v>9028</v>
      </c>
      <c r="D1842" t="s">
        <v>9029</v>
      </c>
      <c r="E1842" t="s">
        <v>72</v>
      </c>
      <c r="F1842" t="s">
        <v>9030</v>
      </c>
      <c r="G1842" t="s">
        <v>73</v>
      </c>
      <c r="I1842" t="s">
        <v>9031</v>
      </c>
      <c r="J1842">
        <f>57-317-560-5701</f>
        <v>-6521</v>
      </c>
      <c r="K1842" t="s">
        <v>9032</v>
      </c>
      <c r="N1842" t="s">
        <v>9033</v>
      </c>
      <c r="Z1842" t="s">
        <v>43</v>
      </c>
    </row>
    <row r="1843" spans="1:26" x14ac:dyDescent="0.25">
      <c r="A1843">
        <v>1842</v>
      </c>
      <c r="B1843" t="s">
        <v>30</v>
      </c>
      <c r="C1843" t="s">
        <v>9034</v>
      </c>
      <c r="D1843" t="s">
        <v>2058</v>
      </c>
      <c r="E1843" t="s">
        <v>56</v>
      </c>
      <c r="F1843" t="s">
        <v>2059</v>
      </c>
      <c r="G1843" t="s">
        <v>57</v>
      </c>
      <c r="I1843" t="s">
        <v>9035</v>
      </c>
      <c r="J1843">
        <f>57-300-575-8923</f>
        <v>-9741</v>
      </c>
      <c r="K1843" t="s">
        <v>9036</v>
      </c>
      <c r="N1843" t="s">
        <v>9037</v>
      </c>
      <c r="Z1843" t="s">
        <v>43</v>
      </c>
    </row>
    <row r="1844" spans="1:26" x14ac:dyDescent="0.25">
      <c r="A1844">
        <v>1843</v>
      </c>
      <c r="B1844" t="s">
        <v>30</v>
      </c>
      <c r="C1844" t="s">
        <v>9038</v>
      </c>
      <c r="D1844" t="s">
        <v>72</v>
      </c>
      <c r="E1844" t="s">
        <v>72</v>
      </c>
      <c r="F1844" t="s">
        <v>73</v>
      </c>
      <c r="G1844" t="s">
        <v>73</v>
      </c>
      <c r="I1844" t="s">
        <v>9039</v>
      </c>
      <c r="J1844">
        <f>57-60-1-742-7230</f>
        <v>-7976</v>
      </c>
      <c r="K1844" t="s">
        <v>9040</v>
      </c>
      <c r="N1844" t="s">
        <v>9041</v>
      </c>
      <c r="Z1844" t="s">
        <v>43</v>
      </c>
    </row>
    <row r="1845" spans="1:26" x14ac:dyDescent="0.25">
      <c r="A1845">
        <v>1844</v>
      </c>
      <c r="B1845" t="s">
        <v>30</v>
      </c>
      <c r="C1845" t="s">
        <v>9042</v>
      </c>
      <c r="D1845" t="s">
        <v>3465</v>
      </c>
      <c r="E1845" t="s">
        <v>1269</v>
      </c>
      <c r="F1845" t="s">
        <v>3466</v>
      </c>
      <c r="G1845" t="s">
        <v>1271</v>
      </c>
      <c r="I1845" t="s">
        <v>9043</v>
      </c>
      <c r="K1845" t="s">
        <v>9044</v>
      </c>
      <c r="N1845" t="s">
        <v>9045</v>
      </c>
      <c r="Z1845" t="s">
        <v>43</v>
      </c>
    </row>
    <row r="1846" spans="1:26" x14ac:dyDescent="0.25">
      <c r="A1846">
        <v>1845</v>
      </c>
      <c r="B1846" t="s">
        <v>30</v>
      </c>
      <c r="C1846" t="s">
        <v>9046</v>
      </c>
      <c r="D1846" t="s">
        <v>4798</v>
      </c>
      <c r="E1846" t="s">
        <v>755</v>
      </c>
      <c r="F1846" t="s">
        <v>9047</v>
      </c>
      <c r="G1846" t="s">
        <v>757</v>
      </c>
      <c r="I1846" t="s">
        <v>9048</v>
      </c>
      <c r="J1846">
        <f>57-312-360-3125</f>
        <v>-3740</v>
      </c>
      <c r="K1846" t="s">
        <v>9049</v>
      </c>
      <c r="N1846" t="s">
        <v>9050</v>
      </c>
      <c r="Z1846" t="s">
        <v>43</v>
      </c>
    </row>
    <row r="1847" spans="1:26" x14ac:dyDescent="0.25">
      <c r="A1847">
        <v>1846</v>
      </c>
      <c r="B1847" t="s">
        <v>30</v>
      </c>
      <c r="C1847" t="s">
        <v>9051</v>
      </c>
      <c r="D1847" t="s">
        <v>2336</v>
      </c>
      <c r="E1847" t="s">
        <v>56</v>
      </c>
      <c r="F1847" t="s">
        <v>2337</v>
      </c>
      <c r="G1847" t="s">
        <v>57</v>
      </c>
      <c r="I1847" t="s">
        <v>9052</v>
      </c>
      <c r="K1847" t="s">
        <v>9053</v>
      </c>
      <c r="N1847" t="s">
        <v>9054</v>
      </c>
      <c r="Z1847" t="s">
        <v>43</v>
      </c>
    </row>
    <row r="1848" spans="1:26" x14ac:dyDescent="0.25">
      <c r="A1848">
        <v>1847</v>
      </c>
      <c r="B1848" t="s">
        <v>30</v>
      </c>
      <c r="C1848" t="s">
        <v>9055</v>
      </c>
      <c r="D1848" t="s">
        <v>46</v>
      </c>
      <c r="E1848" t="s">
        <v>471</v>
      </c>
      <c r="F1848" t="s">
        <v>820</v>
      </c>
      <c r="G1848" t="s">
        <v>47</v>
      </c>
      <c r="I1848" t="s">
        <v>9056</v>
      </c>
      <c r="K1848" t="s">
        <v>9057</v>
      </c>
      <c r="N1848" t="s">
        <v>9058</v>
      </c>
      <c r="Z1848" t="s">
        <v>43</v>
      </c>
    </row>
    <row r="1849" spans="1:26" x14ac:dyDescent="0.25">
      <c r="A1849">
        <v>1848</v>
      </c>
      <c r="B1849" t="s">
        <v>30</v>
      </c>
      <c r="C1849" t="s">
        <v>9059</v>
      </c>
      <c r="D1849" t="s">
        <v>1606</v>
      </c>
      <c r="E1849" t="s">
        <v>471</v>
      </c>
      <c r="F1849" t="s">
        <v>1607</v>
      </c>
      <c r="G1849" t="s">
        <v>47</v>
      </c>
      <c r="I1849" t="s">
        <v>9060</v>
      </c>
      <c r="K1849" t="s">
        <v>9061</v>
      </c>
      <c r="N1849" t="s">
        <v>9062</v>
      </c>
      <c r="Z1849" t="s">
        <v>43</v>
      </c>
    </row>
    <row r="1850" spans="1:26" x14ac:dyDescent="0.25">
      <c r="A1850">
        <v>1849</v>
      </c>
      <c r="B1850" t="s">
        <v>30</v>
      </c>
      <c r="C1850" t="s">
        <v>9063</v>
      </c>
      <c r="D1850" t="s">
        <v>46</v>
      </c>
      <c r="E1850" t="s">
        <v>471</v>
      </c>
      <c r="F1850" t="s">
        <v>820</v>
      </c>
      <c r="G1850" t="s">
        <v>47</v>
      </c>
      <c r="I1850" t="s">
        <v>9064</v>
      </c>
      <c r="K1850" t="s">
        <v>9065</v>
      </c>
      <c r="N1850" t="s">
        <v>9066</v>
      </c>
      <c r="Z1850" t="s">
        <v>43</v>
      </c>
    </row>
    <row r="1851" spans="1:26" x14ac:dyDescent="0.25">
      <c r="A1851">
        <v>1850</v>
      </c>
      <c r="B1851" t="s">
        <v>30</v>
      </c>
      <c r="C1851" t="s">
        <v>9067</v>
      </c>
      <c r="D1851" t="s">
        <v>64</v>
      </c>
      <c r="E1851" t="s">
        <v>64</v>
      </c>
      <c r="F1851" t="s">
        <v>5227</v>
      </c>
      <c r="G1851" t="s">
        <v>65</v>
      </c>
      <c r="I1851" t="s">
        <v>9068</v>
      </c>
      <c r="J1851">
        <f>57-313-557-310</f>
        <v>-1123</v>
      </c>
      <c r="K1851" t="s">
        <v>9069</v>
      </c>
      <c r="N1851" t="s">
        <v>9070</v>
      </c>
      <c r="Z1851" t="s">
        <v>43</v>
      </c>
    </row>
    <row r="1852" spans="1:26" x14ac:dyDescent="0.25">
      <c r="A1852">
        <v>1851</v>
      </c>
      <c r="B1852" t="s">
        <v>30</v>
      </c>
      <c r="C1852" t="s">
        <v>9071</v>
      </c>
      <c r="D1852" t="s">
        <v>2098</v>
      </c>
      <c r="E1852" t="s">
        <v>1269</v>
      </c>
      <c r="F1852" t="s">
        <v>2099</v>
      </c>
      <c r="G1852" t="s">
        <v>1271</v>
      </c>
      <c r="I1852" t="s">
        <v>9072</v>
      </c>
      <c r="K1852" t="s">
        <v>9073</v>
      </c>
      <c r="N1852" t="s">
        <v>9074</v>
      </c>
      <c r="Z1852" t="s">
        <v>43</v>
      </c>
    </row>
    <row r="1853" spans="1:26" x14ac:dyDescent="0.25">
      <c r="A1853">
        <v>1852</v>
      </c>
      <c r="B1853" t="s">
        <v>30</v>
      </c>
      <c r="C1853" t="s">
        <v>9075</v>
      </c>
      <c r="D1853" t="s">
        <v>72</v>
      </c>
      <c r="E1853" t="s">
        <v>72</v>
      </c>
      <c r="F1853" t="s">
        <v>73</v>
      </c>
      <c r="G1853" t="s">
        <v>73</v>
      </c>
      <c r="I1853" t="s">
        <v>9076</v>
      </c>
      <c r="J1853">
        <f>57-321-425-4127</f>
        <v>-4816</v>
      </c>
      <c r="K1853" t="s">
        <v>9077</v>
      </c>
      <c r="N1853" t="s">
        <v>9078</v>
      </c>
      <c r="Z1853" t="s">
        <v>43</v>
      </c>
    </row>
    <row r="1854" spans="1:26" x14ac:dyDescent="0.25">
      <c r="A1854">
        <v>1853</v>
      </c>
      <c r="B1854" t="s">
        <v>30</v>
      </c>
      <c r="C1854" t="s">
        <v>9079</v>
      </c>
      <c r="D1854" t="s">
        <v>909</v>
      </c>
      <c r="E1854" t="s">
        <v>471</v>
      </c>
      <c r="F1854" t="s">
        <v>1659</v>
      </c>
      <c r="G1854" t="s">
        <v>47</v>
      </c>
      <c r="I1854" t="s">
        <v>9080</v>
      </c>
      <c r="K1854" t="s">
        <v>9081</v>
      </c>
      <c r="N1854" t="s">
        <v>9082</v>
      </c>
      <c r="Z1854" t="s">
        <v>43</v>
      </c>
    </row>
    <row r="1855" spans="1:26" x14ac:dyDescent="0.25">
      <c r="A1855">
        <v>1854</v>
      </c>
      <c r="B1855" t="s">
        <v>30</v>
      </c>
      <c r="C1855" t="s">
        <v>9083</v>
      </c>
      <c r="D1855" t="s">
        <v>9084</v>
      </c>
      <c r="E1855" t="s">
        <v>9085</v>
      </c>
      <c r="F1855" t="s">
        <v>9086</v>
      </c>
      <c r="G1855" t="s">
        <v>9087</v>
      </c>
      <c r="I1855" t="s">
        <v>9088</v>
      </c>
      <c r="K1855" t="s">
        <v>9089</v>
      </c>
      <c r="N1855" t="s">
        <v>9090</v>
      </c>
      <c r="Z1855" t="s">
        <v>43</v>
      </c>
    </row>
    <row r="1856" spans="1:26" x14ac:dyDescent="0.25">
      <c r="A1856">
        <v>1855</v>
      </c>
      <c r="B1856" t="s">
        <v>30</v>
      </c>
      <c r="C1856" t="s">
        <v>9091</v>
      </c>
      <c r="D1856" t="s">
        <v>46</v>
      </c>
      <c r="E1856" t="s">
        <v>471</v>
      </c>
      <c r="F1856" t="s">
        <v>820</v>
      </c>
      <c r="G1856" t="s">
        <v>47</v>
      </c>
      <c r="I1856" t="s">
        <v>9092</v>
      </c>
      <c r="J1856">
        <f>57-310-805-3844</f>
        <v>-4902</v>
      </c>
      <c r="K1856" t="s">
        <v>9093</v>
      </c>
      <c r="N1856" t="s">
        <v>7928</v>
      </c>
      <c r="Z1856" t="s">
        <v>43</v>
      </c>
    </row>
    <row r="1857" spans="1:26" x14ac:dyDescent="0.25">
      <c r="A1857">
        <v>1856</v>
      </c>
      <c r="B1857" t="s">
        <v>30</v>
      </c>
      <c r="C1857" t="s">
        <v>9094</v>
      </c>
      <c r="D1857" t="s">
        <v>9095</v>
      </c>
      <c r="E1857" t="s">
        <v>56</v>
      </c>
      <c r="F1857" t="s">
        <v>9096</v>
      </c>
      <c r="G1857" t="s">
        <v>57</v>
      </c>
      <c r="I1857" t="s">
        <v>9097</v>
      </c>
      <c r="J1857">
        <f>57-301-398-1247</f>
        <v>-1889</v>
      </c>
      <c r="K1857" t="s">
        <v>9098</v>
      </c>
      <c r="N1857" t="s">
        <v>9099</v>
      </c>
      <c r="Z1857" t="s">
        <v>43</v>
      </c>
    </row>
    <row r="1858" spans="1:26" x14ac:dyDescent="0.25">
      <c r="A1858">
        <v>1857</v>
      </c>
      <c r="B1858" t="s">
        <v>30</v>
      </c>
      <c r="C1858" t="s">
        <v>9100</v>
      </c>
      <c r="D1858" t="s">
        <v>2168</v>
      </c>
      <c r="E1858" t="s">
        <v>64</v>
      </c>
      <c r="F1858" t="s">
        <v>2169</v>
      </c>
      <c r="G1858" t="s">
        <v>65</v>
      </c>
      <c r="I1858" t="s">
        <v>9101</v>
      </c>
      <c r="J1858">
        <f>57-318-215-3057</f>
        <v>-3533</v>
      </c>
      <c r="K1858" t="s">
        <v>9102</v>
      </c>
      <c r="N1858" t="s">
        <v>9103</v>
      </c>
      <c r="Z1858" t="s">
        <v>43</v>
      </c>
    </row>
    <row r="1859" spans="1:26" x14ac:dyDescent="0.25">
      <c r="A1859">
        <v>1858</v>
      </c>
      <c r="B1859" t="s">
        <v>30</v>
      </c>
      <c r="C1859" t="s">
        <v>9104</v>
      </c>
      <c r="D1859" t="s">
        <v>772</v>
      </c>
      <c r="E1859" t="s">
        <v>471</v>
      </c>
      <c r="F1859" t="s">
        <v>773</v>
      </c>
      <c r="G1859" t="s">
        <v>47</v>
      </c>
      <c r="I1859" t="s">
        <v>9105</v>
      </c>
      <c r="K1859" t="s">
        <v>105</v>
      </c>
      <c r="N1859" t="s">
        <v>9106</v>
      </c>
      <c r="Z1859" t="s">
        <v>43</v>
      </c>
    </row>
    <row r="1860" spans="1:26" x14ac:dyDescent="0.25">
      <c r="A1860">
        <v>1859</v>
      </c>
      <c r="B1860" t="s">
        <v>30</v>
      </c>
      <c r="C1860" t="s">
        <v>9107</v>
      </c>
      <c r="D1860" t="s">
        <v>72</v>
      </c>
      <c r="E1860" t="s">
        <v>72</v>
      </c>
      <c r="F1860" t="s">
        <v>73</v>
      </c>
      <c r="G1860" t="s">
        <v>73</v>
      </c>
      <c r="I1860" t="s">
        <v>9108</v>
      </c>
      <c r="J1860">
        <f>57-350-514-3867</f>
        <v>-4674</v>
      </c>
      <c r="K1860" t="s">
        <v>9109</v>
      </c>
      <c r="N1860" t="s">
        <v>9110</v>
      </c>
      <c r="Z1860" t="s">
        <v>43</v>
      </c>
    </row>
    <row r="1861" spans="1:26" x14ac:dyDescent="0.25">
      <c r="A1861">
        <v>1860</v>
      </c>
      <c r="B1861" t="s">
        <v>30</v>
      </c>
      <c r="C1861" t="s">
        <v>9111</v>
      </c>
      <c r="D1861" t="s">
        <v>1713</v>
      </c>
      <c r="E1861" t="s">
        <v>72</v>
      </c>
      <c r="F1861" t="s">
        <v>1714</v>
      </c>
      <c r="G1861" t="s">
        <v>73</v>
      </c>
      <c r="I1861" t="s">
        <v>9112</v>
      </c>
      <c r="K1861" t="s">
        <v>9113</v>
      </c>
      <c r="N1861" t="s">
        <v>9114</v>
      </c>
      <c r="Z1861" t="s">
        <v>43</v>
      </c>
    </row>
    <row r="1862" spans="1:26" x14ac:dyDescent="0.25">
      <c r="A1862">
        <v>1861</v>
      </c>
      <c r="B1862" t="s">
        <v>30</v>
      </c>
      <c r="C1862" t="s">
        <v>9115</v>
      </c>
      <c r="D1862" t="s">
        <v>9116</v>
      </c>
      <c r="E1862" t="s">
        <v>1269</v>
      </c>
      <c r="F1862" t="s">
        <v>9117</v>
      </c>
      <c r="G1862" t="s">
        <v>1271</v>
      </c>
      <c r="I1862" t="s">
        <v>9118</v>
      </c>
      <c r="K1862" t="s">
        <v>9119</v>
      </c>
      <c r="N1862" t="s">
        <v>9120</v>
      </c>
      <c r="Z1862" t="s">
        <v>43</v>
      </c>
    </row>
    <row r="1863" spans="1:26" x14ac:dyDescent="0.25">
      <c r="A1863">
        <v>1862</v>
      </c>
      <c r="B1863" t="s">
        <v>30</v>
      </c>
      <c r="C1863" t="s">
        <v>9121</v>
      </c>
      <c r="D1863" t="s">
        <v>9122</v>
      </c>
      <c r="E1863" t="s">
        <v>2190</v>
      </c>
      <c r="F1863" t="s">
        <v>9123</v>
      </c>
      <c r="G1863" t="s">
        <v>2192</v>
      </c>
      <c r="I1863" t="s">
        <v>9124</v>
      </c>
      <c r="J1863">
        <f>57-300-200-3781</f>
        <v>-4224</v>
      </c>
      <c r="K1863" t="s">
        <v>9125</v>
      </c>
      <c r="N1863" t="s">
        <v>9126</v>
      </c>
      <c r="Z1863" t="s">
        <v>43</v>
      </c>
    </row>
    <row r="1864" spans="1:26" x14ac:dyDescent="0.25">
      <c r="A1864">
        <v>1863</v>
      </c>
      <c r="B1864" t="s">
        <v>30</v>
      </c>
      <c r="C1864" t="s">
        <v>9127</v>
      </c>
      <c r="D1864" t="s">
        <v>72</v>
      </c>
      <c r="E1864" t="s">
        <v>72</v>
      </c>
      <c r="F1864" t="s">
        <v>73</v>
      </c>
      <c r="G1864" t="s">
        <v>73</v>
      </c>
      <c r="I1864" t="s">
        <v>9128</v>
      </c>
      <c r="J1864">
        <f>57-310-876-7439</f>
        <v>-8568</v>
      </c>
      <c r="K1864" t="s">
        <v>9129</v>
      </c>
      <c r="N1864" t="s">
        <v>9130</v>
      </c>
      <c r="Z1864" t="s">
        <v>43</v>
      </c>
    </row>
    <row r="1865" spans="1:26" x14ac:dyDescent="0.25">
      <c r="A1865">
        <v>1864</v>
      </c>
      <c r="B1865" t="s">
        <v>30</v>
      </c>
      <c r="C1865" t="s">
        <v>9131</v>
      </c>
      <c r="D1865" t="s">
        <v>1260</v>
      </c>
      <c r="E1865" t="s">
        <v>471</v>
      </c>
      <c r="F1865" t="s">
        <v>2178</v>
      </c>
      <c r="G1865" t="s">
        <v>47</v>
      </c>
      <c r="I1865" t="s">
        <v>9132</v>
      </c>
      <c r="J1865">
        <f>57-311-241-7519</f>
        <v>-8014</v>
      </c>
      <c r="K1865" t="s">
        <v>9133</v>
      </c>
      <c r="N1865" t="s">
        <v>9134</v>
      </c>
      <c r="Z1865" t="s">
        <v>43</v>
      </c>
    </row>
    <row r="1866" spans="1:26" x14ac:dyDescent="0.25">
      <c r="A1866">
        <v>1865</v>
      </c>
      <c r="B1866" t="s">
        <v>30</v>
      </c>
      <c r="C1866" t="s">
        <v>9135</v>
      </c>
      <c r="D1866" t="s">
        <v>72</v>
      </c>
      <c r="E1866" t="s">
        <v>72</v>
      </c>
      <c r="F1866" t="s">
        <v>73</v>
      </c>
      <c r="G1866" t="s">
        <v>73</v>
      </c>
      <c r="I1866" t="s">
        <v>9136</v>
      </c>
      <c r="J1866">
        <f>57-60-1-695-1969</f>
        <v>-2668</v>
      </c>
      <c r="K1866" t="s">
        <v>9137</v>
      </c>
      <c r="N1866" t="s">
        <v>9138</v>
      </c>
      <c r="Z1866" t="s">
        <v>43</v>
      </c>
    </row>
    <row r="1867" spans="1:26" x14ac:dyDescent="0.25">
      <c r="A1867">
        <v>1866</v>
      </c>
      <c r="B1867" t="s">
        <v>30</v>
      </c>
      <c r="C1867" t="s">
        <v>9139</v>
      </c>
      <c r="D1867" t="s">
        <v>9140</v>
      </c>
      <c r="E1867" t="s">
        <v>5472</v>
      </c>
      <c r="F1867" t="s">
        <v>9141</v>
      </c>
      <c r="G1867" t="s">
        <v>5474</v>
      </c>
      <c r="I1867" t="s">
        <v>9142</v>
      </c>
      <c r="K1867" t="s">
        <v>9143</v>
      </c>
      <c r="N1867" t="s">
        <v>9144</v>
      </c>
      <c r="Z1867" t="s">
        <v>43</v>
      </c>
    </row>
    <row r="1868" spans="1:26" x14ac:dyDescent="0.25">
      <c r="A1868">
        <v>1867</v>
      </c>
      <c r="B1868" t="s">
        <v>30</v>
      </c>
      <c r="C1868" t="s">
        <v>9145</v>
      </c>
      <c r="D1868" t="s">
        <v>46</v>
      </c>
      <c r="E1868" t="s">
        <v>471</v>
      </c>
      <c r="F1868" t="s">
        <v>820</v>
      </c>
      <c r="G1868" t="s">
        <v>47</v>
      </c>
      <c r="I1868" t="s">
        <v>9146</v>
      </c>
      <c r="K1868" t="s">
        <v>9147</v>
      </c>
      <c r="N1868" t="s">
        <v>9148</v>
      </c>
      <c r="Z1868" t="s">
        <v>43</v>
      </c>
    </row>
    <row r="1869" spans="1:26" x14ac:dyDescent="0.25">
      <c r="A1869">
        <v>1868</v>
      </c>
      <c r="B1869" t="s">
        <v>30</v>
      </c>
      <c r="C1869" t="s">
        <v>9149</v>
      </c>
      <c r="D1869" t="s">
        <v>9150</v>
      </c>
      <c r="E1869" t="s">
        <v>5179</v>
      </c>
      <c r="F1869" t="s">
        <v>9151</v>
      </c>
      <c r="G1869" t="s">
        <v>9152</v>
      </c>
      <c r="I1869" t="s">
        <v>9153</v>
      </c>
      <c r="K1869" t="s">
        <v>9154</v>
      </c>
      <c r="N1869" t="s">
        <v>5783</v>
      </c>
      <c r="Z1869" t="s">
        <v>43</v>
      </c>
    </row>
    <row r="1870" spans="1:26" x14ac:dyDescent="0.25">
      <c r="A1870">
        <v>1869</v>
      </c>
      <c r="B1870" t="s">
        <v>30</v>
      </c>
      <c r="C1870" t="s">
        <v>9155</v>
      </c>
      <c r="D1870" t="s">
        <v>1816</v>
      </c>
      <c r="E1870" t="s">
        <v>64</v>
      </c>
      <c r="F1870" t="s">
        <v>1857</v>
      </c>
      <c r="G1870" t="s">
        <v>65</v>
      </c>
      <c r="I1870" t="s">
        <v>9156</v>
      </c>
      <c r="J1870">
        <f>57-301-666-9229</f>
        <v>-10139</v>
      </c>
      <c r="K1870" t="s">
        <v>5520</v>
      </c>
      <c r="N1870" t="s">
        <v>5704</v>
      </c>
      <c r="Z1870" t="s">
        <v>43</v>
      </c>
    </row>
    <row r="1871" spans="1:26" x14ac:dyDescent="0.25">
      <c r="A1871">
        <v>1870</v>
      </c>
      <c r="B1871" t="s">
        <v>30</v>
      </c>
      <c r="C1871" t="s">
        <v>9157</v>
      </c>
      <c r="D1871" t="s">
        <v>9158</v>
      </c>
      <c r="E1871" t="s">
        <v>471</v>
      </c>
      <c r="F1871" t="s">
        <v>9159</v>
      </c>
      <c r="G1871" t="s">
        <v>47</v>
      </c>
      <c r="I1871" t="s">
        <v>9160</v>
      </c>
      <c r="K1871" t="s">
        <v>9161</v>
      </c>
      <c r="N1871" t="s">
        <v>9162</v>
      </c>
      <c r="Z1871" t="s">
        <v>43</v>
      </c>
    </row>
    <row r="1872" spans="1:26" x14ac:dyDescent="0.25">
      <c r="A1872">
        <v>1871</v>
      </c>
      <c r="B1872" t="s">
        <v>30</v>
      </c>
      <c r="C1872" t="s">
        <v>9163</v>
      </c>
      <c r="D1872" t="s">
        <v>3527</v>
      </c>
      <c r="E1872" t="s">
        <v>3528</v>
      </c>
      <c r="F1872" t="s">
        <v>3529</v>
      </c>
      <c r="G1872" t="s">
        <v>3530</v>
      </c>
      <c r="I1872" t="s">
        <v>9164</v>
      </c>
      <c r="K1872" t="s">
        <v>9165</v>
      </c>
      <c r="N1872" t="s">
        <v>9166</v>
      </c>
      <c r="Z1872" t="s">
        <v>43</v>
      </c>
    </row>
    <row r="1873" spans="1:26" x14ac:dyDescent="0.25">
      <c r="A1873">
        <v>1872</v>
      </c>
      <c r="B1873" t="s">
        <v>30</v>
      </c>
      <c r="C1873" t="s">
        <v>9167</v>
      </c>
      <c r="D1873" t="s">
        <v>2024</v>
      </c>
      <c r="E1873" t="s">
        <v>56</v>
      </c>
      <c r="F1873" t="s">
        <v>2025</v>
      </c>
      <c r="G1873" t="s">
        <v>57</v>
      </c>
      <c r="I1873" t="s">
        <v>9168</v>
      </c>
      <c r="K1873" t="s">
        <v>9169</v>
      </c>
      <c r="N1873" t="s">
        <v>2515</v>
      </c>
      <c r="Z1873" t="s">
        <v>43</v>
      </c>
    </row>
    <row r="1874" spans="1:26" x14ac:dyDescent="0.25">
      <c r="A1874">
        <v>1873</v>
      </c>
      <c r="B1874" t="s">
        <v>30</v>
      </c>
      <c r="C1874" t="s">
        <v>9170</v>
      </c>
      <c r="D1874" t="s">
        <v>2352</v>
      </c>
      <c r="E1874" t="s">
        <v>72</v>
      </c>
      <c r="F1874" t="s">
        <v>9171</v>
      </c>
      <c r="G1874" t="s">
        <v>73</v>
      </c>
      <c r="I1874" t="s">
        <v>9172</v>
      </c>
      <c r="J1874">
        <f>57-60-1-645-8615</f>
        <v>-9264</v>
      </c>
      <c r="K1874" t="s">
        <v>9173</v>
      </c>
      <c r="N1874" t="s">
        <v>9174</v>
      </c>
      <c r="Z1874" t="s">
        <v>43</v>
      </c>
    </row>
    <row r="1875" spans="1:26" x14ac:dyDescent="0.25">
      <c r="A1875">
        <v>1874</v>
      </c>
      <c r="B1875" t="s">
        <v>30</v>
      </c>
      <c r="C1875" t="s">
        <v>9175</v>
      </c>
      <c r="D1875" t="s">
        <v>9176</v>
      </c>
      <c r="E1875" t="s">
        <v>72</v>
      </c>
      <c r="F1875" t="s">
        <v>9177</v>
      </c>
      <c r="G1875" t="s">
        <v>73</v>
      </c>
      <c r="I1875" t="s">
        <v>9178</v>
      </c>
      <c r="J1875">
        <f>57-60-1-301-7623</f>
        <v>-7928</v>
      </c>
      <c r="K1875" t="s">
        <v>9179</v>
      </c>
      <c r="N1875" t="s">
        <v>9180</v>
      </c>
      <c r="Z1875" t="s">
        <v>43</v>
      </c>
    </row>
    <row r="1876" spans="1:26" x14ac:dyDescent="0.25">
      <c r="A1876">
        <v>1875</v>
      </c>
      <c r="B1876" t="s">
        <v>30</v>
      </c>
      <c r="C1876" t="s">
        <v>9181</v>
      </c>
      <c r="D1876" t="s">
        <v>9182</v>
      </c>
      <c r="E1876" t="s">
        <v>755</v>
      </c>
      <c r="F1876" t="s">
        <v>9183</v>
      </c>
      <c r="G1876" t="s">
        <v>757</v>
      </c>
      <c r="I1876" t="s">
        <v>9184</v>
      </c>
      <c r="J1876">
        <f>57-60-1-204-4610</f>
        <v>-4818</v>
      </c>
      <c r="K1876" t="s">
        <v>9185</v>
      </c>
      <c r="N1876" t="s">
        <v>2799</v>
      </c>
      <c r="Z1876" t="s">
        <v>43</v>
      </c>
    </row>
    <row r="1877" spans="1:26" x14ac:dyDescent="0.25">
      <c r="A1877">
        <v>1876</v>
      </c>
      <c r="B1877" t="s">
        <v>30</v>
      </c>
      <c r="C1877" t="s">
        <v>9186</v>
      </c>
      <c r="D1877" t="s">
        <v>909</v>
      </c>
      <c r="E1877" t="s">
        <v>471</v>
      </c>
      <c r="F1877" t="s">
        <v>1659</v>
      </c>
      <c r="G1877" t="s">
        <v>47</v>
      </c>
      <c r="I1877" t="s">
        <v>9187</v>
      </c>
      <c r="K1877" t="s">
        <v>9188</v>
      </c>
      <c r="N1877" t="s">
        <v>9189</v>
      </c>
      <c r="Z1877" t="s">
        <v>43</v>
      </c>
    </row>
    <row r="1878" spans="1:26" x14ac:dyDescent="0.25">
      <c r="A1878">
        <v>1877</v>
      </c>
      <c r="B1878" t="s">
        <v>30</v>
      </c>
      <c r="C1878" t="s">
        <v>9190</v>
      </c>
      <c r="D1878" t="s">
        <v>7838</v>
      </c>
      <c r="E1878" t="s">
        <v>800</v>
      </c>
      <c r="F1878" t="s">
        <v>7839</v>
      </c>
      <c r="G1878" t="s">
        <v>802</v>
      </c>
      <c r="I1878" t="s">
        <v>9191</v>
      </c>
      <c r="K1878" t="s">
        <v>9192</v>
      </c>
      <c r="N1878" t="s">
        <v>9193</v>
      </c>
      <c r="Z1878" t="s">
        <v>43</v>
      </c>
    </row>
    <row r="1879" spans="1:26" x14ac:dyDescent="0.25">
      <c r="A1879">
        <v>1878</v>
      </c>
      <c r="B1879" t="s">
        <v>30</v>
      </c>
      <c r="C1879" t="s">
        <v>9194</v>
      </c>
      <c r="D1879" t="s">
        <v>1260</v>
      </c>
      <c r="E1879" t="s">
        <v>64</v>
      </c>
      <c r="F1879" t="s">
        <v>1653</v>
      </c>
      <c r="G1879" t="s">
        <v>65</v>
      </c>
      <c r="I1879" t="s">
        <v>9195</v>
      </c>
      <c r="K1879" t="s">
        <v>9196</v>
      </c>
      <c r="N1879" t="s">
        <v>9197</v>
      </c>
      <c r="Z1879" t="s">
        <v>43</v>
      </c>
    </row>
    <row r="1880" spans="1:26" x14ac:dyDescent="0.25">
      <c r="A1880">
        <v>1879</v>
      </c>
      <c r="B1880" t="s">
        <v>30</v>
      </c>
      <c r="C1880" t="s">
        <v>9198</v>
      </c>
      <c r="D1880" t="s">
        <v>772</v>
      </c>
      <c r="E1880" t="s">
        <v>471</v>
      </c>
      <c r="F1880" t="s">
        <v>773</v>
      </c>
      <c r="G1880" t="s">
        <v>47</v>
      </c>
      <c r="I1880" t="s">
        <v>9199</v>
      </c>
      <c r="K1880" t="s">
        <v>9200</v>
      </c>
      <c r="N1880" t="s">
        <v>9201</v>
      </c>
      <c r="Z1880" t="s">
        <v>43</v>
      </c>
    </row>
    <row r="1881" spans="1:26" x14ac:dyDescent="0.25">
      <c r="A1881">
        <v>1880</v>
      </c>
      <c r="B1881" t="s">
        <v>30</v>
      </c>
      <c r="C1881" t="s">
        <v>9202</v>
      </c>
      <c r="D1881" t="s">
        <v>1260</v>
      </c>
      <c r="E1881" t="s">
        <v>471</v>
      </c>
      <c r="F1881" t="s">
        <v>2084</v>
      </c>
      <c r="G1881" t="s">
        <v>47</v>
      </c>
      <c r="I1881" t="s">
        <v>9203</v>
      </c>
      <c r="J1881">
        <f>57-323-283-2182</f>
        <v>-2731</v>
      </c>
      <c r="K1881" t="s">
        <v>9204</v>
      </c>
      <c r="N1881" t="s">
        <v>9205</v>
      </c>
      <c r="Z1881" t="s">
        <v>43</v>
      </c>
    </row>
    <row r="1882" spans="1:26" x14ac:dyDescent="0.25">
      <c r="A1882">
        <v>1881</v>
      </c>
      <c r="B1882" t="s">
        <v>30</v>
      </c>
      <c r="C1882" t="s">
        <v>9206</v>
      </c>
      <c r="D1882" t="s">
        <v>909</v>
      </c>
      <c r="E1882" t="s">
        <v>471</v>
      </c>
      <c r="F1882" t="s">
        <v>9207</v>
      </c>
      <c r="G1882" t="s">
        <v>966</v>
      </c>
      <c r="I1882" t="s">
        <v>9208</v>
      </c>
      <c r="K1882" t="s">
        <v>9209</v>
      </c>
      <c r="N1882" t="s">
        <v>9210</v>
      </c>
      <c r="Z1882" t="s">
        <v>43</v>
      </c>
    </row>
    <row r="1883" spans="1:26" x14ac:dyDescent="0.25">
      <c r="A1883">
        <v>1882</v>
      </c>
      <c r="B1883" t="s">
        <v>30</v>
      </c>
      <c r="C1883" t="s">
        <v>9211</v>
      </c>
      <c r="D1883" t="s">
        <v>2394</v>
      </c>
      <c r="E1883" t="s">
        <v>471</v>
      </c>
      <c r="F1883" t="s">
        <v>2395</v>
      </c>
      <c r="G1883" t="s">
        <v>47</v>
      </c>
      <c r="I1883" t="s">
        <v>9212</v>
      </c>
      <c r="K1883" t="s">
        <v>9213</v>
      </c>
      <c r="N1883" t="s">
        <v>9214</v>
      </c>
      <c r="Z1883" t="s">
        <v>43</v>
      </c>
    </row>
    <row r="1884" spans="1:26" x14ac:dyDescent="0.25">
      <c r="A1884">
        <v>1883</v>
      </c>
      <c r="B1884" t="s">
        <v>30</v>
      </c>
      <c r="C1884" t="s">
        <v>9215</v>
      </c>
      <c r="D1884" t="s">
        <v>1260</v>
      </c>
      <c r="E1884" t="s">
        <v>471</v>
      </c>
      <c r="F1884" t="s">
        <v>2084</v>
      </c>
      <c r="G1884" t="s">
        <v>47</v>
      </c>
      <c r="I1884" t="s">
        <v>9216</v>
      </c>
      <c r="K1884" t="s">
        <v>9217</v>
      </c>
      <c r="N1884" t="s">
        <v>9218</v>
      </c>
      <c r="Z1884" t="s">
        <v>43</v>
      </c>
    </row>
    <row r="1885" spans="1:26" x14ac:dyDescent="0.25">
      <c r="A1885">
        <v>1884</v>
      </c>
      <c r="B1885" t="s">
        <v>30</v>
      </c>
      <c r="C1885" t="s">
        <v>9219</v>
      </c>
      <c r="D1885" t="s">
        <v>9220</v>
      </c>
      <c r="E1885" t="s">
        <v>1126</v>
      </c>
      <c r="F1885" t="s">
        <v>9221</v>
      </c>
      <c r="G1885" t="s">
        <v>1128</v>
      </c>
      <c r="I1885" t="s">
        <v>9222</v>
      </c>
      <c r="J1885">
        <f>57-320-212-2942</f>
        <v>-3417</v>
      </c>
      <c r="K1885" t="s">
        <v>9223</v>
      </c>
      <c r="N1885" t="s">
        <v>9224</v>
      </c>
      <c r="Z1885" t="s">
        <v>43</v>
      </c>
    </row>
    <row r="1886" spans="1:26" x14ac:dyDescent="0.25">
      <c r="A1886">
        <v>1885</v>
      </c>
      <c r="B1886" t="s">
        <v>30</v>
      </c>
      <c r="C1886" t="s">
        <v>9225</v>
      </c>
      <c r="D1886" t="s">
        <v>46</v>
      </c>
      <c r="E1886" t="s">
        <v>471</v>
      </c>
      <c r="F1886" t="s">
        <v>820</v>
      </c>
      <c r="G1886" t="s">
        <v>47</v>
      </c>
      <c r="I1886" t="s">
        <v>9226</v>
      </c>
      <c r="K1886" t="s">
        <v>9227</v>
      </c>
      <c r="N1886" t="s">
        <v>9228</v>
      </c>
      <c r="Z1886" t="s">
        <v>43</v>
      </c>
    </row>
    <row r="1887" spans="1:26" x14ac:dyDescent="0.25">
      <c r="A1887">
        <v>1886</v>
      </c>
      <c r="B1887" t="s">
        <v>30</v>
      </c>
      <c r="C1887" t="s">
        <v>9229</v>
      </c>
      <c r="D1887" t="s">
        <v>9230</v>
      </c>
      <c r="E1887" t="s">
        <v>471</v>
      </c>
      <c r="F1887" t="s">
        <v>9231</v>
      </c>
      <c r="G1887" t="s">
        <v>47</v>
      </c>
      <c r="I1887" t="s">
        <v>9232</v>
      </c>
      <c r="J1887">
        <f>57-312-420-698</f>
        <v>-1373</v>
      </c>
      <c r="K1887" t="s">
        <v>9233</v>
      </c>
      <c r="N1887" t="s">
        <v>9234</v>
      </c>
      <c r="Z1887" t="s">
        <v>43</v>
      </c>
    </row>
    <row r="1888" spans="1:26" x14ac:dyDescent="0.25">
      <c r="A1888">
        <v>1887</v>
      </c>
      <c r="B1888" t="s">
        <v>30</v>
      </c>
      <c r="C1888" t="s">
        <v>9235</v>
      </c>
      <c r="D1888" t="s">
        <v>5268</v>
      </c>
      <c r="E1888" t="s">
        <v>471</v>
      </c>
      <c r="F1888" t="s">
        <v>5269</v>
      </c>
      <c r="G1888" t="s">
        <v>47</v>
      </c>
      <c r="I1888" t="s">
        <v>9236</v>
      </c>
      <c r="K1888" t="s">
        <v>9237</v>
      </c>
      <c r="N1888" t="s">
        <v>9238</v>
      </c>
      <c r="Z1888" t="s">
        <v>43</v>
      </c>
    </row>
    <row r="1889" spans="1:26" x14ac:dyDescent="0.25">
      <c r="A1889">
        <v>1888</v>
      </c>
      <c r="B1889" t="s">
        <v>30</v>
      </c>
      <c r="C1889" t="s">
        <v>9239</v>
      </c>
      <c r="D1889" t="s">
        <v>64</v>
      </c>
      <c r="E1889" t="s">
        <v>64</v>
      </c>
      <c r="F1889" t="s">
        <v>65</v>
      </c>
      <c r="G1889" t="s">
        <v>65</v>
      </c>
      <c r="I1889" t="s">
        <v>9240</v>
      </c>
      <c r="K1889" t="s">
        <v>9241</v>
      </c>
      <c r="N1889" t="s">
        <v>9242</v>
      </c>
      <c r="Z1889" t="s">
        <v>43</v>
      </c>
    </row>
    <row r="1890" spans="1:26" x14ac:dyDescent="0.25">
      <c r="A1890">
        <v>1889</v>
      </c>
      <c r="B1890" t="s">
        <v>30</v>
      </c>
      <c r="C1890" t="s">
        <v>9243</v>
      </c>
      <c r="D1890" t="s">
        <v>9244</v>
      </c>
      <c r="E1890" t="s">
        <v>1055</v>
      </c>
      <c r="F1890" t="s">
        <v>9245</v>
      </c>
      <c r="G1890" t="s">
        <v>1057</v>
      </c>
      <c r="I1890" t="s">
        <v>9246</v>
      </c>
      <c r="K1890" t="s">
        <v>9247</v>
      </c>
      <c r="N1890" t="s">
        <v>9248</v>
      </c>
      <c r="Z1890" t="s">
        <v>43</v>
      </c>
    </row>
    <row r="1891" spans="1:26" x14ac:dyDescent="0.25">
      <c r="A1891">
        <v>1890</v>
      </c>
      <c r="B1891" t="s">
        <v>30</v>
      </c>
      <c r="C1891" t="s">
        <v>9249</v>
      </c>
      <c r="D1891" t="s">
        <v>3287</v>
      </c>
      <c r="E1891" t="s">
        <v>471</v>
      </c>
      <c r="F1891" t="s">
        <v>9250</v>
      </c>
      <c r="G1891" t="s">
        <v>47</v>
      </c>
      <c r="I1891" t="s">
        <v>9251</v>
      </c>
      <c r="J1891">
        <f>57-310-261-5224</f>
        <v>-5738</v>
      </c>
      <c r="K1891" t="s">
        <v>9252</v>
      </c>
      <c r="N1891" t="s">
        <v>9253</v>
      </c>
      <c r="Z1891" t="s">
        <v>43</v>
      </c>
    </row>
    <row r="1892" spans="1:26" x14ac:dyDescent="0.25">
      <c r="A1892">
        <v>1891</v>
      </c>
      <c r="B1892" t="s">
        <v>30</v>
      </c>
      <c r="C1892" t="s">
        <v>9254</v>
      </c>
      <c r="D1892" t="s">
        <v>9255</v>
      </c>
      <c r="E1892" t="s">
        <v>4043</v>
      </c>
      <c r="F1892" t="s">
        <v>9256</v>
      </c>
      <c r="G1892" t="s">
        <v>4045</v>
      </c>
      <c r="I1892" t="s">
        <v>9257</v>
      </c>
      <c r="K1892" t="s">
        <v>9258</v>
      </c>
      <c r="N1892" t="s">
        <v>9259</v>
      </c>
      <c r="Z1892" t="s">
        <v>43</v>
      </c>
    </row>
    <row r="1893" spans="1:26" x14ac:dyDescent="0.25">
      <c r="A1893">
        <v>1892</v>
      </c>
      <c r="B1893" t="s">
        <v>30</v>
      </c>
      <c r="C1893" t="s">
        <v>9260</v>
      </c>
      <c r="D1893" t="s">
        <v>46</v>
      </c>
      <c r="E1893" t="s">
        <v>471</v>
      </c>
      <c r="F1893" t="s">
        <v>820</v>
      </c>
      <c r="G1893" t="s">
        <v>47</v>
      </c>
      <c r="I1893" t="s">
        <v>9261</v>
      </c>
      <c r="J1893">
        <f>57-322-731-5886</f>
        <v>-6882</v>
      </c>
      <c r="K1893" t="s">
        <v>9262</v>
      </c>
      <c r="N1893" t="s">
        <v>9263</v>
      </c>
      <c r="Z1893" t="s">
        <v>43</v>
      </c>
    </row>
    <row r="1894" spans="1:26" x14ac:dyDescent="0.25">
      <c r="A1894">
        <v>1893</v>
      </c>
      <c r="B1894" t="s">
        <v>30</v>
      </c>
      <c r="C1894" t="s">
        <v>9264</v>
      </c>
      <c r="D1894" t="s">
        <v>1896</v>
      </c>
      <c r="E1894" t="s">
        <v>471</v>
      </c>
      <c r="F1894" t="s">
        <v>6518</v>
      </c>
      <c r="G1894" t="s">
        <v>47</v>
      </c>
      <c r="I1894" t="s">
        <v>9265</v>
      </c>
      <c r="K1894" t="s">
        <v>9266</v>
      </c>
      <c r="N1894" t="s">
        <v>9267</v>
      </c>
      <c r="Z1894" t="s">
        <v>43</v>
      </c>
    </row>
    <row r="1895" spans="1:26" x14ac:dyDescent="0.25">
      <c r="A1895">
        <v>1894</v>
      </c>
      <c r="B1895" t="s">
        <v>30</v>
      </c>
      <c r="C1895" t="s">
        <v>9268</v>
      </c>
      <c r="D1895" t="s">
        <v>64</v>
      </c>
      <c r="E1895" t="s">
        <v>64</v>
      </c>
      <c r="F1895" t="s">
        <v>65</v>
      </c>
      <c r="G1895" t="s">
        <v>65</v>
      </c>
      <c r="I1895" t="s">
        <v>9269</v>
      </c>
      <c r="J1895">
        <f>57-305-942-1034</f>
        <v>-2224</v>
      </c>
      <c r="K1895" t="s">
        <v>9270</v>
      </c>
      <c r="N1895" t="s">
        <v>9271</v>
      </c>
      <c r="Z1895" t="s">
        <v>43</v>
      </c>
    </row>
    <row r="1896" spans="1:26" x14ac:dyDescent="0.25">
      <c r="A1896">
        <v>1895</v>
      </c>
      <c r="B1896" t="s">
        <v>30</v>
      </c>
      <c r="C1896" t="s">
        <v>9272</v>
      </c>
      <c r="D1896" t="s">
        <v>2168</v>
      </c>
      <c r="E1896" t="s">
        <v>800</v>
      </c>
      <c r="F1896" t="s">
        <v>2169</v>
      </c>
      <c r="G1896" t="s">
        <v>802</v>
      </c>
      <c r="I1896" t="s">
        <v>9273</v>
      </c>
      <c r="K1896" t="s">
        <v>9274</v>
      </c>
      <c r="N1896" t="s">
        <v>9275</v>
      </c>
      <c r="Z1896" t="s">
        <v>43</v>
      </c>
    </row>
    <row r="1897" spans="1:26" x14ac:dyDescent="0.25">
      <c r="A1897">
        <v>1896</v>
      </c>
      <c r="B1897" t="s">
        <v>30</v>
      </c>
      <c r="C1897" t="s">
        <v>9276</v>
      </c>
      <c r="D1897" t="s">
        <v>4655</v>
      </c>
      <c r="E1897" t="s">
        <v>755</v>
      </c>
      <c r="F1897" t="s">
        <v>4656</v>
      </c>
      <c r="G1897" t="s">
        <v>2199</v>
      </c>
      <c r="I1897" t="s">
        <v>9277</v>
      </c>
      <c r="J1897">
        <f>57-317-829-5301</f>
        <v>-6390</v>
      </c>
      <c r="K1897" t="s">
        <v>9278</v>
      </c>
      <c r="N1897" t="s">
        <v>4659</v>
      </c>
      <c r="Z1897" t="s">
        <v>43</v>
      </c>
    </row>
    <row r="1898" spans="1:26" x14ac:dyDescent="0.25">
      <c r="A1898">
        <v>1897</v>
      </c>
      <c r="B1898" t="s">
        <v>30</v>
      </c>
      <c r="C1898" t="s">
        <v>9279</v>
      </c>
      <c r="D1898" t="s">
        <v>9280</v>
      </c>
      <c r="E1898" t="s">
        <v>72</v>
      </c>
      <c r="F1898" t="s">
        <v>9281</v>
      </c>
      <c r="G1898" t="s">
        <v>73</v>
      </c>
      <c r="I1898" t="s">
        <v>9282</v>
      </c>
      <c r="J1898">
        <f>57-314-740-4422</f>
        <v>-5419</v>
      </c>
      <c r="K1898" t="s">
        <v>9283</v>
      </c>
      <c r="N1898" t="s">
        <v>9284</v>
      </c>
      <c r="Z1898" t="s">
        <v>43</v>
      </c>
    </row>
    <row r="1899" spans="1:26" x14ac:dyDescent="0.25">
      <c r="A1899">
        <v>1898</v>
      </c>
      <c r="B1899" t="s">
        <v>30</v>
      </c>
      <c r="C1899" t="s">
        <v>9285</v>
      </c>
      <c r="D1899" t="s">
        <v>2336</v>
      </c>
      <c r="E1899" t="s">
        <v>56</v>
      </c>
      <c r="F1899" t="s">
        <v>2337</v>
      </c>
      <c r="G1899" t="s">
        <v>57</v>
      </c>
      <c r="I1899" t="s">
        <v>9286</v>
      </c>
      <c r="J1899">
        <f>57-320-853-6104</f>
        <v>-7220</v>
      </c>
      <c r="K1899" t="s">
        <v>9287</v>
      </c>
      <c r="N1899" t="s">
        <v>9288</v>
      </c>
      <c r="Z1899" t="s">
        <v>43</v>
      </c>
    </row>
    <row r="1900" spans="1:26" x14ac:dyDescent="0.25">
      <c r="A1900">
        <v>1899</v>
      </c>
      <c r="B1900" t="s">
        <v>30</v>
      </c>
      <c r="C1900" t="s">
        <v>9289</v>
      </c>
      <c r="D1900" t="s">
        <v>9290</v>
      </c>
      <c r="E1900" t="s">
        <v>1658</v>
      </c>
      <c r="F1900" t="s">
        <v>9291</v>
      </c>
      <c r="G1900" t="s">
        <v>1660</v>
      </c>
      <c r="I1900" t="s">
        <v>9292</v>
      </c>
      <c r="K1900" t="s">
        <v>9293</v>
      </c>
      <c r="N1900" t="s">
        <v>9294</v>
      </c>
      <c r="Z1900" t="s">
        <v>43</v>
      </c>
    </row>
    <row r="1901" spans="1:26" x14ac:dyDescent="0.25">
      <c r="A1901">
        <v>1900</v>
      </c>
      <c r="B1901" t="s">
        <v>30</v>
      </c>
      <c r="C1901" t="s">
        <v>9295</v>
      </c>
      <c r="D1901" t="s">
        <v>899</v>
      </c>
      <c r="E1901" t="s">
        <v>471</v>
      </c>
      <c r="F1901" t="s">
        <v>900</v>
      </c>
      <c r="G1901" t="s">
        <v>47</v>
      </c>
      <c r="I1901" t="s">
        <v>9296</v>
      </c>
      <c r="K1901" t="s">
        <v>9297</v>
      </c>
      <c r="N1901" t="s">
        <v>9298</v>
      </c>
      <c r="Z1901" t="s">
        <v>43</v>
      </c>
    </row>
    <row r="1902" spans="1:26" x14ac:dyDescent="0.25">
      <c r="A1902">
        <v>1901</v>
      </c>
      <c r="B1902" t="s">
        <v>30</v>
      </c>
      <c r="C1902" t="s">
        <v>9299</v>
      </c>
      <c r="D1902" t="s">
        <v>4655</v>
      </c>
      <c r="E1902" t="s">
        <v>755</v>
      </c>
      <c r="F1902" t="s">
        <v>5056</v>
      </c>
      <c r="G1902" t="s">
        <v>757</v>
      </c>
      <c r="I1902" t="s">
        <v>9300</v>
      </c>
      <c r="J1902">
        <f>57-310-237-1895</f>
        <v>-2385</v>
      </c>
      <c r="K1902" t="s">
        <v>9301</v>
      </c>
      <c r="N1902" t="s">
        <v>9302</v>
      </c>
      <c r="Z1902" t="s">
        <v>43</v>
      </c>
    </row>
    <row r="1903" spans="1:26" x14ac:dyDescent="0.25">
      <c r="A1903">
        <v>1902</v>
      </c>
      <c r="B1903" t="s">
        <v>30</v>
      </c>
      <c r="C1903" t="s">
        <v>9303</v>
      </c>
      <c r="D1903" t="s">
        <v>64</v>
      </c>
      <c r="E1903" t="s">
        <v>72</v>
      </c>
      <c r="F1903" t="s">
        <v>3572</v>
      </c>
      <c r="G1903" t="s">
        <v>73</v>
      </c>
      <c r="I1903" t="s">
        <v>9304</v>
      </c>
      <c r="K1903" t="s">
        <v>9305</v>
      </c>
      <c r="N1903" t="s">
        <v>9306</v>
      </c>
      <c r="Z1903" t="s">
        <v>43</v>
      </c>
    </row>
    <row r="1904" spans="1:26" x14ac:dyDescent="0.25">
      <c r="A1904">
        <v>1903</v>
      </c>
      <c r="B1904" t="s">
        <v>30</v>
      </c>
      <c r="C1904" t="s">
        <v>9307</v>
      </c>
      <c r="D1904" t="s">
        <v>9308</v>
      </c>
      <c r="E1904" t="s">
        <v>1269</v>
      </c>
      <c r="F1904" t="s">
        <v>9309</v>
      </c>
      <c r="G1904" t="s">
        <v>1271</v>
      </c>
      <c r="I1904" t="s">
        <v>9310</v>
      </c>
      <c r="K1904" t="s">
        <v>9311</v>
      </c>
      <c r="N1904" t="s">
        <v>9312</v>
      </c>
      <c r="Z1904" t="s">
        <v>43</v>
      </c>
    </row>
    <row r="1905" spans="1:26" x14ac:dyDescent="0.25">
      <c r="A1905">
        <v>1904</v>
      </c>
      <c r="B1905" t="s">
        <v>30</v>
      </c>
      <c r="C1905" t="s">
        <v>9313</v>
      </c>
      <c r="D1905" t="s">
        <v>9314</v>
      </c>
      <c r="E1905" t="s">
        <v>471</v>
      </c>
      <c r="F1905" t="s">
        <v>9315</v>
      </c>
      <c r="G1905" t="s">
        <v>47</v>
      </c>
      <c r="I1905" t="s">
        <v>9316</v>
      </c>
      <c r="K1905" t="s">
        <v>9317</v>
      </c>
      <c r="N1905" t="s">
        <v>9318</v>
      </c>
      <c r="Z1905" t="s">
        <v>43</v>
      </c>
    </row>
    <row r="1906" spans="1:26" x14ac:dyDescent="0.25">
      <c r="A1906">
        <v>1905</v>
      </c>
      <c r="B1906" t="s">
        <v>30</v>
      </c>
      <c r="C1906" t="s">
        <v>9319</v>
      </c>
      <c r="D1906" t="s">
        <v>1713</v>
      </c>
      <c r="E1906" t="s">
        <v>471</v>
      </c>
      <c r="F1906" t="s">
        <v>2089</v>
      </c>
      <c r="G1906" t="s">
        <v>47</v>
      </c>
      <c r="I1906" t="s">
        <v>9320</v>
      </c>
      <c r="K1906" t="s">
        <v>9321</v>
      </c>
      <c r="N1906" t="s">
        <v>9322</v>
      </c>
      <c r="Z1906" t="s">
        <v>43</v>
      </c>
    </row>
    <row r="1907" spans="1:26" x14ac:dyDescent="0.25">
      <c r="A1907">
        <v>1906</v>
      </c>
      <c r="B1907" t="s">
        <v>30</v>
      </c>
      <c r="C1907" t="s">
        <v>9323</v>
      </c>
      <c r="D1907" t="s">
        <v>9324</v>
      </c>
      <c r="E1907" t="s">
        <v>1850</v>
      </c>
      <c r="F1907" t="s">
        <v>9325</v>
      </c>
      <c r="G1907" t="s">
        <v>1852</v>
      </c>
      <c r="I1907" t="s">
        <v>9326</v>
      </c>
      <c r="J1907">
        <f>57-318-322-8699</f>
        <v>-9282</v>
      </c>
      <c r="K1907" t="s">
        <v>9327</v>
      </c>
      <c r="N1907" t="s">
        <v>9328</v>
      </c>
      <c r="Z1907" t="s">
        <v>43</v>
      </c>
    </row>
    <row r="1908" spans="1:26" x14ac:dyDescent="0.25">
      <c r="A1908">
        <v>1907</v>
      </c>
      <c r="B1908" t="s">
        <v>30</v>
      </c>
      <c r="C1908" t="s">
        <v>9329</v>
      </c>
      <c r="D1908" t="s">
        <v>384</v>
      </c>
      <c r="E1908" t="s">
        <v>471</v>
      </c>
      <c r="F1908" t="s">
        <v>2439</v>
      </c>
      <c r="G1908" t="s">
        <v>47</v>
      </c>
      <c r="I1908" t="s">
        <v>9330</v>
      </c>
      <c r="J1908">
        <f>57-300-658-6412</f>
        <v>-7313</v>
      </c>
      <c r="K1908" t="s">
        <v>9331</v>
      </c>
      <c r="N1908" t="s">
        <v>9332</v>
      </c>
      <c r="Z1908" t="s">
        <v>43</v>
      </c>
    </row>
    <row r="1909" spans="1:26" x14ac:dyDescent="0.25">
      <c r="A1909">
        <v>1908</v>
      </c>
      <c r="B1909" t="s">
        <v>30</v>
      </c>
      <c r="C1909" t="s">
        <v>9333</v>
      </c>
      <c r="D1909" t="s">
        <v>979</v>
      </c>
      <c r="E1909" t="s">
        <v>1269</v>
      </c>
      <c r="F1909" t="s">
        <v>2385</v>
      </c>
      <c r="G1909" t="s">
        <v>1271</v>
      </c>
      <c r="I1909" t="s">
        <v>9334</v>
      </c>
      <c r="K1909" t="s">
        <v>9335</v>
      </c>
      <c r="N1909" t="s">
        <v>9336</v>
      </c>
      <c r="Z1909" t="s">
        <v>43</v>
      </c>
    </row>
    <row r="1910" spans="1:26" x14ac:dyDescent="0.25">
      <c r="A1910">
        <v>1909</v>
      </c>
      <c r="B1910" t="s">
        <v>30</v>
      </c>
      <c r="C1910" t="s">
        <v>9337</v>
      </c>
      <c r="D1910" t="s">
        <v>3664</v>
      </c>
      <c r="E1910" t="s">
        <v>1269</v>
      </c>
      <c r="F1910" t="s">
        <v>3665</v>
      </c>
      <c r="G1910" t="s">
        <v>1271</v>
      </c>
      <c r="I1910" t="s">
        <v>9338</v>
      </c>
      <c r="K1910" t="s">
        <v>9339</v>
      </c>
      <c r="N1910" t="s">
        <v>9340</v>
      </c>
      <c r="Z1910" t="s">
        <v>43</v>
      </c>
    </row>
    <row r="1911" spans="1:26" x14ac:dyDescent="0.25">
      <c r="A1911">
        <v>1910</v>
      </c>
      <c r="B1911" t="s">
        <v>30</v>
      </c>
      <c r="C1911" t="s">
        <v>9341</v>
      </c>
      <c r="D1911" t="s">
        <v>384</v>
      </c>
      <c r="E1911" t="s">
        <v>385</v>
      </c>
      <c r="F1911" t="s">
        <v>386</v>
      </c>
      <c r="G1911" t="s">
        <v>387</v>
      </c>
      <c r="I1911" t="s">
        <v>9342</v>
      </c>
      <c r="K1911" t="s">
        <v>9343</v>
      </c>
      <c r="N1911" t="s">
        <v>9344</v>
      </c>
      <c r="Z1911" t="s">
        <v>43</v>
      </c>
    </row>
    <row r="1912" spans="1:26" x14ac:dyDescent="0.25">
      <c r="A1912">
        <v>1911</v>
      </c>
      <c r="B1912" t="s">
        <v>30</v>
      </c>
      <c r="C1912" t="s">
        <v>9345</v>
      </c>
      <c r="D1912" t="s">
        <v>46</v>
      </c>
      <c r="E1912" t="s">
        <v>3321</v>
      </c>
      <c r="F1912" t="s">
        <v>9346</v>
      </c>
      <c r="G1912" t="s">
        <v>3323</v>
      </c>
      <c r="I1912" t="s">
        <v>9347</v>
      </c>
      <c r="J1912">
        <f>57-313-870-7936</f>
        <v>-9062</v>
      </c>
      <c r="K1912" t="s">
        <v>9348</v>
      </c>
      <c r="N1912" t="s">
        <v>9349</v>
      </c>
      <c r="Z1912" t="s">
        <v>43</v>
      </c>
    </row>
    <row r="1913" spans="1:26" x14ac:dyDescent="0.25">
      <c r="A1913">
        <v>1912</v>
      </c>
      <c r="B1913" t="s">
        <v>30</v>
      </c>
      <c r="C1913" t="s">
        <v>9350</v>
      </c>
      <c r="D1913" t="s">
        <v>9351</v>
      </c>
      <c r="E1913" t="s">
        <v>9352</v>
      </c>
      <c r="F1913" t="s">
        <v>9353</v>
      </c>
      <c r="G1913" t="s">
        <v>9354</v>
      </c>
      <c r="I1913" t="s">
        <v>9355</v>
      </c>
      <c r="K1913" t="s">
        <v>9356</v>
      </c>
      <c r="N1913" t="s">
        <v>9357</v>
      </c>
      <c r="Z1913" t="s">
        <v>43</v>
      </c>
    </row>
    <row r="1914" spans="1:26" x14ac:dyDescent="0.25">
      <c r="A1914">
        <v>1913</v>
      </c>
      <c r="B1914" t="s">
        <v>30</v>
      </c>
      <c r="C1914" t="s">
        <v>9358</v>
      </c>
      <c r="D1914" t="s">
        <v>2014</v>
      </c>
      <c r="E1914" t="s">
        <v>800</v>
      </c>
      <c r="F1914" t="s">
        <v>9359</v>
      </c>
      <c r="G1914" t="s">
        <v>802</v>
      </c>
      <c r="I1914" t="s">
        <v>9360</v>
      </c>
      <c r="J1914">
        <f>57-305-300-1234</f>
        <v>-1782</v>
      </c>
      <c r="K1914" t="s">
        <v>9361</v>
      </c>
      <c r="N1914" t="s">
        <v>9362</v>
      </c>
      <c r="Z1914" t="s">
        <v>43</v>
      </c>
    </row>
    <row r="1915" spans="1:26" x14ac:dyDescent="0.25">
      <c r="A1915">
        <v>1914</v>
      </c>
      <c r="B1915" t="s">
        <v>30</v>
      </c>
      <c r="C1915" t="s">
        <v>9363</v>
      </c>
      <c r="D1915" t="s">
        <v>46</v>
      </c>
      <c r="E1915" t="s">
        <v>471</v>
      </c>
      <c r="F1915" t="s">
        <v>820</v>
      </c>
      <c r="G1915" t="s">
        <v>47</v>
      </c>
      <c r="I1915" t="s">
        <v>9364</v>
      </c>
      <c r="J1915">
        <f>57-317-222-407</f>
        <v>-889</v>
      </c>
      <c r="K1915" t="s">
        <v>9365</v>
      </c>
      <c r="N1915" t="s">
        <v>9366</v>
      </c>
      <c r="Z1915" t="s">
        <v>43</v>
      </c>
    </row>
    <row r="1916" spans="1:26" x14ac:dyDescent="0.25">
      <c r="A1916">
        <v>1915</v>
      </c>
      <c r="B1916" t="s">
        <v>30</v>
      </c>
      <c r="C1916" t="s">
        <v>9367</v>
      </c>
      <c r="D1916" t="s">
        <v>2958</v>
      </c>
      <c r="E1916" t="s">
        <v>471</v>
      </c>
      <c r="F1916" t="s">
        <v>2959</v>
      </c>
      <c r="G1916" t="s">
        <v>47</v>
      </c>
      <c r="I1916" t="s">
        <v>9368</v>
      </c>
      <c r="J1916">
        <f>57-319-334-6270</f>
        <v>-6866</v>
      </c>
      <c r="K1916" t="s">
        <v>9369</v>
      </c>
      <c r="N1916" t="s">
        <v>9370</v>
      </c>
      <c r="Z1916" t="s">
        <v>43</v>
      </c>
    </row>
    <row r="1917" spans="1:26" x14ac:dyDescent="0.25">
      <c r="A1917">
        <v>1916</v>
      </c>
      <c r="B1917" t="s">
        <v>30</v>
      </c>
      <c r="C1917" t="s">
        <v>9371</v>
      </c>
      <c r="D1917" t="s">
        <v>9372</v>
      </c>
      <c r="E1917" t="s">
        <v>56</v>
      </c>
      <c r="F1917" t="s">
        <v>9373</v>
      </c>
      <c r="G1917" t="s">
        <v>57</v>
      </c>
      <c r="I1917" t="s">
        <v>9374</v>
      </c>
      <c r="J1917">
        <f>57-320-234-614</f>
        <v>-1111</v>
      </c>
      <c r="K1917" t="s">
        <v>9375</v>
      </c>
      <c r="N1917" t="s">
        <v>9376</v>
      </c>
      <c r="Z1917" t="s">
        <v>43</v>
      </c>
    </row>
    <row r="1918" spans="1:26" x14ac:dyDescent="0.25">
      <c r="A1918">
        <v>1917</v>
      </c>
      <c r="B1918" t="s">
        <v>30</v>
      </c>
      <c r="C1918" t="s">
        <v>9377</v>
      </c>
      <c r="D1918" t="s">
        <v>9378</v>
      </c>
      <c r="E1918" t="s">
        <v>1248</v>
      </c>
      <c r="F1918" t="s">
        <v>9379</v>
      </c>
      <c r="G1918" t="s">
        <v>1250</v>
      </c>
      <c r="I1918" t="s">
        <v>9380</v>
      </c>
      <c r="K1918" t="s">
        <v>9381</v>
      </c>
      <c r="N1918" t="s">
        <v>9382</v>
      </c>
      <c r="Z1918" t="s">
        <v>43</v>
      </c>
    </row>
    <row r="1919" spans="1:26" x14ac:dyDescent="0.25">
      <c r="A1919">
        <v>1918</v>
      </c>
      <c r="B1919" t="s">
        <v>30</v>
      </c>
      <c r="C1919" t="s">
        <v>9383</v>
      </c>
      <c r="D1919" t="s">
        <v>909</v>
      </c>
      <c r="E1919" t="s">
        <v>471</v>
      </c>
      <c r="F1919" t="s">
        <v>2233</v>
      </c>
      <c r="G1919" t="s">
        <v>47</v>
      </c>
      <c r="I1919" t="s">
        <v>9384</v>
      </c>
      <c r="K1919" t="s">
        <v>9385</v>
      </c>
      <c r="N1919" t="s">
        <v>9386</v>
      </c>
      <c r="Z1919" t="s">
        <v>43</v>
      </c>
    </row>
    <row r="1920" spans="1:26" x14ac:dyDescent="0.25">
      <c r="A1920">
        <v>1919</v>
      </c>
      <c r="B1920" t="s">
        <v>30</v>
      </c>
      <c r="C1920" t="s">
        <v>9387</v>
      </c>
      <c r="D1920" t="s">
        <v>9388</v>
      </c>
      <c r="E1920" t="s">
        <v>72</v>
      </c>
      <c r="F1920" t="s">
        <v>9389</v>
      </c>
      <c r="G1920" t="s">
        <v>73</v>
      </c>
      <c r="I1920" t="s">
        <v>9390</v>
      </c>
      <c r="K1920" t="s">
        <v>9391</v>
      </c>
      <c r="N1920" t="s">
        <v>9392</v>
      </c>
      <c r="Z1920" t="s">
        <v>43</v>
      </c>
    </row>
    <row r="1921" spans="1:26" x14ac:dyDescent="0.25">
      <c r="A1921">
        <v>1920</v>
      </c>
      <c r="B1921" t="s">
        <v>30</v>
      </c>
      <c r="C1921" t="s">
        <v>9393</v>
      </c>
      <c r="D1921" t="s">
        <v>9394</v>
      </c>
      <c r="E1921" t="s">
        <v>2190</v>
      </c>
      <c r="F1921" t="s">
        <v>9395</v>
      </c>
      <c r="G1921" t="s">
        <v>2192</v>
      </c>
      <c r="I1921" t="s">
        <v>9396</v>
      </c>
      <c r="K1921" t="s">
        <v>9397</v>
      </c>
      <c r="N1921" t="s">
        <v>9398</v>
      </c>
      <c r="Z1921" t="s">
        <v>43</v>
      </c>
    </row>
    <row r="1922" spans="1:26" x14ac:dyDescent="0.25">
      <c r="A1922">
        <v>1921</v>
      </c>
      <c r="B1922" t="s">
        <v>30</v>
      </c>
      <c r="C1922" t="s">
        <v>9399</v>
      </c>
      <c r="D1922" t="s">
        <v>1982</v>
      </c>
      <c r="E1922" t="s">
        <v>64</v>
      </c>
      <c r="F1922" t="s">
        <v>9400</v>
      </c>
      <c r="G1922" t="s">
        <v>65</v>
      </c>
      <c r="I1922" t="s">
        <v>9401</v>
      </c>
      <c r="K1922" t="s">
        <v>9402</v>
      </c>
      <c r="N1922" t="s">
        <v>9403</v>
      </c>
      <c r="Z1922" t="s">
        <v>43</v>
      </c>
    </row>
    <row r="1923" spans="1:26" x14ac:dyDescent="0.25">
      <c r="A1923">
        <v>1922</v>
      </c>
      <c r="B1923" t="s">
        <v>30</v>
      </c>
      <c r="C1923" t="s">
        <v>9404</v>
      </c>
      <c r="D1923" t="s">
        <v>899</v>
      </c>
      <c r="E1923" t="s">
        <v>56</v>
      </c>
      <c r="F1923" t="s">
        <v>2456</v>
      </c>
      <c r="G1923" t="s">
        <v>57</v>
      </c>
      <c r="I1923" t="s">
        <v>9405</v>
      </c>
      <c r="K1923" t="s">
        <v>9406</v>
      </c>
      <c r="N1923" t="s">
        <v>9407</v>
      </c>
      <c r="Z1923" t="s">
        <v>43</v>
      </c>
    </row>
    <row r="1924" spans="1:26" x14ac:dyDescent="0.25">
      <c r="A1924">
        <v>1923</v>
      </c>
      <c r="B1924" t="s">
        <v>30</v>
      </c>
      <c r="C1924" t="s">
        <v>9408</v>
      </c>
      <c r="D1924" t="s">
        <v>1276</v>
      </c>
      <c r="E1924" t="s">
        <v>56</v>
      </c>
      <c r="F1924" t="s">
        <v>1277</v>
      </c>
      <c r="G1924" t="s">
        <v>57</v>
      </c>
      <c r="I1924" t="s">
        <v>9409</v>
      </c>
      <c r="J1924">
        <f>57-322-913-6270</f>
        <v>-7448</v>
      </c>
      <c r="K1924" t="s">
        <v>9410</v>
      </c>
      <c r="N1924" t="s">
        <v>9411</v>
      </c>
      <c r="Z1924" t="s">
        <v>43</v>
      </c>
    </row>
    <row r="1925" spans="1:26" x14ac:dyDescent="0.25">
      <c r="A1925">
        <v>1924</v>
      </c>
      <c r="B1925" t="s">
        <v>30</v>
      </c>
      <c r="C1925" t="s">
        <v>9412</v>
      </c>
      <c r="D1925" t="s">
        <v>46</v>
      </c>
      <c r="E1925" t="s">
        <v>471</v>
      </c>
      <c r="F1925" t="s">
        <v>820</v>
      </c>
      <c r="G1925" t="s">
        <v>47</v>
      </c>
      <c r="I1925" t="s">
        <v>9413</v>
      </c>
      <c r="K1925" t="s">
        <v>7798</v>
      </c>
      <c r="N1925" t="s">
        <v>9414</v>
      </c>
      <c r="Z1925" t="s">
        <v>43</v>
      </c>
    </row>
    <row r="1926" spans="1:26" x14ac:dyDescent="0.25">
      <c r="A1926">
        <v>1925</v>
      </c>
      <c r="B1926" t="s">
        <v>30</v>
      </c>
      <c r="C1926" t="s">
        <v>9415</v>
      </c>
      <c r="D1926" t="s">
        <v>46</v>
      </c>
      <c r="E1926" t="s">
        <v>471</v>
      </c>
      <c r="F1926" t="s">
        <v>820</v>
      </c>
      <c r="G1926" t="s">
        <v>47</v>
      </c>
      <c r="I1926" t="s">
        <v>9416</v>
      </c>
      <c r="K1926" t="s">
        <v>9417</v>
      </c>
      <c r="N1926" t="s">
        <v>9418</v>
      </c>
      <c r="Z1926" t="s">
        <v>43</v>
      </c>
    </row>
    <row r="1927" spans="1:26" x14ac:dyDescent="0.25">
      <c r="A1927">
        <v>1926</v>
      </c>
      <c r="B1927" t="s">
        <v>30</v>
      </c>
      <c r="C1927" t="s">
        <v>9419</v>
      </c>
      <c r="D1927" t="s">
        <v>4036</v>
      </c>
      <c r="E1927" t="s">
        <v>2117</v>
      </c>
      <c r="F1927" t="s">
        <v>4037</v>
      </c>
      <c r="G1927" t="s">
        <v>2119</v>
      </c>
      <c r="I1927" t="s">
        <v>9420</v>
      </c>
      <c r="J1927">
        <f>57-315-616-738</f>
        <v>-1612</v>
      </c>
      <c r="K1927" t="s">
        <v>9421</v>
      </c>
      <c r="N1927" t="s">
        <v>9422</v>
      </c>
      <c r="Z1927" t="s">
        <v>43</v>
      </c>
    </row>
    <row r="1928" spans="1:26" x14ac:dyDescent="0.25">
      <c r="A1928">
        <v>1927</v>
      </c>
      <c r="B1928" t="s">
        <v>30</v>
      </c>
      <c r="C1928" t="s">
        <v>9423</v>
      </c>
      <c r="D1928" t="s">
        <v>754</v>
      </c>
      <c r="E1928" t="s">
        <v>755</v>
      </c>
      <c r="F1928" t="s">
        <v>1636</v>
      </c>
      <c r="G1928" t="s">
        <v>757</v>
      </c>
      <c r="I1928" t="s">
        <v>9424</v>
      </c>
      <c r="K1928" t="s">
        <v>9425</v>
      </c>
      <c r="N1928" t="s">
        <v>9426</v>
      </c>
      <c r="Z1928" t="s">
        <v>43</v>
      </c>
    </row>
    <row r="1929" spans="1:26" x14ac:dyDescent="0.25">
      <c r="A1929">
        <v>1928</v>
      </c>
      <c r="B1929" t="s">
        <v>30</v>
      </c>
      <c r="C1929" t="s">
        <v>9427</v>
      </c>
      <c r="D1929" t="s">
        <v>5445</v>
      </c>
      <c r="E1929" t="s">
        <v>800</v>
      </c>
      <c r="F1929" t="s">
        <v>5446</v>
      </c>
      <c r="G1929" t="s">
        <v>802</v>
      </c>
      <c r="I1929" t="s">
        <v>9428</v>
      </c>
      <c r="J1929">
        <f>57-310-344-2724</f>
        <v>-3321</v>
      </c>
      <c r="K1929" t="s">
        <v>9429</v>
      </c>
      <c r="N1929" t="s">
        <v>9430</v>
      </c>
      <c r="Z1929" t="s">
        <v>43</v>
      </c>
    </row>
    <row r="1930" spans="1:26" x14ac:dyDescent="0.25">
      <c r="A1930">
        <v>1929</v>
      </c>
      <c r="B1930" t="s">
        <v>30</v>
      </c>
      <c r="C1930" t="s">
        <v>9431</v>
      </c>
      <c r="D1930" t="s">
        <v>909</v>
      </c>
      <c r="E1930" t="s">
        <v>471</v>
      </c>
      <c r="F1930" t="s">
        <v>910</v>
      </c>
      <c r="G1930" t="s">
        <v>47</v>
      </c>
      <c r="I1930" t="s">
        <v>9432</v>
      </c>
      <c r="K1930" t="s">
        <v>9433</v>
      </c>
      <c r="N1930" t="s">
        <v>9434</v>
      </c>
      <c r="Z1930" t="s">
        <v>43</v>
      </c>
    </row>
    <row r="1931" spans="1:26" x14ac:dyDescent="0.25">
      <c r="A1931">
        <v>1930</v>
      </c>
      <c r="B1931" t="s">
        <v>30</v>
      </c>
      <c r="C1931" t="s">
        <v>9435</v>
      </c>
      <c r="D1931" t="s">
        <v>909</v>
      </c>
      <c r="E1931" t="s">
        <v>471</v>
      </c>
      <c r="F1931" t="s">
        <v>1659</v>
      </c>
      <c r="G1931" t="s">
        <v>47</v>
      </c>
      <c r="I1931" t="s">
        <v>9436</v>
      </c>
      <c r="K1931" t="s">
        <v>9437</v>
      </c>
      <c r="N1931" t="s">
        <v>1990</v>
      </c>
      <c r="Z1931" t="s">
        <v>43</v>
      </c>
    </row>
    <row r="1932" spans="1:26" x14ac:dyDescent="0.25">
      <c r="A1932">
        <v>1931</v>
      </c>
      <c r="B1932" t="s">
        <v>30</v>
      </c>
      <c r="C1932" t="s">
        <v>9438</v>
      </c>
      <c r="D1932" t="s">
        <v>64</v>
      </c>
      <c r="E1932" t="s">
        <v>64</v>
      </c>
      <c r="F1932" t="s">
        <v>65</v>
      </c>
      <c r="G1932" t="s">
        <v>65</v>
      </c>
      <c r="I1932" t="s">
        <v>9439</v>
      </c>
      <c r="J1932">
        <f>57-318-631-9395</f>
        <v>-10287</v>
      </c>
      <c r="K1932" t="s">
        <v>9440</v>
      </c>
      <c r="N1932" t="s">
        <v>9441</v>
      </c>
      <c r="Z1932" t="s">
        <v>43</v>
      </c>
    </row>
    <row r="1933" spans="1:26" x14ac:dyDescent="0.25">
      <c r="A1933">
        <v>1932</v>
      </c>
      <c r="B1933" t="s">
        <v>30</v>
      </c>
      <c r="C1933" t="s">
        <v>9442</v>
      </c>
      <c r="D1933" t="s">
        <v>909</v>
      </c>
      <c r="E1933" t="s">
        <v>471</v>
      </c>
      <c r="F1933" t="s">
        <v>1659</v>
      </c>
      <c r="G1933" t="s">
        <v>47</v>
      </c>
      <c r="I1933" t="s">
        <v>9443</v>
      </c>
      <c r="J1933">
        <f>57-320-551-4831</f>
        <v>-5645</v>
      </c>
      <c r="K1933" t="s">
        <v>9444</v>
      </c>
      <c r="N1933" t="s">
        <v>9445</v>
      </c>
      <c r="Z1933" t="s">
        <v>43</v>
      </c>
    </row>
    <row r="1934" spans="1:26" x14ac:dyDescent="0.25">
      <c r="A1934">
        <v>1933</v>
      </c>
      <c r="B1934" t="s">
        <v>30</v>
      </c>
      <c r="C1934" t="s">
        <v>9446</v>
      </c>
      <c r="D1934" t="s">
        <v>46</v>
      </c>
      <c r="E1934" t="s">
        <v>56</v>
      </c>
      <c r="F1934" t="s">
        <v>820</v>
      </c>
      <c r="G1934" t="s">
        <v>57</v>
      </c>
      <c r="I1934" t="s">
        <v>9447</v>
      </c>
      <c r="K1934" t="s">
        <v>9448</v>
      </c>
      <c r="N1934" t="s">
        <v>4984</v>
      </c>
      <c r="Z1934" t="s">
        <v>43</v>
      </c>
    </row>
    <row r="1935" spans="1:26" x14ac:dyDescent="0.25">
      <c r="A1935">
        <v>1934</v>
      </c>
      <c r="B1935" t="s">
        <v>30</v>
      </c>
      <c r="C1935" t="s">
        <v>9449</v>
      </c>
      <c r="D1935" t="s">
        <v>4165</v>
      </c>
      <c r="E1935" t="s">
        <v>64</v>
      </c>
      <c r="F1935" t="s">
        <v>4166</v>
      </c>
      <c r="G1935" t="s">
        <v>65</v>
      </c>
      <c r="I1935" t="s">
        <v>9450</v>
      </c>
      <c r="K1935" t="s">
        <v>9451</v>
      </c>
      <c r="N1935" t="s">
        <v>9452</v>
      </c>
      <c r="Z1935" t="s">
        <v>43</v>
      </c>
    </row>
    <row r="1936" spans="1:26" x14ac:dyDescent="0.25">
      <c r="A1936">
        <v>1935</v>
      </c>
      <c r="B1936" t="s">
        <v>30</v>
      </c>
      <c r="C1936" t="s">
        <v>9453</v>
      </c>
      <c r="D1936" t="s">
        <v>9454</v>
      </c>
      <c r="E1936" t="s">
        <v>56</v>
      </c>
      <c r="F1936" t="s">
        <v>9455</v>
      </c>
      <c r="G1936" t="s">
        <v>57</v>
      </c>
      <c r="I1936" t="s">
        <v>9456</v>
      </c>
      <c r="J1936">
        <f>57-320-240-7432</f>
        <v>-7935</v>
      </c>
      <c r="K1936" t="s">
        <v>9457</v>
      </c>
      <c r="N1936" t="s">
        <v>9458</v>
      </c>
      <c r="Z1936" t="s">
        <v>43</v>
      </c>
    </row>
    <row r="1937" spans="1:26" x14ac:dyDescent="0.25">
      <c r="A1937">
        <v>1936</v>
      </c>
      <c r="B1937" t="s">
        <v>30</v>
      </c>
      <c r="C1937" t="s">
        <v>9459</v>
      </c>
      <c r="D1937" t="s">
        <v>9460</v>
      </c>
      <c r="E1937" t="s">
        <v>72</v>
      </c>
      <c r="F1937" t="s">
        <v>9461</v>
      </c>
      <c r="G1937" t="s">
        <v>73</v>
      </c>
      <c r="I1937" t="s">
        <v>9462</v>
      </c>
      <c r="J1937">
        <f>57-60-1-417-6260</f>
        <v>-6681</v>
      </c>
      <c r="K1937" t="s">
        <v>9463</v>
      </c>
      <c r="N1937" t="s">
        <v>9464</v>
      </c>
      <c r="Z1937" t="s">
        <v>43</v>
      </c>
    </row>
    <row r="1938" spans="1:26" x14ac:dyDescent="0.25">
      <c r="A1938">
        <v>1937</v>
      </c>
      <c r="B1938" t="s">
        <v>30</v>
      </c>
      <c r="C1938" t="s">
        <v>9465</v>
      </c>
      <c r="D1938" t="s">
        <v>909</v>
      </c>
      <c r="E1938" t="s">
        <v>471</v>
      </c>
      <c r="F1938" t="s">
        <v>1659</v>
      </c>
      <c r="G1938" t="s">
        <v>47</v>
      </c>
      <c r="I1938" t="s">
        <v>9466</v>
      </c>
      <c r="J1938">
        <f>57-318-315-5729</f>
        <v>-6305</v>
      </c>
      <c r="K1938" t="s">
        <v>9467</v>
      </c>
      <c r="N1938" t="s">
        <v>9468</v>
      </c>
      <c r="Z1938" t="s">
        <v>43</v>
      </c>
    </row>
    <row r="1939" spans="1:26" x14ac:dyDescent="0.25">
      <c r="A1939">
        <v>1938</v>
      </c>
      <c r="B1939" t="s">
        <v>30</v>
      </c>
      <c r="C1939" t="s">
        <v>9469</v>
      </c>
      <c r="D1939" t="s">
        <v>3287</v>
      </c>
      <c r="E1939" t="s">
        <v>72</v>
      </c>
      <c r="F1939" t="s">
        <v>3288</v>
      </c>
      <c r="G1939" t="s">
        <v>73</v>
      </c>
      <c r="I1939" t="s">
        <v>9470</v>
      </c>
      <c r="K1939" t="s">
        <v>9471</v>
      </c>
      <c r="N1939" t="s">
        <v>9472</v>
      </c>
      <c r="Z1939" t="s">
        <v>43</v>
      </c>
    </row>
    <row r="1940" spans="1:26" x14ac:dyDescent="0.25">
      <c r="A1940">
        <v>1939</v>
      </c>
      <c r="B1940" t="s">
        <v>30</v>
      </c>
      <c r="C1940" t="s">
        <v>9473</v>
      </c>
      <c r="D1940" t="s">
        <v>909</v>
      </c>
      <c r="E1940" t="s">
        <v>471</v>
      </c>
      <c r="F1940" t="s">
        <v>1659</v>
      </c>
      <c r="G1940" t="s">
        <v>47</v>
      </c>
      <c r="I1940" t="s">
        <v>9474</v>
      </c>
      <c r="J1940">
        <f>57-60-1-496-1243</f>
        <v>-1743</v>
      </c>
      <c r="K1940" t="s">
        <v>9475</v>
      </c>
      <c r="N1940" t="s">
        <v>9476</v>
      </c>
      <c r="Z1940" t="s">
        <v>43</v>
      </c>
    </row>
    <row r="1941" spans="1:26" x14ac:dyDescent="0.25">
      <c r="A1941">
        <v>1940</v>
      </c>
      <c r="B1941" t="s">
        <v>30</v>
      </c>
      <c r="C1941" t="s">
        <v>9477</v>
      </c>
      <c r="D1941" t="s">
        <v>1606</v>
      </c>
      <c r="E1941" t="s">
        <v>471</v>
      </c>
      <c r="F1941" t="s">
        <v>1607</v>
      </c>
      <c r="G1941" t="s">
        <v>47</v>
      </c>
      <c r="I1941" t="s">
        <v>9478</v>
      </c>
      <c r="K1941" t="s">
        <v>9479</v>
      </c>
      <c r="N1941" t="s">
        <v>9480</v>
      </c>
      <c r="Z1941" t="s">
        <v>43</v>
      </c>
    </row>
    <row r="1942" spans="1:26" x14ac:dyDescent="0.25">
      <c r="A1942">
        <v>1941</v>
      </c>
      <c r="B1942" t="s">
        <v>30</v>
      </c>
      <c r="C1942" t="s">
        <v>9481</v>
      </c>
      <c r="D1942" t="s">
        <v>772</v>
      </c>
      <c r="E1942" t="s">
        <v>471</v>
      </c>
      <c r="F1942" t="s">
        <v>773</v>
      </c>
      <c r="G1942" t="s">
        <v>47</v>
      </c>
      <c r="I1942" t="s">
        <v>9482</v>
      </c>
      <c r="J1942">
        <f>57-60-1-520-7692</f>
        <v>-8216</v>
      </c>
      <c r="K1942" t="s">
        <v>9483</v>
      </c>
      <c r="N1942" t="s">
        <v>9484</v>
      </c>
      <c r="Z1942" t="s">
        <v>43</v>
      </c>
    </row>
    <row r="1943" spans="1:26" x14ac:dyDescent="0.25">
      <c r="A1943">
        <v>1942</v>
      </c>
      <c r="B1943" t="s">
        <v>30</v>
      </c>
      <c r="C1943" t="s">
        <v>9485</v>
      </c>
      <c r="D1943" t="s">
        <v>9486</v>
      </c>
      <c r="E1943" t="s">
        <v>56</v>
      </c>
      <c r="F1943" t="s">
        <v>9487</v>
      </c>
      <c r="G1943" t="s">
        <v>57</v>
      </c>
      <c r="I1943" t="s">
        <v>9488</v>
      </c>
      <c r="J1943">
        <f>57-318-577-9233</f>
        <v>-10071</v>
      </c>
      <c r="K1943" t="s">
        <v>9489</v>
      </c>
      <c r="N1943" t="s">
        <v>9490</v>
      </c>
      <c r="Z1943" t="s">
        <v>43</v>
      </c>
    </row>
    <row r="1944" spans="1:26" x14ac:dyDescent="0.25">
      <c r="A1944">
        <v>1943</v>
      </c>
      <c r="B1944" t="s">
        <v>30</v>
      </c>
      <c r="C1944" t="s">
        <v>9491</v>
      </c>
      <c r="D1944" t="s">
        <v>8574</v>
      </c>
      <c r="E1944" t="s">
        <v>64</v>
      </c>
      <c r="F1944" t="s">
        <v>8575</v>
      </c>
      <c r="G1944" t="s">
        <v>65</v>
      </c>
      <c r="I1944" t="s">
        <v>9492</v>
      </c>
      <c r="K1944" t="s">
        <v>9493</v>
      </c>
      <c r="N1944" t="s">
        <v>9494</v>
      </c>
      <c r="Z1944" t="s">
        <v>43</v>
      </c>
    </row>
    <row r="1945" spans="1:26" x14ac:dyDescent="0.25">
      <c r="A1945">
        <v>1944</v>
      </c>
      <c r="B1945" t="s">
        <v>30</v>
      </c>
      <c r="C1945" t="s">
        <v>9495</v>
      </c>
      <c r="D1945" t="s">
        <v>9496</v>
      </c>
      <c r="E1945" t="s">
        <v>56</v>
      </c>
      <c r="F1945" t="s">
        <v>9497</v>
      </c>
      <c r="G1945" t="s">
        <v>57</v>
      </c>
      <c r="I1945" t="s">
        <v>9498</v>
      </c>
      <c r="J1945">
        <f>57-321-216-3026</f>
        <v>-3506</v>
      </c>
      <c r="K1945" t="s">
        <v>9499</v>
      </c>
      <c r="N1945" t="s">
        <v>9500</v>
      </c>
      <c r="Z1945" t="s">
        <v>43</v>
      </c>
    </row>
    <row r="1946" spans="1:26" x14ac:dyDescent="0.25">
      <c r="A1946">
        <v>1945</v>
      </c>
      <c r="B1946" t="s">
        <v>30</v>
      </c>
      <c r="C1946" t="s">
        <v>9501</v>
      </c>
      <c r="D1946" t="s">
        <v>9502</v>
      </c>
      <c r="E1946" t="s">
        <v>3133</v>
      </c>
      <c r="F1946" t="s">
        <v>9503</v>
      </c>
      <c r="G1946" t="s">
        <v>3135</v>
      </c>
      <c r="I1946" t="s">
        <v>9504</v>
      </c>
      <c r="J1946">
        <f>57-320-349-2334</f>
        <v>-2946</v>
      </c>
      <c r="K1946" t="s">
        <v>9505</v>
      </c>
      <c r="N1946" t="s">
        <v>9506</v>
      </c>
      <c r="Z1946" t="s">
        <v>43</v>
      </c>
    </row>
    <row r="1947" spans="1:26" x14ac:dyDescent="0.25">
      <c r="A1947">
        <v>1946</v>
      </c>
      <c r="B1947" t="s">
        <v>30</v>
      </c>
      <c r="C1947" t="s">
        <v>9507</v>
      </c>
      <c r="D1947" t="s">
        <v>9508</v>
      </c>
      <c r="E1947" t="s">
        <v>471</v>
      </c>
      <c r="F1947" t="s">
        <v>9509</v>
      </c>
      <c r="G1947" t="s">
        <v>966</v>
      </c>
      <c r="I1947" t="s">
        <v>9510</v>
      </c>
      <c r="J1947">
        <f>57-311-808-6923</f>
        <v>-7985</v>
      </c>
      <c r="K1947" t="s">
        <v>9511</v>
      </c>
      <c r="N1947" t="s">
        <v>9512</v>
      </c>
      <c r="Z1947" t="s">
        <v>43</v>
      </c>
    </row>
    <row r="1948" spans="1:26" x14ac:dyDescent="0.25">
      <c r="A1948">
        <v>1947</v>
      </c>
      <c r="B1948" t="s">
        <v>30</v>
      </c>
      <c r="C1948" t="s">
        <v>9513</v>
      </c>
      <c r="D1948" t="s">
        <v>46</v>
      </c>
      <c r="E1948" t="s">
        <v>471</v>
      </c>
      <c r="F1948" t="s">
        <v>1708</v>
      </c>
      <c r="G1948" t="s">
        <v>47</v>
      </c>
      <c r="I1948" t="s">
        <v>9514</v>
      </c>
      <c r="K1948" t="s">
        <v>9515</v>
      </c>
      <c r="N1948" t="s">
        <v>9516</v>
      </c>
      <c r="Z1948" t="s">
        <v>43</v>
      </c>
    </row>
    <row r="1949" spans="1:26" x14ac:dyDescent="0.25">
      <c r="A1949">
        <v>1948</v>
      </c>
      <c r="B1949" t="s">
        <v>30</v>
      </c>
      <c r="C1949" t="s">
        <v>9517</v>
      </c>
      <c r="D1949" t="s">
        <v>2336</v>
      </c>
      <c r="E1949" t="s">
        <v>471</v>
      </c>
      <c r="F1949" t="s">
        <v>2337</v>
      </c>
      <c r="G1949" t="s">
        <v>47</v>
      </c>
      <c r="I1949" t="s">
        <v>9518</v>
      </c>
      <c r="K1949" t="s">
        <v>9519</v>
      </c>
      <c r="N1949" t="s">
        <v>9520</v>
      </c>
      <c r="Z1949" t="s">
        <v>43</v>
      </c>
    </row>
    <row r="1950" spans="1:26" x14ac:dyDescent="0.25">
      <c r="A1950">
        <v>1949</v>
      </c>
      <c r="B1950" t="s">
        <v>30</v>
      </c>
      <c r="C1950" t="s">
        <v>9521</v>
      </c>
      <c r="D1950" t="s">
        <v>4036</v>
      </c>
      <c r="E1950" t="s">
        <v>56</v>
      </c>
      <c r="F1950" t="s">
        <v>4037</v>
      </c>
      <c r="G1950" t="s">
        <v>57</v>
      </c>
      <c r="I1950" t="s">
        <v>9522</v>
      </c>
      <c r="K1950" t="s">
        <v>9523</v>
      </c>
      <c r="N1950" t="s">
        <v>9524</v>
      </c>
      <c r="Z1950" t="s">
        <v>43</v>
      </c>
    </row>
    <row r="1951" spans="1:26" x14ac:dyDescent="0.25">
      <c r="A1951">
        <v>1950</v>
      </c>
      <c r="B1951" t="s">
        <v>30</v>
      </c>
      <c r="C1951" t="s">
        <v>9525</v>
      </c>
      <c r="D1951" t="s">
        <v>46</v>
      </c>
      <c r="E1951" t="s">
        <v>471</v>
      </c>
      <c r="F1951" t="s">
        <v>820</v>
      </c>
      <c r="G1951" t="s">
        <v>47</v>
      </c>
      <c r="I1951" t="s">
        <v>9526</v>
      </c>
      <c r="K1951" t="s">
        <v>9527</v>
      </c>
      <c r="N1951" t="s">
        <v>9528</v>
      </c>
      <c r="Z1951" t="s">
        <v>43</v>
      </c>
    </row>
    <row r="1952" spans="1:26" x14ac:dyDescent="0.25">
      <c r="A1952">
        <v>1951</v>
      </c>
      <c r="B1952" t="s">
        <v>30</v>
      </c>
      <c r="C1952" t="s">
        <v>9529</v>
      </c>
      <c r="D1952" t="s">
        <v>3118</v>
      </c>
      <c r="E1952" t="s">
        <v>471</v>
      </c>
      <c r="F1952" t="s">
        <v>5375</v>
      </c>
      <c r="G1952" t="s">
        <v>47</v>
      </c>
      <c r="I1952" t="s">
        <v>9530</v>
      </c>
      <c r="K1952" t="s">
        <v>9531</v>
      </c>
      <c r="N1952" t="s">
        <v>9532</v>
      </c>
      <c r="Z1952" t="s">
        <v>43</v>
      </c>
    </row>
    <row r="1953" spans="1:26" x14ac:dyDescent="0.25">
      <c r="A1953">
        <v>1952</v>
      </c>
      <c r="B1953" t="s">
        <v>30</v>
      </c>
      <c r="C1953" t="s">
        <v>9533</v>
      </c>
      <c r="D1953" t="s">
        <v>46</v>
      </c>
      <c r="E1953" t="s">
        <v>471</v>
      </c>
      <c r="F1953" t="s">
        <v>820</v>
      </c>
      <c r="G1953" t="s">
        <v>47</v>
      </c>
      <c r="I1953" t="s">
        <v>9534</v>
      </c>
      <c r="J1953">
        <f>57-60-1-257-1759</f>
        <v>-2020</v>
      </c>
      <c r="K1953" t="s">
        <v>9535</v>
      </c>
      <c r="N1953" t="s">
        <v>9536</v>
      </c>
      <c r="Z1953" t="s">
        <v>43</v>
      </c>
    </row>
    <row r="1954" spans="1:26" x14ac:dyDescent="0.25">
      <c r="A1954">
        <v>1953</v>
      </c>
      <c r="B1954" t="s">
        <v>30</v>
      </c>
      <c r="C1954" t="s">
        <v>9537</v>
      </c>
      <c r="D1954" t="s">
        <v>1260</v>
      </c>
      <c r="E1954" t="s">
        <v>471</v>
      </c>
      <c r="F1954" t="s">
        <v>9538</v>
      </c>
      <c r="G1954" t="s">
        <v>966</v>
      </c>
      <c r="I1954" t="s">
        <v>9539</v>
      </c>
      <c r="J1954">
        <f>57-312-595-3266</f>
        <v>-4116</v>
      </c>
      <c r="K1954" t="s">
        <v>9540</v>
      </c>
      <c r="N1954" t="s">
        <v>9541</v>
      </c>
      <c r="Z1954" t="s">
        <v>43</v>
      </c>
    </row>
    <row r="1955" spans="1:26" x14ac:dyDescent="0.25">
      <c r="A1955">
        <v>1954</v>
      </c>
      <c r="B1955" t="s">
        <v>30</v>
      </c>
      <c r="C1955" t="s">
        <v>9542</v>
      </c>
      <c r="D1955" t="s">
        <v>9543</v>
      </c>
      <c r="E1955" t="s">
        <v>471</v>
      </c>
      <c r="F1955" t="s">
        <v>9544</v>
      </c>
      <c r="G1955" t="s">
        <v>47</v>
      </c>
      <c r="I1955" t="s">
        <v>9545</v>
      </c>
      <c r="K1955" t="s">
        <v>9546</v>
      </c>
      <c r="N1955" t="s">
        <v>9547</v>
      </c>
      <c r="Z1955" t="s">
        <v>43</v>
      </c>
    </row>
    <row r="1956" spans="1:26" x14ac:dyDescent="0.25">
      <c r="A1956">
        <v>1955</v>
      </c>
      <c r="B1956" t="s">
        <v>30</v>
      </c>
      <c r="C1956" t="s">
        <v>9548</v>
      </c>
      <c r="D1956" t="s">
        <v>9549</v>
      </c>
      <c r="E1956" t="s">
        <v>9550</v>
      </c>
      <c r="F1956" t="s">
        <v>9551</v>
      </c>
      <c r="G1956" t="s">
        <v>9552</v>
      </c>
      <c r="I1956" t="s">
        <v>9553</v>
      </c>
      <c r="J1956">
        <f>57-314-291-17</f>
        <v>-565</v>
      </c>
      <c r="K1956" t="s">
        <v>9554</v>
      </c>
      <c r="N1956" t="s">
        <v>9555</v>
      </c>
      <c r="Z1956" t="s">
        <v>43</v>
      </c>
    </row>
    <row r="1957" spans="1:26" x14ac:dyDescent="0.25">
      <c r="A1957">
        <v>1956</v>
      </c>
      <c r="B1957" t="s">
        <v>30</v>
      </c>
      <c r="C1957" t="s">
        <v>9556</v>
      </c>
      <c r="D1957" t="s">
        <v>9557</v>
      </c>
      <c r="E1957" t="s">
        <v>3657</v>
      </c>
      <c r="F1957" t="s">
        <v>9558</v>
      </c>
      <c r="G1957" t="s">
        <v>3659</v>
      </c>
      <c r="I1957" t="s">
        <v>9559</v>
      </c>
      <c r="J1957">
        <f>57-320-456-2929</f>
        <v>-3648</v>
      </c>
      <c r="K1957" t="s">
        <v>9560</v>
      </c>
      <c r="N1957" t="s">
        <v>9561</v>
      </c>
      <c r="Z1957" t="s">
        <v>43</v>
      </c>
    </row>
    <row r="1958" spans="1:26" x14ac:dyDescent="0.25">
      <c r="A1958">
        <v>1957</v>
      </c>
      <c r="B1958" t="s">
        <v>30</v>
      </c>
      <c r="C1958" t="s">
        <v>9562</v>
      </c>
      <c r="D1958" t="s">
        <v>772</v>
      </c>
      <c r="E1958" t="s">
        <v>471</v>
      </c>
      <c r="F1958" t="s">
        <v>1822</v>
      </c>
      <c r="G1958" t="s">
        <v>47</v>
      </c>
      <c r="I1958" t="s">
        <v>9563</v>
      </c>
      <c r="K1958" t="s">
        <v>9564</v>
      </c>
      <c r="N1958" t="s">
        <v>9565</v>
      </c>
      <c r="Z1958" t="s">
        <v>43</v>
      </c>
    </row>
    <row r="1959" spans="1:26" x14ac:dyDescent="0.25">
      <c r="A1959">
        <v>1958</v>
      </c>
      <c r="B1959" t="s">
        <v>30</v>
      </c>
      <c r="C1959" t="s">
        <v>9566</v>
      </c>
      <c r="D1959" t="s">
        <v>6403</v>
      </c>
      <c r="E1959" t="s">
        <v>56</v>
      </c>
      <c r="F1959" t="s">
        <v>6404</v>
      </c>
      <c r="G1959" t="s">
        <v>57</v>
      </c>
      <c r="I1959" t="s">
        <v>9567</v>
      </c>
      <c r="J1959">
        <f>57-310-806-2735</f>
        <v>-3794</v>
      </c>
      <c r="K1959" t="s">
        <v>9568</v>
      </c>
      <c r="N1959" t="s">
        <v>9569</v>
      </c>
      <c r="Z1959" t="s">
        <v>43</v>
      </c>
    </row>
    <row r="1960" spans="1:26" x14ac:dyDescent="0.25">
      <c r="A1960">
        <v>1959</v>
      </c>
      <c r="B1960" t="s">
        <v>30</v>
      </c>
      <c r="C1960" t="s">
        <v>9570</v>
      </c>
      <c r="D1960" t="s">
        <v>72</v>
      </c>
      <c r="E1960" t="s">
        <v>72</v>
      </c>
      <c r="F1960" t="s">
        <v>73</v>
      </c>
      <c r="G1960" t="s">
        <v>73</v>
      </c>
      <c r="I1960" t="s">
        <v>9571</v>
      </c>
      <c r="K1960" t="s">
        <v>9572</v>
      </c>
      <c r="N1960" t="s">
        <v>9573</v>
      </c>
      <c r="Z1960" t="s">
        <v>43</v>
      </c>
    </row>
    <row r="1961" spans="1:26" x14ac:dyDescent="0.25">
      <c r="A1961">
        <v>1960</v>
      </c>
      <c r="B1961" t="s">
        <v>30</v>
      </c>
      <c r="C1961" t="s">
        <v>9574</v>
      </c>
      <c r="D1961" t="s">
        <v>1276</v>
      </c>
      <c r="E1961" t="s">
        <v>471</v>
      </c>
      <c r="F1961" t="s">
        <v>1277</v>
      </c>
      <c r="G1961" t="s">
        <v>47</v>
      </c>
      <c r="I1961" t="s">
        <v>9575</v>
      </c>
      <c r="J1961">
        <f>57-310-300-7724</f>
        <v>-8277</v>
      </c>
      <c r="K1961" t="s">
        <v>9576</v>
      </c>
      <c r="N1961" t="s">
        <v>9577</v>
      </c>
      <c r="Z1961" t="s">
        <v>43</v>
      </c>
    </row>
    <row r="1962" spans="1:26" x14ac:dyDescent="0.25">
      <c r="A1962">
        <v>1961</v>
      </c>
      <c r="B1962" t="s">
        <v>30</v>
      </c>
      <c r="C1962" t="s">
        <v>9578</v>
      </c>
      <c r="D1962" t="s">
        <v>7234</v>
      </c>
      <c r="E1962" t="s">
        <v>2592</v>
      </c>
      <c r="F1962" t="s">
        <v>7235</v>
      </c>
      <c r="G1962" t="s">
        <v>2594</v>
      </c>
      <c r="I1962" t="s">
        <v>9579</v>
      </c>
      <c r="J1962">
        <f>57-311-538-9788</f>
        <v>-10580</v>
      </c>
      <c r="K1962" t="s">
        <v>9580</v>
      </c>
      <c r="N1962" t="s">
        <v>9581</v>
      </c>
      <c r="Z1962" t="s">
        <v>43</v>
      </c>
    </row>
    <row r="1963" spans="1:26" x14ac:dyDescent="0.25">
      <c r="A1963">
        <v>1962</v>
      </c>
      <c r="B1963" t="s">
        <v>30</v>
      </c>
      <c r="C1963" t="s">
        <v>9582</v>
      </c>
      <c r="D1963" t="s">
        <v>9583</v>
      </c>
      <c r="E1963" t="s">
        <v>2936</v>
      </c>
      <c r="F1963" t="s">
        <v>9584</v>
      </c>
      <c r="G1963" t="s">
        <v>2938</v>
      </c>
      <c r="I1963" t="s">
        <v>9585</v>
      </c>
      <c r="K1963" t="s">
        <v>9586</v>
      </c>
      <c r="N1963" t="s">
        <v>9587</v>
      </c>
      <c r="Z1963" t="s">
        <v>43</v>
      </c>
    </row>
    <row r="1964" spans="1:26" x14ac:dyDescent="0.25">
      <c r="A1964">
        <v>1963</v>
      </c>
      <c r="B1964" t="s">
        <v>30</v>
      </c>
      <c r="C1964" t="s">
        <v>9588</v>
      </c>
      <c r="D1964" t="s">
        <v>9589</v>
      </c>
      <c r="E1964" t="s">
        <v>1760</v>
      </c>
      <c r="F1964" t="s">
        <v>9590</v>
      </c>
      <c r="G1964" t="s">
        <v>1762</v>
      </c>
      <c r="I1964" t="s">
        <v>9591</v>
      </c>
      <c r="J1964">
        <f>57-60-1-235-1662</f>
        <v>-1901</v>
      </c>
      <c r="K1964" t="s">
        <v>9592</v>
      </c>
      <c r="N1964" t="s">
        <v>9593</v>
      </c>
      <c r="Z1964" t="s">
        <v>43</v>
      </c>
    </row>
    <row r="1965" spans="1:26" x14ac:dyDescent="0.25">
      <c r="A1965">
        <v>1964</v>
      </c>
      <c r="B1965" t="s">
        <v>30</v>
      </c>
      <c r="C1965" t="s">
        <v>9594</v>
      </c>
      <c r="D1965" t="s">
        <v>9595</v>
      </c>
      <c r="E1965" t="s">
        <v>1055</v>
      </c>
      <c r="F1965" t="s">
        <v>9596</v>
      </c>
      <c r="G1965" t="s">
        <v>1057</v>
      </c>
      <c r="I1965" t="s">
        <v>9597</v>
      </c>
      <c r="J1965">
        <f>57-60-1-810-30</f>
        <v>-844</v>
      </c>
      <c r="K1965" t="s">
        <v>9598</v>
      </c>
      <c r="N1965" t="s">
        <v>9599</v>
      </c>
      <c r="Z1965" t="s">
        <v>43</v>
      </c>
    </row>
    <row r="1966" spans="1:26" x14ac:dyDescent="0.25">
      <c r="A1966">
        <v>1965</v>
      </c>
      <c r="B1966" t="s">
        <v>30</v>
      </c>
      <c r="C1966" t="s">
        <v>9600</v>
      </c>
      <c r="D1966" t="s">
        <v>46</v>
      </c>
      <c r="E1966" t="s">
        <v>471</v>
      </c>
      <c r="F1966" t="s">
        <v>1708</v>
      </c>
      <c r="G1966" t="s">
        <v>47</v>
      </c>
      <c r="I1966" t="s">
        <v>9601</v>
      </c>
      <c r="J1966">
        <f>57-313-476-1885</f>
        <v>-2617</v>
      </c>
      <c r="K1966" t="s">
        <v>9602</v>
      </c>
      <c r="N1966" t="s">
        <v>9603</v>
      </c>
      <c r="Z1966" t="s">
        <v>43</v>
      </c>
    </row>
    <row r="1967" spans="1:26" x14ac:dyDescent="0.25">
      <c r="A1967">
        <v>1966</v>
      </c>
      <c r="B1967" t="s">
        <v>30</v>
      </c>
      <c r="C1967" t="s">
        <v>9604</v>
      </c>
      <c r="D1967" t="s">
        <v>2394</v>
      </c>
      <c r="E1967" t="s">
        <v>471</v>
      </c>
      <c r="F1967" t="s">
        <v>5518</v>
      </c>
      <c r="G1967" t="s">
        <v>47</v>
      </c>
      <c r="I1967" t="s">
        <v>9605</v>
      </c>
      <c r="K1967" t="s">
        <v>9606</v>
      </c>
      <c r="N1967" t="s">
        <v>9607</v>
      </c>
      <c r="Z1967" t="s">
        <v>43</v>
      </c>
    </row>
    <row r="1968" spans="1:26" x14ac:dyDescent="0.25">
      <c r="A1968">
        <v>1967</v>
      </c>
      <c r="B1968" t="s">
        <v>30</v>
      </c>
      <c r="C1968" t="s">
        <v>9608</v>
      </c>
      <c r="D1968" t="s">
        <v>2923</v>
      </c>
      <c r="E1968" t="s">
        <v>56</v>
      </c>
      <c r="F1968" t="s">
        <v>2924</v>
      </c>
      <c r="G1968" t="s">
        <v>57</v>
      </c>
      <c r="I1968" t="s">
        <v>9609</v>
      </c>
      <c r="K1968" t="s">
        <v>9610</v>
      </c>
      <c r="N1968" t="s">
        <v>9611</v>
      </c>
      <c r="Z1968" t="s">
        <v>43</v>
      </c>
    </row>
    <row r="1969" spans="1:26" x14ac:dyDescent="0.25">
      <c r="A1969">
        <v>1968</v>
      </c>
      <c r="B1969" t="s">
        <v>30</v>
      </c>
      <c r="C1969" t="s">
        <v>9612</v>
      </c>
      <c r="D1969" t="s">
        <v>9613</v>
      </c>
      <c r="E1969" t="s">
        <v>2936</v>
      </c>
      <c r="F1969" t="s">
        <v>9614</v>
      </c>
      <c r="G1969" t="s">
        <v>2938</v>
      </c>
      <c r="I1969" t="s">
        <v>9615</v>
      </c>
      <c r="J1969">
        <f>57-312-372-1718</f>
        <v>-2345</v>
      </c>
      <c r="K1969" t="s">
        <v>9616</v>
      </c>
      <c r="N1969" t="s">
        <v>9617</v>
      </c>
      <c r="Z1969" t="s">
        <v>43</v>
      </c>
    </row>
    <row r="1970" spans="1:26" x14ac:dyDescent="0.25">
      <c r="A1970">
        <v>1969</v>
      </c>
      <c r="B1970" t="s">
        <v>30</v>
      </c>
      <c r="C1970" t="s">
        <v>9618</v>
      </c>
      <c r="D1970" t="s">
        <v>1260</v>
      </c>
      <c r="E1970" t="s">
        <v>471</v>
      </c>
      <c r="F1970" t="s">
        <v>2204</v>
      </c>
      <c r="G1970" t="s">
        <v>47</v>
      </c>
      <c r="I1970" t="s">
        <v>9619</v>
      </c>
      <c r="J1970">
        <f>57-317-681-6893</f>
        <v>-7834</v>
      </c>
      <c r="K1970" t="s">
        <v>9620</v>
      </c>
      <c r="N1970" t="s">
        <v>9621</v>
      </c>
      <c r="Z1970" t="s">
        <v>43</v>
      </c>
    </row>
    <row r="1971" spans="1:26" x14ac:dyDescent="0.25">
      <c r="A1971">
        <v>1970</v>
      </c>
      <c r="B1971" t="s">
        <v>30</v>
      </c>
      <c r="C1971" t="s">
        <v>9622</v>
      </c>
      <c r="D1971" t="s">
        <v>754</v>
      </c>
      <c r="E1971" t="s">
        <v>755</v>
      </c>
      <c r="F1971" t="s">
        <v>1636</v>
      </c>
      <c r="G1971" t="s">
        <v>757</v>
      </c>
      <c r="I1971" t="s">
        <v>9623</v>
      </c>
      <c r="J1971">
        <f>57-60-1-238-43</f>
        <v>-285</v>
      </c>
      <c r="K1971" t="s">
        <v>9624</v>
      </c>
      <c r="N1971" t="s">
        <v>9625</v>
      </c>
      <c r="Z1971" t="s">
        <v>43</v>
      </c>
    </row>
    <row r="1972" spans="1:26" x14ac:dyDescent="0.25">
      <c r="A1972">
        <v>1971</v>
      </c>
      <c r="B1972" t="s">
        <v>30</v>
      </c>
      <c r="C1972" t="s">
        <v>9626</v>
      </c>
      <c r="D1972" t="s">
        <v>9627</v>
      </c>
      <c r="E1972" t="s">
        <v>64</v>
      </c>
      <c r="F1972" t="s">
        <v>9628</v>
      </c>
      <c r="G1972" t="s">
        <v>65</v>
      </c>
      <c r="I1972" t="s">
        <v>9629</v>
      </c>
      <c r="K1972" t="s">
        <v>9630</v>
      </c>
      <c r="N1972" t="s">
        <v>9631</v>
      </c>
      <c r="Z1972" t="s">
        <v>43</v>
      </c>
    </row>
    <row r="1973" spans="1:26" x14ac:dyDescent="0.25">
      <c r="A1973">
        <v>1972</v>
      </c>
      <c r="B1973" t="s">
        <v>30</v>
      </c>
      <c r="C1973" t="s">
        <v>9632</v>
      </c>
      <c r="D1973" t="s">
        <v>2098</v>
      </c>
      <c r="E1973" t="s">
        <v>56</v>
      </c>
      <c r="F1973" t="s">
        <v>2099</v>
      </c>
      <c r="G1973" t="s">
        <v>57</v>
      </c>
      <c r="I1973" t="s">
        <v>9633</v>
      </c>
      <c r="K1973" t="s">
        <v>9634</v>
      </c>
      <c r="N1973" t="s">
        <v>9635</v>
      </c>
      <c r="Z1973" t="s">
        <v>43</v>
      </c>
    </row>
    <row r="1974" spans="1:26" x14ac:dyDescent="0.25">
      <c r="A1974">
        <v>1973</v>
      </c>
      <c r="B1974" t="s">
        <v>30</v>
      </c>
      <c r="C1974" t="s">
        <v>9636</v>
      </c>
      <c r="D1974" t="s">
        <v>72</v>
      </c>
      <c r="E1974" t="s">
        <v>72</v>
      </c>
      <c r="F1974" t="s">
        <v>73</v>
      </c>
      <c r="G1974" t="s">
        <v>73</v>
      </c>
      <c r="I1974" t="s">
        <v>9637</v>
      </c>
      <c r="K1974" t="s">
        <v>9638</v>
      </c>
      <c r="N1974" t="s">
        <v>9639</v>
      </c>
      <c r="Z1974" t="s">
        <v>43</v>
      </c>
    </row>
    <row r="1975" spans="1:26" x14ac:dyDescent="0.25">
      <c r="A1975">
        <v>1974</v>
      </c>
      <c r="B1975" t="s">
        <v>30</v>
      </c>
      <c r="C1975" t="s">
        <v>9640</v>
      </c>
      <c r="D1975" t="s">
        <v>9641</v>
      </c>
      <c r="E1975" t="s">
        <v>471</v>
      </c>
      <c r="F1975" t="s">
        <v>9642</v>
      </c>
      <c r="G1975" t="s">
        <v>47</v>
      </c>
      <c r="I1975" t="s">
        <v>9643</v>
      </c>
      <c r="J1975">
        <f>57-60-1-703-5114</f>
        <v>-5821</v>
      </c>
      <c r="K1975" t="s">
        <v>9644</v>
      </c>
      <c r="N1975" t="s">
        <v>9645</v>
      </c>
      <c r="Z1975" t="s">
        <v>43</v>
      </c>
    </row>
    <row r="1976" spans="1:26" x14ac:dyDescent="0.25">
      <c r="A1976">
        <v>1975</v>
      </c>
      <c r="B1976" t="s">
        <v>30</v>
      </c>
      <c r="C1976" t="s">
        <v>9646</v>
      </c>
      <c r="D1976" t="s">
        <v>9641</v>
      </c>
      <c r="E1976" t="s">
        <v>471</v>
      </c>
      <c r="F1976" t="s">
        <v>9642</v>
      </c>
      <c r="G1976" t="s">
        <v>47</v>
      </c>
      <c r="I1976" t="s">
        <v>9647</v>
      </c>
      <c r="J1976">
        <f>57-300-853-9020</f>
        <v>-10116</v>
      </c>
      <c r="K1976" t="s">
        <v>9648</v>
      </c>
      <c r="N1976" t="s">
        <v>9645</v>
      </c>
      <c r="Z1976" t="s">
        <v>43</v>
      </c>
    </row>
    <row r="1977" spans="1:26" x14ac:dyDescent="0.25">
      <c r="A1977">
        <v>1976</v>
      </c>
      <c r="B1977" t="s">
        <v>30</v>
      </c>
      <c r="C1977" t="s">
        <v>9649</v>
      </c>
      <c r="D1977" t="s">
        <v>64</v>
      </c>
      <c r="E1977" t="s">
        <v>64</v>
      </c>
      <c r="F1977" t="s">
        <v>65</v>
      </c>
      <c r="G1977" t="s">
        <v>65</v>
      </c>
      <c r="I1977" t="s">
        <v>9650</v>
      </c>
      <c r="J1977">
        <f>57-301-330-4516</f>
        <v>-5090</v>
      </c>
      <c r="K1977" t="s">
        <v>9651</v>
      </c>
      <c r="N1977" t="s">
        <v>9652</v>
      </c>
      <c r="Z1977" t="s">
        <v>43</v>
      </c>
    </row>
    <row r="1978" spans="1:26" x14ac:dyDescent="0.25">
      <c r="A1978">
        <v>1977</v>
      </c>
      <c r="B1978" t="s">
        <v>30</v>
      </c>
      <c r="C1978" t="s">
        <v>9653</v>
      </c>
      <c r="D1978" t="s">
        <v>46</v>
      </c>
      <c r="E1978" t="s">
        <v>471</v>
      </c>
      <c r="F1978" t="s">
        <v>820</v>
      </c>
      <c r="G1978" t="s">
        <v>47</v>
      </c>
      <c r="I1978" t="s">
        <v>9654</v>
      </c>
      <c r="K1978" t="s">
        <v>9655</v>
      </c>
      <c r="N1978" t="s">
        <v>9656</v>
      </c>
      <c r="Z1978" t="s">
        <v>43</v>
      </c>
    </row>
    <row r="1979" spans="1:26" x14ac:dyDescent="0.25">
      <c r="A1979">
        <v>1978</v>
      </c>
      <c r="B1979" t="s">
        <v>30</v>
      </c>
      <c r="C1979" t="s">
        <v>9657</v>
      </c>
      <c r="D1979" t="s">
        <v>909</v>
      </c>
      <c r="E1979" t="s">
        <v>56</v>
      </c>
      <c r="F1979" t="s">
        <v>1659</v>
      </c>
      <c r="G1979" t="s">
        <v>57</v>
      </c>
      <c r="I1979" t="s">
        <v>9658</v>
      </c>
      <c r="K1979" t="s">
        <v>9659</v>
      </c>
      <c r="N1979" t="s">
        <v>9660</v>
      </c>
      <c r="Z1979" t="s">
        <v>43</v>
      </c>
    </row>
    <row r="1980" spans="1:26" x14ac:dyDescent="0.25">
      <c r="A1980">
        <v>1979</v>
      </c>
      <c r="B1980" t="s">
        <v>30</v>
      </c>
      <c r="C1980" t="s">
        <v>9661</v>
      </c>
      <c r="D1980" t="s">
        <v>9662</v>
      </c>
      <c r="E1980" t="s">
        <v>2592</v>
      </c>
      <c r="F1980" t="s">
        <v>9663</v>
      </c>
      <c r="G1980" t="s">
        <v>2594</v>
      </c>
      <c r="I1980" t="s">
        <v>9664</v>
      </c>
      <c r="J1980">
        <f>57-60-1-408-3858</f>
        <v>-4270</v>
      </c>
      <c r="K1980" t="s">
        <v>9665</v>
      </c>
      <c r="N1980" t="s">
        <v>9666</v>
      </c>
      <c r="Z1980" t="s">
        <v>43</v>
      </c>
    </row>
    <row r="1981" spans="1:26" x14ac:dyDescent="0.25">
      <c r="A1981">
        <v>1980</v>
      </c>
      <c r="B1981" t="s">
        <v>30</v>
      </c>
      <c r="C1981" t="s">
        <v>9667</v>
      </c>
      <c r="D1981" t="s">
        <v>813</v>
      </c>
      <c r="E1981" t="s">
        <v>471</v>
      </c>
      <c r="F1981" t="s">
        <v>3735</v>
      </c>
      <c r="G1981" t="s">
        <v>47</v>
      </c>
      <c r="I1981" t="s">
        <v>9668</v>
      </c>
      <c r="K1981" t="s">
        <v>9669</v>
      </c>
      <c r="N1981" t="s">
        <v>9670</v>
      </c>
      <c r="Z1981" t="s">
        <v>43</v>
      </c>
    </row>
    <row r="1982" spans="1:26" x14ac:dyDescent="0.25">
      <c r="A1982">
        <v>1981</v>
      </c>
      <c r="B1982" t="s">
        <v>30</v>
      </c>
      <c r="C1982" t="s">
        <v>9671</v>
      </c>
      <c r="D1982" t="s">
        <v>772</v>
      </c>
      <c r="E1982" t="s">
        <v>471</v>
      </c>
      <c r="F1982" t="s">
        <v>3559</v>
      </c>
      <c r="G1982" t="s">
        <v>966</v>
      </c>
      <c r="I1982" t="s">
        <v>9672</v>
      </c>
      <c r="J1982">
        <f>57-301-441-2966</f>
        <v>-3651</v>
      </c>
      <c r="K1982" t="s">
        <v>9673</v>
      </c>
      <c r="N1982" t="s">
        <v>9674</v>
      </c>
      <c r="Z1982" t="s">
        <v>43</v>
      </c>
    </row>
    <row r="1983" spans="1:26" x14ac:dyDescent="0.25">
      <c r="A1983">
        <v>1982</v>
      </c>
      <c r="B1983" t="s">
        <v>30</v>
      </c>
      <c r="C1983" t="s">
        <v>9675</v>
      </c>
      <c r="D1983" t="s">
        <v>909</v>
      </c>
      <c r="E1983" t="s">
        <v>471</v>
      </c>
      <c r="F1983" t="s">
        <v>1659</v>
      </c>
      <c r="G1983" t="s">
        <v>47</v>
      </c>
      <c r="I1983" t="s">
        <v>9676</v>
      </c>
      <c r="K1983" t="s">
        <v>9677</v>
      </c>
      <c r="N1983" t="s">
        <v>9678</v>
      </c>
      <c r="Z1983" t="s">
        <v>43</v>
      </c>
    </row>
    <row r="1984" spans="1:26" x14ac:dyDescent="0.25">
      <c r="A1984">
        <v>1983</v>
      </c>
      <c r="B1984" t="s">
        <v>30</v>
      </c>
      <c r="C1984" t="s">
        <v>9679</v>
      </c>
      <c r="D1984" t="s">
        <v>9680</v>
      </c>
      <c r="E1984" t="s">
        <v>471</v>
      </c>
      <c r="F1984" t="s">
        <v>9681</v>
      </c>
      <c r="G1984" t="s">
        <v>47</v>
      </c>
      <c r="I1984" t="s">
        <v>9682</v>
      </c>
      <c r="K1984" t="s">
        <v>9683</v>
      </c>
      <c r="N1984" t="s">
        <v>9684</v>
      </c>
      <c r="Z1984" t="s">
        <v>43</v>
      </c>
    </row>
    <row r="1985" spans="1:26" x14ac:dyDescent="0.25">
      <c r="A1985">
        <v>1984</v>
      </c>
      <c r="B1985" t="s">
        <v>30</v>
      </c>
      <c r="C1985" t="s">
        <v>9685</v>
      </c>
      <c r="D1985" t="s">
        <v>9680</v>
      </c>
      <c r="E1985" t="s">
        <v>471</v>
      </c>
      <c r="F1985" t="s">
        <v>9681</v>
      </c>
      <c r="G1985" t="s">
        <v>47</v>
      </c>
      <c r="I1985" t="s">
        <v>9686</v>
      </c>
      <c r="K1985" t="s">
        <v>9687</v>
      </c>
      <c r="N1985" t="s">
        <v>9688</v>
      </c>
      <c r="Z1985" t="s">
        <v>43</v>
      </c>
    </row>
    <row r="1986" spans="1:26" x14ac:dyDescent="0.25">
      <c r="A1986">
        <v>1985</v>
      </c>
      <c r="B1986" t="s">
        <v>30</v>
      </c>
      <c r="C1986" t="s">
        <v>9689</v>
      </c>
      <c r="D1986" t="s">
        <v>5785</v>
      </c>
      <c r="E1986" t="s">
        <v>471</v>
      </c>
      <c r="F1986" t="s">
        <v>5786</v>
      </c>
      <c r="G1986" t="s">
        <v>47</v>
      </c>
      <c r="I1986" t="s">
        <v>9690</v>
      </c>
      <c r="K1986" t="s">
        <v>9691</v>
      </c>
      <c r="N1986" t="s">
        <v>9692</v>
      </c>
      <c r="Z1986" t="s">
        <v>43</v>
      </c>
    </row>
    <row r="1987" spans="1:26" x14ac:dyDescent="0.25">
      <c r="A1987">
        <v>1986</v>
      </c>
      <c r="B1987" t="s">
        <v>30</v>
      </c>
      <c r="C1987" t="s">
        <v>9693</v>
      </c>
      <c r="D1987" t="s">
        <v>384</v>
      </c>
      <c r="E1987" t="s">
        <v>471</v>
      </c>
      <c r="F1987" t="s">
        <v>386</v>
      </c>
      <c r="G1987" t="s">
        <v>47</v>
      </c>
      <c r="I1987" t="s">
        <v>9694</v>
      </c>
      <c r="J1987">
        <f>57-304-213-6766</f>
        <v>-7226</v>
      </c>
      <c r="K1987" t="s">
        <v>9695</v>
      </c>
      <c r="N1987" t="s">
        <v>9696</v>
      </c>
      <c r="Z1987" t="s">
        <v>43</v>
      </c>
    </row>
    <row r="1988" spans="1:26" x14ac:dyDescent="0.25">
      <c r="A1988">
        <v>1987</v>
      </c>
      <c r="B1988" t="s">
        <v>30</v>
      </c>
      <c r="C1988" t="s">
        <v>9697</v>
      </c>
      <c r="D1988" t="s">
        <v>384</v>
      </c>
      <c r="E1988" t="s">
        <v>385</v>
      </c>
      <c r="F1988" t="s">
        <v>2439</v>
      </c>
      <c r="G1988" t="s">
        <v>387</v>
      </c>
      <c r="I1988" t="s">
        <v>9698</v>
      </c>
      <c r="J1988">
        <f>57-318-765-5897</f>
        <v>-6923</v>
      </c>
      <c r="K1988" t="s">
        <v>9699</v>
      </c>
      <c r="N1988" t="s">
        <v>9700</v>
      </c>
      <c r="Z1988" t="s">
        <v>43</v>
      </c>
    </row>
    <row r="1989" spans="1:26" x14ac:dyDescent="0.25">
      <c r="A1989">
        <v>1988</v>
      </c>
      <c r="B1989" t="s">
        <v>30</v>
      </c>
      <c r="C1989" t="s">
        <v>9701</v>
      </c>
      <c r="D1989" t="s">
        <v>9702</v>
      </c>
      <c r="E1989" t="s">
        <v>64</v>
      </c>
      <c r="F1989" t="s">
        <v>9703</v>
      </c>
      <c r="G1989" t="s">
        <v>65</v>
      </c>
      <c r="I1989" t="s">
        <v>9704</v>
      </c>
      <c r="J1989">
        <f>57-60-1-460-5916</f>
        <v>-6380</v>
      </c>
      <c r="K1989" t="s">
        <v>9705</v>
      </c>
      <c r="N1989" t="s">
        <v>9706</v>
      </c>
      <c r="Z1989" t="s">
        <v>43</v>
      </c>
    </row>
    <row r="1990" spans="1:26" x14ac:dyDescent="0.25">
      <c r="A1990">
        <v>1989</v>
      </c>
      <c r="B1990" t="s">
        <v>30</v>
      </c>
      <c r="C1990" t="s">
        <v>9707</v>
      </c>
      <c r="D1990" t="s">
        <v>772</v>
      </c>
      <c r="E1990" t="s">
        <v>471</v>
      </c>
      <c r="F1990" t="s">
        <v>3559</v>
      </c>
      <c r="G1990" t="s">
        <v>966</v>
      </c>
      <c r="I1990" t="s">
        <v>9708</v>
      </c>
      <c r="J1990">
        <f>57-316-771-8596</f>
        <v>-9626</v>
      </c>
      <c r="K1990" t="s">
        <v>9709</v>
      </c>
      <c r="N1990" t="s">
        <v>9710</v>
      </c>
      <c r="Z1990" t="s">
        <v>43</v>
      </c>
    </row>
    <row r="1991" spans="1:26" x14ac:dyDescent="0.25">
      <c r="A1991">
        <v>1990</v>
      </c>
      <c r="B1991" t="s">
        <v>30</v>
      </c>
      <c r="C1991" t="s">
        <v>9711</v>
      </c>
      <c r="D1991" t="s">
        <v>9712</v>
      </c>
      <c r="E1991" t="s">
        <v>2916</v>
      </c>
      <c r="F1991" t="s">
        <v>9713</v>
      </c>
      <c r="G1991" t="s">
        <v>2918</v>
      </c>
      <c r="I1991" t="s">
        <v>9714</v>
      </c>
      <c r="J1991">
        <f>57-315-615-611</f>
        <v>-1484</v>
      </c>
      <c r="K1991" t="s">
        <v>9715</v>
      </c>
      <c r="N1991" t="s">
        <v>9716</v>
      </c>
      <c r="Z1991" t="s">
        <v>43</v>
      </c>
    </row>
    <row r="1992" spans="1:26" x14ac:dyDescent="0.25">
      <c r="A1992">
        <v>1991</v>
      </c>
      <c r="B1992" t="s">
        <v>30</v>
      </c>
      <c r="C1992" t="s">
        <v>9717</v>
      </c>
      <c r="D1992" t="s">
        <v>46</v>
      </c>
      <c r="E1992" t="s">
        <v>471</v>
      </c>
      <c r="F1992" t="s">
        <v>820</v>
      </c>
      <c r="G1992" t="s">
        <v>47</v>
      </c>
      <c r="I1992" t="s">
        <v>9718</v>
      </c>
      <c r="K1992" t="s">
        <v>9719</v>
      </c>
      <c r="N1992" t="s">
        <v>9720</v>
      </c>
      <c r="Z1992" t="s">
        <v>43</v>
      </c>
    </row>
    <row r="1993" spans="1:26" x14ac:dyDescent="0.25">
      <c r="A1993">
        <v>1992</v>
      </c>
      <c r="B1993" t="s">
        <v>30</v>
      </c>
      <c r="C1993" t="s">
        <v>9721</v>
      </c>
      <c r="D1993" t="s">
        <v>46</v>
      </c>
      <c r="E1993" t="s">
        <v>56</v>
      </c>
      <c r="F1993" t="s">
        <v>820</v>
      </c>
      <c r="G1993" t="s">
        <v>57</v>
      </c>
      <c r="I1993" t="s">
        <v>9722</v>
      </c>
      <c r="J1993">
        <f>57-60-1-611-2496</f>
        <v>-3111</v>
      </c>
      <c r="K1993" t="s">
        <v>9723</v>
      </c>
      <c r="N1993" t="s">
        <v>9724</v>
      </c>
      <c r="Z1993" t="s">
        <v>43</v>
      </c>
    </row>
    <row r="1994" spans="1:26" x14ac:dyDescent="0.25">
      <c r="A1994">
        <v>1993</v>
      </c>
      <c r="B1994" t="s">
        <v>30</v>
      </c>
      <c r="C1994" t="s">
        <v>9725</v>
      </c>
      <c r="D1994" t="s">
        <v>7881</v>
      </c>
      <c r="E1994" t="s">
        <v>1402</v>
      </c>
      <c r="F1994" t="s">
        <v>7882</v>
      </c>
      <c r="G1994" t="s">
        <v>1404</v>
      </c>
      <c r="I1994" t="s">
        <v>9726</v>
      </c>
      <c r="J1994">
        <f>57-320-807-1049</f>
        <v>-2119</v>
      </c>
      <c r="K1994" t="s">
        <v>9727</v>
      </c>
      <c r="N1994" t="s">
        <v>9728</v>
      </c>
      <c r="Z1994" t="s">
        <v>43</v>
      </c>
    </row>
    <row r="1995" spans="1:26" x14ac:dyDescent="0.25">
      <c r="A1995">
        <v>1994</v>
      </c>
      <c r="B1995" t="s">
        <v>30</v>
      </c>
      <c r="C1995" t="s">
        <v>9729</v>
      </c>
      <c r="D1995" t="s">
        <v>754</v>
      </c>
      <c r="E1995" t="s">
        <v>755</v>
      </c>
      <c r="F1995" t="s">
        <v>1636</v>
      </c>
      <c r="G1995" t="s">
        <v>757</v>
      </c>
      <c r="I1995" t="s">
        <v>9424</v>
      </c>
      <c r="J1995">
        <f>57-60-1-250-2019</f>
        <v>-2273</v>
      </c>
      <c r="K1995" t="s">
        <v>9730</v>
      </c>
      <c r="N1995" t="s">
        <v>9426</v>
      </c>
      <c r="Z1995" t="s">
        <v>43</v>
      </c>
    </row>
    <row r="1996" spans="1:26" x14ac:dyDescent="0.25">
      <c r="A1996">
        <v>1995</v>
      </c>
      <c r="B1996" t="s">
        <v>30</v>
      </c>
      <c r="C1996" t="s">
        <v>9731</v>
      </c>
      <c r="D1996" t="s">
        <v>2346</v>
      </c>
      <c r="E1996" t="s">
        <v>385</v>
      </c>
      <c r="F1996" t="s">
        <v>2347</v>
      </c>
      <c r="G1996" t="s">
        <v>387</v>
      </c>
      <c r="I1996" t="s">
        <v>9732</v>
      </c>
      <c r="K1996" t="s">
        <v>9733</v>
      </c>
      <c r="N1996" t="s">
        <v>8741</v>
      </c>
      <c r="Z1996" t="s">
        <v>43</v>
      </c>
    </row>
    <row r="1997" spans="1:26" x14ac:dyDescent="0.25">
      <c r="A1997">
        <v>1996</v>
      </c>
      <c r="B1997" t="s">
        <v>30</v>
      </c>
      <c r="C1997" t="s">
        <v>9734</v>
      </c>
      <c r="D1997" t="s">
        <v>9735</v>
      </c>
      <c r="E1997" t="s">
        <v>2051</v>
      </c>
      <c r="F1997" t="s">
        <v>9736</v>
      </c>
      <c r="G1997" t="s">
        <v>2053</v>
      </c>
      <c r="I1997" t="s">
        <v>9737</v>
      </c>
      <c r="K1997" t="s">
        <v>9738</v>
      </c>
      <c r="N1997" t="s">
        <v>9739</v>
      </c>
      <c r="Z1997" t="s">
        <v>43</v>
      </c>
    </row>
    <row r="1998" spans="1:26" x14ac:dyDescent="0.25">
      <c r="A1998">
        <v>1997</v>
      </c>
      <c r="B1998" t="s">
        <v>30</v>
      </c>
      <c r="C1998" t="s">
        <v>9740</v>
      </c>
      <c r="D1998" t="s">
        <v>9741</v>
      </c>
      <c r="E1998" t="s">
        <v>64</v>
      </c>
      <c r="F1998" t="s">
        <v>9742</v>
      </c>
      <c r="G1998" t="s">
        <v>65</v>
      </c>
      <c r="I1998" t="s">
        <v>9743</v>
      </c>
      <c r="J1998">
        <f>57-60-1-794-1802</f>
        <v>-2600</v>
      </c>
      <c r="K1998" t="s">
        <v>9744</v>
      </c>
      <c r="N1998" t="s">
        <v>9745</v>
      </c>
      <c r="Z1998" t="s">
        <v>43</v>
      </c>
    </row>
    <row r="1999" spans="1:26" x14ac:dyDescent="0.25">
      <c r="A1999">
        <v>1998</v>
      </c>
      <c r="B1999" t="s">
        <v>30</v>
      </c>
      <c r="C1999" t="s">
        <v>9746</v>
      </c>
      <c r="D1999" t="s">
        <v>909</v>
      </c>
      <c r="E1999" t="s">
        <v>471</v>
      </c>
      <c r="F1999" t="s">
        <v>1659</v>
      </c>
      <c r="G1999" t="s">
        <v>47</v>
      </c>
      <c r="I1999" t="s">
        <v>9747</v>
      </c>
      <c r="K1999" t="s">
        <v>9748</v>
      </c>
      <c r="N1999" t="s">
        <v>9749</v>
      </c>
      <c r="Z1999" t="s">
        <v>43</v>
      </c>
    </row>
    <row r="2000" spans="1:26" x14ac:dyDescent="0.25">
      <c r="A2000">
        <v>1999</v>
      </c>
      <c r="B2000" t="s">
        <v>30</v>
      </c>
      <c r="C2000" t="s">
        <v>9750</v>
      </c>
      <c r="D2000" t="s">
        <v>9751</v>
      </c>
      <c r="E2000" t="s">
        <v>1217</v>
      </c>
      <c r="F2000" t="s">
        <v>9752</v>
      </c>
      <c r="G2000" t="s">
        <v>1530</v>
      </c>
      <c r="I2000" t="s">
        <v>9753</v>
      </c>
      <c r="J2000">
        <f>57-314-709-6906</f>
        <v>-7872</v>
      </c>
      <c r="K2000" t="s">
        <v>9754</v>
      </c>
      <c r="N2000" t="s">
        <v>9755</v>
      </c>
      <c r="Z2000" t="s">
        <v>43</v>
      </c>
    </row>
    <row r="2001" spans="1:26" x14ac:dyDescent="0.25">
      <c r="A2001">
        <v>2000</v>
      </c>
      <c r="B2001" t="s">
        <v>30</v>
      </c>
      <c r="C2001" t="s">
        <v>9756</v>
      </c>
      <c r="D2001" t="s">
        <v>9757</v>
      </c>
      <c r="E2001" t="s">
        <v>56</v>
      </c>
      <c r="F2001" t="s">
        <v>9758</v>
      </c>
      <c r="G2001" t="s">
        <v>57</v>
      </c>
      <c r="I2001" t="s">
        <v>9759</v>
      </c>
      <c r="K2001" t="s">
        <v>9760</v>
      </c>
      <c r="N2001" t="s">
        <v>9761</v>
      </c>
      <c r="Z2001" t="s">
        <v>43</v>
      </c>
    </row>
    <row r="2002" spans="1:26" x14ac:dyDescent="0.25">
      <c r="A2002">
        <v>2001</v>
      </c>
      <c r="B2002" t="s">
        <v>30</v>
      </c>
      <c r="C2002" t="s">
        <v>9762</v>
      </c>
      <c r="D2002" t="s">
        <v>2064</v>
      </c>
      <c r="E2002" t="s">
        <v>471</v>
      </c>
      <c r="F2002" t="s">
        <v>2065</v>
      </c>
      <c r="G2002" t="s">
        <v>47</v>
      </c>
      <c r="I2002" t="s">
        <v>9763</v>
      </c>
      <c r="J2002">
        <f>57-316-755-3942</f>
        <v>-4956</v>
      </c>
      <c r="K2002" t="s">
        <v>9764</v>
      </c>
      <c r="N2002" t="s">
        <v>9765</v>
      </c>
      <c r="Z2002" t="s">
        <v>43</v>
      </c>
    </row>
    <row r="2003" spans="1:26" x14ac:dyDescent="0.25">
      <c r="A2003">
        <v>2002</v>
      </c>
      <c r="B2003" t="s">
        <v>30</v>
      </c>
      <c r="C2003" t="s">
        <v>9766</v>
      </c>
      <c r="D2003" t="s">
        <v>9767</v>
      </c>
      <c r="E2003" t="s">
        <v>64</v>
      </c>
      <c r="F2003" t="s">
        <v>9768</v>
      </c>
      <c r="G2003" t="s">
        <v>65</v>
      </c>
      <c r="I2003" t="s">
        <v>9769</v>
      </c>
      <c r="J2003">
        <f>57-315-829-6478</f>
        <v>-7565</v>
      </c>
      <c r="K2003" t="s">
        <v>9770</v>
      </c>
      <c r="N2003" t="s">
        <v>9771</v>
      </c>
      <c r="Z2003" t="s">
        <v>43</v>
      </c>
    </row>
    <row r="2004" spans="1:26" x14ac:dyDescent="0.25">
      <c r="A2004">
        <v>2003</v>
      </c>
      <c r="B2004" t="s">
        <v>30</v>
      </c>
      <c r="C2004" t="s">
        <v>9772</v>
      </c>
      <c r="D2004" t="s">
        <v>5933</v>
      </c>
      <c r="E2004" t="s">
        <v>755</v>
      </c>
      <c r="F2004" t="s">
        <v>7661</v>
      </c>
      <c r="G2004" t="s">
        <v>757</v>
      </c>
      <c r="I2004" t="s">
        <v>9773</v>
      </c>
      <c r="K2004" t="s">
        <v>9774</v>
      </c>
      <c r="N2004" t="s">
        <v>9775</v>
      </c>
      <c r="Z2004" t="s">
        <v>43</v>
      </c>
    </row>
    <row r="2005" spans="1:26" x14ac:dyDescent="0.25">
      <c r="A2005">
        <v>2004</v>
      </c>
      <c r="B2005" t="s">
        <v>30</v>
      </c>
      <c r="C2005" t="s">
        <v>9776</v>
      </c>
      <c r="D2005" t="s">
        <v>772</v>
      </c>
      <c r="E2005" t="s">
        <v>471</v>
      </c>
      <c r="F2005" t="s">
        <v>773</v>
      </c>
      <c r="G2005" t="s">
        <v>47</v>
      </c>
      <c r="I2005" t="s">
        <v>999</v>
      </c>
      <c r="J2005">
        <f>57-312-482-1274</f>
        <v>-2011</v>
      </c>
      <c r="K2005" t="s">
        <v>9777</v>
      </c>
      <c r="N2005" t="s">
        <v>9778</v>
      </c>
      <c r="Z2005" t="s">
        <v>43</v>
      </c>
    </row>
    <row r="2006" spans="1:26" x14ac:dyDescent="0.25">
      <c r="A2006">
        <v>2005</v>
      </c>
      <c r="B2006" t="s">
        <v>30</v>
      </c>
      <c r="C2006" t="s">
        <v>9779</v>
      </c>
      <c r="D2006" t="s">
        <v>772</v>
      </c>
      <c r="E2006" t="s">
        <v>471</v>
      </c>
      <c r="F2006" t="s">
        <v>773</v>
      </c>
      <c r="G2006" t="s">
        <v>47</v>
      </c>
      <c r="I2006" t="s">
        <v>9780</v>
      </c>
      <c r="J2006">
        <f>57-310-860-3576</f>
        <v>-4689</v>
      </c>
      <c r="K2006" t="s">
        <v>9781</v>
      </c>
      <c r="N2006" t="s">
        <v>9782</v>
      </c>
      <c r="Z2006" t="s">
        <v>43</v>
      </c>
    </row>
    <row r="2007" spans="1:26" x14ac:dyDescent="0.25">
      <c r="A2007">
        <v>2006</v>
      </c>
      <c r="B2007" t="s">
        <v>30</v>
      </c>
      <c r="C2007" t="s">
        <v>9783</v>
      </c>
      <c r="D2007" t="s">
        <v>909</v>
      </c>
      <c r="E2007" t="s">
        <v>471</v>
      </c>
      <c r="F2007" t="s">
        <v>2233</v>
      </c>
      <c r="G2007" t="s">
        <v>47</v>
      </c>
      <c r="I2007" t="s">
        <v>9784</v>
      </c>
      <c r="J2007">
        <f>57-313-464-5916</f>
        <v>-6636</v>
      </c>
      <c r="K2007" t="s">
        <v>9785</v>
      </c>
      <c r="N2007" t="s">
        <v>9786</v>
      </c>
      <c r="Z2007" t="s">
        <v>43</v>
      </c>
    </row>
    <row r="2008" spans="1:26" x14ac:dyDescent="0.25">
      <c r="A2008">
        <v>2007</v>
      </c>
      <c r="B2008" t="s">
        <v>30</v>
      </c>
      <c r="C2008" t="s">
        <v>9787</v>
      </c>
      <c r="D2008" t="s">
        <v>9788</v>
      </c>
      <c r="E2008" t="s">
        <v>2157</v>
      </c>
      <c r="F2008" t="s">
        <v>9789</v>
      </c>
      <c r="G2008" t="s">
        <v>2159</v>
      </c>
      <c r="I2008" t="s">
        <v>9790</v>
      </c>
      <c r="K2008" t="s">
        <v>9791</v>
      </c>
      <c r="N2008" t="s">
        <v>9792</v>
      </c>
      <c r="Z2008" t="s">
        <v>43</v>
      </c>
    </row>
    <row r="2009" spans="1:26" x14ac:dyDescent="0.25">
      <c r="A2009">
        <v>2008</v>
      </c>
      <c r="B2009" t="s">
        <v>30</v>
      </c>
      <c r="C2009" t="s">
        <v>9793</v>
      </c>
      <c r="D2009" t="s">
        <v>72</v>
      </c>
      <c r="E2009" t="s">
        <v>72</v>
      </c>
      <c r="F2009" t="s">
        <v>73</v>
      </c>
      <c r="G2009" t="s">
        <v>73</v>
      </c>
      <c r="I2009" t="s">
        <v>9794</v>
      </c>
      <c r="K2009" t="s">
        <v>9795</v>
      </c>
      <c r="N2009" t="s">
        <v>9796</v>
      </c>
      <c r="Z2009" t="s">
        <v>43</v>
      </c>
    </row>
    <row r="2010" spans="1:26" x14ac:dyDescent="0.25">
      <c r="A2010">
        <v>2009</v>
      </c>
      <c r="B2010" t="s">
        <v>30</v>
      </c>
      <c r="C2010" t="s">
        <v>9797</v>
      </c>
      <c r="D2010" t="s">
        <v>9798</v>
      </c>
      <c r="E2010" t="s">
        <v>755</v>
      </c>
      <c r="F2010" t="s">
        <v>9799</v>
      </c>
      <c r="G2010" t="s">
        <v>757</v>
      </c>
      <c r="I2010" t="s">
        <v>9800</v>
      </c>
      <c r="J2010">
        <f>57-60-1-741-1790</f>
        <v>-2535</v>
      </c>
      <c r="K2010" t="s">
        <v>9801</v>
      </c>
      <c r="N2010" t="s">
        <v>1831</v>
      </c>
      <c r="Z2010" t="s">
        <v>43</v>
      </c>
    </row>
    <row r="2011" spans="1:26" x14ac:dyDescent="0.25">
      <c r="A2011">
        <v>2010</v>
      </c>
      <c r="B2011" t="s">
        <v>30</v>
      </c>
      <c r="C2011" t="s">
        <v>9802</v>
      </c>
      <c r="D2011" t="s">
        <v>1260</v>
      </c>
      <c r="E2011" t="s">
        <v>471</v>
      </c>
      <c r="F2011" t="s">
        <v>1665</v>
      </c>
      <c r="G2011" t="s">
        <v>47</v>
      </c>
      <c r="I2011" t="s">
        <v>9803</v>
      </c>
      <c r="K2011" t="s">
        <v>9804</v>
      </c>
      <c r="N2011" t="s">
        <v>9805</v>
      </c>
      <c r="Z2011" t="s">
        <v>43</v>
      </c>
    </row>
    <row r="2012" spans="1:26" x14ac:dyDescent="0.25">
      <c r="A2012">
        <v>2011</v>
      </c>
      <c r="B2012" t="s">
        <v>30</v>
      </c>
      <c r="C2012" t="s">
        <v>9806</v>
      </c>
      <c r="D2012" t="s">
        <v>9807</v>
      </c>
      <c r="E2012" t="s">
        <v>471</v>
      </c>
      <c r="F2012" t="s">
        <v>9808</v>
      </c>
      <c r="G2012" t="s">
        <v>47</v>
      </c>
      <c r="I2012" t="s">
        <v>9809</v>
      </c>
      <c r="J2012">
        <f>57-301-787-4337</f>
        <v>-5368</v>
      </c>
      <c r="K2012" t="s">
        <v>9810</v>
      </c>
      <c r="N2012" t="s">
        <v>9811</v>
      </c>
      <c r="Z2012" t="s">
        <v>43</v>
      </c>
    </row>
    <row r="2013" spans="1:26" x14ac:dyDescent="0.25">
      <c r="A2013">
        <v>2012</v>
      </c>
      <c r="B2013" t="s">
        <v>30</v>
      </c>
      <c r="C2013" t="s">
        <v>9812</v>
      </c>
      <c r="D2013" t="s">
        <v>9813</v>
      </c>
      <c r="E2013" t="s">
        <v>385</v>
      </c>
      <c r="F2013" t="s">
        <v>9814</v>
      </c>
      <c r="G2013" t="s">
        <v>387</v>
      </c>
      <c r="I2013" t="s">
        <v>8107</v>
      </c>
      <c r="J2013">
        <f>57-316-523-925</f>
        <v>-1707</v>
      </c>
      <c r="K2013" t="s">
        <v>9815</v>
      </c>
      <c r="N2013" t="s">
        <v>9816</v>
      </c>
      <c r="Z2013" t="s">
        <v>43</v>
      </c>
    </row>
    <row r="2014" spans="1:26" x14ac:dyDescent="0.25">
      <c r="A2014">
        <v>2013</v>
      </c>
      <c r="B2014" t="s">
        <v>30</v>
      </c>
      <c r="C2014" t="s">
        <v>9817</v>
      </c>
      <c r="D2014" t="s">
        <v>909</v>
      </c>
      <c r="E2014" t="s">
        <v>471</v>
      </c>
      <c r="F2014" t="s">
        <v>1659</v>
      </c>
      <c r="G2014" t="s">
        <v>47</v>
      </c>
      <c r="I2014" t="s">
        <v>9818</v>
      </c>
      <c r="J2014">
        <f>57-310-304-5037</f>
        <v>-5594</v>
      </c>
      <c r="K2014" t="s">
        <v>9819</v>
      </c>
      <c r="N2014" t="s">
        <v>9820</v>
      </c>
      <c r="Z2014" t="s">
        <v>43</v>
      </c>
    </row>
    <row r="2015" spans="1:26" x14ac:dyDescent="0.25">
      <c r="A2015">
        <v>2014</v>
      </c>
      <c r="B2015" t="s">
        <v>30</v>
      </c>
      <c r="C2015" t="s">
        <v>9821</v>
      </c>
      <c r="D2015" t="s">
        <v>5130</v>
      </c>
      <c r="E2015" t="s">
        <v>471</v>
      </c>
      <c r="F2015" t="s">
        <v>5131</v>
      </c>
      <c r="G2015" t="s">
        <v>47</v>
      </c>
      <c r="I2015" t="s">
        <v>9822</v>
      </c>
      <c r="K2015" t="s">
        <v>9823</v>
      </c>
      <c r="N2015" t="s">
        <v>9824</v>
      </c>
      <c r="Z2015" t="s">
        <v>43</v>
      </c>
    </row>
    <row r="2016" spans="1:26" x14ac:dyDescent="0.25">
      <c r="A2016">
        <v>2015</v>
      </c>
      <c r="B2016" t="s">
        <v>30</v>
      </c>
      <c r="C2016" t="s">
        <v>9825</v>
      </c>
      <c r="D2016" t="s">
        <v>5455</v>
      </c>
      <c r="E2016" t="s">
        <v>1774</v>
      </c>
      <c r="F2016" t="s">
        <v>9826</v>
      </c>
      <c r="G2016" t="s">
        <v>1776</v>
      </c>
      <c r="I2016" t="s">
        <v>9827</v>
      </c>
      <c r="K2016" t="s">
        <v>9828</v>
      </c>
      <c r="N2016" t="s">
        <v>9829</v>
      </c>
      <c r="Z2016" t="s">
        <v>43</v>
      </c>
    </row>
    <row r="2017" spans="1:26" x14ac:dyDescent="0.25">
      <c r="A2017">
        <v>2016</v>
      </c>
      <c r="B2017" t="s">
        <v>30</v>
      </c>
      <c r="C2017" t="s">
        <v>9830</v>
      </c>
      <c r="D2017" t="s">
        <v>46</v>
      </c>
      <c r="E2017" t="s">
        <v>471</v>
      </c>
      <c r="F2017" t="s">
        <v>820</v>
      </c>
      <c r="G2017" t="s">
        <v>47</v>
      </c>
      <c r="I2017" t="s">
        <v>9831</v>
      </c>
      <c r="K2017" t="s">
        <v>9832</v>
      </c>
      <c r="N2017" t="s">
        <v>9833</v>
      </c>
      <c r="Z2017" t="s">
        <v>43</v>
      </c>
    </row>
    <row r="2018" spans="1:26" x14ac:dyDescent="0.25">
      <c r="A2018">
        <v>2017</v>
      </c>
      <c r="B2018" t="s">
        <v>30</v>
      </c>
      <c r="C2018" t="s">
        <v>9834</v>
      </c>
      <c r="D2018" t="s">
        <v>2168</v>
      </c>
      <c r="E2018" t="s">
        <v>800</v>
      </c>
      <c r="F2018" t="s">
        <v>2169</v>
      </c>
      <c r="G2018" t="s">
        <v>802</v>
      </c>
      <c r="I2018" t="s">
        <v>9835</v>
      </c>
      <c r="K2018" t="s">
        <v>9836</v>
      </c>
      <c r="N2018" t="s">
        <v>9837</v>
      </c>
      <c r="Z2018" t="s">
        <v>43</v>
      </c>
    </row>
    <row r="2019" spans="1:26" x14ac:dyDescent="0.25">
      <c r="A2019">
        <v>2018</v>
      </c>
      <c r="B2019" t="s">
        <v>30</v>
      </c>
      <c r="C2019" t="s">
        <v>9838</v>
      </c>
      <c r="D2019" t="s">
        <v>384</v>
      </c>
      <c r="E2019" t="s">
        <v>385</v>
      </c>
      <c r="F2019" t="s">
        <v>2439</v>
      </c>
      <c r="G2019" t="s">
        <v>387</v>
      </c>
      <c r="I2019" t="s">
        <v>9839</v>
      </c>
      <c r="K2019" t="s">
        <v>9840</v>
      </c>
      <c r="N2019" t="s">
        <v>9841</v>
      </c>
      <c r="Z2019" t="s">
        <v>43</v>
      </c>
    </row>
    <row r="2020" spans="1:26" x14ac:dyDescent="0.25">
      <c r="A2020">
        <v>2019</v>
      </c>
      <c r="B2020" t="s">
        <v>30</v>
      </c>
      <c r="C2020" t="s">
        <v>9842</v>
      </c>
      <c r="D2020" t="s">
        <v>64</v>
      </c>
      <c r="E2020" t="s">
        <v>64</v>
      </c>
      <c r="F2020" t="s">
        <v>3572</v>
      </c>
      <c r="G2020" t="s">
        <v>65</v>
      </c>
      <c r="I2020" t="s">
        <v>9843</v>
      </c>
      <c r="K2020" t="s">
        <v>9844</v>
      </c>
      <c r="N2020" t="s">
        <v>9845</v>
      </c>
      <c r="Z2020" t="s">
        <v>43</v>
      </c>
    </row>
    <row r="2021" spans="1:26" x14ac:dyDescent="0.25">
      <c r="A2021">
        <v>2020</v>
      </c>
      <c r="B2021" t="s">
        <v>30</v>
      </c>
      <c r="C2021" t="s">
        <v>9846</v>
      </c>
      <c r="D2021" t="s">
        <v>5757</v>
      </c>
      <c r="E2021" t="s">
        <v>385</v>
      </c>
      <c r="F2021" t="s">
        <v>5758</v>
      </c>
      <c r="G2021" t="s">
        <v>387</v>
      </c>
      <c r="I2021" t="s">
        <v>5763</v>
      </c>
      <c r="K2021" t="s">
        <v>9847</v>
      </c>
      <c r="N2021" t="s">
        <v>5761</v>
      </c>
      <c r="Z2021" t="s">
        <v>43</v>
      </c>
    </row>
    <row r="2022" spans="1:26" x14ac:dyDescent="0.25">
      <c r="A2022">
        <v>2021</v>
      </c>
      <c r="B2022" t="s">
        <v>30</v>
      </c>
      <c r="C2022" t="s">
        <v>9848</v>
      </c>
      <c r="D2022" t="s">
        <v>9849</v>
      </c>
      <c r="E2022" t="s">
        <v>471</v>
      </c>
      <c r="F2022" t="s">
        <v>9850</v>
      </c>
      <c r="G2022" t="s">
        <v>47</v>
      </c>
      <c r="I2022" t="s">
        <v>9851</v>
      </c>
      <c r="J2022">
        <f>57-300-629-821</f>
        <v>-1693</v>
      </c>
      <c r="K2022" t="s">
        <v>9852</v>
      </c>
      <c r="N2022" t="s">
        <v>9853</v>
      </c>
      <c r="Z2022" t="s">
        <v>43</v>
      </c>
    </row>
    <row r="2023" spans="1:26" x14ac:dyDescent="0.25">
      <c r="A2023">
        <v>2022</v>
      </c>
      <c r="B2023" t="s">
        <v>30</v>
      </c>
      <c r="C2023" t="s">
        <v>9854</v>
      </c>
      <c r="D2023" t="s">
        <v>2596</v>
      </c>
      <c r="E2023" t="s">
        <v>471</v>
      </c>
      <c r="F2023" t="s">
        <v>9855</v>
      </c>
      <c r="G2023" t="s">
        <v>47</v>
      </c>
      <c r="I2023" t="s">
        <v>9856</v>
      </c>
      <c r="K2023" t="s">
        <v>9857</v>
      </c>
      <c r="N2023" t="s">
        <v>9253</v>
      </c>
      <c r="Z2023" t="s">
        <v>43</v>
      </c>
    </row>
    <row r="2024" spans="1:26" x14ac:dyDescent="0.25">
      <c r="A2024">
        <v>2023</v>
      </c>
      <c r="B2024" t="s">
        <v>30</v>
      </c>
      <c r="C2024" t="s">
        <v>9858</v>
      </c>
      <c r="D2024" t="s">
        <v>2801</v>
      </c>
      <c r="E2024" t="s">
        <v>471</v>
      </c>
      <c r="F2024" t="s">
        <v>2802</v>
      </c>
      <c r="G2024" t="s">
        <v>47</v>
      </c>
      <c r="I2024" t="s">
        <v>9859</v>
      </c>
      <c r="K2024" t="s">
        <v>9860</v>
      </c>
      <c r="N2024" t="s">
        <v>4133</v>
      </c>
      <c r="Z2024" t="s">
        <v>43</v>
      </c>
    </row>
    <row r="2025" spans="1:26" x14ac:dyDescent="0.25">
      <c r="A2025">
        <v>2024</v>
      </c>
      <c r="B2025" t="s">
        <v>30</v>
      </c>
      <c r="C2025" t="s">
        <v>9861</v>
      </c>
      <c r="D2025" t="s">
        <v>9862</v>
      </c>
      <c r="E2025" t="s">
        <v>2210</v>
      </c>
      <c r="F2025" t="s">
        <v>9863</v>
      </c>
      <c r="G2025" t="s">
        <v>2212</v>
      </c>
      <c r="I2025" t="s">
        <v>9864</v>
      </c>
      <c r="K2025" t="s">
        <v>9865</v>
      </c>
      <c r="N2025" t="s">
        <v>9866</v>
      </c>
      <c r="Z2025" t="s">
        <v>43</v>
      </c>
    </row>
    <row r="2026" spans="1:26" x14ac:dyDescent="0.25">
      <c r="A2026">
        <v>2025</v>
      </c>
      <c r="B2026" t="s">
        <v>30</v>
      </c>
      <c r="C2026" t="s">
        <v>9867</v>
      </c>
      <c r="D2026" t="s">
        <v>9862</v>
      </c>
      <c r="E2026" t="s">
        <v>2210</v>
      </c>
      <c r="F2026" t="s">
        <v>9863</v>
      </c>
      <c r="G2026" t="s">
        <v>2212</v>
      </c>
      <c r="I2026" t="s">
        <v>9868</v>
      </c>
      <c r="J2026">
        <f>57-312-300-473</f>
        <v>-1028</v>
      </c>
      <c r="K2026" t="s">
        <v>9869</v>
      </c>
      <c r="N2026" t="s">
        <v>9870</v>
      </c>
      <c r="Z2026" t="s">
        <v>43</v>
      </c>
    </row>
    <row r="2027" spans="1:26" x14ac:dyDescent="0.25">
      <c r="A2027">
        <v>2026</v>
      </c>
      <c r="B2027" t="s">
        <v>30</v>
      </c>
      <c r="C2027" t="s">
        <v>9871</v>
      </c>
      <c r="D2027" t="s">
        <v>7881</v>
      </c>
      <c r="E2027" t="s">
        <v>56</v>
      </c>
      <c r="F2027" t="s">
        <v>7882</v>
      </c>
      <c r="G2027" t="s">
        <v>57</v>
      </c>
      <c r="I2027" t="s">
        <v>9872</v>
      </c>
      <c r="J2027">
        <f>57-312-522-5947</f>
        <v>-6724</v>
      </c>
      <c r="K2027" t="s">
        <v>1672</v>
      </c>
      <c r="N2027" t="s">
        <v>1673</v>
      </c>
      <c r="Z2027" t="s">
        <v>43</v>
      </c>
    </row>
    <row r="2028" spans="1:26" x14ac:dyDescent="0.25">
      <c r="A2028">
        <v>2027</v>
      </c>
      <c r="B2028" t="s">
        <v>30</v>
      </c>
      <c r="C2028" t="s">
        <v>9873</v>
      </c>
      <c r="D2028" t="s">
        <v>9874</v>
      </c>
      <c r="E2028" t="s">
        <v>2105</v>
      </c>
      <c r="F2028" t="s">
        <v>9875</v>
      </c>
      <c r="G2028" t="s">
        <v>2107</v>
      </c>
      <c r="I2028" t="s">
        <v>9876</v>
      </c>
      <c r="J2028">
        <f>57-312-450-2482</f>
        <v>-3187</v>
      </c>
      <c r="K2028" t="s">
        <v>9877</v>
      </c>
      <c r="N2028" t="s">
        <v>9878</v>
      </c>
      <c r="Z2028" t="s">
        <v>43</v>
      </c>
    </row>
    <row r="2029" spans="1:26" x14ac:dyDescent="0.25">
      <c r="A2029">
        <v>2028</v>
      </c>
      <c r="B2029" t="s">
        <v>30</v>
      </c>
      <c r="C2029" t="s">
        <v>9879</v>
      </c>
      <c r="D2029" t="s">
        <v>3973</v>
      </c>
      <c r="E2029" t="s">
        <v>56</v>
      </c>
      <c r="F2029" t="s">
        <v>3974</v>
      </c>
      <c r="G2029" t="s">
        <v>57</v>
      </c>
      <c r="I2029" t="s">
        <v>9880</v>
      </c>
      <c r="K2029" t="s">
        <v>9881</v>
      </c>
      <c r="N2029" t="s">
        <v>9882</v>
      </c>
      <c r="Z2029" t="s">
        <v>43</v>
      </c>
    </row>
    <row r="2030" spans="1:26" x14ac:dyDescent="0.25">
      <c r="A2030">
        <v>2029</v>
      </c>
      <c r="B2030" t="s">
        <v>30</v>
      </c>
      <c r="C2030" t="s">
        <v>9883</v>
      </c>
      <c r="D2030" t="s">
        <v>9884</v>
      </c>
      <c r="E2030" t="s">
        <v>2210</v>
      </c>
      <c r="F2030" t="s">
        <v>9885</v>
      </c>
      <c r="G2030" t="s">
        <v>2212</v>
      </c>
      <c r="I2030" t="s">
        <v>9886</v>
      </c>
      <c r="J2030">
        <f>57-60-1-753-8869</f>
        <v>-9626</v>
      </c>
      <c r="K2030" t="s">
        <v>9887</v>
      </c>
      <c r="N2030" t="s">
        <v>9888</v>
      </c>
      <c r="Z2030" t="s">
        <v>43</v>
      </c>
    </row>
    <row r="2031" spans="1:26" x14ac:dyDescent="0.25">
      <c r="A2031">
        <v>2030</v>
      </c>
      <c r="B2031" t="s">
        <v>30</v>
      </c>
      <c r="C2031" t="s">
        <v>9889</v>
      </c>
      <c r="D2031" t="s">
        <v>9890</v>
      </c>
      <c r="E2031" t="s">
        <v>2416</v>
      </c>
      <c r="F2031" t="s">
        <v>9891</v>
      </c>
      <c r="G2031" t="s">
        <v>2418</v>
      </c>
      <c r="I2031" t="s">
        <v>9892</v>
      </c>
      <c r="K2031" t="s">
        <v>9893</v>
      </c>
      <c r="N2031" t="s">
        <v>9894</v>
      </c>
      <c r="Z2031" t="s">
        <v>43</v>
      </c>
    </row>
    <row r="2032" spans="1:26" x14ac:dyDescent="0.25">
      <c r="A2032">
        <v>2031</v>
      </c>
      <c r="B2032" t="s">
        <v>30</v>
      </c>
      <c r="C2032" t="s">
        <v>9895</v>
      </c>
      <c r="D2032" t="s">
        <v>9896</v>
      </c>
      <c r="E2032" t="s">
        <v>1760</v>
      </c>
      <c r="F2032" t="s">
        <v>9897</v>
      </c>
      <c r="G2032" t="s">
        <v>1762</v>
      </c>
      <c r="I2032" t="s">
        <v>9898</v>
      </c>
      <c r="K2032" t="s">
        <v>9899</v>
      </c>
      <c r="N2032" t="s">
        <v>9900</v>
      </c>
      <c r="Z2032" t="s">
        <v>43</v>
      </c>
    </row>
    <row r="2033" spans="1:26" x14ac:dyDescent="0.25">
      <c r="A2033">
        <v>2032</v>
      </c>
      <c r="B2033" t="s">
        <v>30</v>
      </c>
      <c r="C2033" t="s">
        <v>9901</v>
      </c>
      <c r="D2033" t="s">
        <v>46</v>
      </c>
      <c r="E2033" t="s">
        <v>471</v>
      </c>
      <c r="F2033" t="s">
        <v>1708</v>
      </c>
      <c r="G2033" t="s">
        <v>47</v>
      </c>
      <c r="I2033" t="s">
        <v>9902</v>
      </c>
      <c r="K2033" t="s">
        <v>9903</v>
      </c>
      <c r="N2033" t="s">
        <v>7617</v>
      </c>
      <c r="Z2033" t="s">
        <v>43</v>
      </c>
    </row>
    <row r="2034" spans="1:26" x14ac:dyDescent="0.25">
      <c r="A2034">
        <v>2033</v>
      </c>
      <c r="B2034" t="s">
        <v>30</v>
      </c>
      <c r="C2034" t="s">
        <v>9904</v>
      </c>
      <c r="D2034" t="s">
        <v>1713</v>
      </c>
      <c r="E2034" t="s">
        <v>64</v>
      </c>
      <c r="F2034" t="s">
        <v>2089</v>
      </c>
      <c r="G2034" t="s">
        <v>65</v>
      </c>
      <c r="I2034" t="s">
        <v>9905</v>
      </c>
      <c r="J2034">
        <f>57-312-455-9401</f>
        <v>-10111</v>
      </c>
      <c r="K2034" t="s">
        <v>9906</v>
      </c>
      <c r="N2034" t="s">
        <v>9907</v>
      </c>
      <c r="Z2034" t="s">
        <v>43</v>
      </c>
    </row>
    <row r="2035" spans="1:26" x14ac:dyDescent="0.25">
      <c r="A2035">
        <v>2034</v>
      </c>
      <c r="B2035" t="s">
        <v>30</v>
      </c>
      <c r="C2035" t="s">
        <v>9908</v>
      </c>
      <c r="D2035" t="s">
        <v>1816</v>
      </c>
      <c r="E2035" t="s">
        <v>56</v>
      </c>
      <c r="F2035" t="s">
        <v>1857</v>
      </c>
      <c r="G2035" t="s">
        <v>57</v>
      </c>
      <c r="I2035" t="s">
        <v>9909</v>
      </c>
      <c r="J2035">
        <f>57-60-1-805-2921</f>
        <v>-3730</v>
      </c>
      <c r="K2035" t="s">
        <v>9910</v>
      </c>
      <c r="N2035" t="s">
        <v>9911</v>
      </c>
      <c r="Z2035" t="s">
        <v>43</v>
      </c>
    </row>
    <row r="2036" spans="1:26" x14ac:dyDescent="0.25">
      <c r="A2036">
        <v>2035</v>
      </c>
      <c r="B2036" t="s">
        <v>30</v>
      </c>
      <c r="C2036" t="s">
        <v>9912</v>
      </c>
      <c r="D2036" t="s">
        <v>9913</v>
      </c>
      <c r="E2036" t="s">
        <v>1792</v>
      </c>
      <c r="F2036" t="s">
        <v>9914</v>
      </c>
      <c r="G2036" t="s">
        <v>1794</v>
      </c>
      <c r="I2036" t="s">
        <v>9915</v>
      </c>
      <c r="J2036">
        <f>57-60-1-675-4097</f>
        <v>-4776</v>
      </c>
      <c r="K2036" t="s">
        <v>9916</v>
      </c>
      <c r="N2036" t="s">
        <v>9917</v>
      </c>
      <c r="Z2036" t="s">
        <v>43</v>
      </c>
    </row>
    <row r="2037" spans="1:26" x14ac:dyDescent="0.25">
      <c r="A2037">
        <v>2036</v>
      </c>
      <c r="B2037" t="s">
        <v>30</v>
      </c>
      <c r="C2037" t="s">
        <v>9918</v>
      </c>
      <c r="D2037" t="s">
        <v>9919</v>
      </c>
      <c r="E2037" t="s">
        <v>471</v>
      </c>
      <c r="F2037" t="s">
        <v>9920</v>
      </c>
      <c r="G2037" t="s">
        <v>47</v>
      </c>
      <c r="I2037" t="s">
        <v>9921</v>
      </c>
      <c r="J2037">
        <f>57-60-1-703-9018</f>
        <v>-9725</v>
      </c>
      <c r="K2037" t="s">
        <v>9922</v>
      </c>
      <c r="N2037" t="s">
        <v>9923</v>
      </c>
      <c r="Z2037" t="s">
        <v>43</v>
      </c>
    </row>
    <row r="2038" spans="1:26" x14ac:dyDescent="0.25">
      <c r="A2038">
        <v>2037</v>
      </c>
      <c r="B2038" t="s">
        <v>30</v>
      </c>
      <c r="C2038" t="s">
        <v>9924</v>
      </c>
      <c r="D2038" t="s">
        <v>9925</v>
      </c>
      <c r="E2038" t="s">
        <v>1055</v>
      </c>
      <c r="F2038" t="s">
        <v>9926</v>
      </c>
      <c r="G2038" t="s">
        <v>1057</v>
      </c>
      <c r="I2038" t="s">
        <v>9927</v>
      </c>
      <c r="K2038" t="s">
        <v>9928</v>
      </c>
      <c r="N2038" t="s">
        <v>9929</v>
      </c>
      <c r="Z2038" t="s">
        <v>43</v>
      </c>
    </row>
    <row r="2039" spans="1:26" x14ac:dyDescent="0.25">
      <c r="A2039">
        <v>2038</v>
      </c>
      <c r="B2039" t="s">
        <v>30</v>
      </c>
      <c r="C2039" t="s">
        <v>9930</v>
      </c>
      <c r="D2039" t="s">
        <v>46</v>
      </c>
      <c r="E2039" t="s">
        <v>471</v>
      </c>
      <c r="F2039" t="s">
        <v>820</v>
      </c>
      <c r="G2039" t="s">
        <v>47</v>
      </c>
      <c r="I2039" t="s">
        <v>9931</v>
      </c>
      <c r="J2039">
        <f>57-60-1-334-2186</f>
        <v>-2524</v>
      </c>
      <c r="K2039" t="s">
        <v>9932</v>
      </c>
      <c r="N2039" t="s">
        <v>9933</v>
      </c>
      <c r="Z2039" t="s">
        <v>43</v>
      </c>
    </row>
    <row r="2040" spans="1:26" x14ac:dyDescent="0.25">
      <c r="A2040">
        <v>2039</v>
      </c>
      <c r="B2040" t="s">
        <v>30</v>
      </c>
      <c r="C2040" t="s">
        <v>9934</v>
      </c>
      <c r="D2040" t="s">
        <v>1260</v>
      </c>
      <c r="E2040" t="s">
        <v>64</v>
      </c>
      <c r="F2040" t="s">
        <v>1653</v>
      </c>
      <c r="G2040" t="s">
        <v>65</v>
      </c>
      <c r="I2040" t="s">
        <v>9935</v>
      </c>
      <c r="J2040">
        <f>57-311-801-5156</f>
        <v>-6211</v>
      </c>
      <c r="K2040" t="s">
        <v>9936</v>
      </c>
      <c r="N2040" t="s">
        <v>9937</v>
      </c>
      <c r="Z2040" t="s">
        <v>43</v>
      </c>
    </row>
    <row r="2041" spans="1:26" x14ac:dyDescent="0.25">
      <c r="A2041">
        <v>2040</v>
      </c>
      <c r="B2041" t="s">
        <v>30</v>
      </c>
      <c r="C2041" t="s">
        <v>9938</v>
      </c>
      <c r="D2041" t="s">
        <v>2713</v>
      </c>
      <c r="E2041" t="s">
        <v>2105</v>
      </c>
      <c r="F2041" t="s">
        <v>5418</v>
      </c>
      <c r="G2041" t="s">
        <v>5419</v>
      </c>
      <c r="I2041" t="s">
        <v>9939</v>
      </c>
      <c r="K2041" t="s">
        <v>9940</v>
      </c>
      <c r="N2041" t="s">
        <v>9941</v>
      </c>
      <c r="Z2041" t="s">
        <v>43</v>
      </c>
    </row>
    <row r="2042" spans="1:26" x14ac:dyDescent="0.25">
      <c r="A2042">
        <v>2041</v>
      </c>
      <c r="B2042" t="s">
        <v>30</v>
      </c>
      <c r="C2042" t="s">
        <v>9942</v>
      </c>
      <c r="D2042" t="s">
        <v>3118</v>
      </c>
      <c r="E2042" t="s">
        <v>471</v>
      </c>
      <c r="F2042" t="s">
        <v>3119</v>
      </c>
      <c r="G2042" t="s">
        <v>47</v>
      </c>
      <c r="I2042" t="s">
        <v>9943</v>
      </c>
      <c r="K2042" t="s">
        <v>9944</v>
      </c>
      <c r="N2042" t="s">
        <v>9945</v>
      </c>
      <c r="Z2042" t="s">
        <v>43</v>
      </c>
    </row>
    <row r="2043" spans="1:26" x14ac:dyDescent="0.25">
      <c r="A2043">
        <v>2042</v>
      </c>
      <c r="B2043" t="s">
        <v>30</v>
      </c>
      <c r="C2043" t="s">
        <v>9946</v>
      </c>
      <c r="D2043" t="s">
        <v>4698</v>
      </c>
      <c r="E2043" t="s">
        <v>385</v>
      </c>
      <c r="F2043" t="s">
        <v>4699</v>
      </c>
      <c r="G2043" t="s">
        <v>387</v>
      </c>
      <c r="I2043" t="s">
        <v>9947</v>
      </c>
      <c r="K2043" t="s">
        <v>9948</v>
      </c>
      <c r="N2043" t="s">
        <v>9949</v>
      </c>
      <c r="Z2043" t="s">
        <v>43</v>
      </c>
    </row>
    <row r="2044" spans="1:26" x14ac:dyDescent="0.25">
      <c r="A2044">
        <v>2043</v>
      </c>
      <c r="B2044" t="s">
        <v>30</v>
      </c>
      <c r="C2044" t="s">
        <v>9950</v>
      </c>
      <c r="D2044" t="s">
        <v>2058</v>
      </c>
      <c r="E2044" t="s">
        <v>56</v>
      </c>
      <c r="F2044" t="s">
        <v>2059</v>
      </c>
      <c r="G2044" t="s">
        <v>57</v>
      </c>
      <c r="I2044" t="s">
        <v>9951</v>
      </c>
      <c r="J2044">
        <f>57-350-464-8869</f>
        <v>-9626</v>
      </c>
      <c r="K2044" t="s">
        <v>9952</v>
      </c>
      <c r="N2044" t="s">
        <v>9953</v>
      </c>
      <c r="Z2044" t="s">
        <v>43</v>
      </c>
    </row>
    <row r="2045" spans="1:26" x14ac:dyDescent="0.25">
      <c r="A2045">
        <v>2044</v>
      </c>
      <c r="B2045" t="s">
        <v>30</v>
      </c>
      <c r="C2045" t="s">
        <v>9954</v>
      </c>
      <c r="D2045" t="s">
        <v>384</v>
      </c>
      <c r="E2045" t="s">
        <v>385</v>
      </c>
      <c r="F2045" t="s">
        <v>2439</v>
      </c>
      <c r="G2045" t="s">
        <v>387</v>
      </c>
      <c r="I2045" t="s">
        <v>9955</v>
      </c>
      <c r="J2045">
        <f>57-312-544-1250</f>
        <v>-2049</v>
      </c>
      <c r="K2045" t="s">
        <v>9956</v>
      </c>
      <c r="N2045" t="s">
        <v>9957</v>
      </c>
      <c r="Z2045" t="s">
        <v>43</v>
      </c>
    </row>
    <row r="2046" spans="1:26" x14ac:dyDescent="0.25">
      <c r="A2046">
        <v>2045</v>
      </c>
      <c r="B2046" t="s">
        <v>30</v>
      </c>
      <c r="C2046" t="s">
        <v>9958</v>
      </c>
      <c r="D2046" t="s">
        <v>9959</v>
      </c>
      <c r="E2046" t="s">
        <v>1269</v>
      </c>
      <c r="F2046" t="s">
        <v>9960</v>
      </c>
      <c r="G2046" t="s">
        <v>1271</v>
      </c>
      <c r="I2046" t="s">
        <v>9961</v>
      </c>
      <c r="K2046" t="s">
        <v>9962</v>
      </c>
      <c r="N2046" t="s">
        <v>9963</v>
      </c>
      <c r="Z2046" t="s">
        <v>43</v>
      </c>
    </row>
    <row r="2047" spans="1:26" x14ac:dyDescent="0.25">
      <c r="A2047">
        <v>2046</v>
      </c>
      <c r="B2047" t="s">
        <v>30</v>
      </c>
      <c r="C2047" t="s">
        <v>9964</v>
      </c>
      <c r="D2047" t="s">
        <v>5349</v>
      </c>
      <c r="E2047" t="s">
        <v>1269</v>
      </c>
      <c r="F2047" t="s">
        <v>5350</v>
      </c>
      <c r="G2047" t="s">
        <v>1271</v>
      </c>
      <c r="I2047" t="s">
        <v>9965</v>
      </c>
      <c r="K2047" t="s">
        <v>9966</v>
      </c>
      <c r="N2047" t="s">
        <v>9967</v>
      </c>
      <c r="Z2047" t="s">
        <v>43</v>
      </c>
    </row>
    <row r="2048" spans="1:26" x14ac:dyDescent="0.25">
      <c r="A2048">
        <v>2047</v>
      </c>
      <c r="B2048" t="s">
        <v>30</v>
      </c>
      <c r="C2048" t="s">
        <v>9968</v>
      </c>
      <c r="D2048" t="s">
        <v>2477</v>
      </c>
      <c r="E2048" t="s">
        <v>56</v>
      </c>
      <c r="F2048" t="s">
        <v>2478</v>
      </c>
      <c r="G2048" t="s">
        <v>57</v>
      </c>
      <c r="I2048" t="s">
        <v>9969</v>
      </c>
      <c r="K2048" t="s">
        <v>9970</v>
      </c>
      <c r="N2048" t="s">
        <v>9971</v>
      </c>
      <c r="Z2048" t="s">
        <v>43</v>
      </c>
    </row>
    <row r="2049" spans="1:26" x14ac:dyDescent="0.25">
      <c r="A2049">
        <v>2048</v>
      </c>
      <c r="B2049" t="s">
        <v>30</v>
      </c>
      <c r="C2049" t="s">
        <v>9972</v>
      </c>
      <c r="D2049" t="s">
        <v>2713</v>
      </c>
      <c r="E2049" t="s">
        <v>2105</v>
      </c>
      <c r="F2049" t="s">
        <v>5418</v>
      </c>
      <c r="G2049" t="s">
        <v>5419</v>
      </c>
      <c r="I2049" t="s">
        <v>9973</v>
      </c>
      <c r="J2049">
        <f>57-60-1-328-8939</f>
        <v>-9271</v>
      </c>
      <c r="K2049" t="s">
        <v>9974</v>
      </c>
      <c r="N2049" t="s">
        <v>9975</v>
      </c>
      <c r="Z2049" t="s">
        <v>43</v>
      </c>
    </row>
    <row r="2050" spans="1:26" x14ac:dyDescent="0.25">
      <c r="A2050">
        <v>2049</v>
      </c>
      <c r="B2050" t="s">
        <v>30</v>
      </c>
      <c r="C2050" t="s">
        <v>9976</v>
      </c>
      <c r="D2050" t="s">
        <v>3199</v>
      </c>
      <c r="E2050" t="s">
        <v>471</v>
      </c>
      <c r="F2050" t="s">
        <v>3200</v>
      </c>
      <c r="G2050" t="s">
        <v>47</v>
      </c>
      <c r="I2050" t="s">
        <v>9977</v>
      </c>
      <c r="K2050" t="s">
        <v>9978</v>
      </c>
      <c r="N2050" t="s">
        <v>9979</v>
      </c>
      <c r="Z2050" t="s">
        <v>43</v>
      </c>
    </row>
    <row r="2051" spans="1:26" x14ac:dyDescent="0.25">
      <c r="A2051">
        <v>2050</v>
      </c>
      <c r="B2051" t="s">
        <v>30</v>
      </c>
      <c r="C2051" t="s">
        <v>9980</v>
      </c>
      <c r="D2051" t="s">
        <v>5268</v>
      </c>
      <c r="E2051" t="s">
        <v>471</v>
      </c>
      <c r="F2051" t="s">
        <v>5269</v>
      </c>
      <c r="G2051" t="s">
        <v>47</v>
      </c>
      <c r="I2051" t="s">
        <v>9981</v>
      </c>
      <c r="K2051" t="s">
        <v>9982</v>
      </c>
      <c r="N2051" t="s">
        <v>9983</v>
      </c>
      <c r="Z2051" t="s">
        <v>43</v>
      </c>
    </row>
    <row r="2052" spans="1:26" x14ac:dyDescent="0.25">
      <c r="A2052">
        <v>2051</v>
      </c>
      <c r="B2052" t="s">
        <v>30</v>
      </c>
      <c r="C2052" t="s">
        <v>9984</v>
      </c>
      <c r="D2052" t="s">
        <v>9985</v>
      </c>
      <c r="E2052" t="s">
        <v>1774</v>
      </c>
      <c r="F2052" t="s">
        <v>9986</v>
      </c>
      <c r="G2052" t="s">
        <v>1776</v>
      </c>
      <c r="I2052" t="s">
        <v>9987</v>
      </c>
      <c r="K2052" t="s">
        <v>9988</v>
      </c>
      <c r="N2052" t="s">
        <v>9989</v>
      </c>
      <c r="Z2052" t="s">
        <v>43</v>
      </c>
    </row>
    <row r="2053" spans="1:26" x14ac:dyDescent="0.25">
      <c r="A2053">
        <v>2052</v>
      </c>
      <c r="B2053" t="s">
        <v>30</v>
      </c>
      <c r="C2053" t="s">
        <v>9990</v>
      </c>
      <c r="D2053" t="s">
        <v>64</v>
      </c>
      <c r="E2053" t="s">
        <v>64</v>
      </c>
      <c r="F2053" t="s">
        <v>65</v>
      </c>
      <c r="G2053" t="s">
        <v>65</v>
      </c>
      <c r="I2053" t="s">
        <v>9991</v>
      </c>
      <c r="K2053" t="s">
        <v>9992</v>
      </c>
      <c r="N2053" t="s">
        <v>9993</v>
      </c>
      <c r="Z2053" t="s">
        <v>43</v>
      </c>
    </row>
    <row r="2054" spans="1:26" x14ac:dyDescent="0.25">
      <c r="A2054">
        <v>2053</v>
      </c>
      <c r="B2054" t="s">
        <v>30</v>
      </c>
      <c r="C2054" t="s">
        <v>9994</v>
      </c>
      <c r="D2054" t="s">
        <v>9995</v>
      </c>
      <c r="E2054" t="s">
        <v>64</v>
      </c>
      <c r="F2054" t="s">
        <v>9996</v>
      </c>
      <c r="G2054" t="s">
        <v>65</v>
      </c>
      <c r="I2054" t="s">
        <v>9997</v>
      </c>
      <c r="J2054">
        <f>57-60-1-253-6951</f>
        <v>-7208</v>
      </c>
      <c r="K2054" t="s">
        <v>9998</v>
      </c>
      <c r="N2054" t="s">
        <v>9999</v>
      </c>
      <c r="Z2054" t="s">
        <v>43</v>
      </c>
    </row>
    <row r="2055" spans="1:26" x14ac:dyDescent="0.25">
      <c r="A2055">
        <v>2054</v>
      </c>
      <c r="B2055" t="s">
        <v>30</v>
      </c>
      <c r="C2055" t="s">
        <v>10000</v>
      </c>
      <c r="D2055" t="s">
        <v>10001</v>
      </c>
      <c r="E2055" t="s">
        <v>471</v>
      </c>
      <c r="F2055" t="s">
        <v>10002</v>
      </c>
      <c r="G2055" t="s">
        <v>47</v>
      </c>
      <c r="I2055" t="s">
        <v>10003</v>
      </c>
      <c r="J2055">
        <f>57-316-472-4440</f>
        <v>-5171</v>
      </c>
      <c r="K2055" t="s">
        <v>10004</v>
      </c>
      <c r="N2055" t="s">
        <v>6260</v>
      </c>
      <c r="Z2055" t="s">
        <v>43</v>
      </c>
    </row>
    <row r="2056" spans="1:26" x14ac:dyDescent="0.25">
      <c r="A2056">
        <v>2055</v>
      </c>
      <c r="B2056" t="s">
        <v>30</v>
      </c>
      <c r="C2056" t="s">
        <v>10005</v>
      </c>
      <c r="D2056" t="s">
        <v>384</v>
      </c>
      <c r="E2056" t="s">
        <v>385</v>
      </c>
      <c r="F2056" t="s">
        <v>386</v>
      </c>
      <c r="G2056" t="s">
        <v>387</v>
      </c>
      <c r="I2056" t="s">
        <v>10006</v>
      </c>
      <c r="K2056" t="s">
        <v>10007</v>
      </c>
      <c r="N2056" t="s">
        <v>10008</v>
      </c>
      <c r="Z2056" t="s">
        <v>43</v>
      </c>
    </row>
    <row r="2057" spans="1:26" x14ac:dyDescent="0.25">
      <c r="A2057">
        <v>2056</v>
      </c>
      <c r="B2057" t="s">
        <v>30</v>
      </c>
      <c r="C2057" t="s">
        <v>10009</v>
      </c>
      <c r="D2057" t="s">
        <v>72</v>
      </c>
      <c r="E2057" t="s">
        <v>72</v>
      </c>
      <c r="F2057" t="s">
        <v>73</v>
      </c>
      <c r="G2057" t="s">
        <v>73</v>
      </c>
      <c r="I2057" t="s">
        <v>10010</v>
      </c>
      <c r="K2057" t="s">
        <v>10011</v>
      </c>
      <c r="N2057" t="s">
        <v>10012</v>
      </c>
      <c r="Z2057" t="s">
        <v>43</v>
      </c>
    </row>
    <row r="2058" spans="1:26" x14ac:dyDescent="0.25">
      <c r="A2058">
        <v>2057</v>
      </c>
      <c r="B2058" t="s">
        <v>30</v>
      </c>
      <c r="C2058" t="s">
        <v>10013</v>
      </c>
      <c r="D2058" t="s">
        <v>1260</v>
      </c>
      <c r="E2058" t="s">
        <v>471</v>
      </c>
      <c r="F2058" t="s">
        <v>1653</v>
      </c>
      <c r="G2058" t="s">
        <v>966</v>
      </c>
      <c r="I2058" t="s">
        <v>10014</v>
      </c>
      <c r="K2058" t="s">
        <v>10015</v>
      </c>
      <c r="N2058" t="s">
        <v>10016</v>
      </c>
      <c r="Z2058" t="s">
        <v>43</v>
      </c>
    </row>
    <row r="2059" spans="1:26" x14ac:dyDescent="0.25">
      <c r="A2059">
        <v>2058</v>
      </c>
      <c r="B2059" t="s">
        <v>30</v>
      </c>
      <c r="C2059" t="s">
        <v>10017</v>
      </c>
      <c r="D2059" t="s">
        <v>4828</v>
      </c>
      <c r="E2059" t="s">
        <v>1217</v>
      </c>
      <c r="F2059" t="s">
        <v>10018</v>
      </c>
      <c r="G2059" t="s">
        <v>1530</v>
      </c>
      <c r="I2059" t="s">
        <v>10019</v>
      </c>
      <c r="K2059" t="s">
        <v>10020</v>
      </c>
      <c r="N2059" t="s">
        <v>10021</v>
      </c>
      <c r="Z2059" t="s">
        <v>43</v>
      </c>
    </row>
    <row r="2060" spans="1:26" x14ac:dyDescent="0.25">
      <c r="A2060">
        <v>2059</v>
      </c>
      <c r="B2060" t="s">
        <v>30</v>
      </c>
      <c r="C2060" t="s">
        <v>10022</v>
      </c>
      <c r="D2060" t="s">
        <v>10023</v>
      </c>
      <c r="E2060" t="s">
        <v>2190</v>
      </c>
      <c r="F2060" t="s">
        <v>10024</v>
      </c>
      <c r="G2060" t="s">
        <v>2192</v>
      </c>
      <c r="I2060" t="s">
        <v>10025</v>
      </c>
      <c r="K2060" t="s">
        <v>10026</v>
      </c>
      <c r="N2060" t="s">
        <v>10027</v>
      </c>
      <c r="Z2060" t="s">
        <v>43</v>
      </c>
    </row>
    <row r="2061" spans="1:26" x14ac:dyDescent="0.25">
      <c r="A2061">
        <v>2060</v>
      </c>
      <c r="B2061" t="s">
        <v>30</v>
      </c>
      <c r="C2061" t="s">
        <v>10028</v>
      </c>
      <c r="D2061" t="s">
        <v>1260</v>
      </c>
      <c r="E2061" t="s">
        <v>471</v>
      </c>
      <c r="F2061" t="s">
        <v>2178</v>
      </c>
      <c r="G2061" t="s">
        <v>966</v>
      </c>
      <c r="I2061" t="s">
        <v>10029</v>
      </c>
      <c r="J2061">
        <f>57-316-333-6966</f>
        <v>-7558</v>
      </c>
      <c r="K2061" t="s">
        <v>10030</v>
      </c>
      <c r="N2061" t="s">
        <v>10031</v>
      </c>
      <c r="Z2061" t="s">
        <v>43</v>
      </c>
    </row>
    <row r="2062" spans="1:26" x14ac:dyDescent="0.25">
      <c r="A2062">
        <v>2061</v>
      </c>
      <c r="B2062" t="s">
        <v>30</v>
      </c>
      <c r="C2062" t="s">
        <v>10032</v>
      </c>
      <c r="D2062" t="s">
        <v>3359</v>
      </c>
      <c r="E2062" t="s">
        <v>56</v>
      </c>
      <c r="F2062" t="s">
        <v>3360</v>
      </c>
      <c r="G2062" t="s">
        <v>57</v>
      </c>
      <c r="I2062" t="s">
        <v>10033</v>
      </c>
      <c r="K2062" t="s">
        <v>10034</v>
      </c>
      <c r="N2062" t="s">
        <v>10035</v>
      </c>
      <c r="Z2062" t="s">
        <v>43</v>
      </c>
    </row>
    <row r="2063" spans="1:26" x14ac:dyDescent="0.25">
      <c r="A2063">
        <v>2062</v>
      </c>
      <c r="B2063" t="s">
        <v>30</v>
      </c>
      <c r="C2063" t="s">
        <v>10036</v>
      </c>
      <c r="D2063" t="s">
        <v>964</v>
      </c>
      <c r="E2063" t="s">
        <v>471</v>
      </c>
      <c r="F2063" t="s">
        <v>10037</v>
      </c>
      <c r="G2063" t="s">
        <v>47</v>
      </c>
      <c r="I2063" t="s">
        <v>10038</v>
      </c>
      <c r="J2063">
        <f>57-60-1-322-1520</f>
        <v>-1846</v>
      </c>
      <c r="K2063" t="s">
        <v>10039</v>
      </c>
      <c r="N2063" t="s">
        <v>10040</v>
      </c>
      <c r="Z2063" t="s">
        <v>43</v>
      </c>
    </row>
    <row r="2064" spans="1:26" x14ac:dyDescent="0.25">
      <c r="A2064">
        <v>2063</v>
      </c>
      <c r="B2064" t="s">
        <v>30</v>
      </c>
      <c r="C2064" t="s">
        <v>10041</v>
      </c>
      <c r="D2064" t="s">
        <v>10042</v>
      </c>
      <c r="E2064" t="s">
        <v>1155</v>
      </c>
      <c r="F2064" t="s">
        <v>10043</v>
      </c>
      <c r="G2064" t="s">
        <v>1157</v>
      </c>
      <c r="I2064" t="s">
        <v>10044</v>
      </c>
      <c r="J2064">
        <f>57-313-396-9434</f>
        <v>-10086</v>
      </c>
      <c r="K2064" t="s">
        <v>10045</v>
      </c>
      <c r="N2064" t="s">
        <v>10046</v>
      </c>
      <c r="Z2064" t="s">
        <v>43</v>
      </c>
    </row>
    <row r="2065" spans="1:26" x14ac:dyDescent="0.25">
      <c r="A2065">
        <v>2064</v>
      </c>
      <c r="B2065" t="s">
        <v>30</v>
      </c>
      <c r="C2065" t="s">
        <v>10047</v>
      </c>
      <c r="D2065" t="s">
        <v>1896</v>
      </c>
      <c r="E2065" t="s">
        <v>471</v>
      </c>
      <c r="F2065" t="s">
        <v>6518</v>
      </c>
      <c r="G2065" t="s">
        <v>47</v>
      </c>
      <c r="I2065" t="s">
        <v>10048</v>
      </c>
      <c r="J2065">
        <f>57-300-610-4922</f>
        <v>-5775</v>
      </c>
      <c r="K2065" t="s">
        <v>10049</v>
      </c>
      <c r="N2065" t="s">
        <v>10050</v>
      </c>
      <c r="Z2065" t="s">
        <v>43</v>
      </c>
    </row>
    <row r="2066" spans="1:26" x14ac:dyDescent="0.25">
      <c r="A2066">
        <v>2065</v>
      </c>
      <c r="B2066" t="s">
        <v>30</v>
      </c>
      <c r="C2066" t="s">
        <v>10051</v>
      </c>
      <c r="D2066" t="s">
        <v>10052</v>
      </c>
      <c r="E2066" t="s">
        <v>1658</v>
      </c>
      <c r="F2066" t="s">
        <v>10053</v>
      </c>
      <c r="G2066" t="s">
        <v>1660</v>
      </c>
      <c r="I2066" t="s">
        <v>10054</v>
      </c>
      <c r="J2066">
        <f>57-60-1-768-8067</f>
        <v>-8839</v>
      </c>
      <c r="K2066" t="s">
        <v>10055</v>
      </c>
      <c r="N2066" t="s">
        <v>10056</v>
      </c>
      <c r="Z2066" t="s">
        <v>43</v>
      </c>
    </row>
    <row r="2067" spans="1:26" x14ac:dyDescent="0.25">
      <c r="A2067">
        <v>2066</v>
      </c>
      <c r="B2067" t="s">
        <v>30</v>
      </c>
      <c r="C2067" t="s">
        <v>10057</v>
      </c>
      <c r="D2067" t="s">
        <v>46</v>
      </c>
      <c r="E2067" t="s">
        <v>471</v>
      </c>
      <c r="F2067" t="s">
        <v>820</v>
      </c>
      <c r="G2067" t="s">
        <v>47</v>
      </c>
      <c r="I2067" t="s">
        <v>10058</v>
      </c>
      <c r="K2067" t="s">
        <v>10059</v>
      </c>
      <c r="N2067" t="s">
        <v>10060</v>
      </c>
      <c r="Z2067" t="s">
        <v>43</v>
      </c>
    </row>
    <row r="2068" spans="1:26" x14ac:dyDescent="0.25">
      <c r="A2068">
        <v>2067</v>
      </c>
      <c r="B2068" t="s">
        <v>30</v>
      </c>
      <c r="C2068" t="s">
        <v>10061</v>
      </c>
      <c r="D2068" t="s">
        <v>813</v>
      </c>
      <c r="E2068" t="s">
        <v>471</v>
      </c>
      <c r="F2068" t="s">
        <v>3735</v>
      </c>
      <c r="G2068" t="s">
        <v>47</v>
      </c>
      <c r="I2068" t="s">
        <v>10062</v>
      </c>
      <c r="J2068">
        <f>57-314-574-6701</f>
        <v>-7532</v>
      </c>
      <c r="K2068" t="s">
        <v>10063</v>
      </c>
      <c r="N2068" t="s">
        <v>10064</v>
      </c>
      <c r="Z2068" t="s">
        <v>43</v>
      </c>
    </row>
    <row r="2069" spans="1:26" x14ac:dyDescent="0.25">
      <c r="A2069">
        <v>2068</v>
      </c>
      <c r="B2069" t="s">
        <v>30</v>
      </c>
      <c r="C2069" t="s">
        <v>10065</v>
      </c>
      <c r="D2069" t="s">
        <v>46</v>
      </c>
      <c r="E2069" t="s">
        <v>471</v>
      </c>
      <c r="F2069" t="s">
        <v>820</v>
      </c>
      <c r="G2069" t="s">
        <v>47</v>
      </c>
      <c r="I2069" t="s">
        <v>10066</v>
      </c>
      <c r="K2069" t="s">
        <v>10067</v>
      </c>
      <c r="N2069" t="s">
        <v>10068</v>
      </c>
      <c r="Z2069" t="s">
        <v>43</v>
      </c>
    </row>
    <row r="2070" spans="1:26" x14ac:dyDescent="0.25">
      <c r="A2070">
        <v>2069</v>
      </c>
      <c r="B2070" t="s">
        <v>30</v>
      </c>
      <c r="C2070" t="s">
        <v>10069</v>
      </c>
      <c r="D2070" t="s">
        <v>46</v>
      </c>
      <c r="E2070" t="s">
        <v>56</v>
      </c>
      <c r="F2070" t="s">
        <v>941</v>
      </c>
      <c r="G2070" t="s">
        <v>57</v>
      </c>
      <c r="I2070" t="s">
        <v>10070</v>
      </c>
      <c r="J2070">
        <f>57-322-951-843</f>
        <v>-2059</v>
      </c>
      <c r="K2070" t="s">
        <v>10071</v>
      </c>
      <c r="N2070" t="s">
        <v>10072</v>
      </c>
      <c r="Z2070" t="s">
        <v>43</v>
      </c>
    </row>
    <row r="2071" spans="1:26" x14ac:dyDescent="0.25">
      <c r="A2071">
        <v>2070</v>
      </c>
      <c r="B2071" t="s">
        <v>30</v>
      </c>
      <c r="C2071" t="s">
        <v>10073</v>
      </c>
      <c r="D2071" t="s">
        <v>10074</v>
      </c>
      <c r="E2071" t="s">
        <v>56</v>
      </c>
      <c r="F2071" t="s">
        <v>10075</v>
      </c>
      <c r="G2071" t="s">
        <v>57</v>
      </c>
      <c r="I2071" t="s">
        <v>10076</v>
      </c>
      <c r="K2071" t="s">
        <v>10077</v>
      </c>
      <c r="N2071" t="s">
        <v>10078</v>
      </c>
      <c r="Z2071" t="s">
        <v>43</v>
      </c>
    </row>
    <row r="2072" spans="1:26" x14ac:dyDescent="0.25">
      <c r="A2072">
        <v>2071</v>
      </c>
      <c r="B2072" t="s">
        <v>30</v>
      </c>
      <c r="C2072" t="s">
        <v>10079</v>
      </c>
      <c r="D2072" t="s">
        <v>2346</v>
      </c>
      <c r="E2072" t="s">
        <v>385</v>
      </c>
      <c r="F2072" t="s">
        <v>2347</v>
      </c>
      <c r="G2072" t="s">
        <v>387</v>
      </c>
      <c r="I2072" t="s">
        <v>10080</v>
      </c>
      <c r="J2072">
        <f>57-300-443-8296</f>
        <v>-8982</v>
      </c>
      <c r="K2072" t="s">
        <v>10081</v>
      </c>
      <c r="N2072" t="s">
        <v>10082</v>
      </c>
      <c r="Z2072" t="s">
        <v>43</v>
      </c>
    </row>
    <row r="2073" spans="1:26" x14ac:dyDescent="0.25">
      <c r="A2073">
        <v>2072</v>
      </c>
      <c r="B2073" t="s">
        <v>30</v>
      </c>
      <c r="C2073" t="s">
        <v>10083</v>
      </c>
      <c r="D2073" t="s">
        <v>10084</v>
      </c>
      <c r="E2073" t="s">
        <v>1658</v>
      </c>
      <c r="F2073" t="s">
        <v>10085</v>
      </c>
      <c r="G2073" t="s">
        <v>1660</v>
      </c>
      <c r="I2073" t="s">
        <v>10086</v>
      </c>
      <c r="K2073" t="s">
        <v>10087</v>
      </c>
      <c r="N2073" t="s">
        <v>10088</v>
      </c>
      <c r="Z2073" t="s">
        <v>43</v>
      </c>
    </row>
    <row r="2074" spans="1:26" x14ac:dyDescent="0.25">
      <c r="A2074">
        <v>2073</v>
      </c>
      <c r="B2074" t="s">
        <v>30</v>
      </c>
      <c r="C2074" t="s">
        <v>10089</v>
      </c>
      <c r="D2074" t="s">
        <v>979</v>
      </c>
      <c r="E2074" t="s">
        <v>56</v>
      </c>
      <c r="F2074" t="s">
        <v>980</v>
      </c>
      <c r="G2074" t="s">
        <v>57</v>
      </c>
      <c r="I2074" t="s">
        <v>10090</v>
      </c>
      <c r="J2074">
        <f>57-321-229-3458</f>
        <v>-3951</v>
      </c>
      <c r="K2074" t="s">
        <v>10091</v>
      </c>
      <c r="N2074" t="s">
        <v>10092</v>
      </c>
      <c r="Z2074" t="s">
        <v>43</v>
      </c>
    </row>
    <row r="2075" spans="1:26" x14ac:dyDescent="0.25">
      <c r="A2075">
        <v>2074</v>
      </c>
      <c r="B2075" t="s">
        <v>30</v>
      </c>
      <c r="C2075" t="s">
        <v>10093</v>
      </c>
      <c r="D2075" t="s">
        <v>3713</v>
      </c>
      <c r="E2075" t="s">
        <v>56</v>
      </c>
      <c r="F2075" t="s">
        <v>3714</v>
      </c>
      <c r="G2075" t="s">
        <v>57</v>
      </c>
      <c r="I2075" t="s">
        <v>10094</v>
      </c>
      <c r="K2075" t="s">
        <v>10095</v>
      </c>
      <c r="N2075" t="s">
        <v>539</v>
      </c>
      <c r="Z2075" t="s">
        <v>43</v>
      </c>
    </row>
    <row r="2076" spans="1:26" x14ac:dyDescent="0.25">
      <c r="A2076">
        <v>2075</v>
      </c>
      <c r="B2076" t="s">
        <v>30</v>
      </c>
      <c r="C2076" t="s">
        <v>10096</v>
      </c>
      <c r="D2076" t="s">
        <v>10097</v>
      </c>
      <c r="E2076" t="s">
        <v>3984</v>
      </c>
      <c r="F2076" t="s">
        <v>10098</v>
      </c>
      <c r="G2076" t="s">
        <v>3986</v>
      </c>
      <c r="I2076" t="s">
        <v>10099</v>
      </c>
      <c r="K2076" t="s">
        <v>10100</v>
      </c>
      <c r="N2076" t="s">
        <v>10101</v>
      </c>
      <c r="Z2076" t="s">
        <v>43</v>
      </c>
    </row>
    <row r="2077" spans="1:26" x14ac:dyDescent="0.25">
      <c r="A2077">
        <v>2076</v>
      </c>
      <c r="B2077" t="s">
        <v>30</v>
      </c>
      <c r="C2077" t="s">
        <v>10102</v>
      </c>
      <c r="D2077" t="s">
        <v>1260</v>
      </c>
      <c r="E2077" t="s">
        <v>64</v>
      </c>
      <c r="F2077" t="s">
        <v>2204</v>
      </c>
      <c r="G2077" t="s">
        <v>65</v>
      </c>
      <c r="I2077" t="s">
        <v>10103</v>
      </c>
      <c r="J2077">
        <f>57-310-335-5700</f>
        <v>-6288</v>
      </c>
      <c r="K2077" t="s">
        <v>10104</v>
      </c>
      <c r="N2077" t="s">
        <v>10105</v>
      </c>
      <c r="Z2077" t="s">
        <v>43</v>
      </c>
    </row>
    <row r="2078" spans="1:26" x14ac:dyDescent="0.25">
      <c r="A2078">
        <v>2077</v>
      </c>
      <c r="B2078" t="s">
        <v>30</v>
      </c>
      <c r="C2078" t="s">
        <v>10106</v>
      </c>
      <c r="D2078" t="s">
        <v>10107</v>
      </c>
      <c r="E2078" t="s">
        <v>56</v>
      </c>
      <c r="F2078" t="s">
        <v>10108</v>
      </c>
      <c r="G2078" t="s">
        <v>57</v>
      </c>
      <c r="I2078" t="s">
        <v>10109</v>
      </c>
      <c r="K2078" t="s">
        <v>10110</v>
      </c>
      <c r="N2078" t="s">
        <v>10111</v>
      </c>
      <c r="Z2078" t="s">
        <v>43</v>
      </c>
    </row>
    <row r="2079" spans="1:26" x14ac:dyDescent="0.25">
      <c r="A2079">
        <v>2078</v>
      </c>
      <c r="B2079" t="s">
        <v>30</v>
      </c>
      <c r="C2079" t="s">
        <v>10112</v>
      </c>
      <c r="D2079" t="s">
        <v>772</v>
      </c>
      <c r="E2079" t="s">
        <v>471</v>
      </c>
      <c r="F2079" t="s">
        <v>773</v>
      </c>
      <c r="G2079" t="s">
        <v>47</v>
      </c>
      <c r="I2079" t="s">
        <v>10113</v>
      </c>
      <c r="J2079">
        <f>57-60-1-626-8838</f>
        <v>-9468</v>
      </c>
      <c r="K2079" t="s">
        <v>10114</v>
      </c>
      <c r="N2079" t="s">
        <v>10115</v>
      </c>
      <c r="Z2079" t="s">
        <v>43</v>
      </c>
    </row>
    <row r="2080" spans="1:26" x14ac:dyDescent="0.25">
      <c r="A2080">
        <v>2079</v>
      </c>
      <c r="B2080" t="s">
        <v>30</v>
      </c>
      <c r="C2080" t="s">
        <v>10116</v>
      </c>
      <c r="D2080" t="s">
        <v>2168</v>
      </c>
      <c r="E2080" t="s">
        <v>800</v>
      </c>
      <c r="F2080" t="s">
        <v>2169</v>
      </c>
      <c r="G2080" t="s">
        <v>802</v>
      </c>
      <c r="I2080" t="s">
        <v>10117</v>
      </c>
      <c r="K2080" t="s">
        <v>10118</v>
      </c>
      <c r="N2080" t="s">
        <v>10119</v>
      </c>
      <c r="Z2080" t="s">
        <v>43</v>
      </c>
    </row>
    <row r="2081" spans="1:26" x14ac:dyDescent="0.25">
      <c r="A2081">
        <v>2080</v>
      </c>
      <c r="B2081" t="s">
        <v>30</v>
      </c>
      <c r="C2081" t="s">
        <v>10120</v>
      </c>
      <c r="D2081" t="s">
        <v>2394</v>
      </c>
      <c r="E2081" t="s">
        <v>471</v>
      </c>
      <c r="F2081" t="s">
        <v>8021</v>
      </c>
      <c r="G2081" t="s">
        <v>47</v>
      </c>
      <c r="I2081" t="s">
        <v>10121</v>
      </c>
      <c r="K2081" t="s">
        <v>10122</v>
      </c>
      <c r="N2081" t="s">
        <v>10123</v>
      </c>
      <c r="Z2081" t="s">
        <v>43</v>
      </c>
    </row>
    <row r="2082" spans="1:26" x14ac:dyDescent="0.25">
      <c r="A2082">
        <v>2081</v>
      </c>
      <c r="B2082" t="s">
        <v>30</v>
      </c>
      <c r="C2082" t="s">
        <v>10124</v>
      </c>
      <c r="D2082" t="s">
        <v>2346</v>
      </c>
      <c r="E2082" t="s">
        <v>385</v>
      </c>
      <c r="F2082" t="s">
        <v>10125</v>
      </c>
      <c r="G2082" t="s">
        <v>387</v>
      </c>
      <c r="I2082" t="s">
        <v>10126</v>
      </c>
      <c r="J2082">
        <f>57-313-397-7515</f>
        <v>-8168</v>
      </c>
      <c r="K2082" t="s">
        <v>10127</v>
      </c>
      <c r="N2082" t="s">
        <v>10128</v>
      </c>
      <c r="Z2082" t="s">
        <v>43</v>
      </c>
    </row>
    <row r="2083" spans="1:26" x14ac:dyDescent="0.25">
      <c r="A2083">
        <v>2082</v>
      </c>
      <c r="B2083" t="s">
        <v>30</v>
      </c>
      <c r="C2083" t="s">
        <v>10129</v>
      </c>
      <c r="D2083" t="s">
        <v>6046</v>
      </c>
      <c r="E2083" t="s">
        <v>471</v>
      </c>
      <c r="F2083" t="s">
        <v>10130</v>
      </c>
      <c r="G2083" t="s">
        <v>47</v>
      </c>
      <c r="I2083" t="s">
        <v>10131</v>
      </c>
      <c r="K2083" t="s">
        <v>10132</v>
      </c>
      <c r="N2083" t="s">
        <v>10133</v>
      </c>
      <c r="Z2083" t="s">
        <v>43</v>
      </c>
    </row>
    <row r="2084" spans="1:26" x14ac:dyDescent="0.25">
      <c r="A2084">
        <v>2083</v>
      </c>
      <c r="B2084" t="s">
        <v>30</v>
      </c>
      <c r="C2084" t="s">
        <v>10134</v>
      </c>
      <c r="D2084" t="s">
        <v>10135</v>
      </c>
      <c r="E2084" t="s">
        <v>64</v>
      </c>
      <c r="F2084" t="s">
        <v>10136</v>
      </c>
      <c r="G2084" t="s">
        <v>65</v>
      </c>
      <c r="I2084" t="s">
        <v>10137</v>
      </c>
      <c r="K2084" t="s">
        <v>10138</v>
      </c>
      <c r="N2084" t="s">
        <v>10139</v>
      </c>
      <c r="Z2084" t="s">
        <v>43</v>
      </c>
    </row>
    <row r="2085" spans="1:26" x14ac:dyDescent="0.25">
      <c r="A2085">
        <v>2084</v>
      </c>
      <c r="B2085" t="s">
        <v>30</v>
      </c>
      <c r="C2085" t="s">
        <v>10140</v>
      </c>
      <c r="D2085" t="s">
        <v>7429</v>
      </c>
      <c r="E2085" t="s">
        <v>1402</v>
      </c>
      <c r="F2085" t="s">
        <v>7430</v>
      </c>
      <c r="G2085" t="s">
        <v>1404</v>
      </c>
      <c r="I2085" t="s">
        <v>10141</v>
      </c>
      <c r="J2085">
        <f>57-314-354-9171</f>
        <v>-9782</v>
      </c>
      <c r="K2085" t="s">
        <v>10142</v>
      </c>
      <c r="N2085" t="s">
        <v>10143</v>
      </c>
      <c r="Z2085" t="s">
        <v>43</v>
      </c>
    </row>
    <row r="2086" spans="1:26" x14ac:dyDescent="0.25">
      <c r="A2086">
        <v>2085</v>
      </c>
      <c r="B2086" t="s">
        <v>30</v>
      </c>
      <c r="C2086" t="s">
        <v>10144</v>
      </c>
      <c r="D2086" t="s">
        <v>6903</v>
      </c>
      <c r="E2086" t="s">
        <v>56</v>
      </c>
      <c r="F2086" t="s">
        <v>6904</v>
      </c>
      <c r="G2086" t="s">
        <v>57</v>
      </c>
      <c r="I2086" t="s">
        <v>10145</v>
      </c>
      <c r="K2086" t="s">
        <v>10146</v>
      </c>
      <c r="N2086" t="s">
        <v>10147</v>
      </c>
      <c r="Z2086" t="s">
        <v>43</v>
      </c>
    </row>
    <row r="2087" spans="1:26" x14ac:dyDescent="0.25">
      <c r="A2087">
        <v>2086</v>
      </c>
      <c r="B2087" t="s">
        <v>30</v>
      </c>
      <c r="C2087" t="s">
        <v>10148</v>
      </c>
      <c r="D2087" t="s">
        <v>2511</v>
      </c>
      <c r="E2087" t="s">
        <v>471</v>
      </c>
      <c r="F2087" t="s">
        <v>3444</v>
      </c>
      <c r="G2087" t="s">
        <v>47</v>
      </c>
      <c r="I2087" t="s">
        <v>10149</v>
      </c>
      <c r="K2087" t="s">
        <v>10150</v>
      </c>
      <c r="N2087" t="s">
        <v>10151</v>
      </c>
      <c r="Z2087" t="s">
        <v>43</v>
      </c>
    </row>
    <row r="2088" spans="1:26" x14ac:dyDescent="0.25">
      <c r="A2088">
        <v>2087</v>
      </c>
      <c r="B2088" t="s">
        <v>30</v>
      </c>
      <c r="C2088" t="s">
        <v>10152</v>
      </c>
      <c r="D2088" t="s">
        <v>10153</v>
      </c>
      <c r="E2088" t="s">
        <v>72</v>
      </c>
      <c r="F2088" t="s">
        <v>10154</v>
      </c>
      <c r="G2088" t="s">
        <v>73</v>
      </c>
      <c r="I2088" t="s">
        <v>10155</v>
      </c>
      <c r="K2088" t="s">
        <v>10156</v>
      </c>
      <c r="N2088" t="s">
        <v>10157</v>
      </c>
      <c r="Z2088" t="s">
        <v>43</v>
      </c>
    </row>
    <row r="2089" spans="1:26" x14ac:dyDescent="0.25">
      <c r="A2089">
        <v>2088</v>
      </c>
      <c r="B2089" t="s">
        <v>30</v>
      </c>
      <c r="C2089" t="s">
        <v>10158</v>
      </c>
      <c r="D2089" t="s">
        <v>56</v>
      </c>
      <c r="E2089" t="s">
        <v>56</v>
      </c>
      <c r="F2089" t="s">
        <v>57</v>
      </c>
      <c r="G2089" t="s">
        <v>57</v>
      </c>
      <c r="I2089" t="s">
        <v>10159</v>
      </c>
      <c r="K2089" t="s">
        <v>10160</v>
      </c>
      <c r="N2089" t="s">
        <v>10161</v>
      </c>
      <c r="Z2089" t="s">
        <v>43</v>
      </c>
    </row>
    <row r="2090" spans="1:26" x14ac:dyDescent="0.25">
      <c r="A2090">
        <v>2089</v>
      </c>
      <c r="B2090" t="s">
        <v>30</v>
      </c>
      <c r="C2090" t="s">
        <v>10162</v>
      </c>
      <c r="D2090" t="s">
        <v>909</v>
      </c>
      <c r="E2090" t="s">
        <v>471</v>
      </c>
      <c r="F2090" t="s">
        <v>1659</v>
      </c>
      <c r="G2090" t="s">
        <v>47</v>
      </c>
      <c r="I2090" t="s">
        <v>10163</v>
      </c>
      <c r="J2090">
        <f>57-60-1-704-1022</f>
        <v>-1730</v>
      </c>
      <c r="K2090" t="s">
        <v>10164</v>
      </c>
      <c r="N2090" t="s">
        <v>10165</v>
      </c>
      <c r="Z2090" t="s">
        <v>43</v>
      </c>
    </row>
    <row r="2091" spans="1:26" x14ac:dyDescent="0.25">
      <c r="A2091">
        <v>2090</v>
      </c>
      <c r="B2091" t="s">
        <v>30</v>
      </c>
      <c r="C2091" t="s">
        <v>10166</v>
      </c>
      <c r="D2091" t="s">
        <v>10167</v>
      </c>
      <c r="E2091" t="s">
        <v>1155</v>
      </c>
      <c r="F2091" t="s">
        <v>10168</v>
      </c>
      <c r="G2091" t="s">
        <v>1157</v>
      </c>
      <c r="I2091" t="s">
        <v>10169</v>
      </c>
      <c r="J2091">
        <f>57-315-310-8206</f>
        <v>-8774</v>
      </c>
      <c r="K2091" t="s">
        <v>10170</v>
      </c>
      <c r="N2091" t="s">
        <v>10171</v>
      </c>
      <c r="Z2091" t="s">
        <v>43</v>
      </c>
    </row>
    <row r="2092" spans="1:26" x14ac:dyDescent="0.25">
      <c r="A2092">
        <v>2091</v>
      </c>
      <c r="B2092" t="s">
        <v>30</v>
      </c>
      <c r="C2092" t="s">
        <v>10172</v>
      </c>
      <c r="D2092" t="s">
        <v>46</v>
      </c>
      <c r="E2092" t="s">
        <v>471</v>
      </c>
      <c r="F2092" t="s">
        <v>1708</v>
      </c>
      <c r="G2092" t="s">
        <v>47</v>
      </c>
      <c r="I2092" t="s">
        <v>10173</v>
      </c>
      <c r="J2092">
        <f>57-324-663-9898</f>
        <v>-10828</v>
      </c>
      <c r="K2092" t="s">
        <v>10174</v>
      </c>
      <c r="N2092" t="s">
        <v>10175</v>
      </c>
      <c r="Z2092" t="s">
        <v>43</v>
      </c>
    </row>
    <row r="2093" spans="1:26" x14ac:dyDescent="0.25">
      <c r="A2093">
        <v>2092</v>
      </c>
      <c r="B2093" t="s">
        <v>30</v>
      </c>
      <c r="C2093" t="s">
        <v>10176</v>
      </c>
      <c r="D2093" t="s">
        <v>2585</v>
      </c>
      <c r="E2093" t="s">
        <v>1217</v>
      </c>
      <c r="F2093" t="s">
        <v>4820</v>
      </c>
      <c r="G2093" t="s">
        <v>1530</v>
      </c>
      <c r="I2093" t="s">
        <v>10177</v>
      </c>
      <c r="J2093">
        <f>57-310-758-6375</f>
        <v>-7386</v>
      </c>
      <c r="K2093" t="s">
        <v>10178</v>
      </c>
      <c r="N2093" t="s">
        <v>10179</v>
      </c>
      <c r="Z2093" t="s">
        <v>43</v>
      </c>
    </row>
    <row r="2094" spans="1:26" x14ac:dyDescent="0.25">
      <c r="A2094">
        <v>2093</v>
      </c>
      <c r="B2094" t="s">
        <v>30</v>
      </c>
      <c r="C2094" t="s">
        <v>10180</v>
      </c>
      <c r="D2094" t="s">
        <v>10181</v>
      </c>
      <c r="E2094" t="s">
        <v>1217</v>
      </c>
      <c r="F2094" t="s">
        <v>10182</v>
      </c>
      <c r="G2094" t="s">
        <v>1530</v>
      </c>
      <c r="I2094" t="s">
        <v>10183</v>
      </c>
      <c r="J2094">
        <f>57-311-484-4178</f>
        <v>-4916</v>
      </c>
      <c r="K2094" t="s">
        <v>10184</v>
      </c>
      <c r="N2094" t="s">
        <v>10185</v>
      </c>
      <c r="Z2094" t="s">
        <v>43</v>
      </c>
    </row>
    <row r="2095" spans="1:26" x14ac:dyDescent="0.25">
      <c r="A2095">
        <v>2094</v>
      </c>
      <c r="B2095" t="s">
        <v>30</v>
      </c>
      <c r="C2095" t="s">
        <v>10186</v>
      </c>
      <c r="D2095" t="s">
        <v>72</v>
      </c>
      <c r="E2095" t="s">
        <v>72</v>
      </c>
      <c r="F2095" t="s">
        <v>73</v>
      </c>
      <c r="G2095" t="s">
        <v>73</v>
      </c>
      <c r="I2095" t="s">
        <v>10187</v>
      </c>
      <c r="K2095" t="s">
        <v>10188</v>
      </c>
      <c r="N2095" t="s">
        <v>10189</v>
      </c>
      <c r="Z2095" t="s">
        <v>43</v>
      </c>
    </row>
    <row r="2096" spans="1:26" x14ac:dyDescent="0.25">
      <c r="A2096">
        <v>2095</v>
      </c>
      <c r="B2096" t="s">
        <v>30</v>
      </c>
      <c r="C2096" t="s">
        <v>10190</v>
      </c>
      <c r="D2096" t="s">
        <v>5805</v>
      </c>
      <c r="E2096" t="s">
        <v>385</v>
      </c>
      <c r="F2096" t="s">
        <v>8868</v>
      </c>
      <c r="G2096" t="s">
        <v>387</v>
      </c>
      <c r="I2096" t="s">
        <v>10191</v>
      </c>
      <c r="K2096" t="s">
        <v>10192</v>
      </c>
      <c r="N2096" t="s">
        <v>10193</v>
      </c>
      <c r="Z2096" t="s">
        <v>43</v>
      </c>
    </row>
    <row r="2097" spans="1:26" x14ac:dyDescent="0.25">
      <c r="A2097">
        <v>2096</v>
      </c>
      <c r="B2097" t="s">
        <v>30</v>
      </c>
      <c r="C2097" t="s">
        <v>10194</v>
      </c>
      <c r="D2097" t="s">
        <v>10195</v>
      </c>
      <c r="E2097" t="s">
        <v>1585</v>
      </c>
      <c r="F2097" t="s">
        <v>10196</v>
      </c>
      <c r="G2097" t="s">
        <v>1587</v>
      </c>
      <c r="I2097" t="s">
        <v>10197</v>
      </c>
      <c r="K2097" t="s">
        <v>10198</v>
      </c>
      <c r="N2097" t="s">
        <v>10199</v>
      </c>
      <c r="Z2097" t="s">
        <v>43</v>
      </c>
    </row>
    <row r="2098" spans="1:26" x14ac:dyDescent="0.25">
      <c r="A2098">
        <v>2097</v>
      </c>
      <c r="B2098" t="s">
        <v>30</v>
      </c>
      <c r="C2098" t="s">
        <v>10200</v>
      </c>
      <c r="D2098" t="s">
        <v>3118</v>
      </c>
      <c r="E2098" t="s">
        <v>471</v>
      </c>
      <c r="F2098" t="s">
        <v>10201</v>
      </c>
      <c r="G2098" t="s">
        <v>966</v>
      </c>
      <c r="I2098" t="s">
        <v>10202</v>
      </c>
      <c r="K2098" t="s">
        <v>10203</v>
      </c>
      <c r="N2098" t="s">
        <v>10204</v>
      </c>
      <c r="Z2098" t="s">
        <v>43</v>
      </c>
    </row>
    <row r="2099" spans="1:26" x14ac:dyDescent="0.25">
      <c r="A2099">
        <v>2098</v>
      </c>
      <c r="B2099" t="s">
        <v>30</v>
      </c>
      <c r="C2099" t="s">
        <v>10205</v>
      </c>
      <c r="D2099" t="s">
        <v>1260</v>
      </c>
      <c r="E2099" t="s">
        <v>64</v>
      </c>
      <c r="F2099" t="s">
        <v>2204</v>
      </c>
      <c r="G2099" t="s">
        <v>65</v>
      </c>
      <c r="I2099" t="s">
        <v>10206</v>
      </c>
      <c r="K2099" t="s">
        <v>10207</v>
      </c>
      <c r="N2099" t="s">
        <v>6455</v>
      </c>
      <c r="Z2099" t="s">
        <v>43</v>
      </c>
    </row>
    <row r="2100" spans="1:26" x14ac:dyDescent="0.25">
      <c r="A2100">
        <v>2099</v>
      </c>
      <c r="B2100" t="s">
        <v>30</v>
      </c>
      <c r="C2100" t="s">
        <v>10208</v>
      </c>
      <c r="D2100" t="s">
        <v>46</v>
      </c>
      <c r="E2100" t="s">
        <v>471</v>
      </c>
      <c r="F2100" t="s">
        <v>820</v>
      </c>
      <c r="G2100" t="s">
        <v>47</v>
      </c>
      <c r="I2100" t="s">
        <v>10209</v>
      </c>
      <c r="K2100" t="s">
        <v>10210</v>
      </c>
      <c r="N2100" t="s">
        <v>10211</v>
      </c>
      <c r="Z2100" t="s">
        <v>43</v>
      </c>
    </row>
    <row r="2101" spans="1:26" x14ac:dyDescent="0.25">
      <c r="A2101">
        <v>2100</v>
      </c>
      <c r="B2101" t="s">
        <v>30</v>
      </c>
      <c r="C2101" t="s">
        <v>10212</v>
      </c>
      <c r="D2101" t="s">
        <v>10213</v>
      </c>
      <c r="E2101" t="s">
        <v>9085</v>
      </c>
      <c r="F2101" t="s">
        <v>10214</v>
      </c>
      <c r="G2101" t="s">
        <v>9087</v>
      </c>
      <c r="I2101" t="s">
        <v>10215</v>
      </c>
      <c r="J2101">
        <f>57-310-784-6629</f>
        <v>-7666</v>
      </c>
      <c r="K2101" t="s">
        <v>10216</v>
      </c>
      <c r="N2101" t="s">
        <v>10217</v>
      </c>
      <c r="Z2101" t="s">
        <v>43</v>
      </c>
    </row>
    <row r="2102" spans="1:26" x14ac:dyDescent="0.25">
      <c r="A2102">
        <v>2101</v>
      </c>
      <c r="B2102" t="s">
        <v>30</v>
      </c>
      <c r="C2102" t="s">
        <v>10218</v>
      </c>
      <c r="D2102" t="s">
        <v>1260</v>
      </c>
      <c r="E2102" t="s">
        <v>64</v>
      </c>
      <c r="F2102" t="s">
        <v>2204</v>
      </c>
      <c r="G2102" t="s">
        <v>65</v>
      </c>
      <c r="I2102" t="s">
        <v>10219</v>
      </c>
      <c r="J2102">
        <f>57-313-495-6336</f>
        <v>-7087</v>
      </c>
      <c r="K2102" t="s">
        <v>10220</v>
      </c>
      <c r="N2102" t="s">
        <v>10221</v>
      </c>
      <c r="Z2102" t="s">
        <v>43</v>
      </c>
    </row>
    <row r="2103" spans="1:26" x14ac:dyDescent="0.25">
      <c r="A2103">
        <v>2102</v>
      </c>
      <c r="B2103" t="s">
        <v>30</v>
      </c>
      <c r="C2103" t="s">
        <v>10222</v>
      </c>
      <c r="D2103" t="s">
        <v>10223</v>
      </c>
      <c r="E2103" t="s">
        <v>4043</v>
      </c>
      <c r="F2103" t="s">
        <v>10224</v>
      </c>
      <c r="G2103" t="s">
        <v>4045</v>
      </c>
      <c r="I2103" t="s">
        <v>10225</v>
      </c>
      <c r="N2103" t="s">
        <v>10226</v>
      </c>
      <c r="Z2103" t="s">
        <v>43</v>
      </c>
    </row>
    <row r="2104" spans="1:26" x14ac:dyDescent="0.25">
      <c r="A2104">
        <v>2103</v>
      </c>
      <c r="B2104" t="s">
        <v>30</v>
      </c>
      <c r="C2104" t="s">
        <v>10227</v>
      </c>
      <c r="D2104" t="s">
        <v>72</v>
      </c>
      <c r="E2104" t="s">
        <v>72</v>
      </c>
      <c r="F2104" t="s">
        <v>73</v>
      </c>
      <c r="G2104" t="s">
        <v>73</v>
      </c>
      <c r="I2104" t="s">
        <v>10228</v>
      </c>
      <c r="J2104">
        <f>57-314-298-3947</f>
        <v>-4502</v>
      </c>
      <c r="K2104" t="s">
        <v>10229</v>
      </c>
      <c r="N2104" t="s">
        <v>10230</v>
      </c>
      <c r="Z2104" t="s">
        <v>43</v>
      </c>
    </row>
    <row r="2105" spans="1:26" x14ac:dyDescent="0.25">
      <c r="A2105">
        <v>2104</v>
      </c>
      <c r="B2105" t="s">
        <v>30</v>
      </c>
      <c r="C2105" t="s">
        <v>10231</v>
      </c>
      <c r="D2105" t="s">
        <v>3465</v>
      </c>
      <c r="E2105" t="s">
        <v>64</v>
      </c>
      <c r="F2105" t="s">
        <v>3466</v>
      </c>
      <c r="G2105" t="s">
        <v>65</v>
      </c>
      <c r="I2105" t="s">
        <v>10232</v>
      </c>
      <c r="J2105">
        <f>57-60-1-544-308</f>
        <v>-856</v>
      </c>
      <c r="K2105" t="s">
        <v>10233</v>
      </c>
      <c r="N2105" t="s">
        <v>10234</v>
      </c>
      <c r="Z2105" t="s">
        <v>43</v>
      </c>
    </row>
    <row r="2106" spans="1:26" x14ac:dyDescent="0.25">
      <c r="A2106">
        <v>2105</v>
      </c>
      <c r="B2106" t="s">
        <v>30</v>
      </c>
      <c r="C2106" t="s">
        <v>10235</v>
      </c>
      <c r="D2106" t="s">
        <v>772</v>
      </c>
      <c r="E2106" t="s">
        <v>72</v>
      </c>
      <c r="F2106" t="s">
        <v>3559</v>
      </c>
      <c r="G2106" t="s">
        <v>73</v>
      </c>
      <c r="I2106" t="s">
        <v>10236</v>
      </c>
      <c r="J2106">
        <f>57-321-322-3579</f>
        <v>-4165</v>
      </c>
      <c r="K2106" t="s">
        <v>10237</v>
      </c>
      <c r="N2106" t="s">
        <v>10238</v>
      </c>
      <c r="Z2106" t="s">
        <v>43</v>
      </c>
    </row>
    <row r="2107" spans="1:26" x14ac:dyDescent="0.25">
      <c r="A2107">
        <v>2106</v>
      </c>
      <c r="B2107" t="s">
        <v>30</v>
      </c>
      <c r="C2107" t="s">
        <v>10239</v>
      </c>
      <c r="D2107" t="s">
        <v>1570</v>
      </c>
      <c r="E2107" t="s">
        <v>64</v>
      </c>
      <c r="F2107" t="s">
        <v>1572</v>
      </c>
      <c r="G2107" t="s">
        <v>65</v>
      </c>
      <c r="I2107" t="s">
        <v>10240</v>
      </c>
      <c r="K2107" t="s">
        <v>10241</v>
      </c>
      <c r="N2107" t="s">
        <v>10242</v>
      </c>
      <c r="Z2107" t="s">
        <v>43</v>
      </c>
    </row>
    <row r="2108" spans="1:26" x14ac:dyDescent="0.25">
      <c r="A2108">
        <v>2107</v>
      </c>
      <c r="B2108" t="s">
        <v>30</v>
      </c>
      <c r="C2108" t="s">
        <v>10243</v>
      </c>
      <c r="D2108" t="s">
        <v>46</v>
      </c>
      <c r="E2108" t="s">
        <v>471</v>
      </c>
      <c r="F2108" t="s">
        <v>820</v>
      </c>
      <c r="G2108" t="s">
        <v>47</v>
      </c>
      <c r="I2108" t="s">
        <v>10244</v>
      </c>
      <c r="J2108">
        <f>57-311-521-7590</f>
        <v>-8365</v>
      </c>
      <c r="K2108" t="s">
        <v>10245</v>
      </c>
      <c r="N2108" t="s">
        <v>10246</v>
      </c>
      <c r="Z2108" t="s">
        <v>43</v>
      </c>
    </row>
    <row r="2109" spans="1:26" x14ac:dyDescent="0.25">
      <c r="A2109">
        <v>2108</v>
      </c>
      <c r="B2109" t="s">
        <v>30</v>
      </c>
      <c r="C2109" t="s">
        <v>10247</v>
      </c>
      <c r="D2109" t="s">
        <v>10248</v>
      </c>
      <c r="E2109" t="s">
        <v>2814</v>
      </c>
      <c r="F2109" t="s">
        <v>10249</v>
      </c>
      <c r="G2109" t="s">
        <v>2816</v>
      </c>
      <c r="I2109" t="s">
        <v>10250</v>
      </c>
      <c r="J2109">
        <f>57-300-890-2101</f>
        <v>-3234</v>
      </c>
      <c r="K2109" t="s">
        <v>10251</v>
      </c>
      <c r="N2109" t="s">
        <v>10252</v>
      </c>
      <c r="Z2109" t="s">
        <v>43</v>
      </c>
    </row>
    <row r="2110" spans="1:26" x14ac:dyDescent="0.25">
      <c r="A2110">
        <v>2109</v>
      </c>
      <c r="B2110" t="s">
        <v>30</v>
      </c>
      <c r="C2110" t="s">
        <v>10253</v>
      </c>
      <c r="D2110" t="s">
        <v>10254</v>
      </c>
      <c r="E2110" t="s">
        <v>56</v>
      </c>
      <c r="F2110" t="s">
        <v>10255</v>
      </c>
      <c r="G2110" t="s">
        <v>57</v>
      </c>
      <c r="I2110" t="s">
        <v>10256</v>
      </c>
      <c r="J2110">
        <f>57-323-219-408</f>
        <v>-893</v>
      </c>
      <c r="K2110" t="s">
        <v>10257</v>
      </c>
      <c r="N2110" t="s">
        <v>10258</v>
      </c>
      <c r="Z2110" t="s">
        <v>43</v>
      </c>
    </row>
    <row r="2111" spans="1:26" x14ac:dyDescent="0.25">
      <c r="A2111">
        <v>2110</v>
      </c>
      <c r="B2111" t="s">
        <v>30</v>
      </c>
      <c r="C2111" t="s">
        <v>10259</v>
      </c>
      <c r="D2111" t="s">
        <v>1816</v>
      </c>
      <c r="E2111" t="s">
        <v>64</v>
      </c>
      <c r="F2111" t="s">
        <v>1857</v>
      </c>
      <c r="G2111" t="s">
        <v>65</v>
      </c>
      <c r="I2111" t="s">
        <v>10260</v>
      </c>
      <c r="J2111">
        <f>57-321-477-6858</f>
        <v>-7599</v>
      </c>
      <c r="K2111" t="s">
        <v>10261</v>
      </c>
      <c r="N2111" t="s">
        <v>10262</v>
      </c>
      <c r="Z2111" t="s">
        <v>43</v>
      </c>
    </row>
    <row r="2112" spans="1:26" x14ac:dyDescent="0.25">
      <c r="A2112">
        <v>2111</v>
      </c>
      <c r="B2112" t="s">
        <v>30</v>
      </c>
      <c r="C2112" t="s">
        <v>10263</v>
      </c>
      <c r="D2112" t="s">
        <v>46</v>
      </c>
      <c r="E2112" t="s">
        <v>471</v>
      </c>
      <c r="F2112" t="s">
        <v>820</v>
      </c>
      <c r="G2112" t="s">
        <v>47</v>
      </c>
      <c r="I2112" t="s">
        <v>10264</v>
      </c>
      <c r="J2112">
        <f>57-323-315-3356</f>
        <v>-3937</v>
      </c>
      <c r="K2112" t="s">
        <v>10265</v>
      </c>
      <c r="N2112" t="s">
        <v>10266</v>
      </c>
      <c r="Z2112" t="s">
        <v>43</v>
      </c>
    </row>
    <row r="2113" spans="1:26" x14ac:dyDescent="0.25">
      <c r="A2113">
        <v>2112</v>
      </c>
      <c r="B2113" t="s">
        <v>30</v>
      </c>
      <c r="C2113" t="s">
        <v>10267</v>
      </c>
      <c r="D2113" t="s">
        <v>46</v>
      </c>
      <c r="E2113" t="s">
        <v>56</v>
      </c>
      <c r="F2113" t="s">
        <v>820</v>
      </c>
      <c r="G2113" t="s">
        <v>57</v>
      </c>
      <c r="I2113" t="s">
        <v>10268</v>
      </c>
      <c r="K2113" t="s">
        <v>10269</v>
      </c>
      <c r="N2113" t="s">
        <v>10270</v>
      </c>
      <c r="Z2113" t="s">
        <v>43</v>
      </c>
    </row>
    <row r="2114" spans="1:26" x14ac:dyDescent="0.25">
      <c r="A2114">
        <v>2113</v>
      </c>
      <c r="B2114" t="s">
        <v>30</v>
      </c>
      <c r="C2114" t="s">
        <v>10271</v>
      </c>
      <c r="D2114" t="s">
        <v>5830</v>
      </c>
      <c r="E2114" t="s">
        <v>1269</v>
      </c>
      <c r="F2114" t="s">
        <v>10272</v>
      </c>
      <c r="G2114" t="s">
        <v>1271</v>
      </c>
      <c r="I2114" t="s">
        <v>10273</v>
      </c>
      <c r="J2114">
        <f>57-300-721-7710</f>
        <v>-8674</v>
      </c>
      <c r="K2114" t="s">
        <v>10274</v>
      </c>
      <c r="N2114" t="s">
        <v>10275</v>
      </c>
      <c r="Z2114" t="s">
        <v>43</v>
      </c>
    </row>
    <row r="2115" spans="1:26" x14ac:dyDescent="0.25">
      <c r="A2115">
        <v>2114</v>
      </c>
      <c r="B2115" t="s">
        <v>30</v>
      </c>
      <c r="C2115" t="s">
        <v>10276</v>
      </c>
      <c r="D2115" t="s">
        <v>72</v>
      </c>
      <c r="E2115" t="s">
        <v>72</v>
      </c>
      <c r="F2115" t="s">
        <v>73</v>
      </c>
      <c r="G2115" t="s">
        <v>73</v>
      </c>
      <c r="I2115" t="s">
        <v>10277</v>
      </c>
      <c r="J2115">
        <f>57-304-418-4077</f>
        <v>-4742</v>
      </c>
      <c r="K2115" t="s">
        <v>10278</v>
      </c>
      <c r="N2115" t="s">
        <v>10279</v>
      </c>
      <c r="Z2115" t="s">
        <v>43</v>
      </c>
    </row>
    <row r="2116" spans="1:26" x14ac:dyDescent="0.25">
      <c r="A2116">
        <v>2115</v>
      </c>
      <c r="B2116" t="s">
        <v>30</v>
      </c>
      <c r="C2116" t="s">
        <v>10280</v>
      </c>
      <c r="D2116" t="s">
        <v>2168</v>
      </c>
      <c r="E2116" t="s">
        <v>800</v>
      </c>
      <c r="F2116" t="s">
        <v>2169</v>
      </c>
      <c r="G2116" t="s">
        <v>802</v>
      </c>
      <c r="I2116" t="s">
        <v>10281</v>
      </c>
      <c r="K2116" t="s">
        <v>10282</v>
      </c>
      <c r="N2116" t="s">
        <v>10283</v>
      </c>
      <c r="Z2116" t="s">
        <v>43</v>
      </c>
    </row>
    <row r="2117" spans="1:26" x14ac:dyDescent="0.25">
      <c r="A2117">
        <v>2116</v>
      </c>
      <c r="B2117" t="s">
        <v>30</v>
      </c>
      <c r="C2117" t="s">
        <v>10284</v>
      </c>
      <c r="D2117" t="s">
        <v>10285</v>
      </c>
      <c r="E2117" t="s">
        <v>4043</v>
      </c>
      <c r="F2117" t="s">
        <v>10286</v>
      </c>
      <c r="G2117" t="s">
        <v>4045</v>
      </c>
      <c r="I2117" t="s">
        <v>10287</v>
      </c>
      <c r="J2117">
        <f>57-301-786-3901</f>
        <v>-4931</v>
      </c>
      <c r="K2117" t="s">
        <v>10288</v>
      </c>
      <c r="N2117" t="s">
        <v>10289</v>
      </c>
      <c r="Z2117" t="s">
        <v>43</v>
      </c>
    </row>
    <row r="2118" spans="1:26" x14ac:dyDescent="0.25">
      <c r="A2118">
        <v>2117</v>
      </c>
      <c r="B2118" t="s">
        <v>30</v>
      </c>
      <c r="C2118" t="s">
        <v>10290</v>
      </c>
      <c r="D2118" t="s">
        <v>10291</v>
      </c>
      <c r="E2118" t="s">
        <v>2295</v>
      </c>
      <c r="F2118" t="s">
        <v>10292</v>
      </c>
      <c r="G2118" t="s">
        <v>2297</v>
      </c>
      <c r="I2118" t="s">
        <v>10293</v>
      </c>
      <c r="J2118">
        <f>57-321-490-2455</f>
        <v>-3209</v>
      </c>
      <c r="K2118" t="s">
        <v>10294</v>
      </c>
      <c r="N2118" t="s">
        <v>10295</v>
      </c>
      <c r="Z2118" t="s">
        <v>43</v>
      </c>
    </row>
    <row r="2119" spans="1:26" x14ac:dyDescent="0.25">
      <c r="A2119">
        <v>2118</v>
      </c>
      <c r="B2119" t="s">
        <v>30</v>
      </c>
      <c r="C2119" t="s">
        <v>10296</v>
      </c>
      <c r="D2119" t="s">
        <v>46</v>
      </c>
      <c r="E2119" t="s">
        <v>471</v>
      </c>
      <c r="F2119" t="s">
        <v>820</v>
      </c>
      <c r="G2119" t="s">
        <v>47</v>
      </c>
      <c r="I2119" t="s">
        <v>10297</v>
      </c>
      <c r="K2119" t="s">
        <v>10298</v>
      </c>
      <c r="N2119" t="s">
        <v>10299</v>
      </c>
      <c r="Z2119" t="s">
        <v>43</v>
      </c>
    </row>
    <row r="2120" spans="1:26" x14ac:dyDescent="0.25">
      <c r="A2120">
        <v>2119</v>
      </c>
      <c r="B2120" t="s">
        <v>30</v>
      </c>
      <c r="C2120" t="s">
        <v>10300</v>
      </c>
      <c r="D2120" t="s">
        <v>46</v>
      </c>
      <c r="E2120" t="s">
        <v>471</v>
      </c>
      <c r="F2120" t="s">
        <v>820</v>
      </c>
      <c r="G2120" t="s">
        <v>47</v>
      </c>
      <c r="I2120" t="s">
        <v>10301</v>
      </c>
      <c r="J2120">
        <f>57-321-478-9430</f>
        <v>-10172</v>
      </c>
      <c r="K2120" t="s">
        <v>10302</v>
      </c>
      <c r="N2120" t="s">
        <v>10303</v>
      </c>
      <c r="Z2120" t="s">
        <v>43</v>
      </c>
    </row>
    <row r="2121" spans="1:26" x14ac:dyDescent="0.25">
      <c r="A2121">
        <v>2120</v>
      </c>
      <c r="B2121" t="s">
        <v>30</v>
      </c>
      <c r="C2121" t="s">
        <v>10304</v>
      </c>
      <c r="D2121" t="s">
        <v>772</v>
      </c>
      <c r="E2121" t="s">
        <v>72</v>
      </c>
      <c r="F2121" t="s">
        <v>773</v>
      </c>
      <c r="G2121" t="s">
        <v>73</v>
      </c>
      <c r="I2121" t="s">
        <v>10305</v>
      </c>
      <c r="J2121">
        <f>57-315-778-8585</f>
        <v>-9621</v>
      </c>
      <c r="K2121" t="s">
        <v>10306</v>
      </c>
      <c r="N2121" t="s">
        <v>10307</v>
      </c>
      <c r="Z2121" t="s">
        <v>43</v>
      </c>
    </row>
    <row r="2122" spans="1:26" x14ac:dyDescent="0.25">
      <c r="A2122">
        <v>2121</v>
      </c>
      <c r="B2122" t="s">
        <v>30</v>
      </c>
      <c r="C2122" t="s">
        <v>10308</v>
      </c>
      <c r="D2122" t="s">
        <v>10309</v>
      </c>
      <c r="E2122" t="s">
        <v>800</v>
      </c>
      <c r="F2122" t="s">
        <v>10310</v>
      </c>
      <c r="G2122" t="s">
        <v>802</v>
      </c>
      <c r="I2122" t="s">
        <v>10311</v>
      </c>
      <c r="J2122">
        <f>57-314-861-5750</f>
        <v>-6868</v>
      </c>
      <c r="K2122" t="s">
        <v>10312</v>
      </c>
      <c r="N2122" t="s">
        <v>10313</v>
      </c>
      <c r="Z2122" t="s">
        <v>43</v>
      </c>
    </row>
    <row r="2123" spans="1:26" x14ac:dyDescent="0.25">
      <c r="A2123">
        <v>2122</v>
      </c>
      <c r="B2123" t="s">
        <v>30</v>
      </c>
      <c r="C2123" t="s">
        <v>10314</v>
      </c>
      <c r="D2123" t="s">
        <v>7196</v>
      </c>
      <c r="E2123" t="s">
        <v>2706</v>
      </c>
      <c r="F2123" t="s">
        <v>7197</v>
      </c>
      <c r="G2123" t="s">
        <v>2708</v>
      </c>
      <c r="I2123" t="s">
        <v>10315</v>
      </c>
      <c r="K2123" t="s">
        <v>10316</v>
      </c>
      <c r="N2123" t="s">
        <v>10317</v>
      </c>
      <c r="Z2123" t="s">
        <v>43</v>
      </c>
    </row>
    <row r="2124" spans="1:26" x14ac:dyDescent="0.25">
      <c r="A2124">
        <v>2123</v>
      </c>
      <c r="B2124" t="s">
        <v>30</v>
      </c>
      <c r="C2124" t="s">
        <v>10318</v>
      </c>
      <c r="D2124" t="s">
        <v>46</v>
      </c>
      <c r="E2124" t="s">
        <v>471</v>
      </c>
      <c r="F2124" t="s">
        <v>941</v>
      </c>
      <c r="G2124" t="s">
        <v>47</v>
      </c>
      <c r="I2124" t="s">
        <v>10319</v>
      </c>
      <c r="K2124" t="s">
        <v>10320</v>
      </c>
      <c r="N2124" t="s">
        <v>10321</v>
      </c>
      <c r="Z2124" t="s">
        <v>43</v>
      </c>
    </row>
    <row r="2125" spans="1:26" x14ac:dyDescent="0.25">
      <c r="A2125">
        <v>2124</v>
      </c>
      <c r="B2125" t="s">
        <v>30</v>
      </c>
      <c r="C2125" t="s">
        <v>10322</v>
      </c>
      <c r="D2125" t="s">
        <v>46</v>
      </c>
      <c r="E2125" t="s">
        <v>471</v>
      </c>
      <c r="F2125" t="s">
        <v>2451</v>
      </c>
      <c r="G2125" t="s">
        <v>966</v>
      </c>
      <c r="I2125" t="s">
        <v>10323</v>
      </c>
      <c r="J2125">
        <f>57-60-1-464-5480</f>
        <v>-5948</v>
      </c>
      <c r="K2125" t="s">
        <v>10324</v>
      </c>
      <c r="N2125" t="s">
        <v>10325</v>
      </c>
      <c r="Z2125" t="s">
        <v>43</v>
      </c>
    </row>
    <row r="2126" spans="1:26" x14ac:dyDescent="0.25">
      <c r="A2126">
        <v>2125</v>
      </c>
      <c r="B2126" t="s">
        <v>30</v>
      </c>
      <c r="C2126" t="s">
        <v>10326</v>
      </c>
      <c r="D2126" t="s">
        <v>899</v>
      </c>
      <c r="E2126" t="s">
        <v>56</v>
      </c>
      <c r="F2126" t="s">
        <v>2456</v>
      </c>
      <c r="G2126" t="s">
        <v>57</v>
      </c>
      <c r="I2126" t="s">
        <v>10327</v>
      </c>
      <c r="K2126" t="s">
        <v>10328</v>
      </c>
      <c r="N2126" t="s">
        <v>10329</v>
      </c>
      <c r="Z2126" t="s">
        <v>43</v>
      </c>
    </row>
    <row r="2127" spans="1:26" x14ac:dyDescent="0.25">
      <c r="A2127">
        <v>2126</v>
      </c>
      <c r="B2127" t="s">
        <v>30</v>
      </c>
      <c r="C2127" t="s">
        <v>10330</v>
      </c>
      <c r="D2127" t="s">
        <v>5178</v>
      </c>
      <c r="E2127" t="s">
        <v>5179</v>
      </c>
      <c r="F2127" t="s">
        <v>10331</v>
      </c>
      <c r="G2127" t="s">
        <v>9152</v>
      </c>
      <c r="I2127" t="s">
        <v>10332</v>
      </c>
      <c r="K2127" t="s">
        <v>10333</v>
      </c>
      <c r="N2127" t="s">
        <v>10334</v>
      </c>
      <c r="Z2127" t="s">
        <v>43</v>
      </c>
    </row>
    <row r="2128" spans="1:26" x14ac:dyDescent="0.25">
      <c r="A2128">
        <v>2127</v>
      </c>
      <c r="B2128" t="s">
        <v>30</v>
      </c>
      <c r="C2128" t="s">
        <v>10335</v>
      </c>
      <c r="D2128" t="s">
        <v>1260</v>
      </c>
      <c r="E2128" t="s">
        <v>72</v>
      </c>
      <c r="F2128" t="s">
        <v>2084</v>
      </c>
      <c r="G2128" t="s">
        <v>73</v>
      </c>
      <c r="I2128" t="s">
        <v>10336</v>
      </c>
      <c r="K2128" t="s">
        <v>10337</v>
      </c>
      <c r="N2128" t="s">
        <v>10338</v>
      </c>
      <c r="Z2128" t="s">
        <v>43</v>
      </c>
    </row>
    <row r="2129" spans="1:26" x14ac:dyDescent="0.25">
      <c r="A2129">
        <v>2128</v>
      </c>
      <c r="B2129" t="s">
        <v>30</v>
      </c>
      <c r="C2129" t="s">
        <v>10339</v>
      </c>
      <c r="D2129" t="s">
        <v>384</v>
      </c>
      <c r="E2129" t="s">
        <v>471</v>
      </c>
      <c r="F2129" t="s">
        <v>2439</v>
      </c>
      <c r="G2129" t="s">
        <v>47</v>
      </c>
      <c r="I2129" t="s">
        <v>10340</v>
      </c>
      <c r="K2129" t="s">
        <v>10341</v>
      </c>
      <c r="N2129" t="s">
        <v>10342</v>
      </c>
      <c r="Z2129" t="s">
        <v>43</v>
      </c>
    </row>
    <row r="2130" spans="1:26" x14ac:dyDescent="0.25">
      <c r="A2130">
        <v>2129</v>
      </c>
      <c r="B2130" t="s">
        <v>30</v>
      </c>
      <c r="C2130" t="s">
        <v>10343</v>
      </c>
      <c r="D2130" t="s">
        <v>384</v>
      </c>
      <c r="E2130" t="s">
        <v>471</v>
      </c>
      <c r="F2130" t="s">
        <v>2439</v>
      </c>
      <c r="G2130" t="s">
        <v>47</v>
      </c>
      <c r="I2130" t="s">
        <v>10344</v>
      </c>
      <c r="K2130" t="s">
        <v>10345</v>
      </c>
      <c r="N2130" t="s">
        <v>10346</v>
      </c>
      <c r="Z2130" t="s">
        <v>43</v>
      </c>
    </row>
    <row r="2131" spans="1:26" x14ac:dyDescent="0.25">
      <c r="A2131">
        <v>2130</v>
      </c>
      <c r="B2131" t="s">
        <v>30</v>
      </c>
      <c r="C2131" t="s">
        <v>10347</v>
      </c>
      <c r="D2131" t="s">
        <v>2394</v>
      </c>
      <c r="E2131" t="s">
        <v>72</v>
      </c>
      <c r="F2131" t="s">
        <v>4306</v>
      </c>
      <c r="G2131" t="s">
        <v>73</v>
      </c>
      <c r="I2131" t="s">
        <v>10348</v>
      </c>
      <c r="J2131">
        <f>57-60-1-807-5575</f>
        <v>-6386</v>
      </c>
      <c r="K2131" t="s">
        <v>10349</v>
      </c>
      <c r="N2131" t="s">
        <v>10350</v>
      </c>
      <c r="Z2131" t="s">
        <v>43</v>
      </c>
    </row>
    <row r="2132" spans="1:26" x14ac:dyDescent="0.25">
      <c r="A2132">
        <v>2131</v>
      </c>
      <c r="B2132" t="s">
        <v>30</v>
      </c>
      <c r="C2132" t="s">
        <v>10351</v>
      </c>
      <c r="D2132" t="s">
        <v>772</v>
      </c>
      <c r="E2132" t="s">
        <v>471</v>
      </c>
      <c r="F2132" t="s">
        <v>773</v>
      </c>
      <c r="G2132" t="s">
        <v>47</v>
      </c>
      <c r="I2132" t="s">
        <v>10352</v>
      </c>
      <c r="K2132" t="s">
        <v>10353</v>
      </c>
      <c r="N2132" t="s">
        <v>10354</v>
      </c>
      <c r="Z2132" t="s">
        <v>43</v>
      </c>
    </row>
    <row r="2133" spans="1:26" x14ac:dyDescent="0.25">
      <c r="A2133">
        <v>2132</v>
      </c>
      <c r="B2133" t="s">
        <v>30</v>
      </c>
      <c r="C2133" t="s">
        <v>10355</v>
      </c>
      <c r="D2133" t="s">
        <v>10356</v>
      </c>
      <c r="E2133" t="s">
        <v>471</v>
      </c>
      <c r="F2133" t="s">
        <v>10357</v>
      </c>
      <c r="G2133" t="s">
        <v>47</v>
      </c>
      <c r="I2133" t="s">
        <v>10358</v>
      </c>
      <c r="J2133">
        <f>57-350-370-1864</f>
        <v>-2527</v>
      </c>
      <c r="K2133" t="s">
        <v>10359</v>
      </c>
      <c r="N2133" t="s">
        <v>10360</v>
      </c>
      <c r="Z2133" t="s">
        <v>43</v>
      </c>
    </row>
    <row r="2134" spans="1:26" x14ac:dyDescent="0.25">
      <c r="A2134">
        <v>2133</v>
      </c>
      <c r="B2134" t="s">
        <v>30</v>
      </c>
      <c r="C2134" t="s">
        <v>10361</v>
      </c>
      <c r="D2134" t="s">
        <v>1260</v>
      </c>
      <c r="E2134" t="s">
        <v>471</v>
      </c>
      <c r="F2134" t="s">
        <v>2178</v>
      </c>
      <c r="G2134" t="s">
        <v>47</v>
      </c>
      <c r="I2134" t="s">
        <v>10362</v>
      </c>
      <c r="K2134" t="s">
        <v>10363</v>
      </c>
      <c r="N2134" t="s">
        <v>10364</v>
      </c>
      <c r="Z2134" t="s">
        <v>43</v>
      </c>
    </row>
    <row r="2135" spans="1:26" x14ac:dyDescent="0.25">
      <c r="A2135">
        <v>2134</v>
      </c>
      <c r="B2135" t="s">
        <v>30</v>
      </c>
      <c r="C2135" t="s">
        <v>10365</v>
      </c>
      <c r="D2135" t="s">
        <v>46</v>
      </c>
      <c r="E2135" t="s">
        <v>471</v>
      </c>
      <c r="F2135" t="s">
        <v>820</v>
      </c>
      <c r="G2135" t="s">
        <v>47</v>
      </c>
      <c r="I2135" t="s">
        <v>10366</v>
      </c>
      <c r="K2135" t="s">
        <v>10367</v>
      </c>
      <c r="N2135" t="s">
        <v>10368</v>
      </c>
      <c r="Z2135" t="s">
        <v>43</v>
      </c>
    </row>
    <row r="2136" spans="1:26" x14ac:dyDescent="0.25">
      <c r="A2136">
        <v>2135</v>
      </c>
      <c r="B2136" t="s">
        <v>30</v>
      </c>
      <c r="C2136" t="s">
        <v>10369</v>
      </c>
      <c r="D2136" t="s">
        <v>2168</v>
      </c>
      <c r="E2136" t="s">
        <v>64</v>
      </c>
      <c r="F2136" t="s">
        <v>2169</v>
      </c>
      <c r="G2136" t="s">
        <v>65</v>
      </c>
      <c r="I2136" t="s">
        <v>10370</v>
      </c>
      <c r="J2136">
        <f>57-316-619-4245</f>
        <v>-5123</v>
      </c>
      <c r="K2136" t="s">
        <v>10371</v>
      </c>
      <c r="N2136" t="s">
        <v>10372</v>
      </c>
      <c r="Z2136" t="s">
        <v>43</v>
      </c>
    </row>
    <row r="2137" spans="1:26" x14ac:dyDescent="0.25">
      <c r="A2137">
        <v>2136</v>
      </c>
      <c r="B2137" t="s">
        <v>30</v>
      </c>
      <c r="C2137" t="s">
        <v>10373</v>
      </c>
      <c r="D2137" t="s">
        <v>909</v>
      </c>
      <c r="E2137" t="s">
        <v>471</v>
      </c>
      <c r="F2137" t="s">
        <v>1659</v>
      </c>
      <c r="G2137" t="s">
        <v>47</v>
      </c>
      <c r="I2137" t="s">
        <v>10374</v>
      </c>
      <c r="J2137">
        <f>57-300-855-4252</f>
        <v>-5350</v>
      </c>
      <c r="K2137" t="s">
        <v>10375</v>
      </c>
      <c r="N2137" t="s">
        <v>10376</v>
      </c>
      <c r="Z2137" t="s">
        <v>43</v>
      </c>
    </row>
    <row r="2138" spans="1:26" x14ac:dyDescent="0.25">
      <c r="A2138">
        <v>2137</v>
      </c>
      <c r="B2138" t="s">
        <v>30</v>
      </c>
      <c r="C2138" t="s">
        <v>10377</v>
      </c>
      <c r="D2138" t="s">
        <v>46</v>
      </c>
      <c r="E2138" t="s">
        <v>471</v>
      </c>
      <c r="F2138" t="s">
        <v>941</v>
      </c>
      <c r="G2138" t="s">
        <v>47</v>
      </c>
      <c r="I2138" t="s">
        <v>10378</v>
      </c>
      <c r="K2138" t="s">
        <v>10379</v>
      </c>
      <c r="N2138" t="s">
        <v>10380</v>
      </c>
      <c r="Z2138" t="s">
        <v>43</v>
      </c>
    </row>
    <row r="2139" spans="1:26" x14ac:dyDescent="0.25">
      <c r="A2139">
        <v>2138</v>
      </c>
      <c r="B2139" t="s">
        <v>30</v>
      </c>
      <c r="C2139" t="s">
        <v>10381</v>
      </c>
      <c r="D2139" t="s">
        <v>3957</v>
      </c>
      <c r="E2139" t="s">
        <v>385</v>
      </c>
      <c r="F2139" t="s">
        <v>4007</v>
      </c>
      <c r="G2139" t="s">
        <v>387</v>
      </c>
      <c r="I2139" t="s">
        <v>10382</v>
      </c>
      <c r="J2139">
        <f>57-321-215-401</f>
        <v>-880</v>
      </c>
      <c r="K2139" t="s">
        <v>10383</v>
      </c>
      <c r="N2139" t="s">
        <v>10384</v>
      </c>
      <c r="Z2139" t="s">
        <v>43</v>
      </c>
    </row>
    <row r="2140" spans="1:26" x14ac:dyDescent="0.25">
      <c r="A2140">
        <v>2139</v>
      </c>
      <c r="B2140" t="s">
        <v>30</v>
      </c>
      <c r="C2140" t="s">
        <v>10385</v>
      </c>
      <c r="D2140" t="s">
        <v>10386</v>
      </c>
      <c r="E2140" t="s">
        <v>471</v>
      </c>
      <c r="F2140" t="s">
        <v>10387</v>
      </c>
      <c r="G2140" t="s">
        <v>47</v>
      </c>
      <c r="I2140" t="s">
        <v>10388</v>
      </c>
      <c r="J2140">
        <f>57-301-534-3346</f>
        <v>-4124</v>
      </c>
      <c r="K2140" t="s">
        <v>10389</v>
      </c>
      <c r="N2140" t="s">
        <v>10390</v>
      </c>
      <c r="Z2140" t="s">
        <v>43</v>
      </c>
    </row>
    <row r="2141" spans="1:26" x14ac:dyDescent="0.25">
      <c r="A2141">
        <v>2140</v>
      </c>
      <c r="B2141" t="s">
        <v>30</v>
      </c>
      <c r="C2141" t="s">
        <v>10391</v>
      </c>
      <c r="D2141" t="s">
        <v>10392</v>
      </c>
      <c r="E2141" t="s">
        <v>56</v>
      </c>
      <c r="F2141" t="s">
        <v>10393</v>
      </c>
      <c r="G2141" t="s">
        <v>57</v>
      </c>
      <c r="I2141" t="s">
        <v>10394</v>
      </c>
      <c r="K2141" t="s">
        <v>10395</v>
      </c>
      <c r="N2141" t="s">
        <v>10396</v>
      </c>
      <c r="Z2141" t="s">
        <v>43</v>
      </c>
    </row>
    <row r="2142" spans="1:26" x14ac:dyDescent="0.25">
      <c r="A2142">
        <v>2141</v>
      </c>
      <c r="B2142" t="s">
        <v>30</v>
      </c>
      <c r="C2142" t="s">
        <v>10397</v>
      </c>
      <c r="D2142" t="s">
        <v>2098</v>
      </c>
      <c r="E2142" t="s">
        <v>1269</v>
      </c>
      <c r="F2142" t="s">
        <v>2099</v>
      </c>
      <c r="G2142" t="s">
        <v>1271</v>
      </c>
      <c r="I2142" t="s">
        <v>10398</v>
      </c>
      <c r="K2142" t="s">
        <v>10399</v>
      </c>
      <c r="N2142" t="s">
        <v>10400</v>
      </c>
      <c r="Z2142" t="s">
        <v>43</v>
      </c>
    </row>
    <row r="2143" spans="1:26" x14ac:dyDescent="0.25">
      <c r="A2143">
        <v>2142</v>
      </c>
      <c r="B2143" t="s">
        <v>30</v>
      </c>
      <c r="C2143" t="s">
        <v>10401</v>
      </c>
      <c r="D2143" t="s">
        <v>9230</v>
      </c>
      <c r="E2143" t="s">
        <v>72</v>
      </c>
      <c r="F2143" t="s">
        <v>10402</v>
      </c>
      <c r="G2143" t="s">
        <v>73</v>
      </c>
      <c r="I2143" t="s">
        <v>10403</v>
      </c>
      <c r="K2143" t="s">
        <v>10404</v>
      </c>
      <c r="N2143" t="s">
        <v>10405</v>
      </c>
      <c r="Z2143" t="s">
        <v>43</v>
      </c>
    </row>
    <row r="2144" spans="1:26" x14ac:dyDescent="0.25">
      <c r="A2144">
        <v>2143</v>
      </c>
      <c r="B2144" t="s">
        <v>30</v>
      </c>
      <c r="C2144" t="s">
        <v>10406</v>
      </c>
      <c r="D2144" t="s">
        <v>1713</v>
      </c>
      <c r="E2144" t="s">
        <v>471</v>
      </c>
      <c r="F2144" t="s">
        <v>10407</v>
      </c>
      <c r="G2144" t="s">
        <v>966</v>
      </c>
      <c r="I2144" t="s">
        <v>10408</v>
      </c>
      <c r="J2144">
        <f>57-305-747-3207</f>
        <v>-4202</v>
      </c>
      <c r="K2144" t="s">
        <v>10409</v>
      </c>
      <c r="N2144" t="s">
        <v>10410</v>
      </c>
      <c r="Z2144" t="s">
        <v>43</v>
      </c>
    </row>
    <row r="2145" spans="1:26" x14ac:dyDescent="0.25">
      <c r="A2145">
        <v>2144</v>
      </c>
      <c r="B2145" t="s">
        <v>30</v>
      </c>
      <c r="C2145" t="s">
        <v>10411</v>
      </c>
      <c r="D2145" t="s">
        <v>10412</v>
      </c>
      <c r="E2145" t="s">
        <v>471</v>
      </c>
      <c r="F2145" t="s">
        <v>10413</v>
      </c>
      <c r="G2145" t="s">
        <v>47</v>
      </c>
      <c r="I2145" t="s">
        <v>10414</v>
      </c>
      <c r="K2145" t="s">
        <v>10415</v>
      </c>
      <c r="N2145" t="s">
        <v>10416</v>
      </c>
      <c r="Z2145" t="s">
        <v>43</v>
      </c>
    </row>
    <row r="2146" spans="1:26" x14ac:dyDescent="0.25">
      <c r="A2146">
        <v>2145</v>
      </c>
      <c r="B2146" t="s">
        <v>30</v>
      </c>
      <c r="C2146" t="s">
        <v>10417</v>
      </c>
      <c r="D2146" t="s">
        <v>10418</v>
      </c>
      <c r="E2146" t="s">
        <v>10419</v>
      </c>
      <c r="F2146" t="s">
        <v>10420</v>
      </c>
      <c r="G2146" t="s">
        <v>10421</v>
      </c>
      <c r="I2146" t="s">
        <v>10422</v>
      </c>
      <c r="K2146" t="s">
        <v>10423</v>
      </c>
      <c r="N2146" t="s">
        <v>10424</v>
      </c>
      <c r="Z2146" t="s">
        <v>43</v>
      </c>
    </row>
    <row r="2147" spans="1:26" x14ac:dyDescent="0.25">
      <c r="A2147">
        <v>2146</v>
      </c>
      <c r="B2147" t="s">
        <v>30</v>
      </c>
      <c r="C2147" t="s">
        <v>10425</v>
      </c>
      <c r="D2147" t="s">
        <v>2330</v>
      </c>
      <c r="E2147" t="s">
        <v>64</v>
      </c>
      <c r="F2147" t="s">
        <v>2331</v>
      </c>
      <c r="G2147" t="s">
        <v>65</v>
      </c>
      <c r="I2147" t="s">
        <v>10426</v>
      </c>
      <c r="K2147" t="s">
        <v>10427</v>
      </c>
      <c r="N2147" t="s">
        <v>10428</v>
      </c>
      <c r="Z2147" t="s">
        <v>43</v>
      </c>
    </row>
    <row r="2148" spans="1:26" x14ac:dyDescent="0.25">
      <c r="A2148">
        <v>2147</v>
      </c>
      <c r="B2148" t="s">
        <v>30</v>
      </c>
      <c r="C2148" t="s">
        <v>10429</v>
      </c>
      <c r="D2148" t="s">
        <v>46</v>
      </c>
      <c r="E2148" t="s">
        <v>471</v>
      </c>
      <c r="F2148" t="s">
        <v>820</v>
      </c>
      <c r="G2148" t="s">
        <v>47</v>
      </c>
      <c r="I2148" t="s">
        <v>10430</v>
      </c>
      <c r="J2148">
        <f>57-310-294-5818</f>
        <v>-6365</v>
      </c>
      <c r="K2148" t="s">
        <v>10431</v>
      </c>
      <c r="N2148" t="s">
        <v>10432</v>
      </c>
      <c r="Z2148" t="s">
        <v>43</v>
      </c>
    </row>
    <row r="2149" spans="1:26" x14ac:dyDescent="0.25">
      <c r="A2149">
        <v>2148</v>
      </c>
      <c r="B2149" t="s">
        <v>30</v>
      </c>
      <c r="C2149" t="s">
        <v>10433</v>
      </c>
      <c r="D2149" t="s">
        <v>10434</v>
      </c>
      <c r="E2149" t="s">
        <v>471</v>
      </c>
      <c r="F2149" t="s">
        <v>10435</v>
      </c>
      <c r="G2149" t="s">
        <v>47</v>
      </c>
      <c r="I2149" t="s">
        <v>10436</v>
      </c>
      <c r="K2149" t="s">
        <v>10437</v>
      </c>
      <c r="N2149" t="s">
        <v>10438</v>
      </c>
      <c r="Z2149" t="s">
        <v>43</v>
      </c>
    </row>
    <row r="2150" spans="1:26" x14ac:dyDescent="0.25">
      <c r="A2150">
        <v>2149</v>
      </c>
      <c r="B2150" t="s">
        <v>30</v>
      </c>
      <c r="C2150" t="s">
        <v>10439</v>
      </c>
      <c r="D2150" t="s">
        <v>384</v>
      </c>
      <c r="E2150" t="s">
        <v>471</v>
      </c>
      <c r="F2150" t="s">
        <v>386</v>
      </c>
      <c r="G2150" t="s">
        <v>47</v>
      </c>
      <c r="I2150" t="s">
        <v>10440</v>
      </c>
      <c r="J2150">
        <f>57-60-1-472-4743</f>
        <v>-5219</v>
      </c>
      <c r="K2150" t="s">
        <v>10441</v>
      </c>
      <c r="N2150" t="s">
        <v>10442</v>
      </c>
      <c r="Z2150" t="s">
        <v>43</v>
      </c>
    </row>
    <row r="2151" spans="1:26" x14ac:dyDescent="0.25">
      <c r="A2151">
        <v>2150</v>
      </c>
      <c r="B2151" t="s">
        <v>30</v>
      </c>
      <c r="C2151" t="s">
        <v>10443</v>
      </c>
      <c r="D2151" t="s">
        <v>46</v>
      </c>
      <c r="E2151" t="s">
        <v>471</v>
      </c>
      <c r="F2151" t="s">
        <v>820</v>
      </c>
      <c r="G2151" t="s">
        <v>47</v>
      </c>
      <c r="I2151" t="s">
        <v>10444</v>
      </c>
      <c r="K2151" t="s">
        <v>10445</v>
      </c>
      <c r="N2151" t="s">
        <v>10446</v>
      </c>
      <c r="Z2151" t="s">
        <v>43</v>
      </c>
    </row>
    <row r="2152" spans="1:26" x14ac:dyDescent="0.25">
      <c r="A2152">
        <v>2151</v>
      </c>
      <c r="B2152" t="s">
        <v>30</v>
      </c>
      <c r="C2152" t="s">
        <v>10447</v>
      </c>
      <c r="D2152" t="s">
        <v>5144</v>
      </c>
      <c r="E2152" t="s">
        <v>2936</v>
      </c>
      <c r="F2152" t="s">
        <v>5145</v>
      </c>
      <c r="G2152" t="s">
        <v>2938</v>
      </c>
      <c r="I2152" t="s">
        <v>10448</v>
      </c>
      <c r="J2152">
        <f>57-318-282-4124</f>
        <v>-4667</v>
      </c>
      <c r="K2152" t="s">
        <v>10449</v>
      </c>
      <c r="N2152" t="s">
        <v>10450</v>
      </c>
      <c r="Z2152" t="s">
        <v>43</v>
      </c>
    </row>
    <row r="2153" spans="1:26" x14ac:dyDescent="0.25">
      <c r="A2153">
        <v>2152</v>
      </c>
      <c r="B2153" t="s">
        <v>30</v>
      </c>
      <c r="C2153" t="s">
        <v>10451</v>
      </c>
      <c r="D2153" t="s">
        <v>4253</v>
      </c>
      <c r="E2153" t="s">
        <v>1402</v>
      </c>
      <c r="F2153" t="s">
        <v>4254</v>
      </c>
      <c r="G2153" t="s">
        <v>1404</v>
      </c>
      <c r="I2153" t="s">
        <v>10452</v>
      </c>
      <c r="K2153" t="s">
        <v>10453</v>
      </c>
      <c r="N2153" t="s">
        <v>10454</v>
      </c>
      <c r="Z2153" t="s">
        <v>43</v>
      </c>
    </row>
    <row r="2154" spans="1:26" x14ac:dyDescent="0.25">
      <c r="A2154">
        <v>2153</v>
      </c>
      <c r="B2154" t="s">
        <v>30</v>
      </c>
      <c r="C2154" t="s">
        <v>10455</v>
      </c>
      <c r="D2154" t="s">
        <v>10456</v>
      </c>
      <c r="E2154" t="s">
        <v>2007</v>
      </c>
      <c r="F2154" t="s">
        <v>10457</v>
      </c>
      <c r="G2154" t="s">
        <v>2009</v>
      </c>
      <c r="I2154" t="s">
        <v>10458</v>
      </c>
      <c r="K2154" t="s">
        <v>10459</v>
      </c>
      <c r="N2154" t="s">
        <v>10460</v>
      </c>
      <c r="Z2154" t="s">
        <v>43</v>
      </c>
    </row>
    <row r="2155" spans="1:26" x14ac:dyDescent="0.25">
      <c r="A2155">
        <v>2154</v>
      </c>
      <c r="B2155" t="s">
        <v>30</v>
      </c>
      <c r="C2155" t="s">
        <v>10461</v>
      </c>
      <c r="D2155" t="s">
        <v>72</v>
      </c>
      <c r="E2155" t="s">
        <v>72</v>
      </c>
      <c r="F2155" t="s">
        <v>73</v>
      </c>
      <c r="G2155" t="s">
        <v>73</v>
      </c>
      <c r="I2155" t="s">
        <v>10462</v>
      </c>
      <c r="J2155">
        <f>57-318-801-7722</f>
        <v>-8784</v>
      </c>
      <c r="K2155" t="s">
        <v>10463</v>
      </c>
      <c r="N2155" t="s">
        <v>10464</v>
      </c>
      <c r="Z2155" t="s">
        <v>43</v>
      </c>
    </row>
    <row r="2156" spans="1:26" x14ac:dyDescent="0.25">
      <c r="A2156">
        <v>2155</v>
      </c>
      <c r="B2156" t="s">
        <v>30</v>
      </c>
      <c r="C2156" t="s">
        <v>10465</v>
      </c>
      <c r="D2156" t="s">
        <v>2330</v>
      </c>
      <c r="E2156" t="s">
        <v>64</v>
      </c>
      <c r="F2156" t="s">
        <v>10466</v>
      </c>
      <c r="G2156" t="s">
        <v>65</v>
      </c>
      <c r="I2156" t="s">
        <v>10467</v>
      </c>
      <c r="J2156">
        <f>57-350-583-8960</f>
        <v>-9836</v>
      </c>
      <c r="K2156" t="s">
        <v>10468</v>
      </c>
      <c r="N2156" t="s">
        <v>10469</v>
      </c>
      <c r="Z2156" t="s">
        <v>43</v>
      </c>
    </row>
    <row r="2157" spans="1:26" x14ac:dyDescent="0.25">
      <c r="A2157">
        <v>2156</v>
      </c>
      <c r="B2157" t="s">
        <v>30</v>
      </c>
      <c r="C2157" t="s">
        <v>10470</v>
      </c>
      <c r="D2157" t="s">
        <v>10471</v>
      </c>
      <c r="E2157" t="s">
        <v>56</v>
      </c>
      <c r="F2157" t="s">
        <v>10472</v>
      </c>
      <c r="G2157" t="s">
        <v>57</v>
      </c>
      <c r="I2157" t="s">
        <v>10473</v>
      </c>
      <c r="J2157">
        <f>57-311-243-2880</f>
        <v>-3377</v>
      </c>
      <c r="K2157" t="s">
        <v>10474</v>
      </c>
      <c r="N2157" t="s">
        <v>10475</v>
      </c>
      <c r="Z2157" t="s">
        <v>43</v>
      </c>
    </row>
    <row r="2158" spans="1:26" x14ac:dyDescent="0.25">
      <c r="A2158">
        <v>2157</v>
      </c>
      <c r="B2158" t="s">
        <v>30</v>
      </c>
      <c r="C2158" t="s">
        <v>10476</v>
      </c>
      <c r="D2158" t="s">
        <v>1950</v>
      </c>
      <c r="E2158" t="s">
        <v>1774</v>
      </c>
      <c r="F2158" t="s">
        <v>10477</v>
      </c>
      <c r="G2158" t="s">
        <v>1776</v>
      </c>
      <c r="I2158" t="s">
        <v>10478</v>
      </c>
      <c r="K2158" t="s">
        <v>10479</v>
      </c>
      <c r="N2158" t="s">
        <v>10480</v>
      </c>
      <c r="Z2158" t="s">
        <v>43</v>
      </c>
    </row>
    <row r="2159" spans="1:26" x14ac:dyDescent="0.25">
      <c r="A2159">
        <v>2158</v>
      </c>
      <c r="B2159" t="s">
        <v>30</v>
      </c>
      <c r="C2159" t="s">
        <v>10481</v>
      </c>
      <c r="D2159" t="s">
        <v>1260</v>
      </c>
      <c r="E2159" t="s">
        <v>471</v>
      </c>
      <c r="F2159" t="s">
        <v>2178</v>
      </c>
      <c r="G2159" t="s">
        <v>47</v>
      </c>
      <c r="I2159" t="s">
        <v>10482</v>
      </c>
      <c r="J2159">
        <f>57-314-298-2548</f>
        <v>-3103</v>
      </c>
      <c r="K2159" t="s">
        <v>10483</v>
      </c>
      <c r="N2159" t="s">
        <v>10484</v>
      </c>
      <c r="Z2159" t="s">
        <v>43</v>
      </c>
    </row>
    <row r="2160" spans="1:26" x14ac:dyDescent="0.25">
      <c r="A2160">
        <v>2159</v>
      </c>
      <c r="B2160" t="s">
        <v>30</v>
      </c>
      <c r="C2160" t="s">
        <v>10485</v>
      </c>
      <c r="D2160" t="s">
        <v>2098</v>
      </c>
      <c r="E2160" t="s">
        <v>56</v>
      </c>
      <c r="F2160" t="s">
        <v>2099</v>
      </c>
      <c r="G2160" t="s">
        <v>57</v>
      </c>
      <c r="I2160" t="s">
        <v>10486</v>
      </c>
      <c r="K2160" t="s">
        <v>10487</v>
      </c>
      <c r="N2160" t="s">
        <v>10488</v>
      </c>
      <c r="Z2160" t="s">
        <v>43</v>
      </c>
    </row>
    <row r="2161" spans="1:26" x14ac:dyDescent="0.25">
      <c r="A2161">
        <v>2160</v>
      </c>
      <c r="B2161" t="s">
        <v>30</v>
      </c>
      <c r="C2161" t="s">
        <v>10489</v>
      </c>
      <c r="D2161" t="s">
        <v>2098</v>
      </c>
      <c r="E2161" t="s">
        <v>56</v>
      </c>
      <c r="F2161" t="s">
        <v>2099</v>
      </c>
      <c r="G2161" t="s">
        <v>57</v>
      </c>
      <c r="I2161" t="s">
        <v>10486</v>
      </c>
      <c r="K2161" t="s">
        <v>10490</v>
      </c>
      <c r="N2161" t="s">
        <v>10488</v>
      </c>
      <c r="Z2161" t="s">
        <v>43</v>
      </c>
    </row>
    <row r="2162" spans="1:26" x14ac:dyDescent="0.25">
      <c r="A2162">
        <v>2161</v>
      </c>
      <c r="B2162" t="s">
        <v>30</v>
      </c>
      <c r="C2162" t="s">
        <v>10491</v>
      </c>
      <c r="D2162" t="s">
        <v>10492</v>
      </c>
      <c r="E2162" t="s">
        <v>800</v>
      </c>
      <c r="F2162" t="s">
        <v>10493</v>
      </c>
      <c r="G2162" t="s">
        <v>802</v>
      </c>
      <c r="I2162" t="s">
        <v>10494</v>
      </c>
      <c r="K2162" t="s">
        <v>10495</v>
      </c>
      <c r="N2162" t="s">
        <v>10496</v>
      </c>
      <c r="Z2162" t="s">
        <v>43</v>
      </c>
    </row>
    <row r="2163" spans="1:26" x14ac:dyDescent="0.25">
      <c r="A2163">
        <v>2162</v>
      </c>
      <c r="B2163" t="s">
        <v>30</v>
      </c>
      <c r="C2163" t="s">
        <v>10497</v>
      </c>
      <c r="D2163" t="s">
        <v>72</v>
      </c>
      <c r="E2163" t="s">
        <v>72</v>
      </c>
      <c r="F2163" t="s">
        <v>73</v>
      </c>
      <c r="G2163" t="s">
        <v>73</v>
      </c>
      <c r="I2163" t="s">
        <v>10498</v>
      </c>
      <c r="J2163">
        <f>57-318-354-5455</f>
        <v>-6070</v>
      </c>
      <c r="K2163" t="s">
        <v>3107</v>
      </c>
      <c r="N2163" t="s">
        <v>10499</v>
      </c>
      <c r="Z2163" t="s">
        <v>43</v>
      </c>
    </row>
    <row r="2164" spans="1:26" x14ac:dyDescent="0.25">
      <c r="A2164">
        <v>2163</v>
      </c>
      <c r="B2164" t="s">
        <v>30</v>
      </c>
      <c r="C2164" t="s">
        <v>10500</v>
      </c>
      <c r="D2164" t="s">
        <v>1260</v>
      </c>
      <c r="E2164" t="s">
        <v>72</v>
      </c>
      <c r="F2164" t="s">
        <v>5119</v>
      </c>
      <c r="G2164" t="s">
        <v>73</v>
      </c>
      <c r="I2164" t="s">
        <v>10501</v>
      </c>
      <c r="J2164">
        <f>57-312-522-7056</f>
        <v>-7833</v>
      </c>
      <c r="K2164" t="s">
        <v>10502</v>
      </c>
      <c r="N2164" t="s">
        <v>10503</v>
      </c>
      <c r="Z2164" t="s">
        <v>43</v>
      </c>
    </row>
    <row r="2165" spans="1:26" x14ac:dyDescent="0.25">
      <c r="A2165">
        <v>2164</v>
      </c>
      <c r="B2165" t="s">
        <v>30</v>
      </c>
      <c r="C2165" t="s">
        <v>10504</v>
      </c>
      <c r="D2165" t="s">
        <v>4655</v>
      </c>
      <c r="E2165" t="s">
        <v>1055</v>
      </c>
      <c r="F2165" t="s">
        <v>4656</v>
      </c>
      <c r="G2165" t="s">
        <v>1057</v>
      </c>
      <c r="I2165" t="s">
        <v>10505</v>
      </c>
      <c r="J2165">
        <f>57-60-1-281-6389</f>
        <v>-6674</v>
      </c>
      <c r="K2165" t="s">
        <v>10506</v>
      </c>
      <c r="N2165" t="s">
        <v>10507</v>
      </c>
      <c r="Z2165" t="s">
        <v>43</v>
      </c>
    </row>
    <row r="2166" spans="1:26" x14ac:dyDescent="0.25">
      <c r="A2166">
        <v>2165</v>
      </c>
      <c r="B2166" t="s">
        <v>30</v>
      </c>
      <c r="C2166" t="s">
        <v>10508</v>
      </c>
      <c r="D2166" t="s">
        <v>72</v>
      </c>
      <c r="E2166" t="s">
        <v>3321</v>
      </c>
      <c r="F2166" t="s">
        <v>3934</v>
      </c>
      <c r="G2166" t="s">
        <v>3323</v>
      </c>
      <c r="I2166" t="s">
        <v>10509</v>
      </c>
      <c r="K2166" t="s">
        <v>10510</v>
      </c>
      <c r="N2166" t="s">
        <v>10511</v>
      </c>
      <c r="Z2166" t="s">
        <v>43</v>
      </c>
    </row>
    <row r="2167" spans="1:26" x14ac:dyDescent="0.25">
      <c r="A2167">
        <v>2166</v>
      </c>
      <c r="B2167" t="s">
        <v>30</v>
      </c>
      <c r="C2167" t="s">
        <v>10512</v>
      </c>
      <c r="D2167" t="s">
        <v>772</v>
      </c>
      <c r="E2167" t="s">
        <v>471</v>
      </c>
      <c r="F2167" t="s">
        <v>773</v>
      </c>
      <c r="G2167" t="s">
        <v>47</v>
      </c>
      <c r="I2167" t="s">
        <v>10513</v>
      </c>
      <c r="J2167">
        <f>57-310-769-3266</f>
        <v>-4288</v>
      </c>
      <c r="K2167" t="s">
        <v>10514</v>
      </c>
      <c r="N2167" t="s">
        <v>10515</v>
      </c>
      <c r="Z2167" t="s">
        <v>43</v>
      </c>
    </row>
    <row r="2168" spans="1:26" x14ac:dyDescent="0.25">
      <c r="A2168">
        <v>2167</v>
      </c>
      <c r="B2168" t="s">
        <v>30</v>
      </c>
      <c r="C2168" t="s">
        <v>10516</v>
      </c>
      <c r="D2168" t="s">
        <v>772</v>
      </c>
      <c r="E2168" t="s">
        <v>471</v>
      </c>
      <c r="F2168" t="s">
        <v>773</v>
      </c>
      <c r="G2168" t="s">
        <v>47</v>
      </c>
      <c r="I2168" t="s">
        <v>10517</v>
      </c>
      <c r="K2168" t="s">
        <v>10518</v>
      </c>
      <c r="N2168" t="s">
        <v>10519</v>
      </c>
      <c r="Z2168" t="s">
        <v>43</v>
      </c>
    </row>
    <row r="2169" spans="1:26" x14ac:dyDescent="0.25">
      <c r="A2169">
        <v>2168</v>
      </c>
      <c r="B2169" t="s">
        <v>30</v>
      </c>
      <c r="C2169" t="s">
        <v>10520</v>
      </c>
      <c r="D2169" t="s">
        <v>772</v>
      </c>
      <c r="E2169" t="s">
        <v>471</v>
      </c>
      <c r="F2169" t="s">
        <v>773</v>
      </c>
      <c r="G2169" t="s">
        <v>47</v>
      </c>
      <c r="I2169" t="s">
        <v>10521</v>
      </c>
      <c r="J2169">
        <f>57-60-1-695-9559</f>
        <v>-10258</v>
      </c>
      <c r="K2169" t="s">
        <v>10522</v>
      </c>
      <c r="N2169" t="s">
        <v>10523</v>
      </c>
      <c r="Z2169" t="s">
        <v>43</v>
      </c>
    </row>
    <row r="2170" spans="1:26" x14ac:dyDescent="0.25">
      <c r="A2170">
        <v>2169</v>
      </c>
      <c r="B2170" t="s">
        <v>30</v>
      </c>
      <c r="C2170" t="s">
        <v>10524</v>
      </c>
      <c r="D2170" t="s">
        <v>10525</v>
      </c>
      <c r="E2170" t="s">
        <v>1338</v>
      </c>
      <c r="F2170" t="s">
        <v>10526</v>
      </c>
      <c r="G2170" t="s">
        <v>1340</v>
      </c>
      <c r="I2170" t="s">
        <v>10527</v>
      </c>
      <c r="J2170">
        <f>57-304-640-7080</f>
        <v>-7967</v>
      </c>
      <c r="K2170" t="s">
        <v>10528</v>
      </c>
      <c r="N2170" t="s">
        <v>10529</v>
      </c>
      <c r="Z2170" t="s">
        <v>43</v>
      </c>
    </row>
    <row r="2171" spans="1:26" x14ac:dyDescent="0.25">
      <c r="A2171">
        <v>2170</v>
      </c>
      <c r="B2171" t="s">
        <v>30</v>
      </c>
      <c r="C2171" t="s">
        <v>10530</v>
      </c>
      <c r="D2171" t="s">
        <v>909</v>
      </c>
      <c r="E2171" t="s">
        <v>471</v>
      </c>
      <c r="F2171" t="s">
        <v>1659</v>
      </c>
      <c r="G2171" t="s">
        <v>47</v>
      </c>
      <c r="I2171" t="s">
        <v>10531</v>
      </c>
      <c r="J2171">
        <f>57-321-457-9570</f>
        <v>-10291</v>
      </c>
      <c r="K2171" t="s">
        <v>10532</v>
      </c>
      <c r="N2171" t="s">
        <v>10533</v>
      </c>
      <c r="Z2171" t="s">
        <v>43</v>
      </c>
    </row>
    <row r="2172" spans="1:26" x14ac:dyDescent="0.25">
      <c r="A2172">
        <v>2171</v>
      </c>
      <c r="B2172" t="s">
        <v>30</v>
      </c>
      <c r="C2172" t="s">
        <v>10534</v>
      </c>
      <c r="D2172" t="s">
        <v>909</v>
      </c>
      <c r="E2172" t="s">
        <v>471</v>
      </c>
      <c r="F2172" t="s">
        <v>1659</v>
      </c>
      <c r="G2172" t="s">
        <v>47</v>
      </c>
      <c r="I2172" t="s">
        <v>10535</v>
      </c>
      <c r="K2172" t="s">
        <v>10536</v>
      </c>
      <c r="N2172" t="s">
        <v>1492</v>
      </c>
      <c r="Z2172" t="s">
        <v>43</v>
      </c>
    </row>
    <row r="2173" spans="1:26" x14ac:dyDescent="0.25">
      <c r="A2173">
        <v>2172</v>
      </c>
      <c r="B2173" t="s">
        <v>30</v>
      </c>
      <c r="C2173" t="s">
        <v>10537</v>
      </c>
      <c r="D2173" t="s">
        <v>10538</v>
      </c>
      <c r="E2173" t="s">
        <v>800</v>
      </c>
      <c r="F2173" t="s">
        <v>10539</v>
      </c>
      <c r="G2173" t="s">
        <v>802</v>
      </c>
      <c r="I2173" t="s">
        <v>10540</v>
      </c>
      <c r="J2173">
        <f>57-320-946-9767</f>
        <v>-10976</v>
      </c>
      <c r="K2173" t="s">
        <v>10541</v>
      </c>
      <c r="N2173" t="s">
        <v>10542</v>
      </c>
      <c r="Z2173" t="s">
        <v>43</v>
      </c>
    </row>
    <row r="2174" spans="1:26" x14ac:dyDescent="0.25">
      <c r="A2174">
        <v>2173</v>
      </c>
      <c r="B2174" t="s">
        <v>30</v>
      </c>
      <c r="C2174" t="s">
        <v>10543</v>
      </c>
      <c r="D2174" t="s">
        <v>867</v>
      </c>
      <c r="E2174" t="s">
        <v>471</v>
      </c>
      <c r="F2174" t="s">
        <v>868</v>
      </c>
      <c r="G2174" t="s">
        <v>47</v>
      </c>
      <c r="I2174" t="s">
        <v>10544</v>
      </c>
      <c r="K2174" t="s">
        <v>10545</v>
      </c>
      <c r="N2174" t="s">
        <v>10546</v>
      </c>
      <c r="Z2174" t="s">
        <v>43</v>
      </c>
    </row>
    <row r="2175" spans="1:26" x14ac:dyDescent="0.25">
      <c r="A2175">
        <v>2174</v>
      </c>
      <c r="B2175" t="s">
        <v>30</v>
      </c>
      <c r="C2175" t="s">
        <v>10547</v>
      </c>
      <c r="D2175" t="s">
        <v>4129</v>
      </c>
      <c r="E2175" t="s">
        <v>56</v>
      </c>
      <c r="F2175" t="s">
        <v>10548</v>
      </c>
      <c r="G2175" t="s">
        <v>57</v>
      </c>
      <c r="I2175" t="s">
        <v>10549</v>
      </c>
      <c r="K2175" t="s">
        <v>10550</v>
      </c>
      <c r="N2175" t="s">
        <v>10551</v>
      </c>
      <c r="Z2175" t="s">
        <v>43</v>
      </c>
    </row>
    <row r="2176" spans="1:26" x14ac:dyDescent="0.25">
      <c r="A2176">
        <v>2175</v>
      </c>
      <c r="B2176" t="s">
        <v>30</v>
      </c>
      <c r="C2176" t="s">
        <v>10552</v>
      </c>
      <c r="D2176" t="s">
        <v>46</v>
      </c>
      <c r="E2176" t="s">
        <v>56</v>
      </c>
      <c r="F2176" t="s">
        <v>820</v>
      </c>
      <c r="G2176" t="s">
        <v>57</v>
      </c>
      <c r="I2176" t="s">
        <v>10553</v>
      </c>
      <c r="J2176">
        <f>57-300-280-6943</f>
        <v>-7466</v>
      </c>
      <c r="K2176" t="s">
        <v>10554</v>
      </c>
      <c r="N2176" t="s">
        <v>10555</v>
      </c>
      <c r="Z2176" t="s">
        <v>43</v>
      </c>
    </row>
    <row r="2177" spans="1:26" x14ac:dyDescent="0.25">
      <c r="A2177">
        <v>2176</v>
      </c>
      <c r="B2177" t="s">
        <v>30</v>
      </c>
      <c r="C2177" t="s">
        <v>10556</v>
      </c>
      <c r="D2177" t="s">
        <v>7321</v>
      </c>
      <c r="E2177" t="s">
        <v>755</v>
      </c>
      <c r="F2177" t="s">
        <v>10557</v>
      </c>
      <c r="G2177" t="s">
        <v>757</v>
      </c>
      <c r="I2177" t="s">
        <v>10558</v>
      </c>
      <c r="K2177" t="s">
        <v>10559</v>
      </c>
      <c r="N2177" t="s">
        <v>10560</v>
      </c>
      <c r="Z2177" t="s">
        <v>43</v>
      </c>
    </row>
    <row r="2178" spans="1:26" x14ac:dyDescent="0.25">
      <c r="A2178">
        <v>2177</v>
      </c>
      <c r="B2178" t="s">
        <v>30</v>
      </c>
      <c r="C2178" t="s">
        <v>10561</v>
      </c>
      <c r="D2178" t="s">
        <v>1260</v>
      </c>
      <c r="E2178" t="s">
        <v>471</v>
      </c>
      <c r="F2178" t="s">
        <v>2178</v>
      </c>
      <c r="G2178" t="s">
        <v>47</v>
      </c>
      <c r="I2178" t="s">
        <v>10562</v>
      </c>
      <c r="K2178" t="s">
        <v>10563</v>
      </c>
      <c r="N2178" t="s">
        <v>10564</v>
      </c>
      <c r="Z2178" t="s">
        <v>43</v>
      </c>
    </row>
    <row r="2179" spans="1:26" x14ac:dyDescent="0.25">
      <c r="A2179">
        <v>2178</v>
      </c>
      <c r="B2179" t="s">
        <v>30</v>
      </c>
      <c r="C2179" t="s">
        <v>10565</v>
      </c>
      <c r="D2179" t="s">
        <v>1719</v>
      </c>
      <c r="E2179" t="s">
        <v>1402</v>
      </c>
      <c r="F2179" t="s">
        <v>1720</v>
      </c>
      <c r="G2179" t="s">
        <v>1404</v>
      </c>
      <c r="I2179" t="s">
        <v>10566</v>
      </c>
      <c r="K2179" t="s">
        <v>10567</v>
      </c>
      <c r="N2179" t="s">
        <v>10568</v>
      </c>
      <c r="Z2179" t="s">
        <v>43</v>
      </c>
    </row>
    <row r="2180" spans="1:26" x14ac:dyDescent="0.25">
      <c r="A2180">
        <v>2179</v>
      </c>
      <c r="B2180" t="s">
        <v>30</v>
      </c>
      <c r="C2180" t="s">
        <v>10569</v>
      </c>
      <c r="D2180" t="s">
        <v>384</v>
      </c>
      <c r="E2180" t="s">
        <v>471</v>
      </c>
      <c r="F2180" t="s">
        <v>386</v>
      </c>
      <c r="G2180" t="s">
        <v>47</v>
      </c>
      <c r="I2180" t="s">
        <v>10570</v>
      </c>
      <c r="J2180">
        <f>57-320-278-8410</f>
        <v>-8951</v>
      </c>
      <c r="K2180" t="s">
        <v>10571</v>
      </c>
      <c r="N2180" t="s">
        <v>10572</v>
      </c>
      <c r="Z2180" t="s">
        <v>43</v>
      </c>
    </row>
    <row r="2181" spans="1:26" x14ac:dyDescent="0.25">
      <c r="A2181">
        <v>2180</v>
      </c>
      <c r="B2181" t="s">
        <v>30</v>
      </c>
      <c r="C2181" t="s">
        <v>10573</v>
      </c>
      <c r="D2181" t="s">
        <v>10574</v>
      </c>
      <c r="E2181" t="s">
        <v>64</v>
      </c>
      <c r="F2181" t="s">
        <v>10575</v>
      </c>
      <c r="G2181" t="s">
        <v>65</v>
      </c>
      <c r="I2181" t="s">
        <v>10576</v>
      </c>
      <c r="K2181" t="s">
        <v>10577</v>
      </c>
      <c r="N2181" t="s">
        <v>10578</v>
      </c>
      <c r="Z2181" t="s">
        <v>43</v>
      </c>
    </row>
    <row r="2182" spans="1:26" x14ac:dyDescent="0.25">
      <c r="A2182">
        <v>2181</v>
      </c>
      <c r="B2182" t="s">
        <v>30</v>
      </c>
      <c r="C2182" t="s">
        <v>10579</v>
      </c>
      <c r="D2182" t="s">
        <v>5785</v>
      </c>
      <c r="E2182" t="s">
        <v>2416</v>
      </c>
      <c r="F2182" t="s">
        <v>5786</v>
      </c>
      <c r="G2182" t="s">
        <v>2418</v>
      </c>
      <c r="I2182" t="s">
        <v>10580</v>
      </c>
      <c r="J2182">
        <f>57-60-1-271-5580</f>
        <v>-5855</v>
      </c>
      <c r="K2182" t="s">
        <v>10581</v>
      </c>
      <c r="N2182" t="s">
        <v>10582</v>
      </c>
      <c r="Z2182" t="s">
        <v>43</v>
      </c>
    </row>
    <row r="2183" spans="1:26" x14ac:dyDescent="0.25">
      <c r="A2183">
        <v>2182</v>
      </c>
      <c r="B2183" t="s">
        <v>30</v>
      </c>
      <c r="C2183" t="s">
        <v>10583</v>
      </c>
      <c r="D2183" t="s">
        <v>10584</v>
      </c>
      <c r="E2183" t="s">
        <v>1792</v>
      </c>
      <c r="F2183" t="s">
        <v>10585</v>
      </c>
      <c r="G2183" t="s">
        <v>1794</v>
      </c>
      <c r="I2183" t="s">
        <v>10586</v>
      </c>
      <c r="J2183">
        <f>57-301-469-504</f>
        <v>-1217</v>
      </c>
      <c r="K2183" t="s">
        <v>10587</v>
      </c>
      <c r="N2183" t="s">
        <v>10588</v>
      </c>
      <c r="Z2183" t="s">
        <v>43</v>
      </c>
    </row>
    <row r="2184" spans="1:26" x14ac:dyDescent="0.25">
      <c r="A2184">
        <v>2183</v>
      </c>
      <c r="B2184" t="s">
        <v>30</v>
      </c>
      <c r="C2184" t="s">
        <v>10589</v>
      </c>
      <c r="D2184" t="s">
        <v>1054</v>
      </c>
      <c r="E2184" t="s">
        <v>1055</v>
      </c>
      <c r="F2184" t="s">
        <v>1056</v>
      </c>
      <c r="G2184" t="s">
        <v>1057</v>
      </c>
      <c r="I2184" t="s">
        <v>10590</v>
      </c>
      <c r="J2184">
        <f>57-60-1-282-9320</f>
        <v>-9606</v>
      </c>
      <c r="K2184" t="s">
        <v>10591</v>
      </c>
      <c r="N2184" t="s">
        <v>10592</v>
      </c>
      <c r="Z2184" t="s">
        <v>43</v>
      </c>
    </row>
    <row r="2185" spans="1:26" x14ac:dyDescent="0.25">
      <c r="A2185">
        <v>2184</v>
      </c>
      <c r="B2185" t="s">
        <v>30</v>
      </c>
      <c r="C2185" t="s">
        <v>10593</v>
      </c>
      <c r="D2185" t="s">
        <v>10594</v>
      </c>
      <c r="E2185" t="s">
        <v>2936</v>
      </c>
      <c r="F2185" t="s">
        <v>10595</v>
      </c>
      <c r="G2185" t="s">
        <v>2938</v>
      </c>
      <c r="I2185" t="s">
        <v>10596</v>
      </c>
      <c r="K2185" t="s">
        <v>10597</v>
      </c>
      <c r="N2185" t="s">
        <v>10598</v>
      </c>
      <c r="Z2185" t="s">
        <v>43</v>
      </c>
    </row>
    <row r="2186" spans="1:26" x14ac:dyDescent="0.25">
      <c r="A2186">
        <v>2185</v>
      </c>
      <c r="B2186" t="s">
        <v>30</v>
      </c>
      <c r="C2186" t="s">
        <v>10599</v>
      </c>
      <c r="D2186" t="s">
        <v>964</v>
      </c>
      <c r="E2186" t="s">
        <v>64</v>
      </c>
      <c r="F2186" t="s">
        <v>6307</v>
      </c>
      <c r="G2186" t="s">
        <v>65</v>
      </c>
      <c r="I2186" t="s">
        <v>10600</v>
      </c>
      <c r="J2186">
        <f>57-310-500-668</f>
        <v>-1421</v>
      </c>
      <c r="K2186" t="s">
        <v>6309</v>
      </c>
      <c r="N2186" t="s">
        <v>6310</v>
      </c>
      <c r="Z2186" t="s">
        <v>43</v>
      </c>
    </row>
    <row r="2187" spans="1:26" x14ac:dyDescent="0.25">
      <c r="A2187">
        <v>2186</v>
      </c>
      <c r="B2187" t="s">
        <v>30</v>
      </c>
      <c r="C2187" t="s">
        <v>10601</v>
      </c>
      <c r="D2187" t="s">
        <v>384</v>
      </c>
      <c r="E2187" t="s">
        <v>471</v>
      </c>
      <c r="F2187" t="s">
        <v>2439</v>
      </c>
      <c r="G2187" t="s">
        <v>47</v>
      </c>
      <c r="I2187" t="s">
        <v>10602</v>
      </c>
      <c r="J2187">
        <f>57-316-725-9310</f>
        <v>-10294</v>
      </c>
      <c r="K2187" t="s">
        <v>10603</v>
      </c>
      <c r="N2187" t="s">
        <v>10604</v>
      </c>
      <c r="Z2187" t="s">
        <v>43</v>
      </c>
    </row>
    <row r="2188" spans="1:26" x14ac:dyDescent="0.25">
      <c r="A2188">
        <v>2187</v>
      </c>
      <c r="B2188" t="s">
        <v>30</v>
      </c>
      <c r="C2188" t="s">
        <v>10605</v>
      </c>
      <c r="D2188" t="s">
        <v>813</v>
      </c>
      <c r="E2188" t="s">
        <v>3321</v>
      </c>
      <c r="F2188" t="s">
        <v>10606</v>
      </c>
      <c r="G2188" t="s">
        <v>3323</v>
      </c>
      <c r="I2188" t="s">
        <v>10607</v>
      </c>
      <c r="J2188">
        <f>57-310-331-9694</f>
        <v>-10278</v>
      </c>
      <c r="K2188" t="s">
        <v>10608</v>
      </c>
      <c r="N2188" t="s">
        <v>10609</v>
      </c>
      <c r="Z2188" t="s">
        <v>43</v>
      </c>
    </row>
    <row r="2189" spans="1:26" x14ac:dyDescent="0.25">
      <c r="A2189">
        <v>2188</v>
      </c>
      <c r="B2189" t="s">
        <v>30</v>
      </c>
      <c r="C2189" t="s">
        <v>10610</v>
      </c>
      <c r="D2189" t="s">
        <v>10611</v>
      </c>
      <c r="E2189" t="s">
        <v>2295</v>
      </c>
      <c r="F2189" t="s">
        <v>10612</v>
      </c>
      <c r="G2189" t="s">
        <v>2297</v>
      </c>
      <c r="I2189" t="s">
        <v>10613</v>
      </c>
      <c r="J2189">
        <f>57-316-692-5966</f>
        <v>-6917</v>
      </c>
      <c r="K2189" t="s">
        <v>10614</v>
      </c>
      <c r="N2189" t="s">
        <v>10615</v>
      </c>
      <c r="Z2189" t="s">
        <v>43</v>
      </c>
    </row>
    <row r="2190" spans="1:26" x14ac:dyDescent="0.25">
      <c r="A2190">
        <v>2189</v>
      </c>
      <c r="B2190" t="s">
        <v>30</v>
      </c>
      <c r="C2190" t="s">
        <v>10616</v>
      </c>
      <c r="D2190" t="s">
        <v>2336</v>
      </c>
      <c r="E2190" t="s">
        <v>56</v>
      </c>
      <c r="F2190" t="s">
        <v>2337</v>
      </c>
      <c r="G2190" t="s">
        <v>57</v>
      </c>
      <c r="I2190" t="s">
        <v>9286</v>
      </c>
      <c r="J2190">
        <f>57-60-1-645-9960</f>
        <v>-10609</v>
      </c>
      <c r="K2190" t="s">
        <v>10617</v>
      </c>
      <c r="N2190" t="s">
        <v>10618</v>
      </c>
      <c r="Z2190" t="s">
        <v>43</v>
      </c>
    </row>
    <row r="2191" spans="1:26" x14ac:dyDescent="0.25">
      <c r="A2191">
        <v>2190</v>
      </c>
      <c r="B2191" t="s">
        <v>30</v>
      </c>
      <c r="C2191" t="s">
        <v>10619</v>
      </c>
      <c r="D2191" t="s">
        <v>10620</v>
      </c>
      <c r="E2191" t="s">
        <v>471</v>
      </c>
      <c r="F2191" t="s">
        <v>10621</v>
      </c>
      <c r="G2191" t="s">
        <v>47</v>
      </c>
      <c r="I2191" t="s">
        <v>10622</v>
      </c>
      <c r="J2191">
        <f>57-321-369-1911</f>
        <v>-2544</v>
      </c>
      <c r="K2191" t="s">
        <v>10623</v>
      </c>
      <c r="N2191" t="s">
        <v>10624</v>
      </c>
      <c r="Z2191" t="s">
        <v>43</v>
      </c>
    </row>
    <row r="2192" spans="1:26" x14ac:dyDescent="0.25">
      <c r="A2192">
        <v>2191</v>
      </c>
      <c r="B2192" t="s">
        <v>30</v>
      </c>
      <c r="C2192" t="s">
        <v>10625</v>
      </c>
      <c r="D2192" t="s">
        <v>1713</v>
      </c>
      <c r="E2192" t="s">
        <v>1658</v>
      </c>
      <c r="F2192" t="s">
        <v>3079</v>
      </c>
      <c r="G2192" t="s">
        <v>1660</v>
      </c>
      <c r="I2192" t="s">
        <v>10626</v>
      </c>
      <c r="J2192">
        <f>57-60-1-711-5723</f>
        <v>-6438</v>
      </c>
      <c r="K2192" t="s">
        <v>10627</v>
      </c>
      <c r="N2192" t="s">
        <v>10628</v>
      </c>
      <c r="Z2192" t="s">
        <v>43</v>
      </c>
    </row>
    <row r="2193" spans="1:26" x14ac:dyDescent="0.25">
      <c r="A2193">
        <v>2192</v>
      </c>
      <c r="B2193" t="s">
        <v>30</v>
      </c>
      <c r="C2193" t="s">
        <v>10629</v>
      </c>
      <c r="D2193" t="s">
        <v>3199</v>
      </c>
      <c r="E2193" t="s">
        <v>56</v>
      </c>
      <c r="F2193" t="s">
        <v>3200</v>
      </c>
      <c r="G2193" t="s">
        <v>57</v>
      </c>
      <c r="I2193" t="s">
        <v>10630</v>
      </c>
      <c r="J2193">
        <f>57-313-327-237</f>
        <v>-820</v>
      </c>
      <c r="K2193" t="s">
        <v>10631</v>
      </c>
      <c r="N2193" t="s">
        <v>10632</v>
      </c>
      <c r="Z2193" t="s">
        <v>43</v>
      </c>
    </row>
    <row r="2194" spans="1:26" x14ac:dyDescent="0.25">
      <c r="A2194">
        <v>2193</v>
      </c>
      <c r="B2194" t="s">
        <v>30</v>
      </c>
      <c r="C2194" t="s">
        <v>10633</v>
      </c>
      <c r="D2194" t="s">
        <v>2336</v>
      </c>
      <c r="E2194" t="s">
        <v>1402</v>
      </c>
      <c r="F2194" t="s">
        <v>2337</v>
      </c>
      <c r="G2194" t="s">
        <v>1404</v>
      </c>
      <c r="I2194" t="s">
        <v>10634</v>
      </c>
      <c r="J2194">
        <f>57-60-1-691-4125</f>
        <v>-4820</v>
      </c>
      <c r="K2194" t="s">
        <v>481</v>
      </c>
      <c r="N2194" t="s">
        <v>871</v>
      </c>
      <c r="Z2194" t="s">
        <v>43</v>
      </c>
    </row>
    <row r="2195" spans="1:26" x14ac:dyDescent="0.25">
      <c r="A2195">
        <v>2194</v>
      </c>
      <c r="B2195" t="s">
        <v>30</v>
      </c>
      <c r="C2195" t="s">
        <v>10635</v>
      </c>
      <c r="D2195" t="s">
        <v>6727</v>
      </c>
      <c r="E2195" t="s">
        <v>1658</v>
      </c>
      <c r="F2195" t="s">
        <v>10636</v>
      </c>
      <c r="G2195" t="s">
        <v>1660</v>
      </c>
      <c r="I2195" t="s">
        <v>10637</v>
      </c>
      <c r="K2195" t="s">
        <v>10638</v>
      </c>
      <c r="N2195" t="s">
        <v>10639</v>
      </c>
      <c r="Z2195" t="s">
        <v>43</v>
      </c>
    </row>
    <row r="2196" spans="1:26" x14ac:dyDescent="0.25">
      <c r="A2196">
        <v>2195</v>
      </c>
      <c r="B2196" t="s">
        <v>30</v>
      </c>
      <c r="C2196" t="s">
        <v>10640</v>
      </c>
      <c r="D2196" t="s">
        <v>10641</v>
      </c>
      <c r="E2196" t="s">
        <v>1055</v>
      </c>
      <c r="F2196" t="s">
        <v>10642</v>
      </c>
      <c r="G2196" t="s">
        <v>1057</v>
      </c>
      <c r="I2196" t="s">
        <v>10643</v>
      </c>
      <c r="J2196">
        <f>57-300-488-7734</f>
        <v>-8465</v>
      </c>
      <c r="K2196" t="s">
        <v>10644</v>
      </c>
      <c r="N2196" t="s">
        <v>10645</v>
      </c>
      <c r="Z2196" t="s">
        <v>43</v>
      </c>
    </row>
    <row r="2197" spans="1:26" x14ac:dyDescent="0.25">
      <c r="A2197">
        <v>2196</v>
      </c>
      <c r="B2197" t="s">
        <v>30</v>
      </c>
      <c r="C2197" t="s">
        <v>10646</v>
      </c>
      <c r="D2197" t="s">
        <v>9230</v>
      </c>
      <c r="E2197" t="s">
        <v>471</v>
      </c>
      <c r="F2197" t="s">
        <v>10647</v>
      </c>
      <c r="G2197" t="s">
        <v>966</v>
      </c>
      <c r="I2197" t="s">
        <v>10648</v>
      </c>
      <c r="K2197" t="s">
        <v>10649</v>
      </c>
      <c r="N2197" t="s">
        <v>10650</v>
      </c>
      <c r="Z2197" t="s">
        <v>43</v>
      </c>
    </row>
    <row r="2198" spans="1:26" x14ac:dyDescent="0.25">
      <c r="A2198">
        <v>2197</v>
      </c>
      <c r="B2198" t="s">
        <v>30</v>
      </c>
      <c r="C2198" t="s">
        <v>10651</v>
      </c>
      <c r="D2198" t="s">
        <v>46</v>
      </c>
      <c r="E2198" t="s">
        <v>471</v>
      </c>
      <c r="F2198" t="s">
        <v>820</v>
      </c>
      <c r="G2198" t="s">
        <v>47</v>
      </c>
      <c r="I2198" t="s">
        <v>10652</v>
      </c>
      <c r="J2198">
        <f>57-319-316-5868</f>
        <v>-6446</v>
      </c>
      <c r="K2198" t="s">
        <v>10653</v>
      </c>
      <c r="N2198" t="s">
        <v>10654</v>
      </c>
      <c r="Z2198" t="s">
        <v>43</v>
      </c>
    </row>
    <row r="2199" spans="1:26" x14ac:dyDescent="0.25">
      <c r="A2199">
        <v>2198</v>
      </c>
      <c r="B2199" t="s">
        <v>30</v>
      </c>
      <c r="C2199" t="s">
        <v>10655</v>
      </c>
      <c r="D2199" t="s">
        <v>10656</v>
      </c>
      <c r="E2199" t="s">
        <v>2295</v>
      </c>
      <c r="F2199" t="s">
        <v>10657</v>
      </c>
      <c r="G2199" t="s">
        <v>2297</v>
      </c>
      <c r="I2199" t="s">
        <v>10658</v>
      </c>
      <c r="K2199" t="s">
        <v>10659</v>
      </c>
      <c r="N2199" t="s">
        <v>10660</v>
      </c>
      <c r="Z2199" t="s">
        <v>43</v>
      </c>
    </row>
    <row r="2200" spans="1:26" x14ac:dyDescent="0.25">
      <c r="A2200">
        <v>2199</v>
      </c>
      <c r="B2200" t="s">
        <v>30</v>
      </c>
      <c r="C2200" t="s">
        <v>10661</v>
      </c>
      <c r="D2200" t="s">
        <v>2394</v>
      </c>
      <c r="E2200" t="s">
        <v>64</v>
      </c>
      <c r="F2200" t="s">
        <v>2395</v>
      </c>
      <c r="G2200" t="s">
        <v>65</v>
      </c>
      <c r="I2200" t="s">
        <v>10662</v>
      </c>
      <c r="J2200">
        <f>57-60-1-541-7863</f>
        <v>-8408</v>
      </c>
      <c r="K2200" t="s">
        <v>10663</v>
      </c>
      <c r="N2200" t="s">
        <v>10664</v>
      </c>
      <c r="Z2200" t="s">
        <v>43</v>
      </c>
    </row>
    <row r="2201" spans="1:26" x14ac:dyDescent="0.25">
      <c r="A2201">
        <v>2200</v>
      </c>
      <c r="B2201" t="s">
        <v>30</v>
      </c>
      <c r="C2201" t="s">
        <v>10665</v>
      </c>
      <c r="D2201" t="s">
        <v>2540</v>
      </c>
      <c r="E2201" t="s">
        <v>1269</v>
      </c>
      <c r="F2201" t="s">
        <v>10666</v>
      </c>
      <c r="G2201" t="s">
        <v>1271</v>
      </c>
      <c r="I2201" t="s">
        <v>10667</v>
      </c>
      <c r="J2201">
        <f>57-322-858-3634</f>
        <v>-4757</v>
      </c>
      <c r="K2201" t="s">
        <v>10668</v>
      </c>
      <c r="N2201" t="s">
        <v>10669</v>
      </c>
      <c r="Z2201" t="s">
        <v>43</v>
      </c>
    </row>
    <row r="2202" spans="1:26" x14ac:dyDescent="0.25">
      <c r="A2202">
        <v>2201</v>
      </c>
      <c r="B2202" t="s">
        <v>30</v>
      </c>
      <c r="C2202" t="s">
        <v>10670</v>
      </c>
      <c r="D2202" t="s">
        <v>10671</v>
      </c>
      <c r="E2202" t="s">
        <v>2210</v>
      </c>
      <c r="F2202" t="s">
        <v>10672</v>
      </c>
      <c r="G2202" t="s">
        <v>2212</v>
      </c>
      <c r="I2202" t="s">
        <v>10673</v>
      </c>
      <c r="J2202">
        <f>57-314-330-1151</f>
        <v>-1738</v>
      </c>
      <c r="K2202" t="s">
        <v>10674</v>
      </c>
      <c r="N2202" t="s">
        <v>10675</v>
      </c>
      <c r="Z2202" t="s">
        <v>43</v>
      </c>
    </row>
    <row r="2203" spans="1:26" x14ac:dyDescent="0.25">
      <c r="A2203">
        <v>2202</v>
      </c>
      <c r="B2203" t="s">
        <v>30</v>
      </c>
      <c r="C2203" t="s">
        <v>10676</v>
      </c>
      <c r="D2203" t="s">
        <v>10677</v>
      </c>
      <c r="E2203" t="s">
        <v>10678</v>
      </c>
      <c r="F2203" t="s">
        <v>10679</v>
      </c>
      <c r="G2203" t="s">
        <v>10680</v>
      </c>
      <c r="I2203" t="s">
        <v>10681</v>
      </c>
      <c r="K2203" t="s">
        <v>10682</v>
      </c>
      <c r="N2203" t="s">
        <v>10683</v>
      </c>
      <c r="Z2203" t="s">
        <v>43</v>
      </c>
    </row>
    <row r="2204" spans="1:26" x14ac:dyDescent="0.25">
      <c r="A2204">
        <v>2203</v>
      </c>
      <c r="B2204" t="s">
        <v>30</v>
      </c>
      <c r="C2204" t="s">
        <v>10684</v>
      </c>
      <c r="D2204" t="s">
        <v>2958</v>
      </c>
      <c r="E2204" t="s">
        <v>56</v>
      </c>
      <c r="F2204" t="s">
        <v>10685</v>
      </c>
      <c r="G2204" t="s">
        <v>57</v>
      </c>
      <c r="I2204" t="s">
        <v>10686</v>
      </c>
      <c r="K2204" t="s">
        <v>10687</v>
      </c>
      <c r="N2204" t="s">
        <v>10688</v>
      </c>
      <c r="Z2204" t="s">
        <v>43</v>
      </c>
    </row>
    <row r="2205" spans="1:26" x14ac:dyDescent="0.25">
      <c r="A2205">
        <v>2204</v>
      </c>
      <c r="B2205" t="s">
        <v>30</v>
      </c>
      <c r="C2205" t="s">
        <v>10689</v>
      </c>
      <c r="D2205" t="s">
        <v>10690</v>
      </c>
      <c r="E2205" t="s">
        <v>1248</v>
      </c>
      <c r="F2205" t="s">
        <v>10691</v>
      </c>
      <c r="G2205" t="s">
        <v>1250</v>
      </c>
      <c r="I2205" t="s">
        <v>10692</v>
      </c>
      <c r="J2205">
        <f>57-60-1-345-8020</f>
        <v>-8369</v>
      </c>
      <c r="K2205" t="s">
        <v>10693</v>
      </c>
      <c r="N2205" t="s">
        <v>10694</v>
      </c>
      <c r="Z2205" t="s">
        <v>43</v>
      </c>
    </row>
    <row r="2206" spans="1:26" x14ac:dyDescent="0.25">
      <c r="A2206">
        <v>2205</v>
      </c>
      <c r="B2206" t="s">
        <v>30</v>
      </c>
      <c r="C2206" t="s">
        <v>10695</v>
      </c>
      <c r="D2206" t="s">
        <v>46</v>
      </c>
      <c r="E2206" t="s">
        <v>471</v>
      </c>
      <c r="F2206" t="s">
        <v>820</v>
      </c>
      <c r="G2206" t="s">
        <v>47</v>
      </c>
      <c r="I2206" t="s">
        <v>10696</v>
      </c>
      <c r="K2206" t="s">
        <v>10697</v>
      </c>
      <c r="N2206" t="s">
        <v>10698</v>
      </c>
      <c r="Z2206" t="s">
        <v>43</v>
      </c>
    </row>
    <row r="2207" spans="1:26" x14ac:dyDescent="0.25">
      <c r="A2207">
        <v>2206</v>
      </c>
      <c r="B2207" t="s">
        <v>30</v>
      </c>
      <c r="C2207" t="s">
        <v>10699</v>
      </c>
      <c r="D2207" t="s">
        <v>64</v>
      </c>
      <c r="E2207" t="s">
        <v>64</v>
      </c>
      <c r="F2207" t="s">
        <v>65</v>
      </c>
      <c r="G2207" t="s">
        <v>65</v>
      </c>
      <c r="I2207" t="s">
        <v>10700</v>
      </c>
      <c r="J2207">
        <f>57-321-243-2847</f>
        <v>-3354</v>
      </c>
      <c r="K2207" t="s">
        <v>10701</v>
      </c>
      <c r="N2207" t="s">
        <v>10702</v>
      </c>
      <c r="Z2207" t="s">
        <v>43</v>
      </c>
    </row>
    <row r="2208" spans="1:26" x14ac:dyDescent="0.25">
      <c r="A2208">
        <v>2207</v>
      </c>
      <c r="B2208" t="s">
        <v>30</v>
      </c>
      <c r="C2208" t="s">
        <v>10703</v>
      </c>
      <c r="D2208" t="s">
        <v>3073</v>
      </c>
      <c r="E2208" t="s">
        <v>1248</v>
      </c>
      <c r="F2208" t="s">
        <v>10704</v>
      </c>
      <c r="G2208" t="s">
        <v>1250</v>
      </c>
      <c r="I2208" t="s">
        <v>10705</v>
      </c>
      <c r="J2208">
        <f>57-316-336-6343</f>
        <v>-6938</v>
      </c>
      <c r="K2208" t="s">
        <v>10706</v>
      </c>
      <c r="N2208" t="s">
        <v>10707</v>
      </c>
      <c r="Z2208" t="s">
        <v>43</v>
      </c>
    </row>
    <row r="2209" spans="1:26" x14ac:dyDescent="0.25">
      <c r="A2209">
        <v>2208</v>
      </c>
      <c r="B2209" t="s">
        <v>30</v>
      </c>
      <c r="C2209" t="s">
        <v>10708</v>
      </c>
      <c r="D2209" t="s">
        <v>10709</v>
      </c>
      <c r="E2209" t="s">
        <v>1774</v>
      </c>
      <c r="F2209" t="s">
        <v>10710</v>
      </c>
      <c r="G2209" t="s">
        <v>1776</v>
      </c>
      <c r="I2209" t="s">
        <v>10711</v>
      </c>
      <c r="J2209">
        <f>57-322-765-2154</f>
        <v>-3184</v>
      </c>
      <c r="K2209" t="s">
        <v>10712</v>
      </c>
      <c r="N2209" t="s">
        <v>10713</v>
      </c>
      <c r="Z2209" t="s">
        <v>43</v>
      </c>
    </row>
    <row r="2210" spans="1:26" x14ac:dyDescent="0.25">
      <c r="A2210">
        <v>2209</v>
      </c>
      <c r="B2210" t="s">
        <v>30</v>
      </c>
      <c r="C2210" t="s">
        <v>10714</v>
      </c>
      <c r="D2210" t="s">
        <v>10715</v>
      </c>
      <c r="E2210" t="s">
        <v>2157</v>
      </c>
      <c r="F2210" t="s">
        <v>10716</v>
      </c>
      <c r="G2210" t="s">
        <v>2159</v>
      </c>
      <c r="I2210" t="s">
        <v>10717</v>
      </c>
      <c r="K2210" t="s">
        <v>10718</v>
      </c>
      <c r="N2210" t="s">
        <v>10719</v>
      </c>
      <c r="Z2210" t="s">
        <v>43</v>
      </c>
    </row>
    <row r="2211" spans="1:26" x14ac:dyDescent="0.25">
      <c r="A2211">
        <v>2210</v>
      </c>
      <c r="B2211" t="s">
        <v>30</v>
      </c>
      <c r="C2211" t="s">
        <v>10720</v>
      </c>
      <c r="D2211" t="s">
        <v>10721</v>
      </c>
      <c r="E2211" t="s">
        <v>1402</v>
      </c>
      <c r="F2211" t="s">
        <v>10722</v>
      </c>
      <c r="G2211" t="s">
        <v>1404</v>
      </c>
      <c r="I2211" t="s">
        <v>10723</v>
      </c>
      <c r="J2211">
        <f>57-314-366-6799</f>
        <v>-7422</v>
      </c>
      <c r="K2211" t="s">
        <v>10724</v>
      </c>
      <c r="N2211" t="s">
        <v>10725</v>
      </c>
      <c r="Z2211" t="s">
        <v>43</v>
      </c>
    </row>
    <row r="2212" spans="1:26" x14ac:dyDescent="0.25">
      <c r="A2212">
        <v>2211</v>
      </c>
      <c r="B2212" t="s">
        <v>30</v>
      </c>
      <c r="C2212" t="s">
        <v>10726</v>
      </c>
      <c r="D2212" t="s">
        <v>10727</v>
      </c>
      <c r="E2212" t="s">
        <v>3333</v>
      </c>
      <c r="F2212" t="s">
        <v>10728</v>
      </c>
      <c r="G2212" t="s">
        <v>3335</v>
      </c>
      <c r="I2212" t="s">
        <v>10729</v>
      </c>
      <c r="J2212">
        <f>57-310-413-4267</f>
        <v>-4933</v>
      </c>
      <c r="K2212" t="s">
        <v>10730</v>
      </c>
      <c r="N2212" t="s">
        <v>10731</v>
      </c>
      <c r="Z2212" t="s">
        <v>43</v>
      </c>
    </row>
    <row r="2213" spans="1:26" x14ac:dyDescent="0.25">
      <c r="A2213">
        <v>2212</v>
      </c>
      <c r="B2213" t="s">
        <v>30</v>
      </c>
      <c r="C2213" t="s">
        <v>10732</v>
      </c>
      <c r="D2213" t="s">
        <v>10733</v>
      </c>
      <c r="E2213" t="s">
        <v>5472</v>
      </c>
      <c r="F2213" t="s">
        <v>10734</v>
      </c>
      <c r="G2213" t="s">
        <v>8080</v>
      </c>
      <c r="I2213" t="s">
        <v>10735</v>
      </c>
      <c r="J2213">
        <f>57-313-467-4895</f>
        <v>-5618</v>
      </c>
      <c r="K2213" t="s">
        <v>10736</v>
      </c>
      <c r="N2213" t="s">
        <v>10737</v>
      </c>
      <c r="Z2213" t="s">
        <v>43</v>
      </c>
    </row>
    <row r="2214" spans="1:26" x14ac:dyDescent="0.25">
      <c r="A2214">
        <v>2213</v>
      </c>
      <c r="B2214" t="s">
        <v>30</v>
      </c>
      <c r="C2214" t="s">
        <v>10738</v>
      </c>
      <c r="D2214" t="s">
        <v>1371</v>
      </c>
      <c r="E2214" t="s">
        <v>1269</v>
      </c>
      <c r="F2214" t="s">
        <v>1372</v>
      </c>
      <c r="G2214" t="s">
        <v>1271</v>
      </c>
      <c r="I2214" t="s">
        <v>10739</v>
      </c>
      <c r="K2214" t="s">
        <v>10740</v>
      </c>
      <c r="N2214" t="s">
        <v>10741</v>
      </c>
      <c r="Z2214" t="s">
        <v>43</v>
      </c>
    </row>
    <row r="2215" spans="1:26" x14ac:dyDescent="0.25">
      <c r="A2215">
        <v>2214</v>
      </c>
      <c r="B2215" t="s">
        <v>30</v>
      </c>
      <c r="C2215" t="s">
        <v>10742</v>
      </c>
      <c r="D2215" t="s">
        <v>46</v>
      </c>
      <c r="E2215" t="s">
        <v>471</v>
      </c>
      <c r="F2215" t="s">
        <v>820</v>
      </c>
      <c r="G2215" t="s">
        <v>47</v>
      </c>
      <c r="I2215" t="s">
        <v>10743</v>
      </c>
      <c r="J2215">
        <f>57-60-1-337-6466</f>
        <v>-6807</v>
      </c>
      <c r="K2215" t="s">
        <v>10744</v>
      </c>
      <c r="N2215" t="s">
        <v>10745</v>
      </c>
      <c r="Z2215" t="s">
        <v>43</v>
      </c>
    </row>
    <row r="2216" spans="1:26" x14ac:dyDescent="0.25">
      <c r="A2216">
        <v>2215</v>
      </c>
      <c r="B2216" t="s">
        <v>30</v>
      </c>
      <c r="C2216" t="s">
        <v>10746</v>
      </c>
      <c r="D2216" t="s">
        <v>772</v>
      </c>
      <c r="E2216" t="s">
        <v>471</v>
      </c>
      <c r="F2216" t="s">
        <v>773</v>
      </c>
      <c r="G2216" t="s">
        <v>47</v>
      </c>
      <c r="I2216" t="s">
        <v>10747</v>
      </c>
      <c r="J2216">
        <f>57-317-637-767</f>
        <v>-1664</v>
      </c>
      <c r="K2216" t="s">
        <v>10748</v>
      </c>
      <c r="N2216" t="s">
        <v>10749</v>
      </c>
      <c r="Z2216" t="s">
        <v>43</v>
      </c>
    </row>
    <row r="2217" spans="1:26" x14ac:dyDescent="0.25">
      <c r="A2217">
        <v>2216</v>
      </c>
      <c r="B2217" t="s">
        <v>30</v>
      </c>
      <c r="C2217" t="s">
        <v>10750</v>
      </c>
      <c r="D2217" t="s">
        <v>10751</v>
      </c>
      <c r="E2217" t="s">
        <v>64</v>
      </c>
      <c r="F2217" t="s">
        <v>10752</v>
      </c>
      <c r="G2217" t="s">
        <v>65</v>
      </c>
      <c r="I2217" t="s">
        <v>10753</v>
      </c>
      <c r="K2217" t="s">
        <v>10754</v>
      </c>
      <c r="N2217" t="s">
        <v>10755</v>
      </c>
      <c r="Z2217" t="s">
        <v>43</v>
      </c>
    </row>
    <row r="2218" spans="1:26" x14ac:dyDescent="0.25">
      <c r="A2218">
        <v>2217</v>
      </c>
      <c r="B2218" t="s">
        <v>30</v>
      </c>
      <c r="C2218" t="s">
        <v>10756</v>
      </c>
      <c r="D2218" t="s">
        <v>10757</v>
      </c>
      <c r="E2218" t="s">
        <v>1402</v>
      </c>
      <c r="F2218" t="s">
        <v>10758</v>
      </c>
      <c r="G2218" t="s">
        <v>1404</v>
      </c>
      <c r="I2218" t="s">
        <v>10759</v>
      </c>
      <c r="J2218">
        <f>57-313-427-6577</f>
        <v>-7260</v>
      </c>
      <c r="K2218" t="s">
        <v>10760</v>
      </c>
      <c r="N2218" t="s">
        <v>10761</v>
      </c>
      <c r="Z2218" t="s">
        <v>43</v>
      </c>
    </row>
    <row r="2219" spans="1:26" x14ac:dyDescent="0.25">
      <c r="A2219">
        <v>2218</v>
      </c>
      <c r="B2219" t="s">
        <v>30</v>
      </c>
      <c r="C2219" t="s">
        <v>10762</v>
      </c>
      <c r="D2219" t="s">
        <v>10763</v>
      </c>
      <c r="E2219" t="s">
        <v>2706</v>
      </c>
      <c r="F2219" t="s">
        <v>10764</v>
      </c>
      <c r="G2219" t="s">
        <v>2708</v>
      </c>
      <c r="I2219" t="s">
        <v>10765</v>
      </c>
      <c r="J2219">
        <f>57-316-699-8535</f>
        <v>-9493</v>
      </c>
      <c r="K2219" t="s">
        <v>10766</v>
      </c>
      <c r="N2219" t="s">
        <v>10767</v>
      </c>
      <c r="Z2219" t="s">
        <v>43</v>
      </c>
    </row>
    <row r="2220" spans="1:26" x14ac:dyDescent="0.25">
      <c r="A2220">
        <v>2219</v>
      </c>
      <c r="B2220" t="s">
        <v>30</v>
      </c>
      <c r="C2220" t="s">
        <v>10768</v>
      </c>
      <c r="D2220" t="s">
        <v>772</v>
      </c>
      <c r="E2220" t="s">
        <v>471</v>
      </c>
      <c r="F2220" t="s">
        <v>1822</v>
      </c>
      <c r="G2220" t="s">
        <v>47</v>
      </c>
      <c r="I2220" t="s">
        <v>10769</v>
      </c>
      <c r="K2220" t="s">
        <v>10770</v>
      </c>
      <c r="N2220" t="s">
        <v>10771</v>
      </c>
      <c r="Z2220" t="s">
        <v>43</v>
      </c>
    </row>
    <row r="2221" spans="1:26" x14ac:dyDescent="0.25">
      <c r="A2221">
        <v>2220</v>
      </c>
      <c r="B2221" t="s">
        <v>30</v>
      </c>
      <c r="C2221" t="s">
        <v>10772</v>
      </c>
      <c r="D2221" t="s">
        <v>4202</v>
      </c>
      <c r="E2221" t="s">
        <v>64</v>
      </c>
      <c r="F2221" t="s">
        <v>6809</v>
      </c>
      <c r="G2221" t="s">
        <v>65</v>
      </c>
      <c r="I2221" t="s">
        <v>10773</v>
      </c>
      <c r="K2221" t="s">
        <v>10774</v>
      </c>
      <c r="N2221" t="s">
        <v>10775</v>
      </c>
      <c r="Z2221" t="s">
        <v>43</v>
      </c>
    </row>
    <row r="2222" spans="1:26" x14ac:dyDescent="0.25">
      <c r="A2222">
        <v>2221</v>
      </c>
      <c r="B2222" t="s">
        <v>30</v>
      </c>
      <c r="C2222" t="s">
        <v>10776</v>
      </c>
      <c r="D2222" t="s">
        <v>1926</v>
      </c>
      <c r="E2222" t="s">
        <v>471</v>
      </c>
      <c r="F2222" t="s">
        <v>3577</v>
      </c>
      <c r="G2222" t="s">
        <v>47</v>
      </c>
      <c r="I2222" t="s">
        <v>10777</v>
      </c>
      <c r="J2222">
        <f>57-314-332-4287</f>
        <v>-4876</v>
      </c>
      <c r="K2222" t="s">
        <v>10778</v>
      </c>
      <c r="N2222" t="s">
        <v>10779</v>
      </c>
      <c r="Z2222" t="s">
        <v>43</v>
      </c>
    </row>
    <row r="2223" spans="1:26" x14ac:dyDescent="0.25">
      <c r="A2223">
        <v>2222</v>
      </c>
      <c r="B2223" t="s">
        <v>30</v>
      </c>
      <c r="C2223" t="s">
        <v>10780</v>
      </c>
      <c r="D2223" t="s">
        <v>1713</v>
      </c>
      <c r="E2223" t="s">
        <v>471</v>
      </c>
      <c r="F2223" t="s">
        <v>3159</v>
      </c>
      <c r="G2223" t="s">
        <v>47</v>
      </c>
      <c r="I2223" t="s">
        <v>10781</v>
      </c>
      <c r="J2223">
        <f>57-319-792-1567</f>
        <v>-2621</v>
      </c>
      <c r="K2223" t="s">
        <v>10782</v>
      </c>
      <c r="N2223" t="s">
        <v>10783</v>
      </c>
      <c r="Z2223" t="s">
        <v>43</v>
      </c>
    </row>
    <row r="2224" spans="1:26" x14ac:dyDescent="0.25">
      <c r="A2224">
        <v>2223</v>
      </c>
      <c r="B2224" t="s">
        <v>30</v>
      </c>
      <c r="C2224" t="s">
        <v>10784</v>
      </c>
      <c r="D2224" t="s">
        <v>2168</v>
      </c>
      <c r="E2224" t="s">
        <v>64</v>
      </c>
      <c r="F2224" t="s">
        <v>2169</v>
      </c>
      <c r="G2224" t="s">
        <v>65</v>
      </c>
      <c r="I2224" t="s">
        <v>10785</v>
      </c>
      <c r="J2224">
        <f>57-60-1-388-9809</f>
        <v>-10201</v>
      </c>
      <c r="K2224" t="s">
        <v>10786</v>
      </c>
      <c r="N2224" t="s">
        <v>10787</v>
      </c>
      <c r="Z2224" t="s">
        <v>43</v>
      </c>
    </row>
    <row r="2225" spans="1:26" x14ac:dyDescent="0.25">
      <c r="A2225">
        <v>2224</v>
      </c>
      <c r="B2225" t="s">
        <v>30</v>
      </c>
      <c r="C2225" t="s">
        <v>10788</v>
      </c>
      <c r="D2225" t="s">
        <v>10789</v>
      </c>
      <c r="E2225" t="s">
        <v>72</v>
      </c>
      <c r="F2225" t="s">
        <v>10790</v>
      </c>
      <c r="G2225" t="s">
        <v>73</v>
      </c>
      <c r="I2225" t="s">
        <v>10791</v>
      </c>
      <c r="K2225" t="s">
        <v>10792</v>
      </c>
      <c r="N2225" t="s">
        <v>10793</v>
      </c>
      <c r="Z2225" t="s">
        <v>43</v>
      </c>
    </row>
    <row r="2226" spans="1:26" x14ac:dyDescent="0.25">
      <c r="A2226">
        <v>2225</v>
      </c>
      <c r="B2226" t="s">
        <v>30</v>
      </c>
      <c r="C2226" t="s">
        <v>10794</v>
      </c>
      <c r="D2226" t="s">
        <v>5805</v>
      </c>
      <c r="E2226" t="s">
        <v>471</v>
      </c>
      <c r="F2226" t="s">
        <v>5806</v>
      </c>
      <c r="G2226" t="s">
        <v>47</v>
      </c>
      <c r="I2226" t="s">
        <v>10795</v>
      </c>
      <c r="K2226" t="s">
        <v>10796</v>
      </c>
      <c r="N2226" t="s">
        <v>10797</v>
      </c>
      <c r="Z2226" t="s">
        <v>43</v>
      </c>
    </row>
    <row r="2227" spans="1:26" x14ac:dyDescent="0.25">
      <c r="A2227">
        <v>2226</v>
      </c>
      <c r="B2227" t="s">
        <v>30</v>
      </c>
      <c r="C2227" t="s">
        <v>10798</v>
      </c>
      <c r="D2227" t="s">
        <v>10799</v>
      </c>
      <c r="E2227" t="s">
        <v>1585</v>
      </c>
      <c r="F2227" t="s">
        <v>10800</v>
      </c>
      <c r="G2227" t="s">
        <v>1587</v>
      </c>
      <c r="I2227" t="s">
        <v>10801</v>
      </c>
      <c r="J2227">
        <f>57-319-646-159</f>
        <v>-1067</v>
      </c>
      <c r="K2227" t="s">
        <v>10802</v>
      </c>
      <c r="N2227" t="s">
        <v>10803</v>
      </c>
      <c r="Z2227" t="s">
        <v>43</v>
      </c>
    </row>
    <row r="2228" spans="1:26" x14ac:dyDescent="0.25">
      <c r="A2228">
        <v>2227</v>
      </c>
      <c r="B2228" t="s">
        <v>30</v>
      </c>
      <c r="C2228" t="s">
        <v>10804</v>
      </c>
      <c r="D2228" t="s">
        <v>72</v>
      </c>
      <c r="E2228" t="s">
        <v>72</v>
      </c>
      <c r="F2228" t="s">
        <v>73</v>
      </c>
      <c r="G2228" t="s">
        <v>73</v>
      </c>
      <c r="I2228" t="s">
        <v>10805</v>
      </c>
      <c r="K2228" t="s">
        <v>10806</v>
      </c>
      <c r="N2228" t="s">
        <v>10807</v>
      </c>
      <c r="Z2228" t="s">
        <v>43</v>
      </c>
    </row>
    <row r="2229" spans="1:26" x14ac:dyDescent="0.25">
      <c r="A2229">
        <v>2228</v>
      </c>
      <c r="B2229" t="s">
        <v>30</v>
      </c>
      <c r="C2229" t="s">
        <v>10808</v>
      </c>
      <c r="D2229" t="s">
        <v>46</v>
      </c>
      <c r="E2229" t="s">
        <v>471</v>
      </c>
      <c r="F2229" t="s">
        <v>820</v>
      </c>
      <c r="G2229" t="s">
        <v>47</v>
      </c>
      <c r="I2229" t="s">
        <v>10809</v>
      </c>
      <c r="K2229" t="s">
        <v>10810</v>
      </c>
      <c r="N2229" t="s">
        <v>10811</v>
      </c>
      <c r="Z2229" t="s">
        <v>43</v>
      </c>
    </row>
    <row r="2230" spans="1:26" x14ac:dyDescent="0.25">
      <c r="A2230">
        <v>2229</v>
      </c>
      <c r="B2230" t="s">
        <v>30</v>
      </c>
      <c r="C2230" t="s">
        <v>10812</v>
      </c>
      <c r="D2230" t="s">
        <v>384</v>
      </c>
      <c r="E2230" t="s">
        <v>471</v>
      </c>
      <c r="F2230" t="s">
        <v>2439</v>
      </c>
      <c r="G2230" t="s">
        <v>47</v>
      </c>
      <c r="I2230" t="s">
        <v>10813</v>
      </c>
      <c r="J2230">
        <f>57-310-218-8775</f>
        <v>-9246</v>
      </c>
      <c r="K2230" t="s">
        <v>10814</v>
      </c>
      <c r="N2230" t="s">
        <v>10815</v>
      </c>
      <c r="Z2230" t="s">
        <v>43</v>
      </c>
    </row>
    <row r="2231" spans="1:26" x14ac:dyDescent="0.25">
      <c r="A2231">
        <v>2230</v>
      </c>
      <c r="B2231" t="s">
        <v>30</v>
      </c>
      <c r="C2231" t="s">
        <v>10816</v>
      </c>
      <c r="D2231" t="s">
        <v>46</v>
      </c>
      <c r="E2231" t="s">
        <v>471</v>
      </c>
      <c r="F2231" t="s">
        <v>820</v>
      </c>
      <c r="G2231" t="s">
        <v>47</v>
      </c>
      <c r="I2231" t="s">
        <v>10817</v>
      </c>
      <c r="J2231">
        <f>57-319-592-8656</f>
        <v>-9510</v>
      </c>
      <c r="K2231" t="s">
        <v>10818</v>
      </c>
      <c r="N2231" t="s">
        <v>10819</v>
      </c>
      <c r="Z2231" t="s">
        <v>43</v>
      </c>
    </row>
    <row r="2232" spans="1:26" x14ac:dyDescent="0.25">
      <c r="A2232">
        <v>2231</v>
      </c>
      <c r="B2232" t="s">
        <v>30</v>
      </c>
      <c r="C2232" t="s">
        <v>10820</v>
      </c>
      <c r="D2232" t="s">
        <v>10821</v>
      </c>
      <c r="E2232" t="s">
        <v>9550</v>
      </c>
      <c r="F2232" t="s">
        <v>10822</v>
      </c>
      <c r="G2232" t="s">
        <v>9552</v>
      </c>
      <c r="I2232" t="s">
        <v>10823</v>
      </c>
      <c r="K2232" t="s">
        <v>10824</v>
      </c>
      <c r="N2232" t="s">
        <v>10825</v>
      </c>
      <c r="Z2232" t="s">
        <v>43</v>
      </c>
    </row>
    <row r="2233" spans="1:26" x14ac:dyDescent="0.25">
      <c r="A2233">
        <v>2232</v>
      </c>
      <c r="B2233" t="s">
        <v>30</v>
      </c>
      <c r="C2233" t="s">
        <v>10826</v>
      </c>
      <c r="D2233" t="s">
        <v>2098</v>
      </c>
      <c r="E2233" t="s">
        <v>1269</v>
      </c>
      <c r="F2233" t="s">
        <v>2099</v>
      </c>
      <c r="G2233" t="s">
        <v>1271</v>
      </c>
      <c r="I2233" t="s">
        <v>10827</v>
      </c>
      <c r="K2233" t="s">
        <v>10828</v>
      </c>
      <c r="N2233" t="s">
        <v>10829</v>
      </c>
      <c r="Z2233" t="s">
        <v>43</v>
      </c>
    </row>
    <row r="2234" spans="1:26" x14ac:dyDescent="0.25">
      <c r="A2234">
        <v>2233</v>
      </c>
      <c r="B2234" t="s">
        <v>30</v>
      </c>
      <c r="C2234" t="s">
        <v>10830</v>
      </c>
      <c r="D2234" t="s">
        <v>384</v>
      </c>
      <c r="E2234" t="s">
        <v>56</v>
      </c>
      <c r="F2234" t="s">
        <v>386</v>
      </c>
      <c r="G2234" t="s">
        <v>57</v>
      </c>
      <c r="I2234" t="s">
        <v>10831</v>
      </c>
      <c r="J2234">
        <f>57-320-558-4846</f>
        <v>-5667</v>
      </c>
      <c r="K2234" t="s">
        <v>10832</v>
      </c>
      <c r="N2234" t="s">
        <v>10833</v>
      </c>
      <c r="Z2234" t="s">
        <v>43</v>
      </c>
    </row>
    <row r="2235" spans="1:26" x14ac:dyDescent="0.25">
      <c r="A2235">
        <v>2234</v>
      </c>
      <c r="B2235" t="s">
        <v>30</v>
      </c>
      <c r="C2235" t="s">
        <v>10834</v>
      </c>
      <c r="D2235" t="s">
        <v>10835</v>
      </c>
      <c r="E2235" t="s">
        <v>64</v>
      </c>
      <c r="F2235" t="s">
        <v>10836</v>
      </c>
      <c r="G2235" t="s">
        <v>65</v>
      </c>
      <c r="I2235" t="s">
        <v>10837</v>
      </c>
      <c r="J2235">
        <f>57-60-1-758-5284</f>
        <v>-6046</v>
      </c>
      <c r="K2235" t="s">
        <v>10838</v>
      </c>
      <c r="N2235" t="s">
        <v>10839</v>
      </c>
      <c r="Z2235" t="s">
        <v>43</v>
      </c>
    </row>
    <row r="2236" spans="1:26" x14ac:dyDescent="0.25">
      <c r="A2236">
        <v>2235</v>
      </c>
      <c r="B2236" t="s">
        <v>30</v>
      </c>
      <c r="C2236" t="s">
        <v>10840</v>
      </c>
      <c r="D2236" t="s">
        <v>46</v>
      </c>
      <c r="E2236" t="s">
        <v>471</v>
      </c>
      <c r="F2236" t="s">
        <v>820</v>
      </c>
      <c r="G2236" t="s">
        <v>47</v>
      </c>
      <c r="I2236" t="s">
        <v>10841</v>
      </c>
      <c r="J2236">
        <f>57-314-466-8819</f>
        <v>-9542</v>
      </c>
      <c r="K2236" t="s">
        <v>10842</v>
      </c>
      <c r="N2236" t="s">
        <v>10843</v>
      </c>
      <c r="Z2236" t="s">
        <v>43</v>
      </c>
    </row>
    <row r="2237" spans="1:26" x14ac:dyDescent="0.25">
      <c r="A2237">
        <v>2236</v>
      </c>
      <c r="B2237" t="s">
        <v>30</v>
      </c>
      <c r="C2237" t="s">
        <v>10844</v>
      </c>
      <c r="D2237" t="s">
        <v>10845</v>
      </c>
      <c r="E2237" t="s">
        <v>471</v>
      </c>
      <c r="F2237" t="s">
        <v>10846</v>
      </c>
      <c r="G2237" t="s">
        <v>47</v>
      </c>
      <c r="I2237" t="s">
        <v>10847</v>
      </c>
      <c r="K2237" t="s">
        <v>10848</v>
      </c>
      <c r="N2237" t="s">
        <v>10849</v>
      </c>
      <c r="Z2237" t="s">
        <v>43</v>
      </c>
    </row>
    <row r="2238" spans="1:26" x14ac:dyDescent="0.25">
      <c r="A2238">
        <v>2237</v>
      </c>
      <c r="B2238" t="s">
        <v>30</v>
      </c>
      <c r="C2238" t="s">
        <v>10850</v>
      </c>
      <c r="D2238" t="s">
        <v>46</v>
      </c>
      <c r="E2238" t="s">
        <v>471</v>
      </c>
      <c r="F2238" t="s">
        <v>1708</v>
      </c>
      <c r="G2238" t="s">
        <v>47</v>
      </c>
      <c r="I2238" t="s">
        <v>10851</v>
      </c>
      <c r="J2238">
        <f>57-300-228-8769</f>
        <v>-9240</v>
      </c>
      <c r="K2238" t="s">
        <v>10852</v>
      </c>
      <c r="N2238" t="s">
        <v>10853</v>
      </c>
      <c r="Z2238" t="s">
        <v>43</v>
      </c>
    </row>
    <row r="2239" spans="1:26" x14ac:dyDescent="0.25">
      <c r="A2239">
        <v>2238</v>
      </c>
      <c r="B2239" t="s">
        <v>30</v>
      </c>
      <c r="C2239" t="s">
        <v>10854</v>
      </c>
      <c r="D2239" t="s">
        <v>10855</v>
      </c>
      <c r="E2239" t="s">
        <v>471</v>
      </c>
      <c r="F2239" t="s">
        <v>10856</v>
      </c>
      <c r="G2239" t="s">
        <v>47</v>
      </c>
      <c r="I2239" t="s">
        <v>10857</v>
      </c>
      <c r="J2239">
        <f>57-311-238-4676</f>
        <v>-5168</v>
      </c>
      <c r="K2239" t="s">
        <v>10858</v>
      </c>
      <c r="N2239" t="s">
        <v>10859</v>
      </c>
      <c r="Z2239" t="s">
        <v>43</v>
      </c>
    </row>
    <row r="2240" spans="1:26" x14ac:dyDescent="0.25">
      <c r="A2240">
        <v>2239</v>
      </c>
      <c r="B2240" t="s">
        <v>30</v>
      </c>
      <c r="C2240" t="s">
        <v>10860</v>
      </c>
      <c r="D2240" t="s">
        <v>979</v>
      </c>
      <c r="E2240" t="s">
        <v>56</v>
      </c>
      <c r="F2240" t="s">
        <v>980</v>
      </c>
      <c r="G2240" t="s">
        <v>57</v>
      </c>
      <c r="I2240" t="s">
        <v>10861</v>
      </c>
      <c r="K2240" t="s">
        <v>10862</v>
      </c>
      <c r="N2240" t="s">
        <v>10863</v>
      </c>
      <c r="Z2240" t="s">
        <v>43</v>
      </c>
    </row>
    <row r="2241" spans="1:26" x14ac:dyDescent="0.25">
      <c r="A2241">
        <v>2240</v>
      </c>
      <c r="B2241" t="s">
        <v>30</v>
      </c>
      <c r="C2241" t="s">
        <v>10864</v>
      </c>
      <c r="D2241" t="s">
        <v>10865</v>
      </c>
      <c r="E2241" t="s">
        <v>72</v>
      </c>
      <c r="F2241" t="s">
        <v>10866</v>
      </c>
      <c r="G2241" t="s">
        <v>73</v>
      </c>
      <c r="I2241" t="s">
        <v>10867</v>
      </c>
      <c r="K2241" t="s">
        <v>10868</v>
      </c>
      <c r="N2241" t="s">
        <v>10869</v>
      </c>
      <c r="Z2241" t="s">
        <v>43</v>
      </c>
    </row>
    <row r="2242" spans="1:26" x14ac:dyDescent="0.25">
      <c r="A2242">
        <v>2241</v>
      </c>
      <c r="B2242" t="s">
        <v>30</v>
      </c>
      <c r="C2242" t="s">
        <v>10870</v>
      </c>
      <c r="D2242" t="s">
        <v>1260</v>
      </c>
      <c r="E2242" t="s">
        <v>64</v>
      </c>
      <c r="F2242" t="s">
        <v>1665</v>
      </c>
      <c r="G2242" t="s">
        <v>65</v>
      </c>
      <c r="I2242" t="s">
        <v>10871</v>
      </c>
      <c r="J2242">
        <f>57-302-386-4072</f>
        <v>-4703</v>
      </c>
      <c r="K2242" t="s">
        <v>10872</v>
      </c>
      <c r="N2242" t="s">
        <v>10873</v>
      </c>
      <c r="Z2242" t="s">
        <v>43</v>
      </c>
    </row>
    <row r="2243" spans="1:26" x14ac:dyDescent="0.25">
      <c r="A2243">
        <v>2242</v>
      </c>
      <c r="B2243" t="s">
        <v>30</v>
      </c>
      <c r="C2243" t="s">
        <v>10874</v>
      </c>
      <c r="D2243" t="s">
        <v>10875</v>
      </c>
      <c r="E2243" t="s">
        <v>72</v>
      </c>
      <c r="F2243" t="s">
        <v>10876</v>
      </c>
      <c r="G2243" t="s">
        <v>73</v>
      </c>
      <c r="I2243" t="s">
        <v>10877</v>
      </c>
      <c r="K2243" t="s">
        <v>10878</v>
      </c>
      <c r="N2243" t="s">
        <v>10879</v>
      </c>
      <c r="Z2243" t="s">
        <v>43</v>
      </c>
    </row>
    <row r="2244" spans="1:26" x14ac:dyDescent="0.25">
      <c r="A2244">
        <v>2243</v>
      </c>
      <c r="B2244" t="s">
        <v>30</v>
      </c>
      <c r="C2244" t="s">
        <v>10880</v>
      </c>
      <c r="D2244" t="s">
        <v>56</v>
      </c>
      <c r="E2244" t="s">
        <v>56</v>
      </c>
      <c r="F2244" t="s">
        <v>57</v>
      </c>
      <c r="G2244" t="s">
        <v>57</v>
      </c>
      <c r="I2244" t="s">
        <v>10881</v>
      </c>
      <c r="K2244" t="s">
        <v>10882</v>
      </c>
      <c r="N2244" t="s">
        <v>10883</v>
      </c>
      <c r="Z2244" t="s">
        <v>43</v>
      </c>
    </row>
    <row r="2245" spans="1:26" x14ac:dyDescent="0.25">
      <c r="A2245">
        <v>2244</v>
      </c>
      <c r="B2245" t="s">
        <v>30</v>
      </c>
      <c r="C2245" t="s">
        <v>10884</v>
      </c>
      <c r="D2245" t="s">
        <v>3778</v>
      </c>
      <c r="E2245" t="s">
        <v>471</v>
      </c>
      <c r="F2245" t="s">
        <v>3779</v>
      </c>
      <c r="G2245" t="s">
        <v>47</v>
      </c>
      <c r="I2245" t="s">
        <v>10885</v>
      </c>
      <c r="J2245">
        <f>57-300-465-8285</f>
        <v>-8993</v>
      </c>
      <c r="K2245" t="s">
        <v>154</v>
      </c>
      <c r="N2245" t="s">
        <v>10886</v>
      </c>
      <c r="Z2245" t="s">
        <v>43</v>
      </c>
    </row>
    <row r="2246" spans="1:26" x14ac:dyDescent="0.25">
      <c r="A2246">
        <v>2245</v>
      </c>
      <c r="B2246" t="s">
        <v>30</v>
      </c>
      <c r="C2246" t="s">
        <v>10887</v>
      </c>
      <c r="D2246" t="s">
        <v>2394</v>
      </c>
      <c r="E2246" t="s">
        <v>471</v>
      </c>
      <c r="F2246" t="s">
        <v>8021</v>
      </c>
      <c r="G2246" t="s">
        <v>47</v>
      </c>
      <c r="I2246" t="s">
        <v>10888</v>
      </c>
      <c r="J2246">
        <f>57-314-416-4342</f>
        <v>-5015</v>
      </c>
      <c r="K2246" t="s">
        <v>10889</v>
      </c>
      <c r="N2246" t="s">
        <v>10890</v>
      </c>
      <c r="Z2246" t="s">
        <v>43</v>
      </c>
    </row>
    <row r="2247" spans="1:26" x14ac:dyDescent="0.25">
      <c r="A2247">
        <v>2246</v>
      </c>
      <c r="B2247" t="s">
        <v>30</v>
      </c>
      <c r="C2247" t="s">
        <v>10891</v>
      </c>
      <c r="D2247" t="s">
        <v>2014</v>
      </c>
      <c r="E2247" t="s">
        <v>64</v>
      </c>
      <c r="F2247" t="s">
        <v>9359</v>
      </c>
      <c r="G2247" t="s">
        <v>65</v>
      </c>
      <c r="I2247" t="s">
        <v>10892</v>
      </c>
      <c r="J2247">
        <f>57-60-1-282-2034</f>
        <v>-2320</v>
      </c>
      <c r="K2247" t="s">
        <v>10893</v>
      </c>
      <c r="N2247" t="s">
        <v>10894</v>
      </c>
      <c r="Z2247" t="s">
        <v>43</v>
      </c>
    </row>
    <row r="2248" spans="1:26" x14ac:dyDescent="0.25">
      <c r="A2248">
        <v>2247</v>
      </c>
      <c r="B2248" t="s">
        <v>30</v>
      </c>
      <c r="C2248" t="s">
        <v>10895</v>
      </c>
      <c r="D2248" t="s">
        <v>909</v>
      </c>
      <c r="E2248" t="s">
        <v>471</v>
      </c>
      <c r="F2248" t="s">
        <v>1659</v>
      </c>
      <c r="G2248" t="s">
        <v>47</v>
      </c>
      <c r="I2248" t="s">
        <v>10896</v>
      </c>
      <c r="J2248">
        <f>57-311-278-1703</f>
        <v>-2235</v>
      </c>
      <c r="K2248" t="s">
        <v>10897</v>
      </c>
      <c r="N2248" t="s">
        <v>10898</v>
      </c>
      <c r="Z2248" t="s">
        <v>43</v>
      </c>
    </row>
    <row r="2249" spans="1:26" x14ac:dyDescent="0.25">
      <c r="A2249">
        <v>2248</v>
      </c>
      <c r="B2249" t="s">
        <v>30</v>
      </c>
      <c r="C2249" t="s">
        <v>10899</v>
      </c>
      <c r="D2249" t="s">
        <v>10900</v>
      </c>
      <c r="E2249" t="s">
        <v>1402</v>
      </c>
      <c r="F2249" t="s">
        <v>10901</v>
      </c>
      <c r="G2249" t="s">
        <v>1404</v>
      </c>
      <c r="I2249" t="s">
        <v>10902</v>
      </c>
      <c r="J2249">
        <f>57-311-834-8947</f>
        <v>-10035</v>
      </c>
      <c r="K2249" t="s">
        <v>7697</v>
      </c>
      <c r="N2249" t="s">
        <v>10903</v>
      </c>
      <c r="Z2249" t="s">
        <v>43</v>
      </c>
    </row>
    <row r="2250" spans="1:26" x14ac:dyDescent="0.25">
      <c r="A2250">
        <v>2249</v>
      </c>
      <c r="B2250" t="s">
        <v>30</v>
      </c>
      <c r="C2250" t="s">
        <v>10904</v>
      </c>
      <c r="D2250" t="s">
        <v>772</v>
      </c>
      <c r="E2250" t="s">
        <v>471</v>
      </c>
      <c r="F2250" t="s">
        <v>1083</v>
      </c>
      <c r="G2250" t="s">
        <v>47</v>
      </c>
      <c r="I2250" t="s">
        <v>10905</v>
      </c>
      <c r="J2250">
        <f>57-300-632-4392</f>
        <v>-5267</v>
      </c>
      <c r="K2250" t="s">
        <v>10906</v>
      </c>
      <c r="N2250" t="s">
        <v>10907</v>
      </c>
      <c r="Z2250" t="s">
        <v>43</v>
      </c>
    </row>
    <row r="2251" spans="1:26" x14ac:dyDescent="0.25">
      <c r="A2251">
        <v>2250</v>
      </c>
      <c r="B2251" t="s">
        <v>30</v>
      </c>
      <c r="C2251" t="s">
        <v>10908</v>
      </c>
      <c r="D2251" t="s">
        <v>4427</v>
      </c>
      <c r="E2251" t="s">
        <v>471</v>
      </c>
      <c r="F2251" t="s">
        <v>4428</v>
      </c>
      <c r="G2251" t="s">
        <v>47</v>
      </c>
      <c r="I2251" t="s">
        <v>10909</v>
      </c>
      <c r="K2251" t="s">
        <v>10910</v>
      </c>
      <c r="N2251" t="s">
        <v>10911</v>
      </c>
      <c r="Z2251" t="s">
        <v>43</v>
      </c>
    </row>
    <row r="2252" spans="1:26" x14ac:dyDescent="0.25">
      <c r="A2252">
        <v>2251</v>
      </c>
      <c r="B2252" t="s">
        <v>30</v>
      </c>
      <c r="C2252" t="s">
        <v>10912</v>
      </c>
      <c r="D2252" t="s">
        <v>2394</v>
      </c>
      <c r="E2252" t="s">
        <v>471</v>
      </c>
      <c r="F2252" t="s">
        <v>2395</v>
      </c>
      <c r="G2252" t="s">
        <v>47</v>
      </c>
      <c r="I2252" t="s">
        <v>10913</v>
      </c>
      <c r="K2252" t="s">
        <v>10914</v>
      </c>
      <c r="N2252" t="s">
        <v>10915</v>
      </c>
      <c r="Z2252" t="s">
        <v>43</v>
      </c>
    </row>
    <row r="2253" spans="1:26" x14ac:dyDescent="0.25">
      <c r="A2253">
        <v>2252</v>
      </c>
      <c r="B2253" t="s">
        <v>30</v>
      </c>
      <c r="C2253" t="s">
        <v>10916</v>
      </c>
      <c r="D2253" t="s">
        <v>10917</v>
      </c>
      <c r="E2253" t="s">
        <v>56</v>
      </c>
      <c r="F2253" t="s">
        <v>10918</v>
      </c>
      <c r="G2253" t="s">
        <v>57</v>
      </c>
      <c r="I2253" t="s">
        <v>10919</v>
      </c>
      <c r="K2253" t="s">
        <v>10920</v>
      </c>
      <c r="N2253" t="s">
        <v>10921</v>
      </c>
      <c r="Z2253" t="s">
        <v>43</v>
      </c>
    </row>
    <row r="2254" spans="1:26" x14ac:dyDescent="0.25">
      <c r="A2254">
        <v>2253</v>
      </c>
      <c r="B2254" t="s">
        <v>30</v>
      </c>
      <c r="C2254" t="s">
        <v>10922</v>
      </c>
      <c r="D2254" t="s">
        <v>56</v>
      </c>
      <c r="E2254" t="s">
        <v>56</v>
      </c>
      <c r="F2254" t="s">
        <v>57</v>
      </c>
      <c r="G2254" t="s">
        <v>57</v>
      </c>
      <c r="I2254" t="s">
        <v>10923</v>
      </c>
      <c r="J2254">
        <f>57-311-880-4586</f>
        <v>-5720</v>
      </c>
      <c r="K2254" t="s">
        <v>10924</v>
      </c>
      <c r="N2254" t="s">
        <v>10925</v>
      </c>
      <c r="Z2254" t="s">
        <v>43</v>
      </c>
    </row>
    <row r="2255" spans="1:26" x14ac:dyDescent="0.25">
      <c r="A2255">
        <v>2254</v>
      </c>
      <c r="B2255" t="s">
        <v>30</v>
      </c>
      <c r="C2255" t="s">
        <v>10926</v>
      </c>
      <c r="D2255" t="s">
        <v>867</v>
      </c>
      <c r="E2255" t="s">
        <v>471</v>
      </c>
      <c r="F2255" t="s">
        <v>868</v>
      </c>
      <c r="G2255" t="s">
        <v>47</v>
      </c>
      <c r="I2255" t="s">
        <v>10927</v>
      </c>
      <c r="J2255">
        <f>57-301-459-4808</f>
        <v>-5511</v>
      </c>
      <c r="K2255" t="s">
        <v>10928</v>
      </c>
      <c r="N2255" t="s">
        <v>10929</v>
      </c>
      <c r="Z2255" t="s">
        <v>43</v>
      </c>
    </row>
    <row r="2256" spans="1:26" x14ac:dyDescent="0.25">
      <c r="A2256">
        <v>2255</v>
      </c>
      <c r="B2256" t="s">
        <v>30</v>
      </c>
      <c r="C2256" t="s">
        <v>10930</v>
      </c>
      <c r="D2256" t="s">
        <v>33</v>
      </c>
      <c r="E2256" t="s">
        <v>72</v>
      </c>
      <c r="F2256" t="s">
        <v>35</v>
      </c>
      <c r="G2256" t="s">
        <v>73</v>
      </c>
      <c r="I2256" t="s">
        <v>10931</v>
      </c>
      <c r="J2256">
        <f>57-316-265-5524</f>
        <v>-6048</v>
      </c>
      <c r="K2256" t="s">
        <v>10932</v>
      </c>
      <c r="N2256" t="s">
        <v>10933</v>
      </c>
      <c r="Z2256" t="s">
        <v>43</v>
      </c>
    </row>
    <row r="2257" spans="1:26" x14ac:dyDescent="0.25">
      <c r="A2257">
        <v>2256</v>
      </c>
      <c r="B2257" t="s">
        <v>30</v>
      </c>
      <c r="C2257" t="s">
        <v>10934</v>
      </c>
      <c r="D2257" t="s">
        <v>909</v>
      </c>
      <c r="E2257" t="s">
        <v>471</v>
      </c>
      <c r="F2257" t="s">
        <v>1659</v>
      </c>
      <c r="G2257" t="s">
        <v>47</v>
      </c>
      <c r="I2257" t="s">
        <v>10935</v>
      </c>
      <c r="K2257" t="s">
        <v>10936</v>
      </c>
      <c r="N2257" t="s">
        <v>10937</v>
      </c>
      <c r="Z2257" t="s">
        <v>43</v>
      </c>
    </row>
    <row r="2258" spans="1:26" x14ac:dyDescent="0.25">
      <c r="A2258">
        <v>2257</v>
      </c>
      <c r="B2258" t="s">
        <v>30</v>
      </c>
      <c r="C2258" t="s">
        <v>10938</v>
      </c>
      <c r="D2258" t="s">
        <v>46</v>
      </c>
      <c r="E2258" t="s">
        <v>471</v>
      </c>
      <c r="F2258" t="s">
        <v>820</v>
      </c>
      <c r="G2258" t="s">
        <v>47</v>
      </c>
      <c r="I2258" t="s">
        <v>10939</v>
      </c>
      <c r="J2258">
        <f>57-60-1-744-4782</f>
        <v>-5530</v>
      </c>
      <c r="K2258" t="s">
        <v>10940</v>
      </c>
      <c r="N2258" t="s">
        <v>10941</v>
      </c>
      <c r="Z2258" t="s">
        <v>43</v>
      </c>
    </row>
    <row r="2259" spans="1:26" x14ac:dyDescent="0.25">
      <c r="A2259">
        <v>2258</v>
      </c>
      <c r="B2259" t="s">
        <v>30</v>
      </c>
      <c r="C2259" t="s">
        <v>10942</v>
      </c>
      <c r="D2259" t="s">
        <v>46</v>
      </c>
      <c r="E2259" t="s">
        <v>471</v>
      </c>
      <c r="F2259" t="s">
        <v>820</v>
      </c>
      <c r="G2259" t="s">
        <v>47</v>
      </c>
      <c r="I2259" t="s">
        <v>10943</v>
      </c>
      <c r="K2259" t="s">
        <v>10944</v>
      </c>
      <c r="N2259" t="s">
        <v>10945</v>
      </c>
      <c r="Z2259" t="s">
        <v>43</v>
      </c>
    </row>
    <row r="2260" spans="1:26" x14ac:dyDescent="0.25">
      <c r="A2260">
        <v>2259</v>
      </c>
      <c r="B2260" t="s">
        <v>30</v>
      </c>
      <c r="C2260" t="s">
        <v>10946</v>
      </c>
      <c r="D2260" t="s">
        <v>6604</v>
      </c>
      <c r="E2260" t="s">
        <v>56</v>
      </c>
      <c r="F2260" t="s">
        <v>6605</v>
      </c>
      <c r="G2260" t="s">
        <v>57</v>
      </c>
      <c r="I2260" t="s">
        <v>10947</v>
      </c>
      <c r="J2260">
        <f>57-314-333-2806</f>
        <v>-3396</v>
      </c>
      <c r="K2260" t="s">
        <v>10948</v>
      </c>
      <c r="N2260" t="s">
        <v>10949</v>
      </c>
      <c r="Z2260" t="s">
        <v>43</v>
      </c>
    </row>
    <row r="2261" spans="1:26" x14ac:dyDescent="0.25">
      <c r="A2261">
        <v>2260</v>
      </c>
      <c r="B2261" t="s">
        <v>30</v>
      </c>
      <c r="C2261" t="s">
        <v>10950</v>
      </c>
      <c r="D2261" t="s">
        <v>1401</v>
      </c>
      <c r="E2261" t="s">
        <v>56</v>
      </c>
      <c r="F2261" t="s">
        <v>1403</v>
      </c>
      <c r="G2261" t="s">
        <v>57</v>
      </c>
      <c r="I2261" t="s">
        <v>10951</v>
      </c>
      <c r="K2261" t="s">
        <v>10810</v>
      </c>
      <c r="N2261" t="s">
        <v>10952</v>
      </c>
      <c r="Z2261" t="s">
        <v>43</v>
      </c>
    </row>
    <row r="2262" spans="1:26" x14ac:dyDescent="0.25">
      <c r="A2262">
        <v>2261</v>
      </c>
      <c r="B2262" t="s">
        <v>30</v>
      </c>
      <c r="C2262" t="s">
        <v>10953</v>
      </c>
      <c r="D2262" t="s">
        <v>56</v>
      </c>
      <c r="E2262" t="s">
        <v>56</v>
      </c>
      <c r="F2262" t="s">
        <v>57</v>
      </c>
      <c r="G2262" t="s">
        <v>57</v>
      </c>
      <c r="I2262" t="s">
        <v>10954</v>
      </c>
      <c r="J2262">
        <f>57-321-363-7689</f>
        <v>-8316</v>
      </c>
      <c r="K2262" t="s">
        <v>10955</v>
      </c>
      <c r="N2262" t="s">
        <v>10956</v>
      </c>
      <c r="Z2262" t="s">
        <v>43</v>
      </c>
    </row>
    <row r="2263" spans="1:26" x14ac:dyDescent="0.25">
      <c r="A2263">
        <v>2262</v>
      </c>
      <c r="B2263" t="s">
        <v>30</v>
      </c>
      <c r="C2263" t="s">
        <v>10957</v>
      </c>
      <c r="D2263" t="s">
        <v>46</v>
      </c>
      <c r="E2263" t="s">
        <v>471</v>
      </c>
      <c r="F2263" t="s">
        <v>820</v>
      </c>
      <c r="G2263" t="s">
        <v>47</v>
      </c>
      <c r="I2263" t="s">
        <v>10958</v>
      </c>
      <c r="J2263">
        <f>57-313-697-7086</f>
        <v>-8039</v>
      </c>
      <c r="K2263" t="s">
        <v>10959</v>
      </c>
      <c r="N2263" t="s">
        <v>10960</v>
      </c>
      <c r="Z2263" t="s">
        <v>43</v>
      </c>
    </row>
    <row r="2264" spans="1:26" x14ac:dyDescent="0.25">
      <c r="A2264">
        <v>2263</v>
      </c>
      <c r="B2264" t="s">
        <v>30</v>
      </c>
      <c r="C2264" t="s">
        <v>10961</v>
      </c>
      <c r="D2264" t="s">
        <v>10962</v>
      </c>
      <c r="E2264" t="s">
        <v>64</v>
      </c>
      <c r="F2264" t="s">
        <v>10963</v>
      </c>
      <c r="G2264" t="s">
        <v>65</v>
      </c>
      <c r="I2264" t="s">
        <v>10964</v>
      </c>
      <c r="J2264">
        <f>57-320-876-5446</f>
        <v>-6585</v>
      </c>
      <c r="K2264" t="s">
        <v>10965</v>
      </c>
      <c r="N2264" t="s">
        <v>10966</v>
      </c>
      <c r="Z2264" t="s">
        <v>43</v>
      </c>
    </row>
    <row r="2265" spans="1:26" x14ac:dyDescent="0.25">
      <c r="A2265">
        <v>2264</v>
      </c>
      <c r="B2265" t="s">
        <v>30</v>
      </c>
      <c r="C2265" t="s">
        <v>10967</v>
      </c>
      <c r="D2265" t="s">
        <v>2923</v>
      </c>
      <c r="E2265" t="s">
        <v>2916</v>
      </c>
      <c r="F2265" t="s">
        <v>2924</v>
      </c>
      <c r="G2265" t="s">
        <v>2918</v>
      </c>
      <c r="I2265" t="s">
        <v>10968</v>
      </c>
      <c r="K2265" t="s">
        <v>10969</v>
      </c>
      <c r="N2265" t="s">
        <v>10970</v>
      </c>
      <c r="Z2265" t="s">
        <v>43</v>
      </c>
    </row>
    <row r="2266" spans="1:26" x14ac:dyDescent="0.25">
      <c r="A2266">
        <v>2265</v>
      </c>
      <c r="B2266" t="s">
        <v>30</v>
      </c>
      <c r="C2266" t="s">
        <v>10971</v>
      </c>
      <c r="D2266" t="s">
        <v>384</v>
      </c>
      <c r="E2266" t="s">
        <v>385</v>
      </c>
      <c r="F2266" t="s">
        <v>386</v>
      </c>
      <c r="G2266" t="s">
        <v>387</v>
      </c>
      <c r="I2266" t="s">
        <v>10972</v>
      </c>
      <c r="K2266" t="s">
        <v>10973</v>
      </c>
      <c r="N2266" t="s">
        <v>10974</v>
      </c>
      <c r="Z2266" t="s">
        <v>43</v>
      </c>
    </row>
    <row r="2267" spans="1:26" x14ac:dyDescent="0.25">
      <c r="A2267">
        <v>2266</v>
      </c>
      <c r="B2267" t="s">
        <v>30</v>
      </c>
      <c r="C2267" t="s">
        <v>10975</v>
      </c>
      <c r="D2267" t="s">
        <v>46</v>
      </c>
      <c r="E2267" t="s">
        <v>471</v>
      </c>
      <c r="F2267" t="s">
        <v>820</v>
      </c>
      <c r="G2267" t="s">
        <v>47</v>
      </c>
      <c r="I2267" t="s">
        <v>10976</v>
      </c>
      <c r="K2267" t="s">
        <v>10977</v>
      </c>
      <c r="N2267" t="s">
        <v>10978</v>
      </c>
      <c r="Z2267" t="s">
        <v>43</v>
      </c>
    </row>
    <row r="2268" spans="1:26" x14ac:dyDescent="0.25">
      <c r="A2268">
        <v>2267</v>
      </c>
      <c r="B2268" t="s">
        <v>30</v>
      </c>
      <c r="C2268" t="s">
        <v>10979</v>
      </c>
      <c r="D2268" t="s">
        <v>10980</v>
      </c>
      <c r="E2268" t="s">
        <v>56</v>
      </c>
      <c r="F2268" t="s">
        <v>10981</v>
      </c>
      <c r="G2268" t="s">
        <v>57</v>
      </c>
      <c r="I2268" t="s">
        <v>10982</v>
      </c>
      <c r="K2268" t="s">
        <v>10983</v>
      </c>
      <c r="N2268" t="s">
        <v>10984</v>
      </c>
      <c r="Z2268" t="s">
        <v>43</v>
      </c>
    </row>
    <row r="2269" spans="1:26" x14ac:dyDescent="0.25">
      <c r="A2269">
        <v>2268</v>
      </c>
      <c r="B2269" t="s">
        <v>30</v>
      </c>
      <c r="C2269" t="s">
        <v>10985</v>
      </c>
      <c r="D2269" t="s">
        <v>46</v>
      </c>
      <c r="E2269" t="s">
        <v>471</v>
      </c>
      <c r="F2269" t="s">
        <v>820</v>
      </c>
      <c r="G2269" t="s">
        <v>47</v>
      </c>
      <c r="I2269" t="s">
        <v>10986</v>
      </c>
      <c r="J2269">
        <f>57-300-862-1591</f>
        <v>-2696</v>
      </c>
      <c r="K2269" t="s">
        <v>10987</v>
      </c>
      <c r="N2269" t="s">
        <v>10988</v>
      </c>
      <c r="Z2269" t="s">
        <v>43</v>
      </c>
    </row>
    <row r="2270" spans="1:26" x14ac:dyDescent="0.25">
      <c r="A2270">
        <v>2269</v>
      </c>
      <c r="B2270" t="s">
        <v>30</v>
      </c>
      <c r="C2270" t="s">
        <v>10989</v>
      </c>
      <c r="D2270" t="s">
        <v>979</v>
      </c>
      <c r="E2270" t="s">
        <v>471</v>
      </c>
      <c r="F2270" t="s">
        <v>980</v>
      </c>
      <c r="G2270" t="s">
        <v>47</v>
      </c>
      <c r="I2270" t="s">
        <v>10990</v>
      </c>
      <c r="J2270">
        <f>57-310-762-8763</f>
        <v>-9778</v>
      </c>
      <c r="K2270" t="s">
        <v>10991</v>
      </c>
      <c r="N2270" t="s">
        <v>10992</v>
      </c>
      <c r="Z2270" t="s">
        <v>43</v>
      </c>
    </row>
    <row r="2271" spans="1:26" x14ac:dyDescent="0.25">
      <c r="A2271">
        <v>2270</v>
      </c>
      <c r="B2271" t="s">
        <v>30</v>
      </c>
      <c r="C2271" t="s">
        <v>10993</v>
      </c>
      <c r="D2271" t="s">
        <v>9122</v>
      </c>
      <c r="E2271" t="s">
        <v>2190</v>
      </c>
      <c r="F2271" t="s">
        <v>9123</v>
      </c>
      <c r="G2271" t="s">
        <v>2192</v>
      </c>
      <c r="I2271" t="s">
        <v>10994</v>
      </c>
      <c r="K2271" t="s">
        <v>10995</v>
      </c>
      <c r="N2271" t="s">
        <v>10996</v>
      </c>
      <c r="Z2271" t="s">
        <v>43</v>
      </c>
    </row>
    <row r="2272" spans="1:26" x14ac:dyDescent="0.25">
      <c r="A2272">
        <v>2271</v>
      </c>
      <c r="B2272" t="s">
        <v>30</v>
      </c>
      <c r="C2272" t="s">
        <v>10997</v>
      </c>
      <c r="D2272" t="s">
        <v>2585</v>
      </c>
      <c r="E2272" t="s">
        <v>56</v>
      </c>
      <c r="F2272" t="s">
        <v>2586</v>
      </c>
      <c r="G2272" t="s">
        <v>57</v>
      </c>
      <c r="I2272" t="s">
        <v>10998</v>
      </c>
      <c r="K2272" t="s">
        <v>10999</v>
      </c>
      <c r="N2272" t="s">
        <v>11000</v>
      </c>
      <c r="Z2272" t="s">
        <v>43</v>
      </c>
    </row>
    <row r="2273" spans="1:26" x14ac:dyDescent="0.25">
      <c r="A2273">
        <v>2272</v>
      </c>
      <c r="B2273" t="s">
        <v>30</v>
      </c>
      <c r="C2273" t="s">
        <v>11001</v>
      </c>
      <c r="D2273" t="s">
        <v>2862</v>
      </c>
      <c r="E2273" t="s">
        <v>56</v>
      </c>
      <c r="F2273" t="s">
        <v>6861</v>
      </c>
      <c r="G2273" t="s">
        <v>57</v>
      </c>
      <c r="I2273" t="s">
        <v>11002</v>
      </c>
      <c r="J2273">
        <f>57-311-694-8739</f>
        <v>-9687</v>
      </c>
      <c r="K2273" t="s">
        <v>11003</v>
      </c>
      <c r="N2273" t="s">
        <v>11004</v>
      </c>
      <c r="Z2273" t="s">
        <v>43</v>
      </c>
    </row>
    <row r="2274" spans="1:26" x14ac:dyDescent="0.25">
      <c r="A2274">
        <v>2273</v>
      </c>
      <c r="B2274" t="s">
        <v>30</v>
      </c>
      <c r="C2274" t="s">
        <v>11005</v>
      </c>
      <c r="D2274" t="s">
        <v>5433</v>
      </c>
      <c r="E2274" t="s">
        <v>56</v>
      </c>
      <c r="F2274" t="s">
        <v>5434</v>
      </c>
      <c r="G2274" t="s">
        <v>57</v>
      </c>
      <c r="I2274" t="s">
        <v>11006</v>
      </c>
      <c r="K2274" t="s">
        <v>11007</v>
      </c>
      <c r="N2274" t="s">
        <v>11008</v>
      </c>
      <c r="Z2274" t="s">
        <v>43</v>
      </c>
    </row>
    <row r="2275" spans="1:26" x14ac:dyDescent="0.25">
      <c r="A2275">
        <v>2274</v>
      </c>
      <c r="B2275" t="s">
        <v>30</v>
      </c>
      <c r="C2275" t="s">
        <v>11009</v>
      </c>
      <c r="D2275" t="s">
        <v>2336</v>
      </c>
      <c r="E2275" t="s">
        <v>471</v>
      </c>
      <c r="F2275" t="s">
        <v>2337</v>
      </c>
      <c r="G2275" t="s">
        <v>47</v>
      </c>
      <c r="I2275" t="s">
        <v>11010</v>
      </c>
      <c r="K2275" t="s">
        <v>11011</v>
      </c>
      <c r="N2275" t="s">
        <v>11012</v>
      </c>
      <c r="Z2275" t="s">
        <v>43</v>
      </c>
    </row>
    <row r="2276" spans="1:26" x14ac:dyDescent="0.25">
      <c r="A2276">
        <v>2275</v>
      </c>
      <c r="B2276" t="s">
        <v>30</v>
      </c>
      <c r="C2276" t="s">
        <v>11013</v>
      </c>
      <c r="D2276" t="s">
        <v>11014</v>
      </c>
      <c r="E2276" t="s">
        <v>1248</v>
      </c>
      <c r="F2276" t="s">
        <v>11015</v>
      </c>
      <c r="G2276" t="s">
        <v>1250</v>
      </c>
      <c r="I2276" t="s">
        <v>11016</v>
      </c>
      <c r="J2276">
        <f>57-320-831-4816</f>
        <v>-5910</v>
      </c>
      <c r="K2276" t="s">
        <v>11017</v>
      </c>
      <c r="N2276" t="s">
        <v>11018</v>
      </c>
      <c r="Z2276" t="s">
        <v>43</v>
      </c>
    </row>
    <row r="2277" spans="1:26" x14ac:dyDescent="0.25">
      <c r="A2277">
        <v>2276</v>
      </c>
      <c r="B2277" t="s">
        <v>30</v>
      </c>
      <c r="C2277" t="s">
        <v>11019</v>
      </c>
      <c r="D2277" t="s">
        <v>3199</v>
      </c>
      <c r="E2277" t="s">
        <v>56</v>
      </c>
      <c r="F2277" t="s">
        <v>3200</v>
      </c>
      <c r="G2277" t="s">
        <v>57</v>
      </c>
      <c r="I2277" t="s">
        <v>11020</v>
      </c>
      <c r="J2277">
        <f>57-60-1-283-87</f>
        <v>-374</v>
      </c>
      <c r="K2277" t="s">
        <v>11021</v>
      </c>
      <c r="N2277" t="s">
        <v>11022</v>
      </c>
      <c r="Z2277" t="s">
        <v>43</v>
      </c>
    </row>
    <row r="2278" spans="1:26" x14ac:dyDescent="0.25">
      <c r="A2278">
        <v>2277</v>
      </c>
      <c r="B2278" t="s">
        <v>30</v>
      </c>
      <c r="C2278" t="s">
        <v>11023</v>
      </c>
      <c r="D2278" t="s">
        <v>772</v>
      </c>
      <c r="E2278" t="s">
        <v>471</v>
      </c>
      <c r="F2278" t="s">
        <v>773</v>
      </c>
      <c r="G2278" t="s">
        <v>47</v>
      </c>
      <c r="I2278" t="s">
        <v>11024</v>
      </c>
      <c r="K2278" t="s">
        <v>11025</v>
      </c>
      <c r="N2278" t="s">
        <v>11026</v>
      </c>
      <c r="Z2278" t="s">
        <v>43</v>
      </c>
    </row>
    <row r="2279" spans="1:26" x14ac:dyDescent="0.25">
      <c r="A2279">
        <v>2278</v>
      </c>
      <c r="B2279" t="s">
        <v>30</v>
      </c>
      <c r="C2279" t="s">
        <v>11027</v>
      </c>
      <c r="D2279" t="s">
        <v>3287</v>
      </c>
      <c r="E2279" t="s">
        <v>471</v>
      </c>
      <c r="F2279" t="s">
        <v>11028</v>
      </c>
      <c r="G2279" t="s">
        <v>966</v>
      </c>
      <c r="I2279" t="s">
        <v>11029</v>
      </c>
      <c r="K2279" t="s">
        <v>11030</v>
      </c>
      <c r="N2279" t="s">
        <v>11031</v>
      </c>
      <c r="Z2279" t="s">
        <v>43</v>
      </c>
    </row>
    <row r="2280" spans="1:26" x14ac:dyDescent="0.25">
      <c r="A2280">
        <v>2279</v>
      </c>
      <c r="B2280" t="s">
        <v>30</v>
      </c>
      <c r="C2280" t="s">
        <v>11032</v>
      </c>
      <c r="D2280" t="s">
        <v>11033</v>
      </c>
      <c r="E2280" t="s">
        <v>1055</v>
      </c>
      <c r="F2280" t="s">
        <v>11034</v>
      </c>
      <c r="G2280" t="s">
        <v>1057</v>
      </c>
      <c r="I2280" t="s">
        <v>11035</v>
      </c>
      <c r="J2280">
        <f>57-310-609-3450</f>
        <v>-4312</v>
      </c>
      <c r="K2280" t="s">
        <v>11036</v>
      </c>
      <c r="N2280" t="s">
        <v>11037</v>
      </c>
      <c r="Z2280" t="s">
        <v>43</v>
      </c>
    </row>
    <row r="2281" spans="1:26" x14ac:dyDescent="0.25">
      <c r="A2281">
        <v>2280</v>
      </c>
      <c r="B2281" t="s">
        <v>30</v>
      </c>
      <c r="C2281" t="s">
        <v>11038</v>
      </c>
      <c r="D2281" t="s">
        <v>813</v>
      </c>
      <c r="E2281" t="s">
        <v>471</v>
      </c>
      <c r="F2281" t="s">
        <v>3735</v>
      </c>
      <c r="G2281" t="s">
        <v>47</v>
      </c>
      <c r="I2281" t="s">
        <v>11039</v>
      </c>
      <c r="J2281">
        <f>57-60-1-802-5727</f>
        <v>-6533</v>
      </c>
      <c r="K2281" t="s">
        <v>11040</v>
      </c>
      <c r="N2281" t="s">
        <v>11041</v>
      </c>
      <c r="Z2281" t="s">
        <v>43</v>
      </c>
    </row>
    <row r="2282" spans="1:26" x14ac:dyDescent="0.25">
      <c r="A2282">
        <v>2281</v>
      </c>
      <c r="B2282" t="s">
        <v>30</v>
      </c>
      <c r="C2282" t="s">
        <v>11042</v>
      </c>
      <c r="D2282" t="s">
        <v>11043</v>
      </c>
      <c r="E2282" t="s">
        <v>11044</v>
      </c>
      <c r="F2282" t="s">
        <v>11045</v>
      </c>
      <c r="G2282" t="s">
        <v>11046</v>
      </c>
      <c r="I2282" t="s">
        <v>11047</v>
      </c>
      <c r="J2282">
        <f>57-313-871-7175</f>
        <v>-8302</v>
      </c>
      <c r="K2282" t="s">
        <v>11048</v>
      </c>
      <c r="N2282" t="s">
        <v>11049</v>
      </c>
      <c r="Z2282" t="s">
        <v>43</v>
      </c>
    </row>
    <row r="2283" spans="1:26" x14ac:dyDescent="0.25">
      <c r="A2283">
        <v>2282</v>
      </c>
      <c r="B2283" t="s">
        <v>30</v>
      </c>
      <c r="C2283" t="s">
        <v>11050</v>
      </c>
      <c r="D2283" t="s">
        <v>11051</v>
      </c>
      <c r="E2283" t="s">
        <v>3907</v>
      </c>
      <c r="F2283" t="s">
        <v>11052</v>
      </c>
      <c r="G2283" t="s">
        <v>3909</v>
      </c>
      <c r="I2283" t="s">
        <v>11053</v>
      </c>
      <c r="K2283" t="s">
        <v>11054</v>
      </c>
      <c r="N2283" t="s">
        <v>11055</v>
      </c>
      <c r="Z2283" t="s">
        <v>43</v>
      </c>
    </row>
    <row r="2284" spans="1:26" x14ac:dyDescent="0.25">
      <c r="A2284">
        <v>2283</v>
      </c>
      <c r="B2284" t="s">
        <v>30</v>
      </c>
      <c r="C2284" t="s">
        <v>11056</v>
      </c>
      <c r="D2284" t="s">
        <v>3199</v>
      </c>
      <c r="E2284" t="s">
        <v>56</v>
      </c>
      <c r="F2284" t="s">
        <v>3200</v>
      </c>
      <c r="G2284" t="s">
        <v>57</v>
      </c>
      <c r="I2284" t="s">
        <v>11057</v>
      </c>
      <c r="J2284">
        <f>57-60-1-703-6464</f>
        <v>-7171</v>
      </c>
      <c r="K2284" t="s">
        <v>11058</v>
      </c>
      <c r="N2284" t="s">
        <v>11059</v>
      </c>
      <c r="Z2284" t="s">
        <v>43</v>
      </c>
    </row>
    <row r="2285" spans="1:26" x14ac:dyDescent="0.25">
      <c r="A2285">
        <v>2284</v>
      </c>
      <c r="B2285" t="s">
        <v>30</v>
      </c>
      <c r="C2285" t="s">
        <v>11060</v>
      </c>
      <c r="D2285" t="s">
        <v>11061</v>
      </c>
      <c r="E2285" t="s">
        <v>755</v>
      </c>
      <c r="F2285" t="s">
        <v>11062</v>
      </c>
      <c r="G2285" t="s">
        <v>2199</v>
      </c>
      <c r="I2285" t="s">
        <v>11063</v>
      </c>
      <c r="K2285" t="s">
        <v>11064</v>
      </c>
      <c r="N2285" t="s">
        <v>11065</v>
      </c>
      <c r="Z2285" t="s">
        <v>43</v>
      </c>
    </row>
    <row r="2286" spans="1:26" x14ac:dyDescent="0.25">
      <c r="A2286">
        <v>2285</v>
      </c>
      <c r="B2286" t="s">
        <v>30</v>
      </c>
      <c r="C2286" t="s">
        <v>11066</v>
      </c>
      <c r="D2286" t="s">
        <v>9751</v>
      </c>
      <c r="E2286" t="s">
        <v>56</v>
      </c>
      <c r="F2286" t="s">
        <v>11067</v>
      </c>
      <c r="G2286" t="s">
        <v>57</v>
      </c>
      <c r="I2286" t="s">
        <v>11068</v>
      </c>
      <c r="K2286" t="s">
        <v>11069</v>
      </c>
      <c r="N2286" t="s">
        <v>11070</v>
      </c>
      <c r="Z2286" t="s">
        <v>43</v>
      </c>
    </row>
    <row r="2287" spans="1:26" x14ac:dyDescent="0.25">
      <c r="A2287">
        <v>2286</v>
      </c>
      <c r="B2287" t="s">
        <v>30</v>
      </c>
      <c r="C2287" t="s">
        <v>11071</v>
      </c>
      <c r="D2287" t="s">
        <v>46</v>
      </c>
      <c r="E2287" t="s">
        <v>471</v>
      </c>
      <c r="F2287" t="s">
        <v>820</v>
      </c>
      <c r="G2287" t="s">
        <v>47</v>
      </c>
      <c r="I2287" t="s">
        <v>11072</v>
      </c>
      <c r="K2287" t="s">
        <v>11073</v>
      </c>
      <c r="N2287" t="s">
        <v>11074</v>
      </c>
      <c r="Z2287" t="s">
        <v>43</v>
      </c>
    </row>
    <row r="2288" spans="1:26" x14ac:dyDescent="0.25">
      <c r="A2288">
        <v>2287</v>
      </c>
      <c r="B2288" t="s">
        <v>30</v>
      </c>
      <c r="C2288" t="s">
        <v>11075</v>
      </c>
      <c r="D2288" t="s">
        <v>11076</v>
      </c>
      <c r="E2288" t="s">
        <v>64</v>
      </c>
      <c r="F2288" t="s">
        <v>11077</v>
      </c>
      <c r="G2288" t="s">
        <v>65</v>
      </c>
      <c r="I2288" t="s">
        <v>11078</v>
      </c>
      <c r="J2288">
        <f>57-60-1-315-7619</f>
        <v>-7938</v>
      </c>
      <c r="K2288" t="s">
        <v>11079</v>
      </c>
      <c r="N2288" t="s">
        <v>11080</v>
      </c>
      <c r="Z2288" t="s">
        <v>43</v>
      </c>
    </row>
    <row r="2289" spans="1:26" x14ac:dyDescent="0.25">
      <c r="A2289">
        <v>2288</v>
      </c>
      <c r="B2289" t="s">
        <v>30</v>
      </c>
      <c r="C2289" t="s">
        <v>11081</v>
      </c>
      <c r="D2289" t="s">
        <v>3359</v>
      </c>
      <c r="E2289" t="s">
        <v>56</v>
      </c>
      <c r="F2289" t="s">
        <v>3360</v>
      </c>
      <c r="G2289" t="s">
        <v>57</v>
      </c>
      <c r="I2289" t="s">
        <v>11082</v>
      </c>
      <c r="K2289" t="s">
        <v>11083</v>
      </c>
      <c r="N2289" t="s">
        <v>11084</v>
      </c>
      <c r="Z2289" t="s">
        <v>43</v>
      </c>
    </row>
    <row r="2290" spans="1:26" x14ac:dyDescent="0.25">
      <c r="A2290">
        <v>2289</v>
      </c>
      <c r="B2290" t="s">
        <v>30</v>
      </c>
      <c r="C2290" t="s">
        <v>11085</v>
      </c>
      <c r="D2290" t="s">
        <v>72</v>
      </c>
      <c r="E2290" t="s">
        <v>72</v>
      </c>
      <c r="F2290" t="s">
        <v>73</v>
      </c>
      <c r="G2290" t="s">
        <v>73</v>
      </c>
      <c r="I2290" t="s">
        <v>11086</v>
      </c>
      <c r="J2290">
        <f>57-301-370-2810</f>
        <v>-3424</v>
      </c>
      <c r="K2290" t="s">
        <v>11087</v>
      </c>
      <c r="N2290" t="s">
        <v>11088</v>
      </c>
      <c r="Z2290" t="s">
        <v>43</v>
      </c>
    </row>
    <row r="2291" spans="1:26" x14ac:dyDescent="0.25">
      <c r="A2291">
        <v>2290</v>
      </c>
      <c r="B2291" t="s">
        <v>30</v>
      </c>
      <c r="C2291" t="s">
        <v>11089</v>
      </c>
      <c r="D2291" t="s">
        <v>10434</v>
      </c>
      <c r="E2291" t="s">
        <v>385</v>
      </c>
      <c r="F2291" t="s">
        <v>10435</v>
      </c>
      <c r="G2291" t="s">
        <v>387</v>
      </c>
      <c r="I2291" t="s">
        <v>11090</v>
      </c>
      <c r="J2291">
        <f>57-321-443-4493</f>
        <v>-5200</v>
      </c>
      <c r="K2291" t="s">
        <v>11091</v>
      </c>
      <c r="N2291" t="s">
        <v>11092</v>
      </c>
      <c r="Z2291" t="s">
        <v>43</v>
      </c>
    </row>
    <row r="2292" spans="1:26" x14ac:dyDescent="0.25">
      <c r="A2292">
        <v>2291</v>
      </c>
      <c r="B2292" t="s">
        <v>30</v>
      </c>
      <c r="C2292" t="s">
        <v>11093</v>
      </c>
      <c r="D2292" t="s">
        <v>11094</v>
      </c>
      <c r="E2292" t="s">
        <v>2592</v>
      </c>
      <c r="F2292" t="s">
        <v>11095</v>
      </c>
      <c r="G2292" t="s">
        <v>3150</v>
      </c>
      <c r="I2292" t="s">
        <v>11096</v>
      </c>
      <c r="J2292">
        <f>57-319-240-1917</f>
        <v>-2419</v>
      </c>
      <c r="K2292" t="s">
        <v>11097</v>
      </c>
      <c r="N2292" t="s">
        <v>11098</v>
      </c>
      <c r="Z2292" t="s">
        <v>43</v>
      </c>
    </row>
    <row r="2293" spans="1:26" x14ac:dyDescent="0.25">
      <c r="A2293">
        <v>2292</v>
      </c>
      <c r="B2293" t="s">
        <v>30</v>
      </c>
      <c r="C2293" t="s">
        <v>11099</v>
      </c>
      <c r="D2293" t="s">
        <v>46</v>
      </c>
      <c r="E2293" t="s">
        <v>56</v>
      </c>
      <c r="F2293" t="s">
        <v>820</v>
      </c>
      <c r="G2293" t="s">
        <v>57</v>
      </c>
      <c r="I2293" t="s">
        <v>11100</v>
      </c>
      <c r="J2293">
        <f>57-318-801-6984</f>
        <v>-8046</v>
      </c>
      <c r="K2293" t="s">
        <v>11101</v>
      </c>
      <c r="N2293" t="s">
        <v>11102</v>
      </c>
      <c r="Z2293" t="s">
        <v>43</v>
      </c>
    </row>
    <row r="2294" spans="1:26" x14ac:dyDescent="0.25">
      <c r="A2294">
        <v>2293</v>
      </c>
      <c r="B2294" t="s">
        <v>30</v>
      </c>
      <c r="C2294" t="s">
        <v>11103</v>
      </c>
      <c r="D2294" t="s">
        <v>11104</v>
      </c>
      <c r="E2294" t="s">
        <v>72</v>
      </c>
      <c r="F2294" t="s">
        <v>11105</v>
      </c>
      <c r="G2294" t="s">
        <v>73</v>
      </c>
      <c r="I2294" t="s">
        <v>11106</v>
      </c>
      <c r="K2294" t="s">
        <v>11107</v>
      </c>
      <c r="N2294" t="s">
        <v>11108</v>
      </c>
      <c r="Z2294" t="s">
        <v>43</v>
      </c>
    </row>
    <row r="2295" spans="1:26" x14ac:dyDescent="0.25">
      <c r="A2295">
        <v>2294</v>
      </c>
      <c r="B2295" t="s">
        <v>30</v>
      </c>
      <c r="C2295" t="s">
        <v>11109</v>
      </c>
      <c r="D2295" t="s">
        <v>46</v>
      </c>
      <c r="E2295" t="s">
        <v>471</v>
      </c>
      <c r="F2295" t="s">
        <v>820</v>
      </c>
      <c r="G2295" t="s">
        <v>47</v>
      </c>
      <c r="I2295" t="s">
        <v>11110</v>
      </c>
      <c r="J2295">
        <f>57-60-1-210-1294</f>
        <v>-1508</v>
      </c>
      <c r="K2295" t="s">
        <v>11111</v>
      </c>
      <c r="N2295" t="s">
        <v>11112</v>
      </c>
      <c r="Z2295" t="s">
        <v>43</v>
      </c>
    </row>
    <row r="2296" spans="1:26" x14ac:dyDescent="0.25">
      <c r="A2296">
        <v>2295</v>
      </c>
      <c r="B2296" t="s">
        <v>30</v>
      </c>
      <c r="C2296" t="s">
        <v>11113</v>
      </c>
      <c r="D2296" t="s">
        <v>46</v>
      </c>
      <c r="E2296" t="s">
        <v>471</v>
      </c>
      <c r="F2296" t="s">
        <v>820</v>
      </c>
      <c r="G2296" t="s">
        <v>47</v>
      </c>
      <c r="I2296" t="s">
        <v>11114</v>
      </c>
      <c r="K2296" t="s">
        <v>11115</v>
      </c>
      <c r="N2296" t="s">
        <v>11116</v>
      </c>
      <c r="Z2296" t="s">
        <v>43</v>
      </c>
    </row>
    <row r="2297" spans="1:26" x14ac:dyDescent="0.25">
      <c r="A2297">
        <v>2296</v>
      </c>
      <c r="B2297" t="s">
        <v>30</v>
      </c>
      <c r="C2297" t="s">
        <v>11117</v>
      </c>
      <c r="D2297" t="s">
        <v>11118</v>
      </c>
      <c r="E2297" t="s">
        <v>800</v>
      </c>
      <c r="F2297" t="s">
        <v>11119</v>
      </c>
      <c r="G2297" t="s">
        <v>802</v>
      </c>
      <c r="I2297" t="s">
        <v>11120</v>
      </c>
      <c r="K2297" t="s">
        <v>11121</v>
      </c>
      <c r="N2297" t="s">
        <v>11122</v>
      </c>
      <c r="Z2297" t="s">
        <v>43</v>
      </c>
    </row>
    <row r="2298" spans="1:26" x14ac:dyDescent="0.25">
      <c r="A2298">
        <v>2297</v>
      </c>
      <c r="B2298" t="s">
        <v>30</v>
      </c>
      <c r="C2298" t="s">
        <v>11123</v>
      </c>
      <c r="D2298" t="s">
        <v>2014</v>
      </c>
      <c r="E2298" t="s">
        <v>800</v>
      </c>
      <c r="F2298" t="s">
        <v>2015</v>
      </c>
      <c r="G2298" t="s">
        <v>802</v>
      </c>
      <c r="I2298" t="s">
        <v>11124</v>
      </c>
      <c r="K2298" t="s">
        <v>11125</v>
      </c>
      <c r="N2298" t="s">
        <v>11126</v>
      </c>
      <c r="Z2298" t="s">
        <v>43</v>
      </c>
    </row>
    <row r="2299" spans="1:26" x14ac:dyDescent="0.25">
      <c r="A2299">
        <v>2298</v>
      </c>
      <c r="B2299" t="s">
        <v>30</v>
      </c>
      <c r="C2299" t="s">
        <v>11127</v>
      </c>
      <c r="D2299" t="s">
        <v>4042</v>
      </c>
      <c r="E2299" t="s">
        <v>1658</v>
      </c>
      <c r="F2299" t="s">
        <v>11128</v>
      </c>
      <c r="G2299" t="s">
        <v>1660</v>
      </c>
      <c r="I2299" t="s">
        <v>11129</v>
      </c>
      <c r="J2299">
        <f>57-317-680-2229</f>
        <v>-3169</v>
      </c>
      <c r="K2299" t="s">
        <v>11130</v>
      </c>
      <c r="N2299" t="s">
        <v>11131</v>
      </c>
      <c r="Z2299" t="s">
        <v>43</v>
      </c>
    </row>
    <row r="2300" spans="1:26" x14ac:dyDescent="0.25">
      <c r="A2300">
        <v>2299</v>
      </c>
      <c r="B2300" t="s">
        <v>30</v>
      </c>
      <c r="C2300" t="s">
        <v>11132</v>
      </c>
      <c r="D2300" t="s">
        <v>813</v>
      </c>
      <c r="E2300" t="s">
        <v>1658</v>
      </c>
      <c r="F2300" t="s">
        <v>814</v>
      </c>
      <c r="G2300" t="s">
        <v>1660</v>
      </c>
      <c r="I2300" t="s">
        <v>11133</v>
      </c>
      <c r="J2300">
        <f>57-300-707-3890</f>
        <v>-4840</v>
      </c>
      <c r="K2300" t="s">
        <v>11134</v>
      </c>
      <c r="N2300" t="s">
        <v>11135</v>
      </c>
      <c r="Z2300" t="s">
        <v>43</v>
      </c>
    </row>
    <row r="2301" spans="1:26" x14ac:dyDescent="0.25">
      <c r="A2301">
        <v>2300</v>
      </c>
      <c r="B2301" t="s">
        <v>30</v>
      </c>
      <c r="C2301" t="s">
        <v>11136</v>
      </c>
      <c r="D2301" t="s">
        <v>11137</v>
      </c>
      <c r="E2301" t="s">
        <v>11138</v>
      </c>
      <c r="F2301" t="s">
        <v>11139</v>
      </c>
      <c r="G2301" t="s">
        <v>11140</v>
      </c>
      <c r="I2301" t="s">
        <v>11141</v>
      </c>
      <c r="K2301" t="s">
        <v>11142</v>
      </c>
      <c r="N2301" t="s">
        <v>11143</v>
      </c>
      <c r="Z2301" t="s">
        <v>43</v>
      </c>
    </row>
    <row r="2302" spans="1:26" x14ac:dyDescent="0.25">
      <c r="A2302">
        <v>2301</v>
      </c>
      <c r="B2302" t="s">
        <v>30</v>
      </c>
      <c r="C2302" t="s">
        <v>11144</v>
      </c>
      <c r="D2302" t="s">
        <v>72</v>
      </c>
      <c r="E2302" t="s">
        <v>72</v>
      </c>
      <c r="F2302" t="s">
        <v>73</v>
      </c>
      <c r="G2302" t="s">
        <v>73</v>
      </c>
      <c r="I2302" t="s">
        <v>11145</v>
      </c>
      <c r="K2302" t="s">
        <v>11146</v>
      </c>
      <c r="N2302" t="s">
        <v>11147</v>
      </c>
      <c r="Z2302" t="s">
        <v>43</v>
      </c>
    </row>
    <row r="2303" spans="1:26" x14ac:dyDescent="0.25">
      <c r="A2303">
        <v>2302</v>
      </c>
      <c r="B2303" t="s">
        <v>30</v>
      </c>
      <c r="C2303" t="s">
        <v>11148</v>
      </c>
      <c r="D2303" t="s">
        <v>46</v>
      </c>
      <c r="E2303" t="s">
        <v>471</v>
      </c>
      <c r="F2303" t="s">
        <v>820</v>
      </c>
      <c r="G2303" t="s">
        <v>47</v>
      </c>
      <c r="I2303" t="s">
        <v>11149</v>
      </c>
      <c r="J2303">
        <f>57-316-335-6458</f>
        <v>-7052</v>
      </c>
      <c r="K2303" t="s">
        <v>11150</v>
      </c>
      <c r="N2303" t="s">
        <v>11151</v>
      </c>
      <c r="Z2303" t="s">
        <v>43</v>
      </c>
    </row>
    <row r="2304" spans="1:26" x14ac:dyDescent="0.25">
      <c r="A2304">
        <v>2303</v>
      </c>
      <c r="B2304" t="s">
        <v>30</v>
      </c>
      <c r="C2304" t="s">
        <v>11152</v>
      </c>
      <c r="D2304" t="s">
        <v>2394</v>
      </c>
      <c r="E2304" t="s">
        <v>64</v>
      </c>
      <c r="F2304" t="s">
        <v>2395</v>
      </c>
      <c r="G2304" t="s">
        <v>65</v>
      </c>
      <c r="I2304" t="s">
        <v>11153</v>
      </c>
      <c r="J2304">
        <f>57-322-808-9607</f>
        <v>-10680</v>
      </c>
      <c r="K2304" t="s">
        <v>11154</v>
      </c>
      <c r="N2304" t="s">
        <v>11155</v>
      </c>
      <c r="Z2304" t="s">
        <v>43</v>
      </c>
    </row>
    <row r="2305" spans="1:26" x14ac:dyDescent="0.25">
      <c r="A2305">
        <v>2304</v>
      </c>
      <c r="B2305" t="s">
        <v>30</v>
      </c>
      <c r="C2305" t="s">
        <v>11156</v>
      </c>
      <c r="D2305" t="s">
        <v>11157</v>
      </c>
      <c r="E2305" t="s">
        <v>7087</v>
      </c>
      <c r="F2305" t="s">
        <v>11158</v>
      </c>
      <c r="G2305" t="s">
        <v>7089</v>
      </c>
      <c r="I2305" t="s">
        <v>11159</v>
      </c>
      <c r="J2305">
        <f>57-318-282-4774</f>
        <v>-5317</v>
      </c>
      <c r="K2305" t="s">
        <v>11160</v>
      </c>
      <c r="N2305" t="s">
        <v>11161</v>
      </c>
      <c r="Z2305" t="s">
        <v>43</v>
      </c>
    </row>
    <row r="2306" spans="1:26" x14ac:dyDescent="0.25">
      <c r="A2306">
        <v>2305</v>
      </c>
      <c r="B2306" t="s">
        <v>30</v>
      </c>
      <c r="C2306" t="s">
        <v>11162</v>
      </c>
      <c r="D2306" t="s">
        <v>46</v>
      </c>
      <c r="E2306" t="s">
        <v>471</v>
      </c>
      <c r="F2306" t="s">
        <v>820</v>
      </c>
      <c r="G2306" t="s">
        <v>47</v>
      </c>
      <c r="I2306" t="s">
        <v>11163</v>
      </c>
      <c r="K2306" t="s">
        <v>11164</v>
      </c>
      <c r="N2306" t="s">
        <v>11165</v>
      </c>
      <c r="Z2306" t="s">
        <v>43</v>
      </c>
    </row>
    <row r="2307" spans="1:26" x14ac:dyDescent="0.25">
      <c r="A2307">
        <v>2306</v>
      </c>
      <c r="B2307" t="s">
        <v>30</v>
      </c>
      <c r="C2307" t="s">
        <v>11166</v>
      </c>
      <c r="D2307" t="s">
        <v>11167</v>
      </c>
      <c r="E2307" t="s">
        <v>3984</v>
      </c>
      <c r="F2307" t="s">
        <v>11168</v>
      </c>
      <c r="G2307" t="s">
        <v>3986</v>
      </c>
      <c r="I2307" t="s">
        <v>11169</v>
      </c>
      <c r="J2307">
        <f>57-60-1-668-620</f>
        <v>-1292</v>
      </c>
      <c r="K2307" t="s">
        <v>11170</v>
      </c>
      <c r="N2307" t="s">
        <v>11171</v>
      </c>
      <c r="Z2307" t="s">
        <v>43</v>
      </c>
    </row>
    <row r="2308" spans="1:26" x14ac:dyDescent="0.25">
      <c r="A2308">
        <v>2307</v>
      </c>
      <c r="B2308" t="s">
        <v>30</v>
      </c>
      <c r="C2308" t="s">
        <v>11172</v>
      </c>
      <c r="D2308" t="s">
        <v>3465</v>
      </c>
      <c r="E2308" t="s">
        <v>64</v>
      </c>
      <c r="F2308" t="s">
        <v>3466</v>
      </c>
      <c r="G2308" t="s">
        <v>65</v>
      </c>
      <c r="I2308" t="s">
        <v>11173</v>
      </c>
      <c r="K2308" t="s">
        <v>11174</v>
      </c>
      <c r="N2308" t="s">
        <v>11175</v>
      </c>
      <c r="Z2308" t="s">
        <v>43</v>
      </c>
    </row>
    <row r="2309" spans="1:26" x14ac:dyDescent="0.25">
      <c r="A2309">
        <v>2308</v>
      </c>
      <c r="B2309" t="s">
        <v>30</v>
      </c>
      <c r="C2309" t="s">
        <v>11176</v>
      </c>
      <c r="D2309" t="s">
        <v>11177</v>
      </c>
      <c r="E2309" t="s">
        <v>1338</v>
      </c>
      <c r="F2309" t="s">
        <v>11178</v>
      </c>
      <c r="G2309" t="s">
        <v>1340</v>
      </c>
      <c r="I2309" t="s">
        <v>11179</v>
      </c>
      <c r="J2309">
        <f>57-311-236-3690</f>
        <v>-4180</v>
      </c>
      <c r="K2309" t="s">
        <v>11180</v>
      </c>
      <c r="N2309" t="s">
        <v>11181</v>
      </c>
      <c r="Z2309" t="s">
        <v>43</v>
      </c>
    </row>
    <row r="2310" spans="1:26" x14ac:dyDescent="0.25">
      <c r="A2310">
        <v>2309</v>
      </c>
      <c r="B2310" t="s">
        <v>30</v>
      </c>
      <c r="C2310" t="s">
        <v>11182</v>
      </c>
      <c r="D2310" t="s">
        <v>11183</v>
      </c>
      <c r="E2310" t="s">
        <v>4043</v>
      </c>
      <c r="F2310" t="s">
        <v>11184</v>
      </c>
      <c r="G2310" t="s">
        <v>4045</v>
      </c>
      <c r="I2310" t="s">
        <v>11185</v>
      </c>
      <c r="K2310" t="s">
        <v>11186</v>
      </c>
      <c r="N2310" t="s">
        <v>11187</v>
      </c>
      <c r="Z2310" t="s">
        <v>43</v>
      </c>
    </row>
    <row r="2311" spans="1:26" x14ac:dyDescent="0.25">
      <c r="A2311">
        <v>2310</v>
      </c>
      <c r="B2311" t="s">
        <v>30</v>
      </c>
      <c r="C2311" t="s">
        <v>11188</v>
      </c>
      <c r="D2311" t="s">
        <v>772</v>
      </c>
      <c r="E2311" t="s">
        <v>72</v>
      </c>
      <c r="F2311" t="s">
        <v>773</v>
      </c>
      <c r="G2311" t="s">
        <v>73</v>
      </c>
      <c r="I2311" t="s">
        <v>11189</v>
      </c>
      <c r="K2311" t="s">
        <v>11190</v>
      </c>
      <c r="N2311" t="s">
        <v>11191</v>
      </c>
      <c r="Z2311" t="s">
        <v>43</v>
      </c>
    </row>
    <row r="2312" spans="1:26" x14ac:dyDescent="0.25">
      <c r="A2312">
        <v>2311</v>
      </c>
      <c r="B2312" t="s">
        <v>30</v>
      </c>
      <c r="C2312" t="s">
        <v>11192</v>
      </c>
      <c r="D2312" t="s">
        <v>1260</v>
      </c>
      <c r="E2312" t="s">
        <v>471</v>
      </c>
      <c r="F2312" t="s">
        <v>1653</v>
      </c>
      <c r="G2312" t="s">
        <v>966</v>
      </c>
      <c r="I2312" t="s">
        <v>11193</v>
      </c>
      <c r="K2312" t="s">
        <v>11194</v>
      </c>
      <c r="N2312" t="s">
        <v>11195</v>
      </c>
      <c r="Z2312" t="s">
        <v>43</v>
      </c>
    </row>
    <row r="2313" spans="1:26" x14ac:dyDescent="0.25">
      <c r="A2313">
        <v>2312</v>
      </c>
      <c r="B2313" t="s">
        <v>30</v>
      </c>
      <c r="C2313" t="s">
        <v>11196</v>
      </c>
      <c r="D2313" t="s">
        <v>11197</v>
      </c>
      <c r="E2313" t="s">
        <v>1269</v>
      </c>
      <c r="F2313" t="s">
        <v>11198</v>
      </c>
      <c r="G2313" t="s">
        <v>1271</v>
      </c>
      <c r="I2313" t="s">
        <v>11199</v>
      </c>
      <c r="K2313" t="s">
        <v>11200</v>
      </c>
      <c r="N2313" t="s">
        <v>11201</v>
      </c>
      <c r="Z2313" t="s">
        <v>43</v>
      </c>
    </row>
    <row r="2314" spans="1:26" x14ac:dyDescent="0.25">
      <c r="A2314">
        <v>2313</v>
      </c>
      <c r="B2314" t="s">
        <v>30</v>
      </c>
      <c r="C2314" t="s">
        <v>11202</v>
      </c>
      <c r="D2314" t="s">
        <v>7429</v>
      </c>
      <c r="E2314" t="s">
        <v>1402</v>
      </c>
      <c r="F2314" t="s">
        <v>11203</v>
      </c>
      <c r="G2314" t="s">
        <v>1404</v>
      </c>
      <c r="I2314" t="s">
        <v>11204</v>
      </c>
      <c r="K2314" t="s">
        <v>11205</v>
      </c>
      <c r="N2314" t="s">
        <v>11206</v>
      </c>
      <c r="Z2314" t="s">
        <v>43</v>
      </c>
    </row>
    <row r="2315" spans="1:26" x14ac:dyDescent="0.25">
      <c r="A2315">
        <v>2314</v>
      </c>
      <c r="B2315" t="s">
        <v>30</v>
      </c>
      <c r="C2315" t="s">
        <v>11207</v>
      </c>
      <c r="D2315" t="s">
        <v>46</v>
      </c>
      <c r="E2315" t="s">
        <v>471</v>
      </c>
      <c r="F2315" t="s">
        <v>820</v>
      </c>
      <c r="G2315" t="s">
        <v>47</v>
      </c>
      <c r="I2315" t="s">
        <v>11208</v>
      </c>
      <c r="J2315">
        <f>57-313-422-7141</f>
        <v>-7819</v>
      </c>
      <c r="K2315" t="s">
        <v>11209</v>
      </c>
      <c r="N2315" t="s">
        <v>11210</v>
      </c>
      <c r="Z2315" t="s">
        <v>43</v>
      </c>
    </row>
    <row r="2316" spans="1:26" x14ac:dyDescent="0.25">
      <c r="A2316">
        <v>2315</v>
      </c>
      <c r="B2316" t="s">
        <v>30</v>
      </c>
      <c r="C2316" t="s">
        <v>11211</v>
      </c>
      <c r="D2316" t="s">
        <v>1896</v>
      </c>
      <c r="E2316" t="s">
        <v>72</v>
      </c>
      <c r="F2316" t="s">
        <v>7635</v>
      </c>
      <c r="G2316" t="s">
        <v>73</v>
      </c>
      <c r="I2316" t="s">
        <v>11212</v>
      </c>
      <c r="J2316">
        <f>57-315-217-8809</f>
        <v>-9284</v>
      </c>
      <c r="K2316" t="s">
        <v>11213</v>
      </c>
      <c r="N2316" t="s">
        <v>11214</v>
      </c>
      <c r="Z2316" t="s">
        <v>43</v>
      </c>
    </row>
    <row r="2317" spans="1:26" x14ac:dyDescent="0.25">
      <c r="A2317">
        <v>2316</v>
      </c>
      <c r="B2317" t="s">
        <v>30</v>
      </c>
      <c r="C2317" t="s">
        <v>11215</v>
      </c>
      <c r="D2317" t="s">
        <v>1260</v>
      </c>
      <c r="E2317" t="s">
        <v>471</v>
      </c>
      <c r="F2317" t="s">
        <v>1665</v>
      </c>
      <c r="G2317" t="s">
        <v>47</v>
      </c>
      <c r="I2317" t="s">
        <v>11216</v>
      </c>
      <c r="K2317" t="s">
        <v>11217</v>
      </c>
      <c r="N2317" t="s">
        <v>11218</v>
      </c>
      <c r="Z2317" t="s">
        <v>43</v>
      </c>
    </row>
    <row r="2318" spans="1:26" x14ac:dyDescent="0.25">
      <c r="A2318">
        <v>2317</v>
      </c>
      <c r="B2318" t="s">
        <v>30</v>
      </c>
      <c r="C2318" t="s">
        <v>11219</v>
      </c>
      <c r="D2318" t="s">
        <v>2098</v>
      </c>
      <c r="E2318" t="s">
        <v>1269</v>
      </c>
      <c r="F2318" t="s">
        <v>2099</v>
      </c>
      <c r="G2318" t="s">
        <v>1271</v>
      </c>
      <c r="I2318" t="s">
        <v>11220</v>
      </c>
      <c r="J2318">
        <f>57-313-401-5109</f>
        <v>-5766</v>
      </c>
      <c r="K2318" t="s">
        <v>11221</v>
      </c>
      <c r="N2318" t="s">
        <v>11222</v>
      </c>
      <c r="Z2318" t="s">
        <v>43</v>
      </c>
    </row>
    <row r="2319" spans="1:26" x14ac:dyDescent="0.25">
      <c r="A2319">
        <v>2318</v>
      </c>
      <c r="B2319" t="s">
        <v>30</v>
      </c>
      <c r="C2319" t="s">
        <v>11223</v>
      </c>
      <c r="D2319" t="s">
        <v>1260</v>
      </c>
      <c r="E2319" t="s">
        <v>471</v>
      </c>
      <c r="F2319" t="s">
        <v>1665</v>
      </c>
      <c r="G2319" t="s">
        <v>47</v>
      </c>
      <c r="I2319" t="s">
        <v>11224</v>
      </c>
      <c r="K2319" t="s">
        <v>11225</v>
      </c>
      <c r="N2319" t="s">
        <v>11226</v>
      </c>
      <c r="Z2319" t="s">
        <v>43</v>
      </c>
    </row>
    <row r="2320" spans="1:26" x14ac:dyDescent="0.25">
      <c r="A2320">
        <v>2319</v>
      </c>
      <c r="B2320" t="s">
        <v>30</v>
      </c>
      <c r="C2320" t="s">
        <v>11227</v>
      </c>
      <c r="D2320" t="s">
        <v>46</v>
      </c>
      <c r="E2320" t="s">
        <v>471</v>
      </c>
      <c r="F2320" t="s">
        <v>820</v>
      </c>
      <c r="G2320" t="s">
        <v>47</v>
      </c>
      <c r="I2320" t="s">
        <v>11228</v>
      </c>
      <c r="K2320" t="s">
        <v>11229</v>
      </c>
      <c r="N2320" t="s">
        <v>11230</v>
      </c>
      <c r="Z2320" t="s">
        <v>43</v>
      </c>
    </row>
    <row r="2321" spans="1:26" x14ac:dyDescent="0.25">
      <c r="A2321">
        <v>2320</v>
      </c>
      <c r="B2321" t="s">
        <v>30</v>
      </c>
      <c r="C2321" t="s">
        <v>11231</v>
      </c>
      <c r="D2321" t="s">
        <v>6940</v>
      </c>
      <c r="E2321" t="s">
        <v>471</v>
      </c>
      <c r="F2321" t="s">
        <v>6941</v>
      </c>
      <c r="G2321" t="s">
        <v>47</v>
      </c>
      <c r="I2321" t="s">
        <v>11232</v>
      </c>
      <c r="J2321">
        <f>57-310-343-9089</f>
        <v>-9685</v>
      </c>
      <c r="K2321" t="s">
        <v>11233</v>
      </c>
      <c r="N2321" t="s">
        <v>6944</v>
      </c>
      <c r="Z2321" t="s">
        <v>43</v>
      </c>
    </row>
    <row r="2322" spans="1:26" x14ac:dyDescent="0.25">
      <c r="A2322">
        <v>2321</v>
      </c>
      <c r="B2322" t="s">
        <v>30</v>
      </c>
      <c r="C2322" t="s">
        <v>11234</v>
      </c>
      <c r="D2322" t="s">
        <v>772</v>
      </c>
      <c r="E2322" t="s">
        <v>471</v>
      </c>
      <c r="F2322" t="s">
        <v>773</v>
      </c>
      <c r="G2322" t="s">
        <v>47</v>
      </c>
      <c r="I2322" t="s">
        <v>11235</v>
      </c>
      <c r="K2322" t="s">
        <v>11236</v>
      </c>
      <c r="N2322" t="s">
        <v>11237</v>
      </c>
      <c r="Z2322" t="s">
        <v>43</v>
      </c>
    </row>
    <row r="2323" spans="1:26" x14ac:dyDescent="0.25">
      <c r="A2323">
        <v>2322</v>
      </c>
      <c r="B2323" t="s">
        <v>30</v>
      </c>
      <c r="C2323" t="s">
        <v>11238</v>
      </c>
      <c r="D2323" t="s">
        <v>11239</v>
      </c>
      <c r="E2323" t="s">
        <v>385</v>
      </c>
      <c r="F2323" t="s">
        <v>11240</v>
      </c>
      <c r="G2323" t="s">
        <v>387</v>
      </c>
      <c r="I2323" t="s">
        <v>11241</v>
      </c>
      <c r="K2323" t="s">
        <v>11242</v>
      </c>
      <c r="N2323" t="s">
        <v>11243</v>
      </c>
      <c r="Z2323" t="s">
        <v>43</v>
      </c>
    </row>
    <row r="2324" spans="1:26" x14ac:dyDescent="0.25">
      <c r="A2324">
        <v>2323</v>
      </c>
      <c r="B2324" t="s">
        <v>30</v>
      </c>
      <c r="C2324" t="s">
        <v>11244</v>
      </c>
      <c r="D2324" t="s">
        <v>64</v>
      </c>
      <c r="E2324" t="s">
        <v>64</v>
      </c>
      <c r="F2324" t="s">
        <v>11245</v>
      </c>
      <c r="G2324" t="s">
        <v>65</v>
      </c>
      <c r="I2324" t="s">
        <v>11246</v>
      </c>
      <c r="K2324" t="s">
        <v>11247</v>
      </c>
      <c r="N2324" t="s">
        <v>11248</v>
      </c>
      <c r="Z2324" t="s">
        <v>43</v>
      </c>
    </row>
    <row r="2325" spans="1:26" x14ac:dyDescent="0.25">
      <c r="A2325">
        <v>2324</v>
      </c>
      <c r="B2325" t="s">
        <v>30</v>
      </c>
      <c r="C2325" t="s">
        <v>11249</v>
      </c>
      <c r="D2325" t="s">
        <v>2336</v>
      </c>
      <c r="E2325" t="s">
        <v>56</v>
      </c>
      <c r="F2325" t="s">
        <v>2337</v>
      </c>
      <c r="G2325" t="s">
        <v>57</v>
      </c>
      <c r="I2325" t="s">
        <v>11250</v>
      </c>
      <c r="K2325" t="s">
        <v>11251</v>
      </c>
      <c r="N2325" t="s">
        <v>3977</v>
      </c>
      <c r="Z2325" t="s">
        <v>43</v>
      </c>
    </row>
    <row r="2326" spans="1:26" x14ac:dyDescent="0.25">
      <c r="A2326">
        <v>2325</v>
      </c>
      <c r="B2326" t="s">
        <v>30</v>
      </c>
      <c r="C2326" t="s">
        <v>11252</v>
      </c>
      <c r="D2326" t="s">
        <v>1982</v>
      </c>
      <c r="E2326" t="s">
        <v>1269</v>
      </c>
      <c r="F2326" t="s">
        <v>7163</v>
      </c>
      <c r="G2326" t="s">
        <v>1271</v>
      </c>
      <c r="I2326" t="s">
        <v>11253</v>
      </c>
      <c r="K2326" t="s">
        <v>11254</v>
      </c>
      <c r="N2326" t="s">
        <v>11255</v>
      </c>
      <c r="Z2326" t="s">
        <v>43</v>
      </c>
    </row>
    <row r="2327" spans="1:26" x14ac:dyDescent="0.25">
      <c r="A2327">
        <v>2326</v>
      </c>
      <c r="B2327" t="s">
        <v>30</v>
      </c>
      <c r="C2327" t="s">
        <v>11256</v>
      </c>
      <c r="D2327" t="s">
        <v>46</v>
      </c>
      <c r="E2327" t="s">
        <v>56</v>
      </c>
      <c r="F2327" t="s">
        <v>820</v>
      </c>
      <c r="G2327" t="s">
        <v>57</v>
      </c>
      <c r="I2327" t="s">
        <v>11257</v>
      </c>
      <c r="K2327" t="s">
        <v>11258</v>
      </c>
      <c r="N2327" t="s">
        <v>11259</v>
      </c>
      <c r="Z2327" t="s">
        <v>43</v>
      </c>
    </row>
    <row r="2328" spans="1:26" x14ac:dyDescent="0.25">
      <c r="A2328">
        <v>2327</v>
      </c>
      <c r="B2328" t="s">
        <v>30</v>
      </c>
      <c r="C2328" t="s">
        <v>11260</v>
      </c>
      <c r="D2328" t="s">
        <v>11261</v>
      </c>
      <c r="E2328" t="s">
        <v>2706</v>
      </c>
      <c r="F2328" t="s">
        <v>11262</v>
      </c>
      <c r="G2328" t="s">
        <v>2708</v>
      </c>
      <c r="I2328" t="s">
        <v>11263</v>
      </c>
      <c r="K2328" t="s">
        <v>11264</v>
      </c>
      <c r="N2328" t="s">
        <v>11265</v>
      </c>
      <c r="Z2328" t="s">
        <v>43</v>
      </c>
    </row>
    <row r="2329" spans="1:26" x14ac:dyDescent="0.25">
      <c r="A2329">
        <v>2328</v>
      </c>
      <c r="B2329" t="s">
        <v>30</v>
      </c>
      <c r="C2329" t="s">
        <v>11266</v>
      </c>
      <c r="D2329" t="s">
        <v>9454</v>
      </c>
      <c r="E2329" t="s">
        <v>4299</v>
      </c>
      <c r="F2329" t="s">
        <v>9455</v>
      </c>
      <c r="G2329" t="s">
        <v>4301</v>
      </c>
      <c r="I2329" t="s">
        <v>11267</v>
      </c>
      <c r="J2329">
        <f>57-323-209-8648</f>
        <v>-9123</v>
      </c>
      <c r="K2329" t="s">
        <v>11268</v>
      </c>
      <c r="N2329" t="s">
        <v>11269</v>
      </c>
      <c r="Z2329" t="s">
        <v>43</v>
      </c>
    </row>
    <row r="2330" spans="1:26" x14ac:dyDescent="0.25">
      <c r="A2330">
        <v>2329</v>
      </c>
      <c r="B2330" t="s">
        <v>30</v>
      </c>
      <c r="C2330" t="s">
        <v>11270</v>
      </c>
      <c r="D2330" t="s">
        <v>7767</v>
      </c>
      <c r="E2330" t="s">
        <v>471</v>
      </c>
      <c r="F2330" t="s">
        <v>7768</v>
      </c>
      <c r="G2330" t="s">
        <v>47</v>
      </c>
      <c r="I2330" t="s">
        <v>7769</v>
      </c>
      <c r="J2330">
        <f>57-300-279-1213</f>
        <v>-1735</v>
      </c>
      <c r="K2330" t="s">
        <v>11271</v>
      </c>
      <c r="N2330" t="s">
        <v>11272</v>
      </c>
      <c r="Z2330" t="s">
        <v>43</v>
      </c>
    </row>
    <row r="2331" spans="1:26" x14ac:dyDescent="0.25">
      <c r="A2331">
        <v>2330</v>
      </c>
      <c r="B2331" t="s">
        <v>30</v>
      </c>
      <c r="C2331" t="s">
        <v>11273</v>
      </c>
      <c r="D2331" t="s">
        <v>11274</v>
      </c>
      <c r="E2331" t="s">
        <v>1269</v>
      </c>
      <c r="F2331" t="s">
        <v>11275</v>
      </c>
      <c r="G2331" t="s">
        <v>1271</v>
      </c>
      <c r="I2331" t="s">
        <v>11276</v>
      </c>
      <c r="J2331">
        <f>57-313-804-2978</f>
        <v>-4038</v>
      </c>
      <c r="K2331" t="s">
        <v>11277</v>
      </c>
      <c r="N2331" t="s">
        <v>11278</v>
      </c>
      <c r="Z2331" t="s">
        <v>43</v>
      </c>
    </row>
    <row r="2332" spans="1:26" x14ac:dyDescent="0.25">
      <c r="A2332">
        <v>2331</v>
      </c>
      <c r="B2332" t="s">
        <v>30</v>
      </c>
      <c r="C2332" t="s">
        <v>11279</v>
      </c>
      <c r="D2332" t="s">
        <v>3380</v>
      </c>
      <c r="E2332" t="s">
        <v>56</v>
      </c>
      <c r="F2332" t="s">
        <v>11280</v>
      </c>
      <c r="G2332" t="s">
        <v>57</v>
      </c>
      <c r="I2332" t="s">
        <v>11281</v>
      </c>
      <c r="J2332">
        <f>57-310-699-5138</f>
        <v>-6090</v>
      </c>
      <c r="K2332" t="s">
        <v>11282</v>
      </c>
      <c r="N2332" t="s">
        <v>11283</v>
      </c>
      <c r="Z2332" t="s">
        <v>43</v>
      </c>
    </row>
    <row r="2333" spans="1:26" x14ac:dyDescent="0.25">
      <c r="A2333">
        <v>2332</v>
      </c>
      <c r="B2333" t="s">
        <v>30</v>
      </c>
      <c r="C2333" t="s">
        <v>11284</v>
      </c>
      <c r="D2333" t="s">
        <v>7103</v>
      </c>
      <c r="E2333" t="s">
        <v>1585</v>
      </c>
      <c r="F2333" t="s">
        <v>11285</v>
      </c>
      <c r="G2333" t="s">
        <v>1587</v>
      </c>
      <c r="I2333" t="s">
        <v>11286</v>
      </c>
      <c r="J2333">
        <f>57-320-495-3010</f>
        <v>-3768</v>
      </c>
      <c r="K2333" t="s">
        <v>11287</v>
      </c>
      <c r="N2333" t="s">
        <v>11288</v>
      </c>
      <c r="Z2333" t="s">
        <v>43</v>
      </c>
    </row>
    <row r="2334" spans="1:26" x14ac:dyDescent="0.25">
      <c r="A2334">
        <v>2333</v>
      </c>
      <c r="B2334" t="s">
        <v>30</v>
      </c>
      <c r="C2334" t="s">
        <v>11289</v>
      </c>
      <c r="D2334" t="s">
        <v>3465</v>
      </c>
      <c r="E2334" t="s">
        <v>1269</v>
      </c>
      <c r="F2334" t="s">
        <v>3466</v>
      </c>
      <c r="G2334" t="s">
        <v>1271</v>
      </c>
      <c r="I2334" t="s">
        <v>11290</v>
      </c>
      <c r="J2334">
        <f>57-320-893-6922</f>
        <v>-8078</v>
      </c>
      <c r="K2334" t="s">
        <v>11291</v>
      </c>
      <c r="N2334" t="s">
        <v>11292</v>
      </c>
      <c r="Z2334" t="s">
        <v>43</v>
      </c>
    </row>
    <row r="2335" spans="1:26" x14ac:dyDescent="0.25">
      <c r="A2335">
        <v>2334</v>
      </c>
      <c r="B2335" t="s">
        <v>30</v>
      </c>
      <c r="C2335" t="s">
        <v>11293</v>
      </c>
      <c r="D2335" t="s">
        <v>813</v>
      </c>
      <c r="E2335" t="s">
        <v>471</v>
      </c>
      <c r="F2335" t="s">
        <v>10606</v>
      </c>
      <c r="G2335" t="s">
        <v>966</v>
      </c>
      <c r="I2335" t="s">
        <v>11294</v>
      </c>
      <c r="J2335">
        <f>57-311-868-5536</f>
        <v>-6658</v>
      </c>
      <c r="K2335" t="s">
        <v>11295</v>
      </c>
      <c r="N2335" t="s">
        <v>11296</v>
      </c>
      <c r="Z2335" t="s">
        <v>43</v>
      </c>
    </row>
    <row r="2336" spans="1:26" x14ac:dyDescent="0.25">
      <c r="A2336">
        <v>2335</v>
      </c>
      <c r="B2336" t="s">
        <v>30</v>
      </c>
      <c r="C2336" t="s">
        <v>11297</v>
      </c>
      <c r="D2336" t="s">
        <v>11298</v>
      </c>
      <c r="E2336" t="s">
        <v>1760</v>
      </c>
      <c r="F2336" t="s">
        <v>11299</v>
      </c>
      <c r="G2336" t="s">
        <v>1762</v>
      </c>
      <c r="I2336" t="s">
        <v>11300</v>
      </c>
      <c r="J2336">
        <f>57-311-223-1168</f>
        <v>-1645</v>
      </c>
      <c r="K2336" t="s">
        <v>11301</v>
      </c>
      <c r="N2336" t="s">
        <v>11302</v>
      </c>
      <c r="Z2336" t="s">
        <v>43</v>
      </c>
    </row>
    <row r="2337" spans="1:26" x14ac:dyDescent="0.25">
      <c r="A2337">
        <v>2336</v>
      </c>
      <c r="B2337" t="s">
        <v>30</v>
      </c>
      <c r="C2337" t="s">
        <v>11303</v>
      </c>
      <c r="D2337" t="s">
        <v>2098</v>
      </c>
      <c r="E2337" t="s">
        <v>1269</v>
      </c>
      <c r="F2337" t="s">
        <v>2099</v>
      </c>
      <c r="G2337" t="s">
        <v>1271</v>
      </c>
      <c r="I2337" t="s">
        <v>11304</v>
      </c>
      <c r="K2337" t="s">
        <v>11305</v>
      </c>
      <c r="N2337" t="s">
        <v>11306</v>
      </c>
      <c r="Z2337" t="s">
        <v>43</v>
      </c>
    </row>
    <row r="2338" spans="1:26" x14ac:dyDescent="0.25">
      <c r="A2338">
        <v>2337</v>
      </c>
      <c r="B2338" t="s">
        <v>30</v>
      </c>
      <c r="C2338" t="s">
        <v>11307</v>
      </c>
      <c r="D2338" t="s">
        <v>7543</v>
      </c>
      <c r="E2338" t="s">
        <v>56</v>
      </c>
      <c r="F2338" t="s">
        <v>7544</v>
      </c>
      <c r="G2338" t="s">
        <v>57</v>
      </c>
      <c r="I2338" t="s">
        <v>11308</v>
      </c>
      <c r="K2338" t="s">
        <v>11309</v>
      </c>
      <c r="N2338" t="s">
        <v>11310</v>
      </c>
      <c r="Z2338" t="s">
        <v>43</v>
      </c>
    </row>
    <row r="2339" spans="1:26" x14ac:dyDescent="0.25">
      <c r="A2339">
        <v>2338</v>
      </c>
      <c r="B2339" t="s">
        <v>30</v>
      </c>
      <c r="C2339" t="s">
        <v>11311</v>
      </c>
      <c r="D2339" t="s">
        <v>2058</v>
      </c>
      <c r="E2339" t="s">
        <v>56</v>
      </c>
      <c r="F2339" t="s">
        <v>2059</v>
      </c>
      <c r="G2339" t="s">
        <v>57</v>
      </c>
      <c r="I2339" t="s">
        <v>11312</v>
      </c>
      <c r="K2339" t="s">
        <v>11313</v>
      </c>
      <c r="N2339" t="s">
        <v>11314</v>
      </c>
      <c r="Z2339" t="s">
        <v>43</v>
      </c>
    </row>
    <row r="2340" spans="1:26" x14ac:dyDescent="0.25">
      <c r="A2340">
        <v>2339</v>
      </c>
      <c r="B2340" t="s">
        <v>30</v>
      </c>
      <c r="C2340" t="s">
        <v>11315</v>
      </c>
      <c r="D2340" t="s">
        <v>2098</v>
      </c>
      <c r="E2340" t="s">
        <v>1269</v>
      </c>
      <c r="F2340" t="s">
        <v>2099</v>
      </c>
      <c r="G2340" t="s">
        <v>1271</v>
      </c>
      <c r="I2340" t="s">
        <v>11316</v>
      </c>
      <c r="J2340">
        <f>57-314-310-4930</f>
        <v>-5497</v>
      </c>
      <c r="K2340" t="s">
        <v>11317</v>
      </c>
      <c r="N2340" t="s">
        <v>11318</v>
      </c>
      <c r="Z2340" t="s">
        <v>43</v>
      </c>
    </row>
    <row r="2341" spans="1:26" x14ac:dyDescent="0.25">
      <c r="A2341">
        <v>2340</v>
      </c>
      <c r="B2341" t="s">
        <v>30</v>
      </c>
      <c r="C2341" t="s">
        <v>11319</v>
      </c>
      <c r="D2341" t="s">
        <v>46</v>
      </c>
      <c r="E2341" t="s">
        <v>471</v>
      </c>
      <c r="F2341" t="s">
        <v>1708</v>
      </c>
      <c r="G2341" t="s">
        <v>47</v>
      </c>
      <c r="I2341" t="s">
        <v>11320</v>
      </c>
      <c r="J2341">
        <f>57-60-1-702-4330</f>
        <v>-5036</v>
      </c>
      <c r="K2341" t="s">
        <v>11321</v>
      </c>
      <c r="N2341" t="s">
        <v>11322</v>
      </c>
      <c r="Z2341" t="s">
        <v>43</v>
      </c>
    </row>
    <row r="2342" spans="1:26" x14ac:dyDescent="0.25">
      <c r="A2342">
        <v>2341</v>
      </c>
      <c r="B2342" t="s">
        <v>30</v>
      </c>
      <c r="C2342" t="s">
        <v>11323</v>
      </c>
      <c r="D2342" t="s">
        <v>2923</v>
      </c>
      <c r="E2342" t="s">
        <v>56</v>
      </c>
      <c r="F2342" t="s">
        <v>2924</v>
      </c>
      <c r="G2342" t="s">
        <v>57</v>
      </c>
      <c r="I2342" t="s">
        <v>11324</v>
      </c>
      <c r="J2342">
        <f>57-310-617-374</f>
        <v>-1244</v>
      </c>
      <c r="K2342" t="s">
        <v>11325</v>
      </c>
      <c r="N2342" t="s">
        <v>11326</v>
      </c>
      <c r="Z2342" t="s">
        <v>43</v>
      </c>
    </row>
    <row r="2343" spans="1:26" x14ac:dyDescent="0.25">
      <c r="A2343">
        <v>2342</v>
      </c>
      <c r="B2343" t="s">
        <v>30</v>
      </c>
      <c r="C2343" t="s">
        <v>11327</v>
      </c>
      <c r="D2343" t="s">
        <v>11328</v>
      </c>
      <c r="E2343" t="s">
        <v>2210</v>
      </c>
      <c r="F2343" t="s">
        <v>11329</v>
      </c>
      <c r="G2343" t="s">
        <v>2212</v>
      </c>
      <c r="I2343" t="s">
        <v>11330</v>
      </c>
      <c r="J2343">
        <f>57-60-1-908-138</f>
        <v>-1050</v>
      </c>
      <c r="K2343" t="s">
        <v>11331</v>
      </c>
      <c r="N2343" t="s">
        <v>11332</v>
      </c>
      <c r="Z2343" t="s">
        <v>43</v>
      </c>
    </row>
    <row r="2344" spans="1:26" x14ac:dyDescent="0.25">
      <c r="A2344">
        <v>2343</v>
      </c>
      <c r="B2344" t="s">
        <v>30</v>
      </c>
      <c r="C2344" t="s">
        <v>11333</v>
      </c>
      <c r="D2344" t="s">
        <v>2477</v>
      </c>
      <c r="E2344" t="s">
        <v>471</v>
      </c>
      <c r="F2344" t="s">
        <v>2478</v>
      </c>
      <c r="G2344" t="s">
        <v>47</v>
      </c>
      <c r="I2344" t="s">
        <v>11334</v>
      </c>
      <c r="J2344">
        <f>57-310-884-7626</f>
        <v>-8763</v>
      </c>
      <c r="K2344" t="s">
        <v>11335</v>
      </c>
      <c r="N2344" t="s">
        <v>11336</v>
      </c>
      <c r="Z2344" t="s">
        <v>43</v>
      </c>
    </row>
    <row r="2345" spans="1:26" x14ac:dyDescent="0.25">
      <c r="A2345">
        <v>2344</v>
      </c>
      <c r="B2345" t="s">
        <v>30</v>
      </c>
      <c r="C2345" t="s">
        <v>11337</v>
      </c>
      <c r="D2345" t="s">
        <v>2477</v>
      </c>
      <c r="E2345" t="s">
        <v>1760</v>
      </c>
      <c r="F2345" t="s">
        <v>2478</v>
      </c>
      <c r="G2345" t="s">
        <v>1762</v>
      </c>
      <c r="I2345" t="s">
        <v>11338</v>
      </c>
      <c r="K2345" t="s">
        <v>11339</v>
      </c>
      <c r="N2345" t="s">
        <v>11340</v>
      </c>
      <c r="Z2345" t="s">
        <v>43</v>
      </c>
    </row>
    <row r="2346" spans="1:26" x14ac:dyDescent="0.25">
      <c r="A2346">
        <v>2345</v>
      </c>
      <c r="B2346" t="s">
        <v>30</v>
      </c>
      <c r="C2346" t="s">
        <v>11341</v>
      </c>
      <c r="D2346" t="s">
        <v>9807</v>
      </c>
      <c r="E2346" t="s">
        <v>56</v>
      </c>
      <c r="F2346" t="s">
        <v>9808</v>
      </c>
      <c r="G2346" t="s">
        <v>57</v>
      </c>
      <c r="I2346" t="s">
        <v>11342</v>
      </c>
      <c r="J2346">
        <f>57-304-456-4560</f>
        <v>-5263</v>
      </c>
      <c r="K2346" t="s">
        <v>11343</v>
      </c>
      <c r="N2346" t="s">
        <v>11344</v>
      </c>
      <c r="Z2346" t="s">
        <v>43</v>
      </c>
    </row>
    <row r="2347" spans="1:26" x14ac:dyDescent="0.25">
      <c r="A2347">
        <v>2346</v>
      </c>
      <c r="B2347" t="s">
        <v>30</v>
      </c>
      <c r="C2347" t="s">
        <v>11345</v>
      </c>
      <c r="D2347" t="s">
        <v>1260</v>
      </c>
      <c r="E2347" t="s">
        <v>64</v>
      </c>
      <c r="F2347" t="s">
        <v>2204</v>
      </c>
      <c r="G2347" t="s">
        <v>65</v>
      </c>
      <c r="I2347" t="s">
        <v>11346</v>
      </c>
      <c r="K2347" t="s">
        <v>11347</v>
      </c>
      <c r="N2347" t="s">
        <v>11348</v>
      </c>
      <c r="Z2347" t="s">
        <v>43</v>
      </c>
    </row>
    <row r="2348" spans="1:26" x14ac:dyDescent="0.25">
      <c r="A2348">
        <v>2347</v>
      </c>
      <c r="B2348" t="s">
        <v>30</v>
      </c>
      <c r="C2348" t="s">
        <v>11349</v>
      </c>
      <c r="D2348" t="s">
        <v>11350</v>
      </c>
      <c r="E2348" t="s">
        <v>11351</v>
      </c>
      <c r="F2348" t="s">
        <v>11352</v>
      </c>
      <c r="G2348" t="s">
        <v>11353</v>
      </c>
      <c r="I2348" t="s">
        <v>11354</v>
      </c>
      <c r="K2348" t="s">
        <v>11355</v>
      </c>
      <c r="N2348" t="s">
        <v>11356</v>
      </c>
      <c r="Z2348" t="s">
        <v>43</v>
      </c>
    </row>
    <row r="2349" spans="1:26" x14ac:dyDescent="0.25">
      <c r="A2349">
        <v>2348</v>
      </c>
      <c r="B2349" t="s">
        <v>30</v>
      </c>
      <c r="C2349" t="s">
        <v>11357</v>
      </c>
      <c r="D2349" t="s">
        <v>1268</v>
      </c>
      <c r="E2349" t="s">
        <v>64</v>
      </c>
      <c r="F2349" t="s">
        <v>1270</v>
      </c>
      <c r="G2349" t="s">
        <v>65</v>
      </c>
      <c r="I2349" t="s">
        <v>5738</v>
      </c>
      <c r="J2349">
        <f>57-313-358-5005</f>
        <v>-5619</v>
      </c>
      <c r="K2349" t="s">
        <v>11358</v>
      </c>
      <c r="N2349" t="s">
        <v>11359</v>
      </c>
      <c r="Z2349" t="s">
        <v>43</v>
      </c>
    </row>
    <row r="2350" spans="1:26" x14ac:dyDescent="0.25">
      <c r="A2350">
        <v>2349</v>
      </c>
      <c r="B2350" t="s">
        <v>30</v>
      </c>
      <c r="C2350" t="s">
        <v>11360</v>
      </c>
      <c r="D2350" t="s">
        <v>4698</v>
      </c>
      <c r="E2350" t="s">
        <v>385</v>
      </c>
      <c r="F2350" t="s">
        <v>4699</v>
      </c>
      <c r="G2350" t="s">
        <v>387</v>
      </c>
      <c r="I2350" t="s">
        <v>11361</v>
      </c>
      <c r="J2350">
        <f>57-320-219-3141</f>
        <v>-3623</v>
      </c>
      <c r="K2350" t="s">
        <v>11362</v>
      </c>
      <c r="N2350" t="s">
        <v>11363</v>
      </c>
      <c r="Z2350" t="s">
        <v>43</v>
      </c>
    </row>
    <row r="2351" spans="1:26" x14ac:dyDescent="0.25">
      <c r="A2351">
        <v>2350</v>
      </c>
      <c r="B2351" t="s">
        <v>30</v>
      </c>
      <c r="C2351" t="s">
        <v>11364</v>
      </c>
      <c r="D2351" t="s">
        <v>46</v>
      </c>
      <c r="E2351" t="s">
        <v>471</v>
      </c>
      <c r="F2351" t="s">
        <v>820</v>
      </c>
      <c r="G2351" t="s">
        <v>47</v>
      </c>
      <c r="I2351" t="s">
        <v>11365</v>
      </c>
      <c r="K2351" t="s">
        <v>11366</v>
      </c>
      <c r="N2351" t="s">
        <v>11367</v>
      </c>
      <c r="Z2351" t="s">
        <v>43</v>
      </c>
    </row>
    <row r="2352" spans="1:26" x14ac:dyDescent="0.25">
      <c r="A2352">
        <v>2351</v>
      </c>
      <c r="B2352" t="s">
        <v>30</v>
      </c>
      <c r="C2352" t="s">
        <v>11368</v>
      </c>
      <c r="D2352" t="s">
        <v>11369</v>
      </c>
      <c r="E2352" t="s">
        <v>64</v>
      </c>
      <c r="F2352" t="s">
        <v>11370</v>
      </c>
      <c r="G2352" t="s">
        <v>65</v>
      </c>
      <c r="I2352" t="s">
        <v>11371</v>
      </c>
      <c r="J2352">
        <f>57-321-273-9925</f>
        <v>-10462</v>
      </c>
      <c r="K2352" t="s">
        <v>11372</v>
      </c>
      <c r="N2352" t="s">
        <v>11373</v>
      </c>
      <c r="Z2352" t="s">
        <v>43</v>
      </c>
    </row>
    <row r="2353" spans="1:26" x14ac:dyDescent="0.25">
      <c r="A2353">
        <v>2352</v>
      </c>
      <c r="B2353" t="s">
        <v>30</v>
      </c>
      <c r="C2353" t="s">
        <v>11374</v>
      </c>
      <c r="D2353" t="s">
        <v>11375</v>
      </c>
      <c r="E2353" t="s">
        <v>2592</v>
      </c>
      <c r="F2353" t="s">
        <v>11376</v>
      </c>
      <c r="G2353" t="s">
        <v>3150</v>
      </c>
      <c r="I2353" t="s">
        <v>11377</v>
      </c>
      <c r="J2353">
        <f>57-60-1-437-2728</f>
        <v>-3169</v>
      </c>
      <c r="K2353" t="s">
        <v>11378</v>
      </c>
      <c r="N2353" t="s">
        <v>11379</v>
      </c>
      <c r="Z2353" t="s">
        <v>43</v>
      </c>
    </row>
    <row r="2354" spans="1:26" x14ac:dyDescent="0.25">
      <c r="A2354">
        <v>2353</v>
      </c>
      <c r="B2354" t="s">
        <v>30</v>
      </c>
      <c r="C2354" t="s">
        <v>11380</v>
      </c>
      <c r="D2354" t="s">
        <v>909</v>
      </c>
      <c r="E2354" t="s">
        <v>471</v>
      </c>
      <c r="F2354" t="s">
        <v>2233</v>
      </c>
      <c r="G2354" t="s">
        <v>47</v>
      </c>
      <c r="I2354" t="s">
        <v>11381</v>
      </c>
      <c r="J2354">
        <f>57-305-942-3421</f>
        <v>-4611</v>
      </c>
      <c r="K2354" t="s">
        <v>11382</v>
      </c>
      <c r="N2354" t="s">
        <v>11383</v>
      </c>
      <c r="Z2354" t="s">
        <v>43</v>
      </c>
    </row>
    <row r="2355" spans="1:26" x14ac:dyDescent="0.25">
      <c r="A2355">
        <v>2354</v>
      </c>
      <c r="B2355" t="s">
        <v>30</v>
      </c>
      <c r="C2355" t="s">
        <v>11384</v>
      </c>
      <c r="D2355" t="s">
        <v>5093</v>
      </c>
      <c r="E2355" t="s">
        <v>72</v>
      </c>
      <c r="F2355" t="s">
        <v>5094</v>
      </c>
      <c r="G2355" t="s">
        <v>73</v>
      </c>
      <c r="I2355" t="s">
        <v>11385</v>
      </c>
      <c r="J2355">
        <f>57-310-755-2337</f>
        <v>-3345</v>
      </c>
      <c r="K2355" t="s">
        <v>11386</v>
      </c>
      <c r="N2355" t="s">
        <v>11387</v>
      </c>
      <c r="Z2355" t="s">
        <v>43</v>
      </c>
    </row>
    <row r="2356" spans="1:26" x14ac:dyDescent="0.25">
      <c r="A2356">
        <v>2355</v>
      </c>
      <c r="B2356" t="s">
        <v>30</v>
      </c>
      <c r="C2356" t="s">
        <v>11388</v>
      </c>
      <c r="D2356" t="s">
        <v>46</v>
      </c>
      <c r="E2356" t="s">
        <v>471</v>
      </c>
      <c r="F2356" t="s">
        <v>820</v>
      </c>
      <c r="G2356" t="s">
        <v>47</v>
      </c>
      <c r="I2356" t="s">
        <v>11389</v>
      </c>
      <c r="K2356" t="s">
        <v>11390</v>
      </c>
      <c r="N2356" t="s">
        <v>11391</v>
      </c>
      <c r="Z2356" t="s">
        <v>43</v>
      </c>
    </row>
    <row r="2357" spans="1:26" x14ac:dyDescent="0.25">
      <c r="A2357">
        <v>2356</v>
      </c>
      <c r="B2357" t="s">
        <v>30</v>
      </c>
      <c r="C2357" t="s">
        <v>11392</v>
      </c>
      <c r="D2357" t="s">
        <v>46</v>
      </c>
      <c r="E2357" t="s">
        <v>471</v>
      </c>
      <c r="F2357" t="s">
        <v>820</v>
      </c>
      <c r="G2357" t="s">
        <v>47</v>
      </c>
      <c r="I2357" t="s">
        <v>11389</v>
      </c>
      <c r="K2357" t="s">
        <v>11390</v>
      </c>
      <c r="N2357" t="s">
        <v>11391</v>
      </c>
      <c r="Z2357" t="s">
        <v>43</v>
      </c>
    </row>
    <row r="2358" spans="1:26" x14ac:dyDescent="0.25">
      <c r="A2358">
        <v>2357</v>
      </c>
      <c r="B2358" t="s">
        <v>30</v>
      </c>
      <c r="C2358" t="s">
        <v>11393</v>
      </c>
      <c r="D2358" t="s">
        <v>46</v>
      </c>
      <c r="E2358" t="s">
        <v>471</v>
      </c>
      <c r="F2358" t="s">
        <v>820</v>
      </c>
      <c r="G2358" t="s">
        <v>47</v>
      </c>
      <c r="I2358" t="s">
        <v>11394</v>
      </c>
      <c r="J2358">
        <f>57-300-884-9638</f>
        <v>-10765</v>
      </c>
      <c r="K2358" t="s">
        <v>11395</v>
      </c>
      <c r="N2358" t="s">
        <v>11396</v>
      </c>
      <c r="Z2358" t="s">
        <v>43</v>
      </c>
    </row>
    <row r="2359" spans="1:26" x14ac:dyDescent="0.25">
      <c r="A2359">
        <v>2358</v>
      </c>
      <c r="B2359" t="s">
        <v>30</v>
      </c>
      <c r="C2359" t="s">
        <v>11397</v>
      </c>
      <c r="D2359" t="s">
        <v>46</v>
      </c>
      <c r="E2359" t="s">
        <v>471</v>
      </c>
      <c r="F2359" t="s">
        <v>1708</v>
      </c>
      <c r="G2359" t="s">
        <v>47</v>
      </c>
      <c r="I2359" t="s">
        <v>11398</v>
      </c>
      <c r="K2359" t="s">
        <v>11399</v>
      </c>
      <c r="N2359" t="s">
        <v>11400</v>
      </c>
      <c r="Z2359" t="s">
        <v>43</v>
      </c>
    </row>
    <row r="2360" spans="1:26" x14ac:dyDescent="0.25">
      <c r="A2360">
        <v>2359</v>
      </c>
      <c r="B2360" t="s">
        <v>30</v>
      </c>
      <c r="C2360" t="s">
        <v>11401</v>
      </c>
      <c r="D2360" t="s">
        <v>772</v>
      </c>
      <c r="E2360" t="s">
        <v>471</v>
      </c>
      <c r="F2360" t="s">
        <v>773</v>
      </c>
      <c r="G2360" t="s">
        <v>47</v>
      </c>
      <c r="I2360" t="s">
        <v>11402</v>
      </c>
      <c r="K2360" t="s">
        <v>11403</v>
      </c>
      <c r="N2360" t="s">
        <v>11404</v>
      </c>
      <c r="Z2360" t="s">
        <v>43</v>
      </c>
    </row>
    <row r="2361" spans="1:26" x14ac:dyDescent="0.25">
      <c r="A2361">
        <v>2360</v>
      </c>
      <c r="B2361" t="s">
        <v>30</v>
      </c>
      <c r="C2361" t="s">
        <v>11405</v>
      </c>
      <c r="D2361" t="s">
        <v>11406</v>
      </c>
      <c r="E2361" t="s">
        <v>2936</v>
      </c>
      <c r="F2361" t="s">
        <v>11407</v>
      </c>
      <c r="G2361" t="s">
        <v>2938</v>
      </c>
      <c r="I2361" t="s">
        <v>11408</v>
      </c>
      <c r="J2361">
        <f>57-311-464-2310</f>
        <v>-3028</v>
      </c>
      <c r="K2361" t="s">
        <v>11409</v>
      </c>
      <c r="N2361" t="s">
        <v>11410</v>
      </c>
      <c r="Z2361" t="s">
        <v>43</v>
      </c>
    </row>
    <row r="2362" spans="1:26" x14ac:dyDescent="0.25">
      <c r="A2362">
        <v>2361</v>
      </c>
      <c r="B2362" t="s">
        <v>30</v>
      </c>
      <c r="C2362" t="s">
        <v>11411</v>
      </c>
      <c r="D2362" t="s">
        <v>5258</v>
      </c>
      <c r="E2362" t="s">
        <v>10419</v>
      </c>
      <c r="F2362" t="s">
        <v>11412</v>
      </c>
      <c r="G2362" t="s">
        <v>10421</v>
      </c>
      <c r="I2362" t="s">
        <v>11413</v>
      </c>
      <c r="K2362" t="s">
        <v>11414</v>
      </c>
      <c r="N2362" t="s">
        <v>11415</v>
      </c>
      <c r="Z2362" t="s">
        <v>43</v>
      </c>
    </row>
    <row r="2363" spans="1:26" x14ac:dyDescent="0.25">
      <c r="A2363">
        <v>2362</v>
      </c>
      <c r="B2363" t="s">
        <v>30</v>
      </c>
      <c r="C2363" t="s">
        <v>11416</v>
      </c>
      <c r="D2363" t="s">
        <v>11417</v>
      </c>
      <c r="E2363" t="s">
        <v>2157</v>
      </c>
      <c r="F2363" t="s">
        <v>11418</v>
      </c>
      <c r="G2363" t="s">
        <v>2159</v>
      </c>
      <c r="I2363" t="s">
        <v>11419</v>
      </c>
      <c r="K2363" t="s">
        <v>11420</v>
      </c>
      <c r="N2363" t="s">
        <v>11421</v>
      </c>
      <c r="Z2363" t="s">
        <v>43</v>
      </c>
    </row>
    <row r="2364" spans="1:26" x14ac:dyDescent="0.25">
      <c r="A2364">
        <v>2363</v>
      </c>
      <c r="B2364" t="s">
        <v>30</v>
      </c>
      <c r="C2364" t="s">
        <v>11422</v>
      </c>
      <c r="D2364" t="s">
        <v>11423</v>
      </c>
      <c r="E2364" t="s">
        <v>72</v>
      </c>
      <c r="F2364" t="s">
        <v>11424</v>
      </c>
      <c r="G2364" t="s">
        <v>73</v>
      </c>
      <c r="I2364" t="s">
        <v>11425</v>
      </c>
      <c r="J2364">
        <f>57-315-459-4020</f>
        <v>-4737</v>
      </c>
      <c r="K2364" t="s">
        <v>11426</v>
      </c>
      <c r="N2364" t="s">
        <v>11427</v>
      </c>
      <c r="Z2364" t="s">
        <v>43</v>
      </c>
    </row>
    <row r="2365" spans="1:26" x14ac:dyDescent="0.25">
      <c r="A2365">
        <v>2364</v>
      </c>
      <c r="B2365" t="s">
        <v>30</v>
      </c>
      <c r="C2365" t="s">
        <v>11428</v>
      </c>
      <c r="D2365" t="s">
        <v>11429</v>
      </c>
      <c r="E2365" t="s">
        <v>2007</v>
      </c>
      <c r="F2365" t="s">
        <v>11430</v>
      </c>
      <c r="G2365" t="s">
        <v>2009</v>
      </c>
      <c r="I2365" t="s">
        <v>11431</v>
      </c>
      <c r="J2365">
        <f>57-321-934-6142</f>
        <v>-7340</v>
      </c>
      <c r="K2365" t="s">
        <v>11432</v>
      </c>
      <c r="N2365" t="s">
        <v>11433</v>
      </c>
      <c r="Z2365" t="s">
        <v>43</v>
      </c>
    </row>
    <row r="2366" spans="1:26" x14ac:dyDescent="0.25">
      <c r="A2366">
        <v>2365</v>
      </c>
      <c r="B2366" t="s">
        <v>30</v>
      </c>
      <c r="C2366" t="s">
        <v>11434</v>
      </c>
      <c r="D2366" t="s">
        <v>11435</v>
      </c>
      <c r="E2366" t="s">
        <v>5472</v>
      </c>
      <c r="F2366" t="s">
        <v>11436</v>
      </c>
      <c r="G2366" t="s">
        <v>5474</v>
      </c>
      <c r="I2366" t="s">
        <v>11437</v>
      </c>
      <c r="J2366">
        <f>57-318-827-1437</f>
        <v>-2525</v>
      </c>
      <c r="K2366" t="s">
        <v>11438</v>
      </c>
      <c r="N2366" t="s">
        <v>11439</v>
      </c>
      <c r="Z2366" t="s">
        <v>43</v>
      </c>
    </row>
    <row r="2367" spans="1:26" x14ac:dyDescent="0.25">
      <c r="A2367">
        <v>2366</v>
      </c>
      <c r="B2367" t="s">
        <v>30</v>
      </c>
      <c r="C2367" t="s">
        <v>11440</v>
      </c>
      <c r="D2367" t="s">
        <v>46</v>
      </c>
      <c r="E2367" t="s">
        <v>471</v>
      </c>
      <c r="F2367" t="s">
        <v>820</v>
      </c>
      <c r="G2367" t="s">
        <v>47</v>
      </c>
      <c r="I2367" t="s">
        <v>11441</v>
      </c>
      <c r="J2367">
        <f>57-316-694-1869</f>
        <v>-2822</v>
      </c>
      <c r="K2367" t="s">
        <v>11442</v>
      </c>
      <c r="N2367" t="s">
        <v>11443</v>
      </c>
      <c r="Z2367" t="s">
        <v>43</v>
      </c>
    </row>
    <row r="2368" spans="1:26" x14ac:dyDescent="0.25">
      <c r="A2368">
        <v>2367</v>
      </c>
      <c r="B2368" t="s">
        <v>30</v>
      </c>
      <c r="C2368" t="s">
        <v>11444</v>
      </c>
      <c r="D2368" t="s">
        <v>11445</v>
      </c>
      <c r="E2368" t="s">
        <v>1338</v>
      </c>
      <c r="F2368" t="s">
        <v>11446</v>
      </c>
      <c r="G2368" t="s">
        <v>1340</v>
      </c>
      <c r="I2368" t="s">
        <v>11447</v>
      </c>
      <c r="K2368" t="s">
        <v>11448</v>
      </c>
      <c r="N2368" t="s">
        <v>11449</v>
      </c>
      <c r="Z2368" t="s">
        <v>43</v>
      </c>
    </row>
    <row r="2369" spans="1:26" x14ac:dyDescent="0.25">
      <c r="A2369">
        <v>2368</v>
      </c>
      <c r="B2369" t="s">
        <v>30</v>
      </c>
      <c r="C2369" t="s">
        <v>11450</v>
      </c>
      <c r="D2369" t="s">
        <v>64</v>
      </c>
      <c r="E2369" t="s">
        <v>64</v>
      </c>
      <c r="F2369" t="s">
        <v>65</v>
      </c>
      <c r="G2369" t="s">
        <v>65</v>
      </c>
      <c r="I2369" t="s">
        <v>11451</v>
      </c>
      <c r="J2369">
        <f>57-310-317-6757</f>
        <v>-7327</v>
      </c>
      <c r="K2369" t="s">
        <v>11452</v>
      </c>
      <c r="N2369" t="s">
        <v>11453</v>
      </c>
      <c r="Z2369" t="s">
        <v>43</v>
      </c>
    </row>
    <row r="2370" spans="1:26" x14ac:dyDescent="0.25">
      <c r="A2370">
        <v>2369</v>
      </c>
      <c r="B2370" t="s">
        <v>30</v>
      </c>
      <c r="C2370" t="s">
        <v>11454</v>
      </c>
      <c r="D2370" t="s">
        <v>46</v>
      </c>
      <c r="E2370" t="s">
        <v>471</v>
      </c>
      <c r="F2370" t="s">
        <v>820</v>
      </c>
      <c r="G2370" t="s">
        <v>47</v>
      </c>
      <c r="I2370" t="s">
        <v>11455</v>
      </c>
      <c r="K2370" t="s">
        <v>11456</v>
      </c>
      <c r="N2370" t="s">
        <v>11457</v>
      </c>
      <c r="Z2370" t="s">
        <v>43</v>
      </c>
    </row>
    <row r="2371" spans="1:26" x14ac:dyDescent="0.25">
      <c r="A2371">
        <v>2370</v>
      </c>
      <c r="B2371" t="s">
        <v>30</v>
      </c>
      <c r="C2371" t="s">
        <v>11458</v>
      </c>
      <c r="D2371" t="s">
        <v>46</v>
      </c>
      <c r="E2371" t="s">
        <v>471</v>
      </c>
      <c r="F2371" t="s">
        <v>941</v>
      </c>
      <c r="G2371" t="s">
        <v>47</v>
      </c>
      <c r="I2371" t="s">
        <v>11459</v>
      </c>
      <c r="J2371">
        <f>57-60-1-762-6077</f>
        <v>-6843</v>
      </c>
      <c r="K2371" t="s">
        <v>11460</v>
      </c>
      <c r="N2371" t="s">
        <v>11461</v>
      </c>
      <c r="Z2371" t="s">
        <v>43</v>
      </c>
    </row>
    <row r="2372" spans="1:26" x14ac:dyDescent="0.25">
      <c r="A2372">
        <v>2371</v>
      </c>
      <c r="B2372" t="s">
        <v>30</v>
      </c>
      <c r="C2372" t="s">
        <v>11462</v>
      </c>
      <c r="D2372" t="s">
        <v>1260</v>
      </c>
      <c r="E2372" t="s">
        <v>64</v>
      </c>
      <c r="F2372" t="s">
        <v>1653</v>
      </c>
      <c r="G2372" t="s">
        <v>65</v>
      </c>
      <c r="I2372" t="s">
        <v>1898</v>
      </c>
      <c r="J2372">
        <f>57-60-1-631-7317</f>
        <v>-7952</v>
      </c>
      <c r="K2372" t="s">
        <v>11463</v>
      </c>
      <c r="N2372" t="s">
        <v>11464</v>
      </c>
      <c r="Z2372" t="s">
        <v>43</v>
      </c>
    </row>
    <row r="2373" spans="1:26" x14ac:dyDescent="0.25">
      <c r="A2373">
        <v>2372</v>
      </c>
      <c r="B2373" t="s">
        <v>30</v>
      </c>
      <c r="C2373" t="s">
        <v>11465</v>
      </c>
      <c r="D2373" t="s">
        <v>1260</v>
      </c>
      <c r="E2373" t="s">
        <v>471</v>
      </c>
      <c r="F2373" t="s">
        <v>1653</v>
      </c>
      <c r="G2373" t="s">
        <v>966</v>
      </c>
      <c r="I2373" t="s">
        <v>11466</v>
      </c>
      <c r="J2373">
        <f>57-60-1-213-5760</f>
        <v>-5977</v>
      </c>
      <c r="K2373" t="s">
        <v>11467</v>
      </c>
      <c r="N2373" t="s">
        <v>11468</v>
      </c>
      <c r="Z2373" t="s">
        <v>43</v>
      </c>
    </row>
    <row r="2374" spans="1:26" x14ac:dyDescent="0.25">
      <c r="A2374">
        <v>2373</v>
      </c>
      <c r="B2374" t="s">
        <v>30</v>
      </c>
      <c r="C2374" t="s">
        <v>11469</v>
      </c>
      <c r="D2374" t="s">
        <v>72</v>
      </c>
      <c r="E2374" t="s">
        <v>72</v>
      </c>
      <c r="F2374" t="s">
        <v>73</v>
      </c>
      <c r="G2374" t="s">
        <v>73</v>
      </c>
      <c r="I2374" t="s">
        <v>11470</v>
      </c>
      <c r="K2374" t="s">
        <v>11471</v>
      </c>
      <c r="N2374" t="s">
        <v>11472</v>
      </c>
      <c r="Z2374" t="s">
        <v>43</v>
      </c>
    </row>
    <row r="2375" spans="1:26" x14ac:dyDescent="0.25">
      <c r="A2375">
        <v>2374</v>
      </c>
      <c r="B2375" t="s">
        <v>30</v>
      </c>
      <c r="C2375" t="s">
        <v>11473</v>
      </c>
      <c r="D2375" t="s">
        <v>11474</v>
      </c>
      <c r="E2375" t="s">
        <v>7007</v>
      </c>
      <c r="F2375" t="s">
        <v>11475</v>
      </c>
      <c r="G2375" t="s">
        <v>7009</v>
      </c>
      <c r="I2375" t="s">
        <v>11476</v>
      </c>
      <c r="K2375" t="s">
        <v>11477</v>
      </c>
      <c r="N2375" t="s">
        <v>11478</v>
      </c>
      <c r="Z2375" t="s">
        <v>43</v>
      </c>
    </row>
    <row r="2376" spans="1:26" x14ac:dyDescent="0.25">
      <c r="A2376">
        <v>2375</v>
      </c>
      <c r="B2376" t="s">
        <v>30</v>
      </c>
      <c r="C2376" t="s">
        <v>11479</v>
      </c>
      <c r="D2376" t="s">
        <v>11480</v>
      </c>
      <c r="E2376" t="s">
        <v>9085</v>
      </c>
      <c r="F2376" t="s">
        <v>11481</v>
      </c>
      <c r="G2376" t="s">
        <v>9087</v>
      </c>
      <c r="I2376" t="s">
        <v>11482</v>
      </c>
      <c r="J2376">
        <f>57-320-897-909</f>
        <v>-2069</v>
      </c>
      <c r="K2376" t="s">
        <v>11483</v>
      </c>
      <c r="N2376" t="s">
        <v>11484</v>
      </c>
      <c r="Z2376" t="s">
        <v>43</v>
      </c>
    </row>
    <row r="2377" spans="1:26" x14ac:dyDescent="0.25">
      <c r="A2377">
        <v>2376</v>
      </c>
      <c r="B2377" t="s">
        <v>30</v>
      </c>
      <c r="C2377" t="s">
        <v>11485</v>
      </c>
      <c r="D2377" t="s">
        <v>3287</v>
      </c>
      <c r="E2377" t="s">
        <v>471</v>
      </c>
      <c r="F2377" t="s">
        <v>3288</v>
      </c>
      <c r="G2377" t="s">
        <v>47</v>
      </c>
      <c r="I2377" t="s">
        <v>11486</v>
      </c>
      <c r="J2377">
        <f>57-311-293-3091</f>
        <v>-3638</v>
      </c>
      <c r="K2377" t="s">
        <v>11487</v>
      </c>
      <c r="N2377" t="s">
        <v>11488</v>
      </c>
      <c r="Z2377" t="s">
        <v>43</v>
      </c>
    </row>
    <row r="2378" spans="1:26" x14ac:dyDescent="0.25">
      <c r="A2378">
        <v>2377</v>
      </c>
      <c r="B2378" t="s">
        <v>30</v>
      </c>
      <c r="C2378" t="s">
        <v>11489</v>
      </c>
      <c r="D2378" t="s">
        <v>11490</v>
      </c>
      <c r="E2378" t="s">
        <v>1760</v>
      </c>
      <c r="F2378" t="s">
        <v>11491</v>
      </c>
      <c r="G2378" t="s">
        <v>1762</v>
      </c>
      <c r="I2378" t="s">
        <v>11492</v>
      </c>
      <c r="J2378">
        <f>57-301-775-931</f>
        <v>-1950</v>
      </c>
      <c r="K2378" t="s">
        <v>11493</v>
      </c>
      <c r="N2378" t="s">
        <v>11494</v>
      </c>
      <c r="Z2378" t="s">
        <v>43</v>
      </c>
    </row>
    <row r="2379" spans="1:26" x14ac:dyDescent="0.25">
      <c r="A2379">
        <v>2378</v>
      </c>
      <c r="B2379" t="s">
        <v>30</v>
      </c>
      <c r="C2379" t="s">
        <v>11495</v>
      </c>
      <c r="D2379" t="s">
        <v>11496</v>
      </c>
      <c r="E2379" t="s">
        <v>800</v>
      </c>
      <c r="F2379" t="s">
        <v>11497</v>
      </c>
      <c r="G2379" t="s">
        <v>802</v>
      </c>
      <c r="I2379" t="s">
        <v>11498</v>
      </c>
      <c r="K2379" t="s">
        <v>11499</v>
      </c>
      <c r="N2379" t="s">
        <v>11500</v>
      </c>
      <c r="Z2379" t="s">
        <v>43</v>
      </c>
    </row>
    <row r="2380" spans="1:26" x14ac:dyDescent="0.25">
      <c r="A2380">
        <v>2379</v>
      </c>
      <c r="B2380" t="s">
        <v>30</v>
      </c>
      <c r="C2380" t="s">
        <v>11501</v>
      </c>
      <c r="D2380" t="s">
        <v>72</v>
      </c>
      <c r="E2380" t="s">
        <v>72</v>
      </c>
      <c r="F2380" t="s">
        <v>73</v>
      </c>
      <c r="G2380" t="s">
        <v>73</v>
      </c>
      <c r="I2380" t="s">
        <v>11502</v>
      </c>
      <c r="K2380" t="s">
        <v>11503</v>
      </c>
      <c r="N2380" t="s">
        <v>11504</v>
      </c>
      <c r="Z2380" t="s">
        <v>43</v>
      </c>
    </row>
    <row r="2381" spans="1:26" x14ac:dyDescent="0.25">
      <c r="A2381">
        <v>2380</v>
      </c>
      <c r="B2381" t="s">
        <v>30</v>
      </c>
      <c r="C2381" t="s">
        <v>11505</v>
      </c>
      <c r="D2381" t="s">
        <v>11506</v>
      </c>
      <c r="E2381" t="s">
        <v>72</v>
      </c>
      <c r="F2381" t="s">
        <v>11507</v>
      </c>
      <c r="G2381" t="s">
        <v>73</v>
      </c>
      <c r="I2381" t="s">
        <v>11508</v>
      </c>
      <c r="J2381">
        <f>57-60-1-656-234</f>
        <v>-894</v>
      </c>
      <c r="K2381" t="s">
        <v>11509</v>
      </c>
      <c r="N2381" t="s">
        <v>11510</v>
      </c>
      <c r="Z2381" t="s">
        <v>43</v>
      </c>
    </row>
    <row r="2382" spans="1:26" x14ac:dyDescent="0.25">
      <c r="A2382">
        <v>2381</v>
      </c>
      <c r="B2382" t="s">
        <v>30</v>
      </c>
      <c r="C2382" t="s">
        <v>11511</v>
      </c>
      <c r="D2382" t="s">
        <v>11512</v>
      </c>
      <c r="E2382" t="s">
        <v>1774</v>
      </c>
      <c r="F2382" t="s">
        <v>11513</v>
      </c>
      <c r="G2382" t="s">
        <v>1776</v>
      </c>
      <c r="I2382" t="s">
        <v>11514</v>
      </c>
      <c r="J2382">
        <f>57-321-334-6577</f>
        <v>-7175</v>
      </c>
      <c r="K2382" t="s">
        <v>11515</v>
      </c>
      <c r="N2382" t="s">
        <v>11516</v>
      </c>
      <c r="Z2382" t="s">
        <v>43</v>
      </c>
    </row>
    <row r="2383" spans="1:26" x14ac:dyDescent="0.25">
      <c r="A2383">
        <v>2382</v>
      </c>
      <c r="B2383" t="s">
        <v>30</v>
      </c>
      <c r="C2383" t="s">
        <v>11517</v>
      </c>
      <c r="D2383" t="s">
        <v>1976</v>
      </c>
      <c r="E2383" t="s">
        <v>800</v>
      </c>
      <c r="F2383" t="s">
        <v>3340</v>
      </c>
      <c r="G2383" t="s">
        <v>802</v>
      </c>
      <c r="I2383" t="s">
        <v>11518</v>
      </c>
      <c r="K2383" t="s">
        <v>11519</v>
      </c>
      <c r="N2383" t="s">
        <v>11520</v>
      </c>
      <c r="Z2383" t="s">
        <v>43</v>
      </c>
    </row>
    <row r="2384" spans="1:26" x14ac:dyDescent="0.25">
      <c r="A2384">
        <v>2383</v>
      </c>
      <c r="B2384" t="s">
        <v>30</v>
      </c>
      <c r="C2384" t="s">
        <v>11521</v>
      </c>
      <c r="D2384" t="s">
        <v>72</v>
      </c>
      <c r="E2384" t="s">
        <v>72</v>
      </c>
      <c r="F2384" t="s">
        <v>73</v>
      </c>
      <c r="G2384" t="s">
        <v>73</v>
      </c>
      <c r="I2384" t="s">
        <v>11522</v>
      </c>
      <c r="K2384" t="s">
        <v>11523</v>
      </c>
      <c r="N2384" t="s">
        <v>11524</v>
      </c>
      <c r="Z2384" t="s">
        <v>43</v>
      </c>
    </row>
    <row r="2385" spans="1:26" x14ac:dyDescent="0.25">
      <c r="A2385">
        <v>2384</v>
      </c>
      <c r="B2385" t="s">
        <v>30</v>
      </c>
      <c r="C2385" t="s">
        <v>11525</v>
      </c>
      <c r="D2385" t="s">
        <v>3664</v>
      </c>
      <c r="E2385" t="s">
        <v>1760</v>
      </c>
      <c r="F2385" t="s">
        <v>3665</v>
      </c>
      <c r="G2385" t="s">
        <v>1762</v>
      </c>
      <c r="I2385" t="s">
        <v>11526</v>
      </c>
      <c r="K2385" t="s">
        <v>11527</v>
      </c>
      <c r="N2385" t="s">
        <v>11528</v>
      </c>
      <c r="Z2385" t="s">
        <v>43</v>
      </c>
    </row>
    <row r="2386" spans="1:26" x14ac:dyDescent="0.25">
      <c r="A2386">
        <v>2385</v>
      </c>
      <c r="B2386" t="s">
        <v>30</v>
      </c>
      <c r="C2386" t="s">
        <v>11529</v>
      </c>
      <c r="D2386" t="s">
        <v>11530</v>
      </c>
      <c r="E2386" t="s">
        <v>72</v>
      </c>
      <c r="F2386" t="s">
        <v>11531</v>
      </c>
      <c r="G2386" t="s">
        <v>73</v>
      </c>
      <c r="I2386" t="s">
        <v>11532</v>
      </c>
      <c r="J2386">
        <f>57-318-344-935</f>
        <v>-1540</v>
      </c>
      <c r="K2386" t="s">
        <v>11533</v>
      </c>
      <c r="N2386" t="s">
        <v>11534</v>
      </c>
      <c r="Z2386" t="s">
        <v>43</v>
      </c>
    </row>
    <row r="2387" spans="1:26" x14ac:dyDescent="0.25">
      <c r="A2387">
        <v>2386</v>
      </c>
      <c r="B2387" t="s">
        <v>30</v>
      </c>
      <c r="C2387" t="s">
        <v>11535</v>
      </c>
      <c r="D2387" t="s">
        <v>11536</v>
      </c>
      <c r="E2387" t="s">
        <v>11537</v>
      </c>
      <c r="F2387" t="s">
        <v>11538</v>
      </c>
      <c r="G2387" t="s">
        <v>11539</v>
      </c>
      <c r="I2387" t="s">
        <v>11540</v>
      </c>
      <c r="K2387" t="s">
        <v>11541</v>
      </c>
      <c r="N2387" t="s">
        <v>11542</v>
      </c>
      <c r="Z2387" t="s">
        <v>43</v>
      </c>
    </row>
    <row r="2388" spans="1:26" x14ac:dyDescent="0.25">
      <c r="A2388">
        <v>2387</v>
      </c>
      <c r="B2388" t="s">
        <v>30</v>
      </c>
      <c r="C2388" t="s">
        <v>11543</v>
      </c>
      <c r="D2388" t="s">
        <v>46</v>
      </c>
      <c r="E2388" t="s">
        <v>471</v>
      </c>
      <c r="F2388" t="s">
        <v>820</v>
      </c>
      <c r="G2388" t="s">
        <v>47</v>
      </c>
      <c r="I2388" t="s">
        <v>11544</v>
      </c>
      <c r="K2388" t="s">
        <v>11545</v>
      </c>
      <c r="N2388" t="s">
        <v>9933</v>
      </c>
      <c r="Z2388" t="s">
        <v>43</v>
      </c>
    </row>
    <row r="2389" spans="1:26" x14ac:dyDescent="0.25">
      <c r="A2389">
        <v>2388</v>
      </c>
      <c r="B2389" t="s">
        <v>30</v>
      </c>
      <c r="C2389" t="s">
        <v>11546</v>
      </c>
      <c r="D2389" t="s">
        <v>4331</v>
      </c>
      <c r="E2389" t="s">
        <v>1402</v>
      </c>
      <c r="F2389" t="s">
        <v>4332</v>
      </c>
      <c r="G2389" t="s">
        <v>1404</v>
      </c>
      <c r="I2389" t="s">
        <v>11547</v>
      </c>
      <c r="K2389" t="s">
        <v>11548</v>
      </c>
      <c r="N2389" t="s">
        <v>11549</v>
      </c>
      <c r="Z2389" t="s">
        <v>43</v>
      </c>
    </row>
    <row r="2390" spans="1:26" x14ac:dyDescent="0.25">
      <c r="A2390">
        <v>2389</v>
      </c>
      <c r="B2390" t="s">
        <v>30</v>
      </c>
      <c r="C2390" t="s">
        <v>11550</v>
      </c>
      <c r="D2390" t="s">
        <v>11551</v>
      </c>
      <c r="E2390" t="s">
        <v>3192</v>
      </c>
      <c r="F2390" t="s">
        <v>11552</v>
      </c>
      <c r="G2390" t="s">
        <v>3194</v>
      </c>
      <c r="I2390" t="s">
        <v>11553</v>
      </c>
      <c r="K2390" t="s">
        <v>11554</v>
      </c>
      <c r="N2390" t="s">
        <v>11555</v>
      </c>
      <c r="Z2390" t="s">
        <v>43</v>
      </c>
    </row>
    <row r="2391" spans="1:26" x14ac:dyDescent="0.25">
      <c r="A2391">
        <v>2390</v>
      </c>
      <c r="B2391" t="s">
        <v>30</v>
      </c>
      <c r="C2391" t="s">
        <v>11556</v>
      </c>
      <c r="D2391" t="s">
        <v>772</v>
      </c>
      <c r="E2391" t="s">
        <v>72</v>
      </c>
      <c r="F2391" t="s">
        <v>3559</v>
      </c>
      <c r="G2391" t="s">
        <v>73</v>
      </c>
      <c r="I2391" t="s">
        <v>11557</v>
      </c>
      <c r="K2391" t="s">
        <v>11558</v>
      </c>
      <c r="N2391" t="s">
        <v>4640</v>
      </c>
      <c r="Z2391" t="s">
        <v>43</v>
      </c>
    </row>
    <row r="2392" spans="1:26" x14ac:dyDescent="0.25">
      <c r="A2392">
        <v>2391</v>
      </c>
      <c r="B2392" t="s">
        <v>30</v>
      </c>
      <c r="C2392" t="s">
        <v>11559</v>
      </c>
      <c r="D2392" t="s">
        <v>46</v>
      </c>
      <c r="E2392" t="s">
        <v>471</v>
      </c>
      <c r="F2392" t="s">
        <v>820</v>
      </c>
      <c r="G2392" t="s">
        <v>47</v>
      </c>
      <c r="I2392" t="s">
        <v>11560</v>
      </c>
      <c r="J2392">
        <f>57-300-867-2834</f>
        <v>-3944</v>
      </c>
      <c r="K2392" t="s">
        <v>11561</v>
      </c>
      <c r="N2392" t="s">
        <v>11562</v>
      </c>
      <c r="Z2392" t="s">
        <v>43</v>
      </c>
    </row>
    <row r="2393" spans="1:26" x14ac:dyDescent="0.25">
      <c r="A2393">
        <v>2392</v>
      </c>
      <c r="B2393" t="s">
        <v>30</v>
      </c>
      <c r="C2393" t="s">
        <v>11563</v>
      </c>
      <c r="D2393" t="s">
        <v>1260</v>
      </c>
      <c r="E2393" t="s">
        <v>3321</v>
      </c>
      <c r="F2393" t="s">
        <v>1261</v>
      </c>
      <c r="G2393" t="s">
        <v>3323</v>
      </c>
      <c r="I2393" t="s">
        <v>11564</v>
      </c>
      <c r="K2393" t="s">
        <v>11565</v>
      </c>
      <c r="N2393" t="s">
        <v>11566</v>
      </c>
      <c r="Z2393" t="s">
        <v>43</v>
      </c>
    </row>
    <row r="2394" spans="1:26" x14ac:dyDescent="0.25">
      <c r="A2394">
        <v>2393</v>
      </c>
      <c r="B2394" t="s">
        <v>30</v>
      </c>
      <c r="C2394" t="s">
        <v>11567</v>
      </c>
      <c r="D2394" t="s">
        <v>11568</v>
      </c>
      <c r="E2394" t="s">
        <v>64</v>
      </c>
      <c r="F2394" t="s">
        <v>11569</v>
      </c>
      <c r="G2394" t="s">
        <v>65</v>
      </c>
      <c r="I2394" t="s">
        <v>11570</v>
      </c>
      <c r="K2394" t="s">
        <v>11571</v>
      </c>
      <c r="N2394" t="s">
        <v>11572</v>
      </c>
      <c r="Z2394" t="s">
        <v>43</v>
      </c>
    </row>
    <row r="2395" spans="1:26" x14ac:dyDescent="0.25">
      <c r="A2395">
        <v>2394</v>
      </c>
      <c r="B2395" t="s">
        <v>30</v>
      </c>
      <c r="C2395" t="s">
        <v>11573</v>
      </c>
      <c r="D2395" t="s">
        <v>72</v>
      </c>
      <c r="E2395" t="s">
        <v>72</v>
      </c>
      <c r="F2395" t="s">
        <v>73</v>
      </c>
      <c r="G2395" t="s">
        <v>73</v>
      </c>
      <c r="I2395" t="s">
        <v>11574</v>
      </c>
      <c r="J2395">
        <f>57-310-232-5175</f>
        <v>-5660</v>
      </c>
      <c r="K2395" t="s">
        <v>4244</v>
      </c>
      <c r="N2395" t="s">
        <v>4245</v>
      </c>
      <c r="Z2395" t="s">
        <v>43</v>
      </c>
    </row>
    <row r="2396" spans="1:26" x14ac:dyDescent="0.25">
      <c r="A2396">
        <v>2395</v>
      </c>
      <c r="B2396" t="s">
        <v>30</v>
      </c>
      <c r="C2396" t="s">
        <v>11575</v>
      </c>
      <c r="D2396" t="s">
        <v>46</v>
      </c>
      <c r="E2396" t="s">
        <v>471</v>
      </c>
      <c r="F2396" t="s">
        <v>820</v>
      </c>
      <c r="G2396" t="s">
        <v>47</v>
      </c>
      <c r="I2396" t="s">
        <v>11576</v>
      </c>
      <c r="J2396">
        <f>57-60-1-702-7773</f>
        <v>-8479</v>
      </c>
      <c r="K2396" t="s">
        <v>2690</v>
      </c>
      <c r="N2396" t="s">
        <v>2691</v>
      </c>
      <c r="Z2396" t="s">
        <v>43</v>
      </c>
    </row>
    <row r="2397" spans="1:26" x14ac:dyDescent="0.25">
      <c r="A2397">
        <v>2396</v>
      </c>
      <c r="B2397" t="s">
        <v>30</v>
      </c>
      <c r="C2397" t="s">
        <v>11577</v>
      </c>
      <c r="D2397" t="s">
        <v>1260</v>
      </c>
      <c r="E2397" t="s">
        <v>64</v>
      </c>
      <c r="F2397" t="s">
        <v>2084</v>
      </c>
      <c r="G2397" t="s">
        <v>65</v>
      </c>
      <c r="I2397" t="s">
        <v>11578</v>
      </c>
      <c r="J2397">
        <f>57-318-466-2599</f>
        <v>-3326</v>
      </c>
      <c r="K2397" t="s">
        <v>11579</v>
      </c>
      <c r="N2397" t="s">
        <v>11580</v>
      </c>
      <c r="Z2397" t="s">
        <v>43</v>
      </c>
    </row>
    <row r="2398" spans="1:26" x14ac:dyDescent="0.25">
      <c r="A2398">
        <v>2397</v>
      </c>
      <c r="B2398" t="s">
        <v>30</v>
      </c>
      <c r="C2398" t="s">
        <v>11581</v>
      </c>
      <c r="D2398" t="s">
        <v>2394</v>
      </c>
      <c r="E2398" t="s">
        <v>471</v>
      </c>
      <c r="F2398" t="s">
        <v>5518</v>
      </c>
      <c r="G2398" t="s">
        <v>47</v>
      </c>
      <c r="I2398" t="s">
        <v>11582</v>
      </c>
      <c r="J2398">
        <f>57-60-1-800-6591</f>
        <v>-7395</v>
      </c>
      <c r="K2398" t="s">
        <v>11583</v>
      </c>
      <c r="N2398" t="s">
        <v>11584</v>
      </c>
      <c r="Z2398" t="s">
        <v>43</v>
      </c>
    </row>
    <row r="2399" spans="1:26" x14ac:dyDescent="0.25">
      <c r="A2399">
        <v>2398</v>
      </c>
      <c r="B2399" t="s">
        <v>30</v>
      </c>
      <c r="C2399" t="s">
        <v>11585</v>
      </c>
      <c r="D2399" t="s">
        <v>2168</v>
      </c>
      <c r="E2399" t="s">
        <v>800</v>
      </c>
      <c r="F2399" t="s">
        <v>2169</v>
      </c>
      <c r="G2399" t="s">
        <v>802</v>
      </c>
      <c r="I2399" t="s">
        <v>11586</v>
      </c>
      <c r="K2399" t="s">
        <v>11587</v>
      </c>
      <c r="N2399" t="s">
        <v>11588</v>
      </c>
      <c r="Z2399" t="s">
        <v>43</v>
      </c>
    </row>
    <row r="2400" spans="1:26" x14ac:dyDescent="0.25">
      <c r="A2400">
        <v>2399</v>
      </c>
      <c r="B2400" t="s">
        <v>30</v>
      </c>
      <c r="C2400" t="s">
        <v>11589</v>
      </c>
      <c r="D2400" t="s">
        <v>11590</v>
      </c>
      <c r="E2400" t="s">
        <v>1943</v>
      </c>
      <c r="F2400" t="s">
        <v>11591</v>
      </c>
      <c r="G2400" t="s">
        <v>1945</v>
      </c>
      <c r="I2400" t="s">
        <v>11592</v>
      </c>
      <c r="J2400">
        <f>57-317-366-1087</f>
        <v>-1713</v>
      </c>
      <c r="K2400" t="s">
        <v>11593</v>
      </c>
      <c r="N2400" t="s">
        <v>11594</v>
      </c>
      <c r="Z2400" t="s">
        <v>43</v>
      </c>
    </row>
    <row r="2401" spans="1:26" x14ac:dyDescent="0.25">
      <c r="A2401">
        <v>2400</v>
      </c>
      <c r="B2401" t="s">
        <v>30</v>
      </c>
      <c r="C2401" t="s">
        <v>11595</v>
      </c>
      <c r="D2401" t="s">
        <v>46</v>
      </c>
      <c r="E2401" t="s">
        <v>471</v>
      </c>
      <c r="F2401" t="s">
        <v>820</v>
      </c>
      <c r="G2401" t="s">
        <v>47</v>
      </c>
      <c r="I2401" t="s">
        <v>11596</v>
      </c>
      <c r="K2401" t="s">
        <v>11597</v>
      </c>
      <c r="N2401" t="s">
        <v>11598</v>
      </c>
      <c r="Z2401" t="s">
        <v>43</v>
      </c>
    </row>
    <row r="2402" spans="1:26" x14ac:dyDescent="0.25">
      <c r="A2402">
        <v>2401</v>
      </c>
      <c r="B2402" t="s">
        <v>30</v>
      </c>
      <c r="C2402" t="s">
        <v>11599</v>
      </c>
      <c r="D2402" t="s">
        <v>11600</v>
      </c>
      <c r="E2402" t="s">
        <v>11601</v>
      </c>
      <c r="F2402" t="s">
        <v>11602</v>
      </c>
      <c r="G2402" t="s">
        <v>11603</v>
      </c>
      <c r="I2402" t="s">
        <v>11604</v>
      </c>
      <c r="J2402">
        <f>57-350-807-2042</f>
        <v>-3142</v>
      </c>
      <c r="K2402" t="s">
        <v>11605</v>
      </c>
      <c r="N2402" t="s">
        <v>11606</v>
      </c>
      <c r="Z2402" t="s">
        <v>43</v>
      </c>
    </row>
    <row r="2403" spans="1:26" x14ac:dyDescent="0.25">
      <c r="A2403">
        <v>2402</v>
      </c>
      <c r="B2403" t="s">
        <v>30</v>
      </c>
      <c r="C2403" t="s">
        <v>11607</v>
      </c>
      <c r="D2403" t="s">
        <v>2336</v>
      </c>
      <c r="E2403" t="s">
        <v>471</v>
      </c>
      <c r="F2403" t="s">
        <v>2337</v>
      </c>
      <c r="G2403" t="s">
        <v>47</v>
      </c>
      <c r="I2403" t="s">
        <v>11608</v>
      </c>
      <c r="J2403">
        <f>57-60-1-611-4429</f>
        <v>-5044</v>
      </c>
      <c r="K2403" t="s">
        <v>11609</v>
      </c>
      <c r="N2403" t="s">
        <v>11610</v>
      </c>
      <c r="Z2403" t="s">
        <v>43</v>
      </c>
    </row>
    <row r="2404" spans="1:26" x14ac:dyDescent="0.25">
      <c r="A2404">
        <v>2403</v>
      </c>
      <c r="B2404" t="s">
        <v>30</v>
      </c>
      <c r="C2404" t="s">
        <v>11611</v>
      </c>
      <c r="D2404" t="s">
        <v>2467</v>
      </c>
      <c r="E2404" t="s">
        <v>1585</v>
      </c>
      <c r="F2404" t="s">
        <v>2468</v>
      </c>
      <c r="G2404" t="s">
        <v>1587</v>
      </c>
      <c r="I2404" t="s">
        <v>11612</v>
      </c>
      <c r="J2404">
        <f>57-60-1-497-7989</f>
        <v>-8490</v>
      </c>
      <c r="K2404" t="s">
        <v>11613</v>
      </c>
      <c r="N2404" t="s">
        <v>11614</v>
      </c>
      <c r="Z2404" t="s">
        <v>43</v>
      </c>
    </row>
    <row r="2405" spans="1:26" x14ac:dyDescent="0.25">
      <c r="A2405">
        <v>2404</v>
      </c>
      <c r="B2405" t="s">
        <v>30</v>
      </c>
      <c r="C2405" t="s">
        <v>11615</v>
      </c>
      <c r="D2405" t="s">
        <v>11616</v>
      </c>
      <c r="E2405" t="s">
        <v>800</v>
      </c>
      <c r="F2405" t="s">
        <v>11617</v>
      </c>
      <c r="G2405" t="s">
        <v>802</v>
      </c>
      <c r="I2405" t="s">
        <v>11618</v>
      </c>
      <c r="K2405" t="s">
        <v>11619</v>
      </c>
      <c r="N2405" t="s">
        <v>11620</v>
      </c>
      <c r="Z2405" t="s">
        <v>43</v>
      </c>
    </row>
    <row r="2406" spans="1:26" x14ac:dyDescent="0.25">
      <c r="A2406">
        <v>2405</v>
      </c>
      <c r="B2406" t="s">
        <v>30</v>
      </c>
      <c r="C2406" t="s">
        <v>11621</v>
      </c>
      <c r="D2406" t="s">
        <v>384</v>
      </c>
      <c r="E2406" t="s">
        <v>471</v>
      </c>
      <c r="F2406" t="s">
        <v>2439</v>
      </c>
      <c r="G2406" t="s">
        <v>47</v>
      </c>
      <c r="I2406" t="s">
        <v>10191</v>
      </c>
      <c r="K2406" t="s">
        <v>11622</v>
      </c>
      <c r="N2406" t="s">
        <v>11623</v>
      </c>
      <c r="Z2406" t="s">
        <v>43</v>
      </c>
    </row>
    <row r="2407" spans="1:26" x14ac:dyDescent="0.25">
      <c r="A2407">
        <v>2406</v>
      </c>
      <c r="B2407" t="s">
        <v>30</v>
      </c>
      <c r="C2407" t="s">
        <v>11624</v>
      </c>
      <c r="D2407" t="s">
        <v>11625</v>
      </c>
      <c r="E2407" t="s">
        <v>64</v>
      </c>
      <c r="F2407" t="s">
        <v>11626</v>
      </c>
      <c r="G2407" t="s">
        <v>65</v>
      </c>
      <c r="I2407" t="s">
        <v>11627</v>
      </c>
      <c r="J2407">
        <f>57-314-394-2531</f>
        <v>-3182</v>
      </c>
      <c r="K2407" t="s">
        <v>11628</v>
      </c>
      <c r="N2407" t="s">
        <v>11629</v>
      </c>
      <c r="Z2407" t="s">
        <v>43</v>
      </c>
    </row>
    <row r="2408" spans="1:26" x14ac:dyDescent="0.25">
      <c r="A2408">
        <v>2407</v>
      </c>
      <c r="B2408" t="s">
        <v>30</v>
      </c>
      <c r="C2408" t="s">
        <v>11630</v>
      </c>
      <c r="D2408" t="s">
        <v>11631</v>
      </c>
      <c r="E2408" t="s">
        <v>1760</v>
      </c>
      <c r="F2408" t="s">
        <v>11632</v>
      </c>
      <c r="G2408" t="s">
        <v>1762</v>
      </c>
      <c r="I2408" t="s">
        <v>11633</v>
      </c>
      <c r="J2408">
        <f>57-316-494-7726</f>
        <v>-8479</v>
      </c>
      <c r="K2408" t="s">
        <v>11634</v>
      </c>
      <c r="N2408" t="s">
        <v>11635</v>
      </c>
      <c r="Z2408" t="s">
        <v>43</v>
      </c>
    </row>
    <row r="2409" spans="1:26" x14ac:dyDescent="0.25">
      <c r="A2409">
        <v>2408</v>
      </c>
      <c r="B2409" t="s">
        <v>30</v>
      </c>
      <c r="C2409" t="s">
        <v>11636</v>
      </c>
      <c r="D2409" t="s">
        <v>3287</v>
      </c>
      <c r="E2409" t="s">
        <v>471</v>
      </c>
      <c r="F2409" t="s">
        <v>8451</v>
      </c>
      <c r="G2409" t="s">
        <v>47</v>
      </c>
      <c r="I2409" t="s">
        <v>11637</v>
      </c>
      <c r="K2409" t="s">
        <v>11638</v>
      </c>
      <c r="N2409" t="s">
        <v>11639</v>
      </c>
      <c r="Z2409" t="s">
        <v>43</v>
      </c>
    </row>
    <row r="2410" spans="1:26" x14ac:dyDescent="0.25">
      <c r="A2410">
        <v>2409</v>
      </c>
      <c r="B2410" t="s">
        <v>30</v>
      </c>
      <c r="C2410" t="s">
        <v>11640</v>
      </c>
      <c r="D2410" t="s">
        <v>46</v>
      </c>
      <c r="E2410" t="s">
        <v>471</v>
      </c>
      <c r="F2410" t="s">
        <v>820</v>
      </c>
      <c r="G2410" t="s">
        <v>47</v>
      </c>
      <c r="I2410" t="s">
        <v>11641</v>
      </c>
      <c r="J2410">
        <f>57-310-265-9086</f>
        <v>-9604</v>
      </c>
      <c r="K2410" t="s">
        <v>11642</v>
      </c>
      <c r="N2410" t="s">
        <v>11643</v>
      </c>
      <c r="Z2410" t="s">
        <v>43</v>
      </c>
    </row>
    <row r="2411" spans="1:26" x14ac:dyDescent="0.25">
      <c r="A2411">
        <v>2410</v>
      </c>
      <c r="B2411" t="s">
        <v>30</v>
      </c>
      <c r="C2411" t="s">
        <v>11644</v>
      </c>
      <c r="D2411" t="s">
        <v>46</v>
      </c>
      <c r="E2411" t="s">
        <v>56</v>
      </c>
      <c r="F2411" t="s">
        <v>820</v>
      </c>
      <c r="G2411" t="s">
        <v>57</v>
      </c>
      <c r="I2411" t="s">
        <v>11645</v>
      </c>
      <c r="J2411">
        <f>57-311-863-7765</f>
        <v>-8882</v>
      </c>
      <c r="K2411" t="s">
        <v>11646</v>
      </c>
      <c r="N2411" t="s">
        <v>11647</v>
      </c>
      <c r="Z2411" t="s">
        <v>43</v>
      </c>
    </row>
    <row r="2412" spans="1:26" x14ac:dyDescent="0.25">
      <c r="A2412">
        <v>2411</v>
      </c>
      <c r="B2412" t="s">
        <v>30</v>
      </c>
      <c r="C2412" t="s">
        <v>11648</v>
      </c>
      <c r="D2412" t="s">
        <v>64</v>
      </c>
      <c r="E2412" t="s">
        <v>72</v>
      </c>
      <c r="F2412" t="s">
        <v>3572</v>
      </c>
      <c r="G2412" t="s">
        <v>73</v>
      </c>
      <c r="I2412" t="s">
        <v>11649</v>
      </c>
      <c r="K2412" t="s">
        <v>11650</v>
      </c>
      <c r="N2412" t="s">
        <v>11651</v>
      </c>
      <c r="Z2412" t="s">
        <v>43</v>
      </c>
    </row>
    <row r="2413" spans="1:26" x14ac:dyDescent="0.25">
      <c r="A2413">
        <v>2412</v>
      </c>
      <c r="B2413" t="s">
        <v>30</v>
      </c>
      <c r="C2413" t="s">
        <v>11652</v>
      </c>
      <c r="D2413" t="s">
        <v>1260</v>
      </c>
      <c r="E2413" t="s">
        <v>72</v>
      </c>
      <c r="F2413" t="s">
        <v>5119</v>
      </c>
      <c r="G2413" t="s">
        <v>73</v>
      </c>
      <c r="I2413" t="s">
        <v>11653</v>
      </c>
      <c r="K2413" t="s">
        <v>11654</v>
      </c>
      <c r="N2413" t="s">
        <v>11655</v>
      </c>
      <c r="Z2413" t="s">
        <v>43</v>
      </c>
    </row>
    <row r="2414" spans="1:26" x14ac:dyDescent="0.25">
      <c r="A2414">
        <v>2413</v>
      </c>
      <c r="B2414" t="s">
        <v>30</v>
      </c>
      <c r="C2414" t="s">
        <v>11656</v>
      </c>
      <c r="D2414" t="s">
        <v>64</v>
      </c>
      <c r="E2414" t="s">
        <v>64</v>
      </c>
      <c r="F2414" t="s">
        <v>65</v>
      </c>
      <c r="G2414" t="s">
        <v>65</v>
      </c>
      <c r="I2414" t="s">
        <v>11657</v>
      </c>
      <c r="J2414">
        <f>57-322-948-4785</f>
        <v>-5998</v>
      </c>
      <c r="K2414" t="s">
        <v>11658</v>
      </c>
      <c r="N2414" t="s">
        <v>11659</v>
      </c>
      <c r="Z2414" t="s">
        <v>43</v>
      </c>
    </row>
    <row r="2415" spans="1:26" x14ac:dyDescent="0.25">
      <c r="A2415">
        <v>2414</v>
      </c>
      <c r="B2415" t="s">
        <v>30</v>
      </c>
      <c r="C2415" t="s">
        <v>11660</v>
      </c>
      <c r="D2415" t="s">
        <v>46</v>
      </c>
      <c r="E2415" t="s">
        <v>471</v>
      </c>
      <c r="F2415" t="s">
        <v>2451</v>
      </c>
      <c r="G2415" t="s">
        <v>966</v>
      </c>
      <c r="I2415" t="s">
        <v>11661</v>
      </c>
      <c r="J2415">
        <f>57-320-480-2633</f>
        <v>-3376</v>
      </c>
      <c r="K2415" t="s">
        <v>11662</v>
      </c>
      <c r="N2415" t="s">
        <v>11663</v>
      </c>
      <c r="Z2415" t="s">
        <v>43</v>
      </c>
    </row>
    <row r="2416" spans="1:26" x14ac:dyDescent="0.25">
      <c r="A2416">
        <v>2415</v>
      </c>
      <c r="B2416" t="s">
        <v>30</v>
      </c>
      <c r="C2416" t="s">
        <v>11664</v>
      </c>
      <c r="D2416" t="s">
        <v>11665</v>
      </c>
      <c r="E2416" t="s">
        <v>11666</v>
      </c>
      <c r="F2416" t="s">
        <v>11667</v>
      </c>
      <c r="G2416" t="s">
        <v>11668</v>
      </c>
      <c r="I2416" t="s">
        <v>11669</v>
      </c>
      <c r="K2416" t="s">
        <v>11670</v>
      </c>
      <c r="N2416" t="s">
        <v>11671</v>
      </c>
      <c r="Z2416" t="s">
        <v>43</v>
      </c>
    </row>
    <row r="2417" spans="1:26" x14ac:dyDescent="0.25">
      <c r="A2417">
        <v>2416</v>
      </c>
      <c r="B2417" t="s">
        <v>30</v>
      </c>
      <c r="C2417" t="s">
        <v>11672</v>
      </c>
      <c r="D2417" t="s">
        <v>11673</v>
      </c>
      <c r="E2417" t="s">
        <v>4987</v>
      </c>
      <c r="F2417" t="s">
        <v>11674</v>
      </c>
      <c r="G2417" t="s">
        <v>11675</v>
      </c>
      <c r="I2417" t="s">
        <v>11676</v>
      </c>
      <c r="K2417" t="s">
        <v>11677</v>
      </c>
      <c r="N2417" t="s">
        <v>11678</v>
      </c>
      <c r="Z2417" t="s">
        <v>43</v>
      </c>
    </row>
    <row r="2418" spans="1:26" x14ac:dyDescent="0.25">
      <c r="A2418">
        <v>2417</v>
      </c>
      <c r="B2418" t="s">
        <v>30</v>
      </c>
      <c r="C2418" t="s">
        <v>11679</v>
      </c>
      <c r="D2418" t="s">
        <v>4331</v>
      </c>
      <c r="E2418" t="s">
        <v>1402</v>
      </c>
      <c r="F2418" t="s">
        <v>4332</v>
      </c>
      <c r="G2418" t="s">
        <v>1404</v>
      </c>
      <c r="I2418" t="s">
        <v>11680</v>
      </c>
      <c r="K2418" t="s">
        <v>11681</v>
      </c>
      <c r="N2418" t="s">
        <v>11682</v>
      </c>
      <c r="Z2418" t="s">
        <v>43</v>
      </c>
    </row>
    <row r="2419" spans="1:26" x14ac:dyDescent="0.25">
      <c r="A2419">
        <v>2418</v>
      </c>
      <c r="B2419" t="s">
        <v>30</v>
      </c>
      <c r="C2419" t="s">
        <v>11683</v>
      </c>
      <c r="D2419" t="s">
        <v>64</v>
      </c>
      <c r="E2419" t="s">
        <v>64</v>
      </c>
      <c r="F2419" t="s">
        <v>65</v>
      </c>
      <c r="G2419" t="s">
        <v>65</v>
      </c>
      <c r="I2419" t="s">
        <v>11684</v>
      </c>
      <c r="J2419">
        <f>57-312-583-7239</f>
        <v>-8077</v>
      </c>
      <c r="K2419" t="s">
        <v>11685</v>
      </c>
      <c r="N2419" t="s">
        <v>11686</v>
      </c>
      <c r="Z2419" t="s">
        <v>43</v>
      </c>
    </row>
    <row r="2420" spans="1:26" x14ac:dyDescent="0.25">
      <c r="A2420">
        <v>2419</v>
      </c>
      <c r="B2420" t="s">
        <v>30</v>
      </c>
      <c r="C2420" t="s">
        <v>11687</v>
      </c>
      <c r="D2420" t="s">
        <v>4698</v>
      </c>
      <c r="E2420" t="s">
        <v>385</v>
      </c>
      <c r="F2420" t="s">
        <v>4699</v>
      </c>
      <c r="G2420" t="s">
        <v>387</v>
      </c>
      <c r="I2420" t="s">
        <v>11688</v>
      </c>
      <c r="J2420">
        <f>57-317-665-2617</f>
        <v>-3542</v>
      </c>
      <c r="K2420" t="s">
        <v>11689</v>
      </c>
      <c r="N2420" t="s">
        <v>11690</v>
      </c>
      <c r="Z2420" t="s">
        <v>43</v>
      </c>
    </row>
    <row r="2421" spans="1:26" x14ac:dyDescent="0.25">
      <c r="A2421">
        <v>2420</v>
      </c>
      <c r="B2421" t="s">
        <v>30</v>
      </c>
      <c r="C2421" t="s">
        <v>11691</v>
      </c>
      <c r="D2421" t="s">
        <v>46</v>
      </c>
      <c r="E2421" t="s">
        <v>471</v>
      </c>
      <c r="F2421" t="s">
        <v>820</v>
      </c>
      <c r="G2421" t="s">
        <v>47</v>
      </c>
      <c r="I2421" t="s">
        <v>11692</v>
      </c>
      <c r="K2421" t="s">
        <v>11693</v>
      </c>
      <c r="N2421" t="s">
        <v>11694</v>
      </c>
      <c r="Z2421" t="s">
        <v>43</v>
      </c>
    </row>
    <row r="2422" spans="1:26" x14ac:dyDescent="0.25">
      <c r="A2422">
        <v>2421</v>
      </c>
      <c r="B2422" t="s">
        <v>30</v>
      </c>
      <c r="C2422" t="s">
        <v>11695</v>
      </c>
      <c r="D2422" t="s">
        <v>11696</v>
      </c>
      <c r="E2422" t="s">
        <v>2077</v>
      </c>
      <c r="F2422" t="s">
        <v>11697</v>
      </c>
      <c r="G2422" t="s">
        <v>2079</v>
      </c>
      <c r="I2422" t="s">
        <v>11698</v>
      </c>
      <c r="K2422" t="s">
        <v>11699</v>
      </c>
      <c r="N2422" t="s">
        <v>11700</v>
      </c>
      <c r="Z2422" t="s">
        <v>43</v>
      </c>
    </row>
    <row r="2423" spans="1:26" x14ac:dyDescent="0.25">
      <c r="A2423">
        <v>2422</v>
      </c>
      <c r="B2423" t="s">
        <v>30</v>
      </c>
      <c r="C2423" t="s">
        <v>11701</v>
      </c>
      <c r="D2423" t="s">
        <v>2336</v>
      </c>
      <c r="E2423" t="s">
        <v>471</v>
      </c>
      <c r="F2423" t="s">
        <v>2337</v>
      </c>
      <c r="G2423" t="s">
        <v>47</v>
      </c>
      <c r="I2423" t="s">
        <v>11702</v>
      </c>
      <c r="J2423">
        <f>57-60-1-477-202</f>
        <v>-683</v>
      </c>
      <c r="K2423" t="s">
        <v>11703</v>
      </c>
      <c r="N2423" t="s">
        <v>10898</v>
      </c>
      <c r="Z2423" t="s">
        <v>43</v>
      </c>
    </row>
    <row r="2424" spans="1:26" x14ac:dyDescent="0.25">
      <c r="A2424">
        <v>2423</v>
      </c>
      <c r="B2424" t="s">
        <v>30</v>
      </c>
      <c r="C2424" t="s">
        <v>11704</v>
      </c>
      <c r="D2424" t="s">
        <v>11705</v>
      </c>
      <c r="E2424" t="s">
        <v>56</v>
      </c>
      <c r="F2424" t="s">
        <v>11706</v>
      </c>
      <c r="G2424" t="s">
        <v>57</v>
      </c>
      <c r="I2424" t="s">
        <v>11707</v>
      </c>
      <c r="K2424" t="s">
        <v>11708</v>
      </c>
      <c r="N2424" t="s">
        <v>11709</v>
      </c>
      <c r="Z2424" t="s">
        <v>43</v>
      </c>
    </row>
    <row r="2425" spans="1:26" x14ac:dyDescent="0.25">
      <c r="A2425">
        <v>2424</v>
      </c>
      <c r="B2425" t="s">
        <v>30</v>
      </c>
      <c r="C2425" t="s">
        <v>11710</v>
      </c>
      <c r="D2425" t="s">
        <v>11711</v>
      </c>
      <c r="E2425" t="s">
        <v>11712</v>
      </c>
      <c r="F2425" t="s">
        <v>11713</v>
      </c>
      <c r="G2425" t="s">
        <v>11714</v>
      </c>
      <c r="I2425" t="s">
        <v>11715</v>
      </c>
      <c r="K2425" t="s">
        <v>11716</v>
      </c>
      <c r="N2425" t="s">
        <v>11717</v>
      </c>
      <c r="Z2425" t="s">
        <v>43</v>
      </c>
    </row>
    <row r="2426" spans="1:26" x14ac:dyDescent="0.25">
      <c r="A2426">
        <v>2425</v>
      </c>
      <c r="B2426" t="s">
        <v>30</v>
      </c>
      <c r="C2426" t="s">
        <v>11718</v>
      </c>
      <c r="D2426" t="s">
        <v>11719</v>
      </c>
      <c r="E2426" t="s">
        <v>1571</v>
      </c>
      <c r="F2426" t="s">
        <v>11720</v>
      </c>
      <c r="G2426" t="s">
        <v>1573</v>
      </c>
      <c r="I2426" t="s">
        <v>11721</v>
      </c>
      <c r="K2426" t="s">
        <v>11722</v>
      </c>
      <c r="N2426" t="s">
        <v>11723</v>
      </c>
      <c r="Z2426" t="s">
        <v>43</v>
      </c>
    </row>
    <row r="2427" spans="1:26" x14ac:dyDescent="0.25">
      <c r="A2427">
        <v>2426</v>
      </c>
      <c r="B2427" t="s">
        <v>30</v>
      </c>
      <c r="C2427" t="s">
        <v>11724</v>
      </c>
      <c r="D2427" t="s">
        <v>11725</v>
      </c>
      <c r="E2427" t="s">
        <v>56</v>
      </c>
      <c r="F2427" t="s">
        <v>11726</v>
      </c>
      <c r="G2427" t="s">
        <v>57</v>
      </c>
      <c r="I2427" t="s">
        <v>11727</v>
      </c>
      <c r="J2427">
        <f>57-300-643-9632</f>
        <v>-10518</v>
      </c>
      <c r="K2427" t="s">
        <v>11728</v>
      </c>
      <c r="N2427" t="s">
        <v>11729</v>
      </c>
      <c r="Z2427" t="s">
        <v>43</v>
      </c>
    </row>
    <row r="2428" spans="1:26" x14ac:dyDescent="0.25">
      <c r="A2428">
        <v>2427</v>
      </c>
      <c r="B2428" t="s">
        <v>30</v>
      </c>
      <c r="C2428" t="s">
        <v>11730</v>
      </c>
      <c r="D2428" t="s">
        <v>11731</v>
      </c>
      <c r="E2428" t="s">
        <v>471</v>
      </c>
      <c r="F2428" t="s">
        <v>11732</v>
      </c>
      <c r="G2428" t="s">
        <v>47</v>
      </c>
      <c r="I2428" t="s">
        <v>11733</v>
      </c>
      <c r="K2428" t="s">
        <v>11734</v>
      </c>
      <c r="N2428" t="s">
        <v>11735</v>
      </c>
      <c r="Z2428" t="s">
        <v>43</v>
      </c>
    </row>
    <row r="2429" spans="1:26" x14ac:dyDescent="0.25">
      <c r="A2429">
        <v>2428</v>
      </c>
      <c r="B2429" t="s">
        <v>30</v>
      </c>
      <c r="C2429" t="s">
        <v>11736</v>
      </c>
      <c r="D2429" t="s">
        <v>1713</v>
      </c>
      <c r="E2429" t="s">
        <v>64</v>
      </c>
      <c r="F2429" t="s">
        <v>5874</v>
      </c>
      <c r="G2429" t="s">
        <v>65</v>
      </c>
      <c r="I2429" t="s">
        <v>11737</v>
      </c>
      <c r="J2429">
        <f>57-319-288-6923</f>
        <v>-7473</v>
      </c>
      <c r="K2429" t="s">
        <v>11738</v>
      </c>
      <c r="N2429" t="s">
        <v>11739</v>
      </c>
      <c r="Z2429" t="s">
        <v>43</v>
      </c>
    </row>
    <row r="2430" spans="1:26" x14ac:dyDescent="0.25">
      <c r="A2430">
        <v>2429</v>
      </c>
      <c r="B2430" t="s">
        <v>30</v>
      </c>
      <c r="C2430" t="s">
        <v>11740</v>
      </c>
      <c r="D2430" t="s">
        <v>2505</v>
      </c>
      <c r="E2430" t="s">
        <v>2295</v>
      </c>
      <c r="F2430" t="s">
        <v>11741</v>
      </c>
      <c r="G2430" t="s">
        <v>2297</v>
      </c>
      <c r="I2430" t="s">
        <v>11742</v>
      </c>
      <c r="J2430">
        <f>57-315-661-3455</f>
        <v>-4374</v>
      </c>
      <c r="K2430" t="s">
        <v>11743</v>
      </c>
      <c r="N2430" t="s">
        <v>11744</v>
      </c>
      <c r="Z2430" t="s">
        <v>43</v>
      </c>
    </row>
    <row r="2431" spans="1:26" x14ac:dyDescent="0.25">
      <c r="A2431">
        <v>2430</v>
      </c>
      <c r="B2431" t="s">
        <v>30</v>
      </c>
      <c r="C2431" t="s">
        <v>11745</v>
      </c>
      <c r="D2431" t="s">
        <v>46</v>
      </c>
      <c r="E2431" t="s">
        <v>471</v>
      </c>
      <c r="F2431" t="s">
        <v>2523</v>
      </c>
      <c r="G2431" t="s">
        <v>47</v>
      </c>
      <c r="I2431" t="s">
        <v>11746</v>
      </c>
      <c r="J2431">
        <f>57-311-233-4252</f>
        <v>-4739</v>
      </c>
      <c r="K2431" t="s">
        <v>11747</v>
      </c>
      <c r="N2431" t="s">
        <v>11748</v>
      </c>
      <c r="Z2431" t="s">
        <v>43</v>
      </c>
    </row>
    <row r="2432" spans="1:26" x14ac:dyDescent="0.25">
      <c r="A2432">
        <v>2431</v>
      </c>
      <c r="B2432" t="s">
        <v>30</v>
      </c>
      <c r="C2432" t="s">
        <v>11749</v>
      </c>
      <c r="D2432" t="s">
        <v>813</v>
      </c>
      <c r="E2432" t="s">
        <v>471</v>
      </c>
      <c r="F2432" t="s">
        <v>11750</v>
      </c>
      <c r="G2432" t="s">
        <v>47</v>
      </c>
      <c r="I2432" t="s">
        <v>11751</v>
      </c>
      <c r="J2432">
        <f>57-314-369-9417</f>
        <v>-10043</v>
      </c>
      <c r="K2432" t="s">
        <v>11752</v>
      </c>
      <c r="N2432" t="s">
        <v>11753</v>
      </c>
      <c r="Z2432" t="s">
        <v>43</v>
      </c>
    </row>
    <row r="2433" spans="1:26" x14ac:dyDescent="0.25">
      <c r="A2433">
        <v>2432</v>
      </c>
      <c r="B2433" t="s">
        <v>30</v>
      </c>
      <c r="C2433" t="s">
        <v>11754</v>
      </c>
      <c r="D2433" t="s">
        <v>64</v>
      </c>
      <c r="E2433" t="s">
        <v>64</v>
      </c>
      <c r="F2433" t="s">
        <v>65</v>
      </c>
      <c r="G2433" t="s">
        <v>65</v>
      </c>
      <c r="I2433" t="s">
        <v>11755</v>
      </c>
      <c r="J2433">
        <f>57-320-436-7720</f>
        <v>-8419</v>
      </c>
      <c r="K2433" t="s">
        <v>11756</v>
      </c>
      <c r="N2433" t="s">
        <v>11757</v>
      </c>
      <c r="Z2433" t="s">
        <v>43</v>
      </c>
    </row>
    <row r="2434" spans="1:26" x14ac:dyDescent="0.25">
      <c r="A2434">
        <v>2433</v>
      </c>
      <c r="B2434" t="s">
        <v>30</v>
      </c>
      <c r="C2434" t="s">
        <v>11758</v>
      </c>
      <c r="D2434" t="s">
        <v>6297</v>
      </c>
      <c r="E2434" t="s">
        <v>471</v>
      </c>
      <c r="F2434" t="s">
        <v>11759</v>
      </c>
      <c r="G2434" t="s">
        <v>47</v>
      </c>
      <c r="I2434" t="s">
        <v>11760</v>
      </c>
      <c r="K2434" t="s">
        <v>11761</v>
      </c>
      <c r="N2434" t="s">
        <v>11762</v>
      </c>
      <c r="Z2434" t="s">
        <v>43</v>
      </c>
    </row>
    <row r="2435" spans="1:26" x14ac:dyDescent="0.25">
      <c r="A2435">
        <v>2434</v>
      </c>
      <c r="B2435" t="s">
        <v>30</v>
      </c>
      <c r="C2435" t="s">
        <v>11763</v>
      </c>
      <c r="D2435" t="s">
        <v>46</v>
      </c>
      <c r="E2435" t="s">
        <v>471</v>
      </c>
      <c r="F2435" t="s">
        <v>820</v>
      </c>
      <c r="G2435" t="s">
        <v>47</v>
      </c>
      <c r="I2435" t="s">
        <v>11764</v>
      </c>
      <c r="J2435">
        <f>57-310-329-2794</f>
        <v>-3376</v>
      </c>
      <c r="K2435" t="s">
        <v>11765</v>
      </c>
      <c r="N2435" t="s">
        <v>11766</v>
      </c>
      <c r="Z2435" t="s">
        <v>43</v>
      </c>
    </row>
    <row r="2436" spans="1:26" x14ac:dyDescent="0.25">
      <c r="A2436">
        <v>2435</v>
      </c>
      <c r="B2436" t="s">
        <v>30</v>
      </c>
      <c r="C2436" t="s">
        <v>11767</v>
      </c>
      <c r="D2436" t="s">
        <v>64</v>
      </c>
      <c r="E2436" t="s">
        <v>64</v>
      </c>
      <c r="F2436" t="s">
        <v>65</v>
      </c>
      <c r="G2436" t="s">
        <v>65</v>
      </c>
      <c r="H2436" t="s">
        <v>11768</v>
      </c>
      <c r="I2436" t="s">
        <v>11769</v>
      </c>
      <c r="J2436">
        <f>57-60-1-642-6139</f>
        <v>-6785</v>
      </c>
      <c r="N2436" t="s">
        <v>11770</v>
      </c>
      <c r="Z2436" t="s">
        <v>43</v>
      </c>
    </row>
    <row r="2437" spans="1:26" x14ac:dyDescent="0.25">
      <c r="A2437">
        <v>2436</v>
      </c>
      <c r="B2437" t="s">
        <v>30</v>
      </c>
      <c r="C2437" t="s">
        <v>11771</v>
      </c>
      <c r="D2437" t="s">
        <v>4202</v>
      </c>
      <c r="E2437" t="s">
        <v>1155</v>
      </c>
      <c r="F2437" t="s">
        <v>4203</v>
      </c>
      <c r="G2437" t="s">
        <v>1157</v>
      </c>
      <c r="I2437" t="s">
        <v>11772</v>
      </c>
      <c r="J2437">
        <f>57-314-331-7910</f>
        <v>-8498</v>
      </c>
      <c r="K2437" t="s">
        <v>11773</v>
      </c>
      <c r="N2437" t="s">
        <v>11774</v>
      </c>
      <c r="Z2437" t="s">
        <v>43</v>
      </c>
    </row>
    <row r="2438" spans="1:26" x14ac:dyDescent="0.25">
      <c r="A2438">
        <v>2437</v>
      </c>
      <c r="B2438" t="s">
        <v>30</v>
      </c>
      <c r="C2438" t="s">
        <v>11775</v>
      </c>
      <c r="D2438" t="s">
        <v>11776</v>
      </c>
      <c r="E2438" t="s">
        <v>1269</v>
      </c>
      <c r="F2438" t="s">
        <v>11777</v>
      </c>
      <c r="G2438" t="s">
        <v>1271</v>
      </c>
      <c r="I2438" t="s">
        <v>11778</v>
      </c>
      <c r="J2438">
        <f>57-316-488-9253</f>
        <v>-10000</v>
      </c>
      <c r="K2438" t="s">
        <v>11779</v>
      </c>
      <c r="N2438" t="s">
        <v>11780</v>
      </c>
      <c r="Z2438" t="s">
        <v>43</v>
      </c>
    </row>
    <row r="2439" spans="1:26" x14ac:dyDescent="0.25">
      <c r="A2439">
        <v>2438</v>
      </c>
      <c r="B2439" t="s">
        <v>30</v>
      </c>
      <c r="C2439" t="s">
        <v>11781</v>
      </c>
      <c r="D2439" t="s">
        <v>11782</v>
      </c>
      <c r="E2439" t="s">
        <v>2105</v>
      </c>
      <c r="F2439" t="s">
        <v>11783</v>
      </c>
      <c r="G2439" t="s">
        <v>2107</v>
      </c>
      <c r="I2439" t="s">
        <v>11784</v>
      </c>
      <c r="J2439">
        <f>57-305-712-8792</f>
        <v>-9752</v>
      </c>
      <c r="K2439" t="s">
        <v>11785</v>
      </c>
      <c r="N2439" t="s">
        <v>2929</v>
      </c>
      <c r="Z2439" t="s">
        <v>43</v>
      </c>
    </row>
    <row r="2440" spans="1:26" x14ac:dyDescent="0.25">
      <c r="A2440">
        <v>2439</v>
      </c>
      <c r="B2440" t="s">
        <v>30</v>
      </c>
      <c r="C2440" t="s">
        <v>11786</v>
      </c>
      <c r="D2440" t="s">
        <v>11787</v>
      </c>
      <c r="E2440" t="s">
        <v>11788</v>
      </c>
      <c r="F2440" t="s">
        <v>11789</v>
      </c>
      <c r="G2440" t="s">
        <v>11790</v>
      </c>
      <c r="I2440" t="s">
        <v>11791</v>
      </c>
      <c r="J2440">
        <f>57-312-521-8056</f>
        <v>-8832</v>
      </c>
      <c r="K2440" t="s">
        <v>11792</v>
      </c>
      <c r="N2440" t="s">
        <v>11793</v>
      </c>
      <c r="Z2440" t="s">
        <v>43</v>
      </c>
    </row>
    <row r="2441" spans="1:26" x14ac:dyDescent="0.25">
      <c r="A2441">
        <v>2440</v>
      </c>
      <c r="B2441" t="s">
        <v>30</v>
      </c>
      <c r="C2441" t="s">
        <v>11794</v>
      </c>
      <c r="D2441" t="s">
        <v>3287</v>
      </c>
      <c r="E2441" t="s">
        <v>385</v>
      </c>
      <c r="F2441" t="s">
        <v>8451</v>
      </c>
      <c r="G2441" t="s">
        <v>387</v>
      </c>
      <c r="I2441" t="s">
        <v>11795</v>
      </c>
      <c r="J2441">
        <f>57-316-742-9916</f>
        <v>-10917</v>
      </c>
      <c r="K2441" t="s">
        <v>11796</v>
      </c>
      <c r="N2441" t="s">
        <v>11797</v>
      </c>
      <c r="Z2441" t="s">
        <v>43</v>
      </c>
    </row>
    <row r="2442" spans="1:26" x14ac:dyDescent="0.25">
      <c r="A2442">
        <v>2441</v>
      </c>
      <c r="B2442" t="s">
        <v>30</v>
      </c>
      <c r="C2442" t="s">
        <v>11798</v>
      </c>
      <c r="D2442" t="s">
        <v>11799</v>
      </c>
      <c r="E2442" t="s">
        <v>3111</v>
      </c>
      <c r="F2442" t="s">
        <v>11800</v>
      </c>
      <c r="G2442" t="s">
        <v>3113</v>
      </c>
      <c r="I2442" t="s">
        <v>11801</v>
      </c>
      <c r="J2442">
        <f>57-318-410-1029</f>
        <v>-1700</v>
      </c>
      <c r="K2442" t="s">
        <v>11802</v>
      </c>
      <c r="N2442" t="s">
        <v>11803</v>
      </c>
      <c r="Z2442" t="s">
        <v>43</v>
      </c>
    </row>
    <row r="2443" spans="1:26" x14ac:dyDescent="0.25">
      <c r="A2443">
        <v>2442</v>
      </c>
      <c r="B2443" t="s">
        <v>30</v>
      </c>
      <c r="C2443" t="s">
        <v>11804</v>
      </c>
      <c r="D2443" t="s">
        <v>11805</v>
      </c>
      <c r="E2443" t="s">
        <v>1269</v>
      </c>
      <c r="F2443" t="s">
        <v>11806</v>
      </c>
      <c r="G2443" t="s">
        <v>1271</v>
      </c>
      <c r="I2443" t="s">
        <v>11807</v>
      </c>
      <c r="J2443">
        <f>57-300-351-6272</f>
        <v>-6866</v>
      </c>
      <c r="K2443" t="s">
        <v>11808</v>
      </c>
      <c r="N2443" t="s">
        <v>11809</v>
      </c>
      <c r="Z2443" t="s">
        <v>43</v>
      </c>
    </row>
    <row r="2444" spans="1:26" x14ac:dyDescent="0.25">
      <c r="A2444">
        <v>2443</v>
      </c>
      <c r="B2444" t="s">
        <v>30</v>
      </c>
      <c r="C2444" t="s">
        <v>11810</v>
      </c>
      <c r="D2444" t="s">
        <v>11811</v>
      </c>
      <c r="E2444" t="s">
        <v>11812</v>
      </c>
      <c r="F2444" t="s">
        <v>11813</v>
      </c>
      <c r="G2444" t="s">
        <v>11814</v>
      </c>
      <c r="I2444" t="s">
        <v>11815</v>
      </c>
      <c r="J2444">
        <f>57-317-331-3393</f>
        <v>-3984</v>
      </c>
      <c r="K2444" t="s">
        <v>11816</v>
      </c>
      <c r="N2444" t="s">
        <v>11817</v>
      </c>
      <c r="Z2444" t="s">
        <v>43</v>
      </c>
    </row>
    <row r="2445" spans="1:26" x14ac:dyDescent="0.25">
      <c r="A2445">
        <v>2444</v>
      </c>
      <c r="B2445" t="s">
        <v>30</v>
      </c>
      <c r="C2445" t="s">
        <v>11818</v>
      </c>
      <c r="D2445" t="s">
        <v>11819</v>
      </c>
      <c r="E2445" t="s">
        <v>471</v>
      </c>
      <c r="F2445" t="s">
        <v>11820</v>
      </c>
      <c r="G2445" t="s">
        <v>47</v>
      </c>
      <c r="I2445" t="s">
        <v>11821</v>
      </c>
      <c r="K2445" t="s">
        <v>11822</v>
      </c>
      <c r="N2445" t="s">
        <v>11823</v>
      </c>
      <c r="Z2445" t="s">
        <v>43</v>
      </c>
    </row>
    <row r="2446" spans="1:26" x14ac:dyDescent="0.25">
      <c r="A2446">
        <v>2445</v>
      </c>
      <c r="B2446" t="s">
        <v>30</v>
      </c>
      <c r="C2446" t="s">
        <v>11824</v>
      </c>
      <c r="D2446" t="s">
        <v>909</v>
      </c>
      <c r="E2446" t="s">
        <v>471</v>
      </c>
      <c r="F2446" t="s">
        <v>2233</v>
      </c>
      <c r="G2446" t="s">
        <v>47</v>
      </c>
      <c r="I2446" t="s">
        <v>11825</v>
      </c>
      <c r="K2446" t="s">
        <v>11826</v>
      </c>
      <c r="N2446" t="s">
        <v>11827</v>
      </c>
      <c r="Z2446" t="s">
        <v>43</v>
      </c>
    </row>
    <row r="2447" spans="1:26" x14ac:dyDescent="0.25">
      <c r="A2447">
        <v>2446</v>
      </c>
      <c r="B2447" t="s">
        <v>30</v>
      </c>
      <c r="C2447" t="s">
        <v>11828</v>
      </c>
      <c r="D2447" t="s">
        <v>46</v>
      </c>
      <c r="E2447" t="s">
        <v>471</v>
      </c>
      <c r="F2447" t="s">
        <v>820</v>
      </c>
      <c r="G2447" t="s">
        <v>47</v>
      </c>
      <c r="I2447" t="s">
        <v>11829</v>
      </c>
      <c r="K2447" t="s">
        <v>11830</v>
      </c>
      <c r="N2447" t="s">
        <v>3590</v>
      </c>
      <c r="Z2447" t="s">
        <v>43</v>
      </c>
    </row>
    <row r="2448" spans="1:26" x14ac:dyDescent="0.25">
      <c r="A2448">
        <v>2447</v>
      </c>
      <c r="B2448" t="s">
        <v>30</v>
      </c>
      <c r="C2448" t="s">
        <v>11831</v>
      </c>
      <c r="D2448" t="s">
        <v>11832</v>
      </c>
      <c r="E2448" t="s">
        <v>1217</v>
      </c>
      <c r="F2448" t="s">
        <v>11833</v>
      </c>
      <c r="G2448" t="s">
        <v>1219</v>
      </c>
      <c r="I2448" t="s">
        <v>11834</v>
      </c>
      <c r="J2448">
        <f>57-312-587-4766</f>
        <v>-5608</v>
      </c>
      <c r="K2448" t="s">
        <v>11835</v>
      </c>
      <c r="N2448" t="s">
        <v>11836</v>
      </c>
      <c r="Z2448" t="s">
        <v>43</v>
      </c>
    </row>
    <row r="2449" spans="1:26" x14ac:dyDescent="0.25">
      <c r="A2449">
        <v>2448</v>
      </c>
      <c r="B2449" t="s">
        <v>30</v>
      </c>
      <c r="C2449" t="s">
        <v>11837</v>
      </c>
      <c r="D2449" t="s">
        <v>11838</v>
      </c>
      <c r="E2449" t="s">
        <v>1402</v>
      </c>
      <c r="F2449" t="s">
        <v>11839</v>
      </c>
      <c r="G2449" t="s">
        <v>1404</v>
      </c>
      <c r="I2449" t="s">
        <v>11840</v>
      </c>
      <c r="J2449">
        <f>57-313-845-594</f>
        <v>-1695</v>
      </c>
      <c r="K2449" t="s">
        <v>11841</v>
      </c>
      <c r="N2449" t="s">
        <v>11842</v>
      </c>
      <c r="Z2449" t="s">
        <v>43</v>
      </c>
    </row>
    <row r="2450" spans="1:26" x14ac:dyDescent="0.25">
      <c r="A2450">
        <v>2449</v>
      </c>
      <c r="B2450" t="s">
        <v>30</v>
      </c>
      <c r="C2450" t="s">
        <v>11843</v>
      </c>
      <c r="D2450" t="s">
        <v>11844</v>
      </c>
      <c r="E2450" t="s">
        <v>471</v>
      </c>
      <c r="F2450" t="s">
        <v>11845</v>
      </c>
      <c r="G2450" t="s">
        <v>47</v>
      </c>
      <c r="I2450" t="s">
        <v>11846</v>
      </c>
      <c r="J2450">
        <f>57-60-1-547-8510</f>
        <v>-9061</v>
      </c>
      <c r="K2450" t="s">
        <v>11847</v>
      </c>
      <c r="N2450" t="s">
        <v>11848</v>
      </c>
      <c r="Z2450" t="s">
        <v>43</v>
      </c>
    </row>
    <row r="2451" spans="1:26" x14ac:dyDescent="0.25">
      <c r="A2451">
        <v>2450</v>
      </c>
      <c r="B2451" t="s">
        <v>30</v>
      </c>
      <c r="C2451" t="s">
        <v>11849</v>
      </c>
      <c r="D2451" t="s">
        <v>11850</v>
      </c>
      <c r="E2451" t="s">
        <v>6023</v>
      </c>
      <c r="F2451" t="s">
        <v>11851</v>
      </c>
      <c r="G2451" t="s">
        <v>6025</v>
      </c>
      <c r="I2451" t="s">
        <v>11852</v>
      </c>
      <c r="K2451" t="s">
        <v>11853</v>
      </c>
      <c r="N2451" t="s">
        <v>11854</v>
      </c>
      <c r="Z2451" t="s">
        <v>43</v>
      </c>
    </row>
    <row r="2452" spans="1:26" x14ac:dyDescent="0.25">
      <c r="A2452">
        <v>2451</v>
      </c>
      <c r="B2452" t="s">
        <v>30</v>
      </c>
      <c r="C2452" t="s">
        <v>11855</v>
      </c>
      <c r="D2452" t="s">
        <v>772</v>
      </c>
      <c r="E2452" t="s">
        <v>72</v>
      </c>
      <c r="F2452" t="s">
        <v>773</v>
      </c>
      <c r="G2452" t="s">
        <v>73</v>
      </c>
      <c r="I2452" t="s">
        <v>11856</v>
      </c>
      <c r="J2452">
        <f>57-60-1-755-2362</f>
        <v>-3121</v>
      </c>
      <c r="K2452" t="s">
        <v>11857</v>
      </c>
      <c r="N2452" t="s">
        <v>11858</v>
      </c>
      <c r="Z2452" t="s">
        <v>43</v>
      </c>
    </row>
    <row r="2453" spans="1:26" x14ac:dyDescent="0.25">
      <c r="A2453">
        <v>2452</v>
      </c>
      <c r="B2453" t="s">
        <v>30</v>
      </c>
      <c r="C2453" t="s">
        <v>11859</v>
      </c>
      <c r="D2453" t="s">
        <v>11860</v>
      </c>
      <c r="E2453" t="s">
        <v>1571</v>
      </c>
      <c r="F2453" t="s">
        <v>11861</v>
      </c>
      <c r="G2453" t="s">
        <v>1573</v>
      </c>
      <c r="I2453" t="s">
        <v>11862</v>
      </c>
      <c r="J2453">
        <f>57-322-373-4113</f>
        <v>-4751</v>
      </c>
      <c r="K2453" t="s">
        <v>11863</v>
      </c>
      <c r="N2453" t="s">
        <v>11864</v>
      </c>
      <c r="Z2453" t="s">
        <v>43</v>
      </c>
    </row>
    <row r="2454" spans="1:26" x14ac:dyDescent="0.25">
      <c r="A2454">
        <v>2453</v>
      </c>
      <c r="B2454" t="s">
        <v>30</v>
      </c>
      <c r="C2454" t="s">
        <v>11865</v>
      </c>
      <c r="D2454" t="s">
        <v>46</v>
      </c>
      <c r="E2454" t="s">
        <v>56</v>
      </c>
      <c r="F2454" t="s">
        <v>820</v>
      </c>
      <c r="G2454" t="s">
        <v>57</v>
      </c>
      <c r="I2454" t="s">
        <v>11866</v>
      </c>
      <c r="K2454" t="s">
        <v>11867</v>
      </c>
      <c r="N2454" t="s">
        <v>11868</v>
      </c>
      <c r="Z2454" t="s">
        <v>43</v>
      </c>
    </row>
    <row r="2455" spans="1:26" x14ac:dyDescent="0.25">
      <c r="A2455">
        <v>2454</v>
      </c>
      <c r="B2455" t="s">
        <v>30</v>
      </c>
      <c r="C2455" t="s">
        <v>11869</v>
      </c>
      <c r="D2455" t="s">
        <v>772</v>
      </c>
      <c r="E2455" t="s">
        <v>471</v>
      </c>
      <c r="F2455" t="s">
        <v>773</v>
      </c>
      <c r="G2455" t="s">
        <v>47</v>
      </c>
      <c r="I2455" t="s">
        <v>11870</v>
      </c>
      <c r="K2455" t="s">
        <v>11871</v>
      </c>
      <c r="N2455" t="s">
        <v>11872</v>
      </c>
      <c r="Z2455" t="s">
        <v>43</v>
      </c>
    </row>
    <row r="2456" spans="1:26" x14ac:dyDescent="0.25">
      <c r="A2456">
        <v>2455</v>
      </c>
      <c r="B2456" t="s">
        <v>30</v>
      </c>
      <c r="C2456" t="s">
        <v>11873</v>
      </c>
      <c r="D2456" t="s">
        <v>3287</v>
      </c>
      <c r="E2456" t="s">
        <v>471</v>
      </c>
      <c r="F2456" t="s">
        <v>8451</v>
      </c>
      <c r="G2456" t="s">
        <v>47</v>
      </c>
      <c r="I2456" t="s">
        <v>11874</v>
      </c>
      <c r="J2456">
        <f>57-301-649-2589</f>
        <v>-3482</v>
      </c>
      <c r="K2456" t="s">
        <v>11875</v>
      </c>
      <c r="N2456" t="s">
        <v>11876</v>
      </c>
      <c r="Z2456" t="s">
        <v>43</v>
      </c>
    </row>
    <row r="2457" spans="1:26" x14ac:dyDescent="0.25">
      <c r="A2457">
        <v>2456</v>
      </c>
      <c r="B2457" t="s">
        <v>30</v>
      </c>
      <c r="C2457" t="s">
        <v>11877</v>
      </c>
      <c r="D2457" t="s">
        <v>1260</v>
      </c>
      <c r="E2457" t="s">
        <v>471</v>
      </c>
      <c r="F2457" t="s">
        <v>2084</v>
      </c>
      <c r="G2457" t="s">
        <v>47</v>
      </c>
      <c r="I2457" t="s">
        <v>11878</v>
      </c>
      <c r="J2457">
        <f>57-312-505-3906</f>
        <v>-4666</v>
      </c>
      <c r="K2457" t="s">
        <v>11879</v>
      </c>
      <c r="N2457" t="s">
        <v>11880</v>
      </c>
      <c r="Z2457" t="s">
        <v>43</v>
      </c>
    </row>
    <row r="2458" spans="1:26" x14ac:dyDescent="0.25">
      <c r="A2458">
        <v>2457</v>
      </c>
      <c r="B2458" t="s">
        <v>30</v>
      </c>
      <c r="C2458" t="s">
        <v>11881</v>
      </c>
      <c r="D2458" t="s">
        <v>772</v>
      </c>
      <c r="E2458" t="s">
        <v>72</v>
      </c>
      <c r="F2458" t="s">
        <v>1822</v>
      </c>
      <c r="G2458" t="s">
        <v>73</v>
      </c>
      <c r="I2458" t="s">
        <v>11882</v>
      </c>
      <c r="K2458" t="s">
        <v>11883</v>
      </c>
      <c r="N2458" t="s">
        <v>11884</v>
      </c>
      <c r="Z2458" t="s">
        <v>43</v>
      </c>
    </row>
    <row r="2459" spans="1:26" x14ac:dyDescent="0.25">
      <c r="A2459">
        <v>2458</v>
      </c>
      <c r="B2459" t="s">
        <v>30</v>
      </c>
      <c r="C2459" t="s">
        <v>11885</v>
      </c>
      <c r="D2459" t="s">
        <v>11886</v>
      </c>
      <c r="E2459" t="s">
        <v>11887</v>
      </c>
      <c r="F2459" t="s">
        <v>11888</v>
      </c>
      <c r="G2459" t="s">
        <v>11889</v>
      </c>
      <c r="I2459" t="s">
        <v>11890</v>
      </c>
      <c r="K2459" t="s">
        <v>11891</v>
      </c>
      <c r="N2459" t="s">
        <v>11892</v>
      </c>
      <c r="Z2459" t="s">
        <v>43</v>
      </c>
    </row>
    <row r="2460" spans="1:26" x14ac:dyDescent="0.25">
      <c r="A2460">
        <v>2459</v>
      </c>
      <c r="B2460" t="s">
        <v>30</v>
      </c>
      <c r="C2460" t="s">
        <v>11893</v>
      </c>
      <c r="D2460" t="s">
        <v>11894</v>
      </c>
      <c r="E2460" t="s">
        <v>56</v>
      </c>
      <c r="F2460" t="s">
        <v>11895</v>
      </c>
      <c r="G2460" t="s">
        <v>57</v>
      </c>
      <c r="I2460" t="s">
        <v>11896</v>
      </c>
      <c r="K2460" t="s">
        <v>11897</v>
      </c>
      <c r="N2460" t="s">
        <v>11898</v>
      </c>
      <c r="Z2460" t="s">
        <v>43</v>
      </c>
    </row>
    <row r="2461" spans="1:26" x14ac:dyDescent="0.25">
      <c r="A2461">
        <v>2460</v>
      </c>
      <c r="B2461" t="s">
        <v>30</v>
      </c>
      <c r="C2461" t="s">
        <v>11899</v>
      </c>
      <c r="D2461" t="s">
        <v>2394</v>
      </c>
      <c r="E2461" t="s">
        <v>471</v>
      </c>
      <c r="F2461" t="s">
        <v>2395</v>
      </c>
      <c r="G2461" t="s">
        <v>47</v>
      </c>
      <c r="I2461" t="s">
        <v>11900</v>
      </c>
      <c r="J2461">
        <f>57-60-1-814-3333</f>
        <v>-4151</v>
      </c>
      <c r="K2461" t="s">
        <v>11901</v>
      </c>
      <c r="N2461" t="s">
        <v>11902</v>
      </c>
      <c r="Z2461" t="s">
        <v>43</v>
      </c>
    </row>
    <row r="2462" spans="1:26" x14ac:dyDescent="0.25">
      <c r="A2462">
        <v>2461</v>
      </c>
      <c r="B2462" t="s">
        <v>30</v>
      </c>
      <c r="C2462" t="s">
        <v>11903</v>
      </c>
      <c r="D2462" t="s">
        <v>1606</v>
      </c>
      <c r="E2462" t="s">
        <v>471</v>
      </c>
      <c r="F2462" t="s">
        <v>1607</v>
      </c>
      <c r="G2462" t="s">
        <v>47</v>
      </c>
      <c r="I2462" t="s">
        <v>11904</v>
      </c>
      <c r="K2462" t="s">
        <v>11905</v>
      </c>
      <c r="N2462" t="s">
        <v>11906</v>
      </c>
      <c r="Z2462" t="s">
        <v>43</v>
      </c>
    </row>
    <row r="2463" spans="1:26" x14ac:dyDescent="0.25">
      <c r="A2463">
        <v>2462</v>
      </c>
      <c r="B2463" t="s">
        <v>30</v>
      </c>
      <c r="C2463" t="s">
        <v>11907</v>
      </c>
      <c r="D2463" t="s">
        <v>11908</v>
      </c>
      <c r="E2463" t="s">
        <v>385</v>
      </c>
      <c r="F2463" t="s">
        <v>11909</v>
      </c>
      <c r="G2463" t="s">
        <v>387</v>
      </c>
      <c r="I2463" t="s">
        <v>11910</v>
      </c>
      <c r="J2463">
        <f>57-313-316-9648</f>
        <v>-10220</v>
      </c>
      <c r="K2463" t="s">
        <v>11911</v>
      </c>
      <c r="N2463" t="s">
        <v>11912</v>
      </c>
      <c r="Z2463" t="s">
        <v>43</v>
      </c>
    </row>
    <row r="2464" spans="1:26" x14ac:dyDescent="0.25">
      <c r="A2464">
        <v>2463</v>
      </c>
      <c r="B2464" t="s">
        <v>30</v>
      </c>
      <c r="C2464" t="s">
        <v>11913</v>
      </c>
      <c r="D2464" t="s">
        <v>3664</v>
      </c>
      <c r="E2464" t="s">
        <v>1269</v>
      </c>
      <c r="F2464" t="s">
        <v>3665</v>
      </c>
      <c r="G2464" t="s">
        <v>1271</v>
      </c>
      <c r="I2464" t="s">
        <v>11914</v>
      </c>
      <c r="J2464">
        <f>57-316-853-1891</f>
        <v>-3003</v>
      </c>
      <c r="K2464" t="s">
        <v>11915</v>
      </c>
      <c r="N2464" t="s">
        <v>11916</v>
      </c>
      <c r="Z2464" t="s">
        <v>43</v>
      </c>
    </row>
    <row r="2465" spans="1:26" x14ac:dyDescent="0.25">
      <c r="A2465">
        <v>2464</v>
      </c>
      <c r="B2465" t="s">
        <v>30</v>
      </c>
      <c r="C2465" t="s">
        <v>11917</v>
      </c>
      <c r="D2465" t="s">
        <v>11918</v>
      </c>
      <c r="E2465" t="s">
        <v>5155</v>
      </c>
      <c r="F2465" t="s">
        <v>11919</v>
      </c>
      <c r="G2465" t="s">
        <v>5157</v>
      </c>
      <c r="I2465" t="s">
        <v>11920</v>
      </c>
      <c r="J2465">
        <f>57-321-457-2058</f>
        <v>-2779</v>
      </c>
      <c r="K2465" t="s">
        <v>11921</v>
      </c>
      <c r="N2465" t="s">
        <v>11922</v>
      </c>
      <c r="Z2465" t="s">
        <v>43</v>
      </c>
    </row>
    <row r="2466" spans="1:26" x14ac:dyDescent="0.25">
      <c r="A2466">
        <v>2465</v>
      </c>
      <c r="B2466" t="s">
        <v>30</v>
      </c>
      <c r="C2466" t="s">
        <v>11923</v>
      </c>
      <c r="D2466" t="s">
        <v>11924</v>
      </c>
      <c r="E2466" t="s">
        <v>1269</v>
      </c>
      <c r="F2466" t="s">
        <v>11925</v>
      </c>
      <c r="G2466" t="s">
        <v>1271</v>
      </c>
      <c r="I2466" t="s">
        <v>11926</v>
      </c>
      <c r="J2466">
        <f>57-320-669-4257</f>
        <v>-5189</v>
      </c>
      <c r="K2466" t="s">
        <v>11927</v>
      </c>
      <c r="N2466" t="s">
        <v>11928</v>
      </c>
      <c r="Z2466" t="s">
        <v>43</v>
      </c>
    </row>
    <row r="2467" spans="1:26" x14ac:dyDescent="0.25">
      <c r="A2467">
        <v>2466</v>
      </c>
      <c r="B2467" t="s">
        <v>30</v>
      </c>
      <c r="C2467" t="s">
        <v>11929</v>
      </c>
      <c r="D2467" t="s">
        <v>2923</v>
      </c>
      <c r="E2467" t="s">
        <v>2916</v>
      </c>
      <c r="F2467" t="s">
        <v>2924</v>
      </c>
      <c r="G2467" t="s">
        <v>2918</v>
      </c>
      <c r="I2467" t="s">
        <v>11930</v>
      </c>
      <c r="K2467" t="s">
        <v>11931</v>
      </c>
      <c r="N2467" t="s">
        <v>11932</v>
      </c>
      <c r="Z2467" t="s">
        <v>43</v>
      </c>
    </row>
    <row r="2468" spans="1:26" x14ac:dyDescent="0.25">
      <c r="A2468">
        <v>2467</v>
      </c>
      <c r="B2468" t="s">
        <v>30</v>
      </c>
      <c r="C2468" t="s">
        <v>11933</v>
      </c>
      <c r="D2468" t="s">
        <v>11934</v>
      </c>
      <c r="E2468" t="s">
        <v>800</v>
      </c>
      <c r="F2468" t="s">
        <v>11935</v>
      </c>
      <c r="G2468" t="s">
        <v>802</v>
      </c>
      <c r="I2468" t="s">
        <v>11936</v>
      </c>
      <c r="J2468">
        <f>57-313-285-8687</f>
        <v>-9228</v>
      </c>
      <c r="K2468" t="s">
        <v>11937</v>
      </c>
      <c r="N2468" t="s">
        <v>11938</v>
      </c>
      <c r="Z2468" t="s">
        <v>43</v>
      </c>
    </row>
    <row r="2469" spans="1:26" x14ac:dyDescent="0.25">
      <c r="A2469">
        <v>2468</v>
      </c>
      <c r="B2469" t="s">
        <v>30</v>
      </c>
      <c r="C2469" t="s">
        <v>11939</v>
      </c>
      <c r="D2469" t="s">
        <v>11940</v>
      </c>
      <c r="E2469" t="s">
        <v>1613</v>
      </c>
      <c r="F2469" t="s">
        <v>11941</v>
      </c>
      <c r="G2469" t="s">
        <v>1615</v>
      </c>
      <c r="I2469" t="s">
        <v>11942</v>
      </c>
      <c r="J2469">
        <f>57-322-882-7933</f>
        <v>-9080</v>
      </c>
      <c r="K2469" t="s">
        <v>11943</v>
      </c>
      <c r="N2469" t="s">
        <v>11944</v>
      </c>
      <c r="Z2469" t="s">
        <v>43</v>
      </c>
    </row>
    <row r="2470" spans="1:26" x14ac:dyDescent="0.25">
      <c r="A2470">
        <v>2469</v>
      </c>
      <c r="B2470" t="s">
        <v>30</v>
      </c>
      <c r="C2470" t="s">
        <v>11945</v>
      </c>
      <c r="D2470" t="s">
        <v>46</v>
      </c>
      <c r="E2470" t="s">
        <v>471</v>
      </c>
      <c r="F2470" t="s">
        <v>1708</v>
      </c>
      <c r="G2470" t="s">
        <v>47</v>
      </c>
      <c r="I2470" t="s">
        <v>9514</v>
      </c>
      <c r="K2470" t="s">
        <v>11946</v>
      </c>
      <c r="N2470" t="s">
        <v>11947</v>
      </c>
      <c r="Z2470" t="s">
        <v>43</v>
      </c>
    </row>
    <row r="2471" spans="1:26" x14ac:dyDescent="0.25">
      <c r="A2471">
        <v>2470</v>
      </c>
      <c r="B2471" t="s">
        <v>30</v>
      </c>
      <c r="C2471" t="s">
        <v>11948</v>
      </c>
      <c r="D2471" t="s">
        <v>56</v>
      </c>
      <c r="E2471" t="s">
        <v>56</v>
      </c>
      <c r="F2471" t="s">
        <v>57</v>
      </c>
      <c r="G2471" t="s">
        <v>57</v>
      </c>
      <c r="I2471" t="s">
        <v>11949</v>
      </c>
      <c r="K2471" t="s">
        <v>11950</v>
      </c>
      <c r="N2471" t="s">
        <v>11951</v>
      </c>
      <c r="Z2471" t="s">
        <v>43</v>
      </c>
    </row>
    <row r="2472" spans="1:26" x14ac:dyDescent="0.25">
      <c r="A2472">
        <v>2471</v>
      </c>
      <c r="B2472" t="s">
        <v>30</v>
      </c>
      <c r="C2472" t="s">
        <v>11952</v>
      </c>
      <c r="D2472" t="s">
        <v>11953</v>
      </c>
      <c r="E2472" t="s">
        <v>471</v>
      </c>
      <c r="F2472" t="s">
        <v>11954</v>
      </c>
      <c r="G2472" t="s">
        <v>47</v>
      </c>
      <c r="I2472" t="s">
        <v>11955</v>
      </c>
      <c r="K2472" t="s">
        <v>11956</v>
      </c>
      <c r="N2472" t="s">
        <v>11957</v>
      </c>
      <c r="Z2472" t="s">
        <v>43</v>
      </c>
    </row>
    <row r="2473" spans="1:26" x14ac:dyDescent="0.25">
      <c r="A2473">
        <v>2472</v>
      </c>
      <c r="B2473" t="s">
        <v>30</v>
      </c>
      <c r="C2473" t="s">
        <v>11958</v>
      </c>
      <c r="D2473" t="s">
        <v>11959</v>
      </c>
      <c r="E2473" t="s">
        <v>5843</v>
      </c>
      <c r="F2473" t="s">
        <v>11960</v>
      </c>
      <c r="G2473" t="s">
        <v>5845</v>
      </c>
      <c r="I2473" t="s">
        <v>11961</v>
      </c>
      <c r="J2473">
        <f>57-313-823-4253</f>
        <v>-5332</v>
      </c>
      <c r="K2473" t="s">
        <v>11962</v>
      </c>
      <c r="N2473" t="s">
        <v>11963</v>
      </c>
      <c r="Z2473" t="s">
        <v>43</v>
      </c>
    </row>
    <row r="2474" spans="1:26" x14ac:dyDescent="0.25">
      <c r="A2474">
        <v>2473</v>
      </c>
      <c r="B2474" t="s">
        <v>30</v>
      </c>
      <c r="C2474" t="s">
        <v>11964</v>
      </c>
      <c r="D2474" t="s">
        <v>979</v>
      </c>
      <c r="E2474" t="s">
        <v>56</v>
      </c>
      <c r="F2474" t="s">
        <v>980</v>
      </c>
      <c r="G2474" t="s">
        <v>57</v>
      </c>
      <c r="I2474" t="s">
        <v>11965</v>
      </c>
      <c r="K2474" t="s">
        <v>11966</v>
      </c>
      <c r="N2474" t="s">
        <v>11967</v>
      </c>
      <c r="Z2474" t="s">
        <v>43</v>
      </c>
    </row>
    <row r="2475" spans="1:26" x14ac:dyDescent="0.25">
      <c r="A2475">
        <v>2474</v>
      </c>
      <c r="B2475" t="s">
        <v>30</v>
      </c>
      <c r="C2475" t="s">
        <v>11968</v>
      </c>
      <c r="D2475" t="s">
        <v>8275</v>
      </c>
      <c r="E2475" t="s">
        <v>1269</v>
      </c>
      <c r="F2475" t="s">
        <v>8276</v>
      </c>
      <c r="G2475" t="s">
        <v>1271</v>
      </c>
      <c r="I2475" t="s">
        <v>11969</v>
      </c>
      <c r="J2475">
        <f>57-317-223-9173</f>
        <v>-9656</v>
      </c>
      <c r="K2475" t="s">
        <v>11970</v>
      </c>
      <c r="N2475" t="s">
        <v>11971</v>
      </c>
      <c r="Z2475" t="s">
        <v>43</v>
      </c>
    </row>
    <row r="2476" spans="1:26" x14ac:dyDescent="0.25">
      <c r="A2476">
        <v>2475</v>
      </c>
      <c r="B2476" t="s">
        <v>30</v>
      </c>
      <c r="C2476" t="s">
        <v>11972</v>
      </c>
      <c r="D2476" t="s">
        <v>56</v>
      </c>
      <c r="E2476" t="s">
        <v>56</v>
      </c>
      <c r="F2476" t="s">
        <v>57</v>
      </c>
      <c r="G2476" t="s">
        <v>57</v>
      </c>
      <c r="I2476" t="s">
        <v>11973</v>
      </c>
      <c r="K2476" t="s">
        <v>11974</v>
      </c>
      <c r="N2476" t="s">
        <v>11975</v>
      </c>
      <c r="Z2476" t="s">
        <v>43</v>
      </c>
    </row>
    <row r="2477" spans="1:26" x14ac:dyDescent="0.25">
      <c r="A2477">
        <v>2476</v>
      </c>
      <c r="B2477" t="s">
        <v>30</v>
      </c>
      <c r="C2477" t="s">
        <v>11976</v>
      </c>
      <c r="D2477" t="s">
        <v>7861</v>
      </c>
      <c r="E2477" t="s">
        <v>4176</v>
      </c>
      <c r="F2477" t="s">
        <v>7862</v>
      </c>
      <c r="G2477" t="s">
        <v>4178</v>
      </c>
      <c r="I2477" t="s">
        <v>11977</v>
      </c>
      <c r="K2477" t="s">
        <v>11978</v>
      </c>
      <c r="N2477" t="s">
        <v>11979</v>
      </c>
      <c r="Z2477" t="s">
        <v>43</v>
      </c>
    </row>
    <row r="2478" spans="1:26" x14ac:dyDescent="0.25">
      <c r="A2478">
        <v>2477</v>
      </c>
      <c r="B2478" t="s">
        <v>30</v>
      </c>
      <c r="C2478" t="s">
        <v>11980</v>
      </c>
      <c r="D2478" t="s">
        <v>11981</v>
      </c>
      <c r="E2478" t="s">
        <v>4176</v>
      </c>
      <c r="F2478" t="s">
        <v>11982</v>
      </c>
      <c r="G2478" t="s">
        <v>4178</v>
      </c>
      <c r="I2478" t="s">
        <v>11983</v>
      </c>
      <c r="K2478" t="s">
        <v>11984</v>
      </c>
      <c r="N2478" t="s">
        <v>11985</v>
      </c>
      <c r="Z2478" t="s">
        <v>43</v>
      </c>
    </row>
    <row r="2479" spans="1:26" x14ac:dyDescent="0.25">
      <c r="A2479">
        <v>2478</v>
      </c>
      <c r="B2479" t="s">
        <v>30</v>
      </c>
      <c r="C2479" t="s">
        <v>11986</v>
      </c>
      <c r="D2479" t="s">
        <v>11987</v>
      </c>
      <c r="E2479" t="s">
        <v>471</v>
      </c>
      <c r="F2479" t="s">
        <v>11988</v>
      </c>
      <c r="G2479" t="s">
        <v>47</v>
      </c>
      <c r="I2479" t="s">
        <v>11989</v>
      </c>
      <c r="J2479">
        <f>57-60-1-493-4587</f>
        <v>-5084</v>
      </c>
      <c r="K2479" t="s">
        <v>11990</v>
      </c>
      <c r="N2479" t="s">
        <v>11991</v>
      </c>
      <c r="Z2479" t="s">
        <v>43</v>
      </c>
    </row>
    <row r="2480" spans="1:26" x14ac:dyDescent="0.25">
      <c r="A2480">
        <v>2479</v>
      </c>
      <c r="B2480" t="s">
        <v>30</v>
      </c>
      <c r="C2480" t="s">
        <v>11992</v>
      </c>
      <c r="D2480" t="s">
        <v>46</v>
      </c>
      <c r="E2480" t="s">
        <v>471</v>
      </c>
      <c r="F2480" t="s">
        <v>820</v>
      </c>
      <c r="G2480" t="s">
        <v>47</v>
      </c>
      <c r="I2480" t="s">
        <v>11993</v>
      </c>
      <c r="K2480" t="s">
        <v>11994</v>
      </c>
      <c r="N2480" t="s">
        <v>11995</v>
      </c>
      <c r="Z2480" t="s">
        <v>43</v>
      </c>
    </row>
    <row r="2481" spans="1:26" x14ac:dyDescent="0.25">
      <c r="A2481">
        <v>2480</v>
      </c>
      <c r="B2481" t="s">
        <v>30</v>
      </c>
      <c r="C2481" t="s">
        <v>11996</v>
      </c>
      <c r="D2481" t="s">
        <v>1976</v>
      </c>
      <c r="E2481" t="s">
        <v>471</v>
      </c>
      <c r="F2481" t="s">
        <v>3340</v>
      </c>
      <c r="G2481" t="s">
        <v>47</v>
      </c>
      <c r="I2481" t="s">
        <v>11997</v>
      </c>
      <c r="J2481">
        <f>57-301-520-1483</f>
        <v>-2247</v>
      </c>
      <c r="K2481" t="s">
        <v>11998</v>
      </c>
      <c r="N2481" t="s">
        <v>11999</v>
      </c>
      <c r="Z2481" t="s">
        <v>43</v>
      </c>
    </row>
    <row r="2482" spans="1:26" x14ac:dyDescent="0.25">
      <c r="A2482">
        <v>2481</v>
      </c>
      <c r="B2482" t="s">
        <v>30</v>
      </c>
      <c r="C2482" t="s">
        <v>12000</v>
      </c>
      <c r="D2482" t="s">
        <v>6480</v>
      </c>
      <c r="E2482" t="s">
        <v>800</v>
      </c>
      <c r="F2482" t="s">
        <v>6481</v>
      </c>
      <c r="G2482" t="s">
        <v>802</v>
      </c>
      <c r="I2482" t="s">
        <v>12001</v>
      </c>
      <c r="J2482">
        <f>57-60-1-273-6429</f>
        <v>-6706</v>
      </c>
      <c r="K2482" t="s">
        <v>12002</v>
      </c>
      <c r="N2482" t="s">
        <v>12003</v>
      </c>
      <c r="Z2482" t="s">
        <v>43</v>
      </c>
    </row>
    <row r="2483" spans="1:26" x14ac:dyDescent="0.25">
      <c r="A2483">
        <v>2482</v>
      </c>
      <c r="B2483" t="s">
        <v>30</v>
      </c>
      <c r="C2483" t="s">
        <v>12004</v>
      </c>
      <c r="D2483" t="s">
        <v>7543</v>
      </c>
      <c r="E2483" t="s">
        <v>2210</v>
      </c>
      <c r="F2483" t="s">
        <v>7544</v>
      </c>
      <c r="G2483" t="s">
        <v>2212</v>
      </c>
      <c r="I2483" t="s">
        <v>12005</v>
      </c>
      <c r="K2483" t="s">
        <v>12006</v>
      </c>
      <c r="N2483" t="s">
        <v>12007</v>
      </c>
      <c r="Z2483" t="s">
        <v>43</v>
      </c>
    </row>
    <row r="2484" spans="1:26" x14ac:dyDescent="0.25">
      <c r="A2484">
        <v>2483</v>
      </c>
      <c r="B2484" t="s">
        <v>30</v>
      </c>
      <c r="C2484" t="s">
        <v>12008</v>
      </c>
      <c r="D2484" t="s">
        <v>2168</v>
      </c>
      <c r="E2484" t="s">
        <v>800</v>
      </c>
      <c r="F2484" t="s">
        <v>2169</v>
      </c>
      <c r="G2484" t="s">
        <v>802</v>
      </c>
      <c r="I2484" t="s">
        <v>12009</v>
      </c>
      <c r="K2484" t="s">
        <v>12010</v>
      </c>
      <c r="N2484" t="s">
        <v>12011</v>
      </c>
      <c r="Z2484" t="s">
        <v>43</v>
      </c>
    </row>
    <row r="2485" spans="1:26" x14ac:dyDescent="0.25">
      <c r="A2485">
        <v>2484</v>
      </c>
      <c r="B2485" t="s">
        <v>30</v>
      </c>
      <c r="C2485" t="s">
        <v>12012</v>
      </c>
      <c r="D2485" t="s">
        <v>10538</v>
      </c>
      <c r="E2485" t="s">
        <v>800</v>
      </c>
      <c r="F2485" t="s">
        <v>10539</v>
      </c>
      <c r="G2485" t="s">
        <v>802</v>
      </c>
      <c r="I2485" t="s">
        <v>12013</v>
      </c>
      <c r="K2485" t="s">
        <v>12014</v>
      </c>
      <c r="N2485" t="s">
        <v>12015</v>
      </c>
      <c r="Z2485" t="s">
        <v>43</v>
      </c>
    </row>
    <row r="2486" spans="1:26" x14ac:dyDescent="0.25">
      <c r="A2486">
        <v>2485</v>
      </c>
      <c r="B2486" t="s">
        <v>30</v>
      </c>
      <c r="C2486" t="s">
        <v>12016</v>
      </c>
      <c r="D2486" t="s">
        <v>64</v>
      </c>
      <c r="E2486" t="s">
        <v>64</v>
      </c>
      <c r="F2486" t="s">
        <v>65</v>
      </c>
      <c r="G2486" t="s">
        <v>65</v>
      </c>
      <c r="I2486" t="s">
        <v>12017</v>
      </c>
      <c r="K2486" t="s">
        <v>12018</v>
      </c>
      <c r="N2486" t="s">
        <v>12019</v>
      </c>
      <c r="Z2486" t="s">
        <v>43</v>
      </c>
    </row>
    <row r="2487" spans="1:26" x14ac:dyDescent="0.25">
      <c r="A2487">
        <v>2486</v>
      </c>
      <c r="B2487" t="s">
        <v>30</v>
      </c>
      <c r="C2487" t="s">
        <v>12020</v>
      </c>
      <c r="D2487" t="s">
        <v>899</v>
      </c>
      <c r="E2487" t="s">
        <v>56</v>
      </c>
      <c r="F2487" t="s">
        <v>2456</v>
      </c>
      <c r="G2487" t="s">
        <v>57</v>
      </c>
      <c r="I2487" t="s">
        <v>12021</v>
      </c>
      <c r="K2487" t="s">
        <v>12022</v>
      </c>
      <c r="N2487" t="s">
        <v>12023</v>
      </c>
      <c r="Z2487" t="s">
        <v>43</v>
      </c>
    </row>
    <row r="2488" spans="1:26" x14ac:dyDescent="0.25">
      <c r="A2488">
        <v>2487</v>
      </c>
      <c r="B2488" t="s">
        <v>30</v>
      </c>
      <c r="C2488" t="s">
        <v>12024</v>
      </c>
      <c r="D2488" t="s">
        <v>12025</v>
      </c>
      <c r="E2488" t="s">
        <v>2007</v>
      </c>
      <c r="F2488" t="s">
        <v>12026</v>
      </c>
      <c r="G2488" t="s">
        <v>2009</v>
      </c>
      <c r="I2488" t="s">
        <v>12027</v>
      </c>
      <c r="J2488">
        <f>57-60-1-209-2426</f>
        <v>-2639</v>
      </c>
      <c r="K2488" t="s">
        <v>12028</v>
      </c>
      <c r="N2488" t="s">
        <v>12029</v>
      </c>
      <c r="Z2488" t="s">
        <v>43</v>
      </c>
    </row>
    <row r="2489" spans="1:26" x14ac:dyDescent="0.25">
      <c r="A2489">
        <v>2488</v>
      </c>
      <c r="B2489" t="s">
        <v>30</v>
      </c>
      <c r="C2489" t="s">
        <v>12030</v>
      </c>
      <c r="D2489" t="s">
        <v>2098</v>
      </c>
      <c r="E2489" t="s">
        <v>1269</v>
      </c>
      <c r="F2489" t="s">
        <v>2099</v>
      </c>
      <c r="G2489" t="s">
        <v>1271</v>
      </c>
      <c r="I2489" t="s">
        <v>12031</v>
      </c>
      <c r="J2489">
        <f>57-350-283-2221</f>
        <v>-2797</v>
      </c>
      <c r="K2489" t="s">
        <v>12032</v>
      </c>
      <c r="N2489" t="s">
        <v>12033</v>
      </c>
      <c r="Z2489" t="s">
        <v>43</v>
      </c>
    </row>
    <row r="2490" spans="1:26" x14ac:dyDescent="0.25">
      <c r="A2490">
        <v>2489</v>
      </c>
      <c r="B2490" t="s">
        <v>30</v>
      </c>
      <c r="C2490" t="s">
        <v>12034</v>
      </c>
      <c r="D2490" t="s">
        <v>1260</v>
      </c>
      <c r="E2490" t="s">
        <v>471</v>
      </c>
      <c r="F2490" t="s">
        <v>2204</v>
      </c>
      <c r="G2490" t="s">
        <v>47</v>
      </c>
      <c r="I2490" t="s">
        <v>12035</v>
      </c>
      <c r="K2490" t="s">
        <v>12036</v>
      </c>
      <c r="N2490" t="s">
        <v>12037</v>
      </c>
      <c r="Z2490" t="s">
        <v>43</v>
      </c>
    </row>
    <row r="2491" spans="1:26" x14ac:dyDescent="0.25">
      <c r="A2491">
        <v>2490</v>
      </c>
      <c r="B2491" t="s">
        <v>30</v>
      </c>
      <c r="C2491" t="s">
        <v>12038</v>
      </c>
      <c r="D2491" t="s">
        <v>64</v>
      </c>
      <c r="E2491" t="s">
        <v>64</v>
      </c>
      <c r="F2491" t="s">
        <v>65</v>
      </c>
      <c r="G2491" t="s">
        <v>65</v>
      </c>
      <c r="I2491" t="s">
        <v>12039</v>
      </c>
      <c r="J2491">
        <f>57-60-1-744-1979</f>
        <v>-2727</v>
      </c>
      <c r="K2491" t="s">
        <v>12040</v>
      </c>
      <c r="N2491" t="s">
        <v>12041</v>
      </c>
      <c r="Z2491" t="s">
        <v>43</v>
      </c>
    </row>
    <row r="2492" spans="1:26" x14ac:dyDescent="0.25">
      <c r="A2492">
        <v>2491</v>
      </c>
      <c r="B2492" t="s">
        <v>30</v>
      </c>
      <c r="C2492" t="s">
        <v>12042</v>
      </c>
      <c r="D2492" t="s">
        <v>772</v>
      </c>
      <c r="E2492" t="s">
        <v>72</v>
      </c>
      <c r="F2492" t="s">
        <v>773</v>
      </c>
      <c r="G2492" t="s">
        <v>73</v>
      </c>
      <c r="I2492" t="s">
        <v>12043</v>
      </c>
      <c r="J2492">
        <f>57-321-494-7038</f>
        <v>-7796</v>
      </c>
      <c r="K2492" t="s">
        <v>12044</v>
      </c>
      <c r="N2492" t="s">
        <v>12045</v>
      </c>
      <c r="Z2492" t="s">
        <v>43</v>
      </c>
    </row>
    <row r="2493" spans="1:26" x14ac:dyDescent="0.25">
      <c r="A2493">
        <v>2492</v>
      </c>
      <c r="B2493" t="s">
        <v>30</v>
      </c>
      <c r="C2493" t="s">
        <v>12046</v>
      </c>
      <c r="D2493" t="s">
        <v>12047</v>
      </c>
      <c r="E2493" t="s">
        <v>800</v>
      </c>
      <c r="F2493" t="s">
        <v>12048</v>
      </c>
      <c r="G2493" t="s">
        <v>802</v>
      </c>
      <c r="I2493" t="s">
        <v>12049</v>
      </c>
      <c r="K2493" t="s">
        <v>12050</v>
      </c>
      <c r="N2493" t="s">
        <v>12051</v>
      </c>
      <c r="Z2493" t="s">
        <v>43</v>
      </c>
    </row>
    <row r="2494" spans="1:26" x14ac:dyDescent="0.25">
      <c r="A2494">
        <v>2493</v>
      </c>
      <c r="B2494" t="s">
        <v>30</v>
      </c>
      <c r="C2494" t="s">
        <v>12052</v>
      </c>
      <c r="D2494" t="s">
        <v>12053</v>
      </c>
      <c r="E2494" t="s">
        <v>1774</v>
      </c>
      <c r="F2494" t="s">
        <v>12054</v>
      </c>
      <c r="G2494" t="s">
        <v>1776</v>
      </c>
      <c r="I2494" t="s">
        <v>12055</v>
      </c>
      <c r="K2494" t="s">
        <v>12056</v>
      </c>
      <c r="N2494" t="s">
        <v>12057</v>
      </c>
      <c r="Z2494" t="s">
        <v>43</v>
      </c>
    </row>
    <row r="2495" spans="1:26" x14ac:dyDescent="0.25">
      <c r="A2495">
        <v>2494</v>
      </c>
      <c r="B2495" t="s">
        <v>30</v>
      </c>
      <c r="C2495" t="s">
        <v>12058</v>
      </c>
      <c r="D2495" t="s">
        <v>12059</v>
      </c>
      <c r="E2495" t="s">
        <v>56</v>
      </c>
      <c r="F2495" t="s">
        <v>12060</v>
      </c>
      <c r="G2495" t="s">
        <v>57</v>
      </c>
      <c r="I2495" t="s">
        <v>12061</v>
      </c>
      <c r="J2495">
        <f>57-320-807-9505</f>
        <v>-10575</v>
      </c>
      <c r="K2495" t="s">
        <v>12062</v>
      </c>
      <c r="N2495" t="s">
        <v>12063</v>
      </c>
      <c r="Z2495" t="s">
        <v>43</v>
      </c>
    </row>
    <row r="2496" spans="1:26" x14ac:dyDescent="0.25">
      <c r="A2496">
        <v>2495</v>
      </c>
      <c r="B2496" t="s">
        <v>30</v>
      </c>
      <c r="C2496" t="s">
        <v>12064</v>
      </c>
      <c r="D2496" t="s">
        <v>12065</v>
      </c>
      <c r="E2496" t="s">
        <v>56</v>
      </c>
      <c r="F2496" t="s">
        <v>12066</v>
      </c>
      <c r="G2496" t="s">
        <v>57</v>
      </c>
      <c r="I2496" t="s">
        <v>12067</v>
      </c>
      <c r="K2496" t="s">
        <v>12068</v>
      </c>
      <c r="N2496" t="s">
        <v>12069</v>
      </c>
      <c r="Z2496" t="s">
        <v>43</v>
      </c>
    </row>
    <row r="2497" spans="1:26" x14ac:dyDescent="0.25">
      <c r="A2497">
        <v>2496</v>
      </c>
      <c r="B2497" t="s">
        <v>30</v>
      </c>
      <c r="C2497" t="s">
        <v>12070</v>
      </c>
      <c r="D2497" t="s">
        <v>12071</v>
      </c>
      <c r="E2497" t="s">
        <v>471</v>
      </c>
      <c r="F2497" t="s">
        <v>12072</v>
      </c>
      <c r="G2497" t="s">
        <v>47</v>
      </c>
      <c r="I2497" t="s">
        <v>12073</v>
      </c>
      <c r="J2497">
        <f>57-301-712-6009</f>
        <v>-6965</v>
      </c>
      <c r="K2497" t="s">
        <v>12074</v>
      </c>
      <c r="N2497" t="s">
        <v>12075</v>
      </c>
      <c r="Z2497" t="s">
        <v>43</v>
      </c>
    </row>
    <row r="2498" spans="1:26" x14ac:dyDescent="0.25">
      <c r="A2498">
        <v>2497</v>
      </c>
      <c r="B2498" t="s">
        <v>30</v>
      </c>
      <c r="C2498" t="s">
        <v>12076</v>
      </c>
      <c r="D2498" t="s">
        <v>813</v>
      </c>
      <c r="E2498" t="s">
        <v>72</v>
      </c>
      <c r="F2498" t="s">
        <v>814</v>
      </c>
      <c r="G2498" t="s">
        <v>73</v>
      </c>
      <c r="I2498" t="s">
        <v>12077</v>
      </c>
      <c r="J2498">
        <f>57-60-1-544-634</f>
        <v>-1182</v>
      </c>
      <c r="K2498" t="s">
        <v>12078</v>
      </c>
      <c r="N2498" t="s">
        <v>12079</v>
      </c>
      <c r="Z2498" t="s">
        <v>43</v>
      </c>
    </row>
    <row r="2499" spans="1:26" x14ac:dyDescent="0.25">
      <c r="A2499">
        <v>2498</v>
      </c>
      <c r="B2499" t="s">
        <v>30</v>
      </c>
      <c r="C2499" t="s">
        <v>12080</v>
      </c>
      <c r="D2499" t="s">
        <v>2098</v>
      </c>
      <c r="E2499" t="s">
        <v>1269</v>
      </c>
      <c r="F2499" t="s">
        <v>2099</v>
      </c>
      <c r="G2499" t="s">
        <v>1271</v>
      </c>
      <c r="I2499" t="s">
        <v>12081</v>
      </c>
      <c r="J2499">
        <f>57-60-1-258-5456</f>
        <v>-5718</v>
      </c>
      <c r="K2499" t="s">
        <v>3607</v>
      </c>
      <c r="N2499" t="s">
        <v>3608</v>
      </c>
      <c r="Z2499" t="s">
        <v>43</v>
      </c>
    </row>
    <row r="2500" spans="1:26" x14ac:dyDescent="0.25">
      <c r="A2500">
        <v>2499</v>
      </c>
      <c r="B2500" t="s">
        <v>30</v>
      </c>
      <c r="C2500" t="s">
        <v>12082</v>
      </c>
      <c r="D2500" t="s">
        <v>8275</v>
      </c>
      <c r="E2500" t="s">
        <v>1269</v>
      </c>
      <c r="F2500" t="s">
        <v>8276</v>
      </c>
      <c r="G2500" t="s">
        <v>1271</v>
      </c>
      <c r="I2500" t="s">
        <v>12083</v>
      </c>
      <c r="J2500">
        <f>57-310-771-9836</f>
        <v>-10860</v>
      </c>
      <c r="K2500" t="s">
        <v>12084</v>
      </c>
      <c r="N2500" t="s">
        <v>12085</v>
      </c>
      <c r="Z2500" t="s">
        <v>43</v>
      </c>
    </row>
    <row r="2501" spans="1:26" x14ac:dyDescent="0.25">
      <c r="A2501">
        <v>2500</v>
      </c>
      <c r="B2501" t="s">
        <v>30</v>
      </c>
      <c r="C2501" t="s">
        <v>12086</v>
      </c>
      <c r="D2501" t="s">
        <v>12087</v>
      </c>
      <c r="E2501" t="s">
        <v>1774</v>
      </c>
      <c r="F2501" t="s">
        <v>12088</v>
      </c>
      <c r="G2501" t="s">
        <v>1776</v>
      </c>
      <c r="I2501" t="s">
        <v>12089</v>
      </c>
      <c r="K2501" t="s">
        <v>12090</v>
      </c>
      <c r="N2501" t="s">
        <v>12091</v>
      </c>
      <c r="Z2501" t="s">
        <v>43</v>
      </c>
    </row>
    <row r="2502" spans="1:26" x14ac:dyDescent="0.25">
      <c r="A2502">
        <v>2501</v>
      </c>
      <c r="B2502" t="s">
        <v>30</v>
      </c>
      <c r="C2502" t="s">
        <v>12092</v>
      </c>
      <c r="D2502" t="s">
        <v>72</v>
      </c>
      <c r="E2502" t="s">
        <v>72</v>
      </c>
      <c r="F2502" t="s">
        <v>73</v>
      </c>
      <c r="G2502" t="s">
        <v>73</v>
      </c>
      <c r="I2502" t="s">
        <v>12093</v>
      </c>
      <c r="K2502" t="s">
        <v>12094</v>
      </c>
      <c r="N2502" t="s">
        <v>12095</v>
      </c>
      <c r="Z2502" t="s">
        <v>43</v>
      </c>
    </row>
    <row r="2503" spans="1:26" x14ac:dyDescent="0.25">
      <c r="A2503">
        <v>2502</v>
      </c>
      <c r="B2503" t="s">
        <v>30</v>
      </c>
      <c r="C2503" t="s">
        <v>12096</v>
      </c>
      <c r="D2503" t="s">
        <v>46</v>
      </c>
      <c r="E2503" t="s">
        <v>56</v>
      </c>
      <c r="F2503" t="s">
        <v>820</v>
      </c>
      <c r="G2503" t="s">
        <v>57</v>
      </c>
      <c r="I2503" t="s">
        <v>12097</v>
      </c>
      <c r="K2503" t="s">
        <v>12098</v>
      </c>
      <c r="N2503" t="s">
        <v>12099</v>
      </c>
      <c r="Z2503" t="s">
        <v>43</v>
      </c>
    </row>
    <row r="2504" spans="1:26" x14ac:dyDescent="0.25">
      <c r="A2504">
        <v>2503</v>
      </c>
      <c r="B2504" t="s">
        <v>30</v>
      </c>
      <c r="C2504" t="s">
        <v>12100</v>
      </c>
      <c r="D2504" t="s">
        <v>12101</v>
      </c>
      <c r="E2504" t="s">
        <v>471</v>
      </c>
      <c r="F2504" t="s">
        <v>12102</v>
      </c>
      <c r="G2504" t="s">
        <v>47</v>
      </c>
      <c r="I2504" t="s">
        <v>12103</v>
      </c>
      <c r="J2504">
        <f>57-310-856-9191</f>
        <v>-10300</v>
      </c>
      <c r="K2504" t="s">
        <v>12104</v>
      </c>
      <c r="N2504" t="s">
        <v>12105</v>
      </c>
      <c r="Z2504" t="s">
        <v>43</v>
      </c>
    </row>
    <row r="2505" spans="1:26" x14ac:dyDescent="0.25">
      <c r="A2505">
        <v>2504</v>
      </c>
      <c r="B2505" t="s">
        <v>30</v>
      </c>
      <c r="C2505" t="s">
        <v>12106</v>
      </c>
      <c r="D2505" t="s">
        <v>2168</v>
      </c>
      <c r="E2505" t="s">
        <v>64</v>
      </c>
      <c r="F2505" t="s">
        <v>2169</v>
      </c>
      <c r="G2505" t="s">
        <v>65</v>
      </c>
      <c r="I2505" t="s">
        <v>12107</v>
      </c>
      <c r="J2505">
        <f>57-300-333-3337</f>
        <v>-3913</v>
      </c>
      <c r="K2505" t="s">
        <v>12108</v>
      </c>
      <c r="N2505" t="s">
        <v>12109</v>
      </c>
      <c r="Z2505" t="s">
        <v>43</v>
      </c>
    </row>
    <row r="2506" spans="1:26" x14ac:dyDescent="0.25">
      <c r="A2506">
        <v>2505</v>
      </c>
      <c r="B2506" t="s">
        <v>30</v>
      </c>
      <c r="C2506" t="s">
        <v>12110</v>
      </c>
      <c r="D2506" t="s">
        <v>46</v>
      </c>
      <c r="E2506" t="s">
        <v>471</v>
      </c>
      <c r="F2506" t="s">
        <v>820</v>
      </c>
      <c r="G2506" t="s">
        <v>47</v>
      </c>
      <c r="I2506" t="s">
        <v>12111</v>
      </c>
      <c r="J2506">
        <f>57-315-690-4000</f>
        <v>-4948</v>
      </c>
      <c r="K2506" t="s">
        <v>12112</v>
      </c>
      <c r="N2506" t="s">
        <v>12113</v>
      </c>
      <c r="Z2506" t="s">
        <v>43</v>
      </c>
    </row>
    <row r="2507" spans="1:26" x14ac:dyDescent="0.25">
      <c r="A2507">
        <v>2506</v>
      </c>
      <c r="B2507" t="s">
        <v>30</v>
      </c>
      <c r="C2507" t="s">
        <v>12114</v>
      </c>
      <c r="D2507" t="s">
        <v>72</v>
      </c>
      <c r="E2507" t="s">
        <v>72</v>
      </c>
      <c r="F2507" t="s">
        <v>73</v>
      </c>
      <c r="G2507" t="s">
        <v>73</v>
      </c>
      <c r="I2507" t="s">
        <v>12115</v>
      </c>
      <c r="K2507" t="s">
        <v>12116</v>
      </c>
      <c r="N2507" t="s">
        <v>12117</v>
      </c>
      <c r="Z2507" t="s">
        <v>43</v>
      </c>
    </row>
    <row r="2508" spans="1:26" x14ac:dyDescent="0.25">
      <c r="A2508">
        <v>2507</v>
      </c>
      <c r="B2508" t="s">
        <v>30</v>
      </c>
      <c r="C2508" t="s">
        <v>12118</v>
      </c>
      <c r="D2508" t="s">
        <v>6531</v>
      </c>
      <c r="E2508" t="s">
        <v>385</v>
      </c>
      <c r="F2508" t="s">
        <v>6532</v>
      </c>
      <c r="G2508" t="s">
        <v>387</v>
      </c>
      <c r="I2508" t="s">
        <v>12119</v>
      </c>
      <c r="K2508" t="s">
        <v>12120</v>
      </c>
      <c r="N2508" t="s">
        <v>12121</v>
      </c>
      <c r="Z2508" t="s">
        <v>43</v>
      </c>
    </row>
    <row r="2509" spans="1:26" x14ac:dyDescent="0.25">
      <c r="A2509">
        <v>2508</v>
      </c>
      <c r="B2509" t="s">
        <v>30</v>
      </c>
      <c r="C2509" t="s">
        <v>12122</v>
      </c>
      <c r="D2509" t="s">
        <v>772</v>
      </c>
      <c r="E2509" t="s">
        <v>471</v>
      </c>
      <c r="F2509" t="s">
        <v>773</v>
      </c>
      <c r="G2509" t="s">
        <v>47</v>
      </c>
      <c r="I2509" t="s">
        <v>12123</v>
      </c>
      <c r="K2509" t="s">
        <v>12124</v>
      </c>
      <c r="N2509" t="s">
        <v>12125</v>
      </c>
      <c r="Z2509" t="s">
        <v>43</v>
      </c>
    </row>
    <row r="2510" spans="1:26" x14ac:dyDescent="0.25">
      <c r="A2510">
        <v>2509</v>
      </c>
      <c r="B2510" t="s">
        <v>30</v>
      </c>
      <c r="C2510" t="s">
        <v>12126</v>
      </c>
      <c r="D2510" t="s">
        <v>3118</v>
      </c>
      <c r="E2510" t="s">
        <v>385</v>
      </c>
      <c r="F2510" t="s">
        <v>3119</v>
      </c>
      <c r="G2510" t="s">
        <v>387</v>
      </c>
      <c r="I2510" t="s">
        <v>12127</v>
      </c>
      <c r="J2510">
        <f>57-304-422-6613</f>
        <v>-7282</v>
      </c>
      <c r="K2510" t="s">
        <v>12128</v>
      </c>
      <c r="N2510" t="s">
        <v>12129</v>
      </c>
      <c r="Z2510" t="s">
        <v>43</v>
      </c>
    </row>
    <row r="2511" spans="1:26" x14ac:dyDescent="0.25">
      <c r="A2511">
        <v>2510</v>
      </c>
      <c r="B2511" t="s">
        <v>30</v>
      </c>
      <c r="C2511" t="s">
        <v>12130</v>
      </c>
      <c r="D2511" t="s">
        <v>12131</v>
      </c>
      <c r="E2511" t="s">
        <v>1850</v>
      </c>
      <c r="F2511" t="s">
        <v>12132</v>
      </c>
      <c r="G2511" t="s">
        <v>1852</v>
      </c>
      <c r="I2511" t="s">
        <v>12133</v>
      </c>
      <c r="K2511" t="s">
        <v>12134</v>
      </c>
      <c r="N2511" t="s">
        <v>12135</v>
      </c>
      <c r="Z2511" t="s">
        <v>43</v>
      </c>
    </row>
    <row r="2512" spans="1:26" x14ac:dyDescent="0.25">
      <c r="A2512">
        <v>2511</v>
      </c>
      <c r="B2512" t="s">
        <v>30</v>
      </c>
      <c r="C2512" t="s">
        <v>12136</v>
      </c>
      <c r="D2512" t="s">
        <v>12137</v>
      </c>
      <c r="E2512" t="s">
        <v>3210</v>
      </c>
      <c r="F2512" t="s">
        <v>12138</v>
      </c>
      <c r="G2512" t="s">
        <v>3212</v>
      </c>
      <c r="I2512" t="s">
        <v>12139</v>
      </c>
      <c r="J2512">
        <f>57-316-276-8748</f>
        <v>-9283</v>
      </c>
      <c r="K2512" t="s">
        <v>12140</v>
      </c>
      <c r="N2512" t="s">
        <v>12141</v>
      </c>
      <c r="Z2512" t="s">
        <v>43</v>
      </c>
    </row>
    <row r="2513" spans="1:26" x14ac:dyDescent="0.25">
      <c r="A2513">
        <v>2512</v>
      </c>
      <c r="B2513" t="s">
        <v>30</v>
      </c>
      <c r="C2513" t="s">
        <v>12142</v>
      </c>
      <c r="D2513" t="s">
        <v>12143</v>
      </c>
      <c r="E2513" t="s">
        <v>64</v>
      </c>
      <c r="F2513" t="s">
        <v>12144</v>
      </c>
      <c r="G2513" t="s">
        <v>65</v>
      </c>
      <c r="I2513" t="s">
        <v>12145</v>
      </c>
      <c r="K2513" t="s">
        <v>12146</v>
      </c>
      <c r="N2513" t="s">
        <v>12147</v>
      </c>
      <c r="Z2513" t="s">
        <v>43</v>
      </c>
    </row>
    <row r="2514" spans="1:26" x14ac:dyDescent="0.25">
      <c r="A2514">
        <v>2513</v>
      </c>
      <c r="B2514" t="s">
        <v>30</v>
      </c>
      <c r="C2514" t="s">
        <v>12148</v>
      </c>
      <c r="D2514" t="s">
        <v>813</v>
      </c>
      <c r="E2514" t="s">
        <v>72</v>
      </c>
      <c r="F2514" t="s">
        <v>814</v>
      </c>
      <c r="G2514" t="s">
        <v>73</v>
      </c>
      <c r="I2514" t="s">
        <v>12149</v>
      </c>
      <c r="J2514">
        <f>57-313-816-7563</f>
        <v>-8635</v>
      </c>
      <c r="K2514" t="s">
        <v>12150</v>
      </c>
      <c r="N2514" t="s">
        <v>12151</v>
      </c>
      <c r="Z2514" t="s">
        <v>43</v>
      </c>
    </row>
    <row r="2515" spans="1:26" x14ac:dyDescent="0.25">
      <c r="A2515">
        <v>2514</v>
      </c>
      <c r="B2515" t="s">
        <v>30</v>
      </c>
      <c r="C2515" t="s">
        <v>12152</v>
      </c>
      <c r="D2515" t="s">
        <v>1606</v>
      </c>
      <c r="E2515" t="s">
        <v>56</v>
      </c>
      <c r="F2515" t="s">
        <v>12153</v>
      </c>
      <c r="G2515" t="s">
        <v>57</v>
      </c>
      <c r="I2515" t="s">
        <v>12154</v>
      </c>
      <c r="J2515">
        <f>57-313-840-1485</f>
        <v>-2581</v>
      </c>
      <c r="K2515" t="s">
        <v>12155</v>
      </c>
      <c r="N2515" t="s">
        <v>12156</v>
      </c>
      <c r="Z2515" t="s">
        <v>43</v>
      </c>
    </row>
    <row r="2516" spans="1:26" x14ac:dyDescent="0.25">
      <c r="A2516">
        <v>2515</v>
      </c>
      <c r="B2516" t="s">
        <v>30</v>
      </c>
      <c r="C2516" t="s">
        <v>12157</v>
      </c>
      <c r="D2516" t="s">
        <v>46</v>
      </c>
      <c r="E2516" t="s">
        <v>471</v>
      </c>
      <c r="F2516" t="s">
        <v>820</v>
      </c>
      <c r="G2516" t="s">
        <v>47</v>
      </c>
      <c r="I2516" t="s">
        <v>12158</v>
      </c>
      <c r="K2516" t="s">
        <v>12159</v>
      </c>
      <c r="N2516" t="s">
        <v>12160</v>
      </c>
      <c r="Z2516" t="s">
        <v>43</v>
      </c>
    </row>
    <row r="2517" spans="1:26" x14ac:dyDescent="0.25">
      <c r="A2517">
        <v>2516</v>
      </c>
      <c r="B2517" t="s">
        <v>30</v>
      </c>
      <c r="C2517" t="s">
        <v>12161</v>
      </c>
      <c r="D2517" t="s">
        <v>10671</v>
      </c>
      <c r="E2517" t="s">
        <v>64</v>
      </c>
      <c r="F2517" t="s">
        <v>12162</v>
      </c>
      <c r="G2517" t="s">
        <v>65</v>
      </c>
      <c r="I2517" t="s">
        <v>12163</v>
      </c>
      <c r="K2517" t="s">
        <v>12164</v>
      </c>
      <c r="N2517" t="s">
        <v>12165</v>
      </c>
      <c r="Z2517" t="s">
        <v>43</v>
      </c>
    </row>
    <row r="2518" spans="1:26" x14ac:dyDescent="0.25">
      <c r="A2518">
        <v>2517</v>
      </c>
      <c r="B2518" t="s">
        <v>30</v>
      </c>
      <c r="C2518" t="s">
        <v>12166</v>
      </c>
      <c r="D2518" t="s">
        <v>12167</v>
      </c>
      <c r="E2518" t="s">
        <v>1613</v>
      </c>
      <c r="F2518" t="s">
        <v>12168</v>
      </c>
      <c r="G2518" t="s">
        <v>1615</v>
      </c>
      <c r="I2518" t="s">
        <v>12169</v>
      </c>
      <c r="K2518" t="s">
        <v>12170</v>
      </c>
      <c r="N2518" t="s">
        <v>12171</v>
      </c>
      <c r="Z2518" t="s">
        <v>43</v>
      </c>
    </row>
    <row r="2519" spans="1:26" x14ac:dyDescent="0.25">
      <c r="A2519">
        <v>2518</v>
      </c>
      <c r="B2519" t="s">
        <v>30</v>
      </c>
      <c r="C2519" t="s">
        <v>12172</v>
      </c>
      <c r="D2519" t="s">
        <v>2713</v>
      </c>
      <c r="E2519" t="s">
        <v>2105</v>
      </c>
      <c r="F2519" t="s">
        <v>5752</v>
      </c>
      <c r="G2519" t="s">
        <v>2107</v>
      </c>
      <c r="I2519" t="s">
        <v>12173</v>
      </c>
      <c r="J2519">
        <f>57-318-661-9176</f>
        <v>-10098</v>
      </c>
      <c r="K2519" t="s">
        <v>12174</v>
      </c>
      <c r="N2519" t="s">
        <v>12175</v>
      </c>
      <c r="Z2519" t="s">
        <v>43</v>
      </c>
    </row>
    <row r="2520" spans="1:26" x14ac:dyDescent="0.25">
      <c r="A2520">
        <v>2519</v>
      </c>
      <c r="B2520" t="s">
        <v>30</v>
      </c>
      <c r="C2520" t="s">
        <v>12176</v>
      </c>
      <c r="D2520" t="s">
        <v>12177</v>
      </c>
      <c r="E2520" t="s">
        <v>1338</v>
      </c>
      <c r="F2520" t="s">
        <v>12178</v>
      </c>
      <c r="G2520" t="s">
        <v>2446</v>
      </c>
      <c r="I2520" t="s">
        <v>12179</v>
      </c>
      <c r="K2520" t="s">
        <v>12180</v>
      </c>
      <c r="N2520" t="s">
        <v>12181</v>
      </c>
      <c r="Z2520" t="s">
        <v>43</v>
      </c>
    </row>
    <row r="2521" spans="1:26" x14ac:dyDescent="0.25">
      <c r="A2521">
        <v>2520</v>
      </c>
      <c r="B2521" t="s">
        <v>30</v>
      </c>
      <c r="C2521" t="s">
        <v>12182</v>
      </c>
      <c r="D2521" t="s">
        <v>8942</v>
      </c>
      <c r="E2521" t="s">
        <v>755</v>
      </c>
      <c r="F2521" t="s">
        <v>8943</v>
      </c>
      <c r="G2521" t="s">
        <v>2199</v>
      </c>
      <c r="I2521" t="s">
        <v>12183</v>
      </c>
      <c r="K2521" t="s">
        <v>12184</v>
      </c>
      <c r="N2521" t="s">
        <v>12185</v>
      </c>
      <c r="Z2521" t="s">
        <v>43</v>
      </c>
    </row>
    <row r="2522" spans="1:26" x14ac:dyDescent="0.25">
      <c r="A2522">
        <v>2521</v>
      </c>
      <c r="B2522" t="s">
        <v>30</v>
      </c>
      <c r="C2522" t="s">
        <v>12186</v>
      </c>
      <c r="D2522" t="s">
        <v>12187</v>
      </c>
      <c r="E2522" t="s">
        <v>2936</v>
      </c>
      <c r="F2522" t="s">
        <v>12188</v>
      </c>
      <c r="G2522" t="s">
        <v>2938</v>
      </c>
      <c r="I2522" t="s">
        <v>12189</v>
      </c>
      <c r="J2522">
        <f>57-60-1-310-8677</f>
        <v>-8991</v>
      </c>
      <c r="K2522" t="s">
        <v>12190</v>
      </c>
      <c r="N2522" t="s">
        <v>12191</v>
      </c>
      <c r="Z2522" t="s">
        <v>43</v>
      </c>
    </row>
    <row r="2523" spans="1:26" x14ac:dyDescent="0.25">
      <c r="A2523">
        <v>2522</v>
      </c>
      <c r="B2523" t="s">
        <v>30</v>
      </c>
      <c r="C2523" t="s">
        <v>12192</v>
      </c>
      <c r="D2523" t="s">
        <v>64</v>
      </c>
      <c r="E2523" t="s">
        <v>64</v>
      </c>
      <c r="F2523" t="s">
        <v>65</v>
      </c>
      <c r="G2523" t="s">
        <v>65</v>
      </c>
      <c r="I2523" t="s">
        <v>12193</v>
      </c>
      <c r="K2523" t="s">
        <v>12194</v>
      </c>
      <c r="N2523" t="s">
        <v>12195</v>
      </c>
      <c r="Z2523" t="s">
        <v>43</v>
      </c>
    </row>
    <row r="2524" spans="1:26" x14ac:dyDescent="0.25">
      <c r="A2524">
        <v>2523</v>
      </c>
      <c r="B2524" t="s">
        <v>30</v>
      </c>
      <c r="C2524" t="s">
        <v>12196</v>
      </c>
      <c r="D2524" t="s">
        <v>12197</v>
      </c>
      <c r="E2524" t="s">
        <v>64</v>
      </c>
      <c r="F2524" t="s">
        <v>12198</v>
      </c>
      <c r="G2524" t="s">
        <v>65</v>
      </c>
      <c r="I2524" t="s">
        <v>12199</v>
      </c>
      <c r="J2524">
        <f>57-316-684-1847</f>
        <v>-2790</v>
      </c>
      <c r="K2524" t="s">
        <v>12200</v>
      </c>
      <c r="N2524" t="s">
        <v>12201</v>
      </c>
      <c r="Z2524" t="s">
        <v>43</v>
      </c>
    </row>
    <row r="2525" spans="1:26" x14ac:dyDescent="0.25">
      <c r="A2525">
        <v>2524</v>
      </c>
      <c r="B2525" t="s">
        <v>30</v>
      </c>
      <c r="C2525" t="s">
        <v>12202</v>
      </c>
      <c r="D2525" t="s">
        <v>64</v>
      </c>
      <c r="E2525" t="s">
        <v>64</v>
      </c>
      <c r="F2525" t="s">
        <v>65</v>
      </c>
      <c r="G2525" t="s">
        <v>65</v>
      </c>
      <c r="I2525" t="s">
        <v>12203</v>
      </c>
      <c r="J2525">
        <f>57-311-222-9958</f>
        <v>-10434</v>
      </c>
      <c r="K2525" t="s">
        <v>12204</v>
      </c>
      <c r="N2525" t="s">
        <v>12205</v>
      </c>
      <c r="Z2525" t="s">
        <v>43</v>
      </c>
    </row>
    <row r="2526" spans="1:26" x14ac:dyDescent="0.25">
      <c r="A2526">
        <v>2525</v>
      </c>
      <c r="B2526" t="s">
        <v>30</v>
      </c>
      <c r="C2526" t="s">
        <v>12206</v>
      </c>
      <c r="D2526" t="s">
        <v>1713</v>
      </c>
      <c r="E2526" t="s">
        <v>1658</v>
      </c>
      <c r="F2526" t="s">
        <v>3079</v>
      </c>
      <c r="G2526" t="s">
        <v>1660</v>
      </c>
      <c r="I2526" t="s">
        <v>12207</v>
      </c>
      <c r="K2526" t="s">
        <v>12208</v>
      </c>
      <c r="N2526" t="s">
        <v>12209</v>
      </c>
      <c r="Z2526" t="s">
        <v>43</v>
      </c>
    </row>
    <row r="2527" spans="1:26" x14ac:dyDescent="0.25">
      <c r="A2527">
        <v>2526</v>
      </c>
      <c r="B2527" t="s">
        <v>30</v>
      </c>
      <c r="C2527" t="s">
        <v>12210</v>
      </c>
      <c r="D2527" t="s">
        <v>46</v>
      </c>
      <c r="E2527" t="s">
        <v>471</v>
      </c>
      <c r="F2527" t="s">
        <v>820</v>
      </c>
      <c r="G2527" t="s">
        <v>47</v>
      </c>
      <c r="I2527" t="s">
        <v>12211</v>
      </c>
      <c r="J2527">
        <f>57-314-369-265</f>
        <v>-891</v>
      </c>
      <c r="K2527" t="s">
        <v>12212</v>
      </c>
      <c r="N2527" t="s">
        <v>12213</v>
      </c>
      <c r="Z2527" t="s">
        <v>43</v>
      </c>
    </row>
    <row r="2528" spans="1:26" x14ac:dyDescent="0.25">
      <c r="A2528">
        <v>2527</v>
      </c>
      <c r="B2528" t="s">
        <v>30</v>
      </c>
      <c r="C2528" t="s">
        <v>12214</v>
      </c>
      <c r="D2528" t="s">
        <v>772</v>
      </c>
      <c r="E2528" t="s">
        <v>72</v>
      </c>
      <c r="F2528" t="s">
        <v>3559</v>
      </c>
      <c r="G2528" t="s">
        <v>73</v>
      </c>
      <c r="I2528" t="s">
        <v>12215</v>
      </c>
      <c r="J2528">
        <f>57-321-710-9052</f>
        <v>-10026</v>
      </c>
      <c r="K2528" t="s">
        <v>12216</v>
      </c>
      <c r="N2528" t="s">
        <v>12217</v>
      </c>
      <c r="Z2528" t="s">
        <v>43</v>
      </c>
    </row>
    <row r="2529" spans="1:26" x14ac:dyDescent="0.25">
      <c r="A2529">
        <v>2528</v>
      </c>
      <c r="B2529" t="s">
        <v>30</v>
      </c>
      <c r="C2529" t="s">
        <v>12218</v>
      </c>
      <c r="D2529" t="s">
        <v>12219</v>
      </c>
      <c r="E2529" t="s">
        <v>2157</v>
      </c>
      <c r="F2529" t="s">
        <v>12220</v>
      </c>
      <c r="G2529" t="s">
        <v>2159</v>
      </c>
      <c r="I2529" t="s">
        <v>12221</v>
      </c>
      <c r="J2529">
        <f>57-310-211-4000</f>
        <v>-4464</v>
      </c>
      <c r="K2529" t="s">
        <v>12222</v>
      </c>
      <c r="N2529" t="s">
        <v>12223</v>
      </c>
      <c r="Z2529" t="s">
        <v>43</v>
      </c>
    </row>
    <row r="2530" spans="1:26" x14ac:dyDescent="0.25">
      <c r="A2530">
        <v>2529</v>
      </c>
      <c r="B2530" t="s">
        <v>30</v>
      </c>
      <c r="C2530" t="s">
        <v>12224</v>
      </c>
      <c r="D2530" t="s">
        <v>12225</v>
      </c>
      <c r="E2530" t="s">
        <v>471</v>
      </c>
      <c r="F2530" t="s">
        <v>12226</v>
      </c>
      <c r="G2530" t="s">
        <v>47</v>
      </c>
      <c r="I2530" t="s">
        <v>12227</v>
      </c>
      <c r="J2530">
        <f>57-311-381-4111</f>
        <v>-4746</v>
      </c>
      <c r="K2530" t="s">
        <v>12228</v>
      </c>
      <c r="N2530" t="s">
        <v>12229</v>
      </c>
      <c r="Z2530" t="s">
        <v>43</v>
      </c>
    </row>
    <row r="2531" spans="1:26" x14ac:dyDescent="0.25">
      <c r="A2531">
        <v>2530</v>
      </c>
      <c r="B2531" t="s">
        <v>30</v>
      </c>
      <c r="C2531" t="s">
        <v>12230</v>
      </c>
      <c r="D2531" t="s">
        <v>384</v>
      </c>
      <c r="E2531" t="s">
        <v>385</v>
      </c>
      <c r="F2531" t="s">
        <v>386</v>
      </c>
      <c r="G2531" t="s">
        <v>387</v>
      </c>
      <c r="I2531" t="s">
        <v>12231</v>
      </c>
      <c r="J2531">
        <f>57-60-1-451-6166</f>
        <v>-6621</v>
      </c>
      <c r="K2531" t="s">
        <v>12232</v>
      </c>
      <c r="N2531" t="s">
        <v>12233</v>
      </c>
      <c r="Z2531" t="s">
        <v>43</v>
      </c>
    </row>
    <row r="2532" spans="1:26" x14ac:dyDescent="0.25">
      <c r="A2532">
        <v>2531</v>
      </c>
      <c r="B2532" t="s">
        <v>30</v>
      </c>
      <c r="C2532" t="s">
        <v>12234</v>
      </c>
      <c r="D2532" t="s">
        <v>3380</v>
      </c>
      <c r="E2532" t="s">
        <v>1217</v>
      </c>
      <c r="F2532" t="s">
        <v>12235</v>
      </c>
      <c r="G2532" t="s">
        <v>2132</v>
      </c>
      <c r="I2532" t="s">
        <v>12236</v>
      </c>
      <c r="K2532" t="s">
        <v>12237</v>
      </c>
      <c r="N2532" t="s">
        <v>12238</v>
      </c>
      <c r="Z2532" t="s">
        <v>43</v>
      </c>
    </row>
    <row r="2533" spans="1:26" x14ac:dyDescent="0.25">
      <c r="A2533">
        <v>2532</v>
      </c>
      <c r="B2533" t="s">
        <v>30</v>
      </c>
      <c r="C2533" t="s">
        <v>12239</v>
      </c>
      <c r="D2533" t="s">
        <v>10181</v>
      </c>
      <c r="E2533" t="s">
        <v>1217</v>
      </c>
      <c r="F2533" t="s">
        <v>12240</v>
      </c>
      <c r="G2533" t="s">
        <v>1530</v>
      </c>
      <c r="I2533" t="s">
        <v>12241</v>
      </c>
      <c r="J2533">
        <f>57-315-418-4566</f>
        <v>-5242</v>
      </c>
      <c r="K2533" t="s">
        <v>12242</v>
      </c>
      <c r="N2533" t="s">
        <v>12243</v>
      </c>
      <c r="Z2533" t="s">
        <v>43</v>
      </c>
    </row>
    <row r="2534" spans="1:26" x14ac:dyDescent="0.25">
      <c r="A2534">
        <v>2533</v>
      </c>
      <c r="B2534" t="s">
        <v>30</v>
      </c>
      <c r="C2534" t="s">
        <v>12244</v>
      </c>
      <c r="D2534" t="s">
        <v>909</v>
      </c>
      <c r="E2534" t="s">
        <v>56</v>
      </c>
      <c r="F2534" t="s">
        <v>12245</v>
      </c>
      <c r="G2534" t="s">
        <v>57</v>
      </c>
      <c r="I2534" t="s">
        <v>12246</v>
      </c>
      <c r="J2534">
        <f>57-310-723-52</f>
        <v>-1028</v>
      </c>
      <c r="K2534" t="s">
        <v>12247</v>
      </c>
      <c r="N2534" t="s">
        <v>12248</v>
      </c>
      <c r="Z2534" t="s">
        <v>43</v>
      </c>
    </row>
    <row r="2535" spans="1:26" x14ac:dyDescent="0.25">
      <c r="A2535">
        <v>2534</v>
      </c>
      <c r="B2535" t="s">
        <v>30</v>
      </c>
      <c r="C2535" t="s">
        <v>12249</v>
      </c>
      <c r="D2535" t="s">
        <v>12250</v>
      </c>
      <c r="E2535" t="s">
        <v>755</v>
      </c>
      <c r="F2535" t="s">
        <v>12251</v>
      </c>
      <c r="G2535" t="s">
        <v>757</v>
      </c>
      <c r="I2535" t="s">
        <v>12252</v>
      </c>
      <c r="J2535">
        <f>57-312-564-5826</f>
        <v>-6645</v>
      </c>
      <c r="K2535" t="s">
        <v>12253</v>
      </c>
      <c r="N2535" t="s">
        <v>12254</v>
      </c>
      <c r="Z2535" t="s">
        <v>43</v>
      </c>
    </row>
    <row r="2536" spans="1:26" x14ac:dyDescent="0.25">
      <c r="A2536">
        <v>2535</v>
      </c>
      <c r="B2536" t="s">
        <v>30</v>
      </c>
      <c r="C2536" t="s">
        <v>12255</v>
      </c>
      <c r="D2536" t="s">
        <v>12256</v>
      </c>
      <c r="E2536" t="s">
        <v>1658</v>
      </c>
      <c r="F2536" t="s">
        <v>12257</v>
      </c>
      <c r="G2536" t="s">
        <v>1660</v>
      </c>
      <c r="I2536" t="s">
        <v>12258</v>
      </c>
      <c r="J2536">
        <f>57-322-405-8553</f>
        <v>-9223</v>
      </c>
      <c r="K2536" t="s">
        <v>12259</v>
      </c>
      <c r="N2536" t="s">
        <v>12260</v>
      </c>
      <c r="Z2536" t="s">
        <v>43</v>
      </c>
    </row>
    <row r="2537" spans="1:26" x14ac:dyDescent="0.25">
      <c r="A2537">
        <v>2536</v>
      </c>
      <c r="B2537" t="s">
        <v>30</v>
      </c>
      <c r="C2537" t="s">
        <v>12261</v>
      </c>
      <c r="D2537" t="s">
        <v>12262</v>
      </c>
      <c r="E2537" t="s">
        <v>56</v>
      </c>
      <c r="F2537" t="s">
        <v>12263</v>
      </c>
      <c r="G2537" t="s">
        <v>57</v>
      </c>
      <c r="I2537" t="s">
        <v>12264</v>
      </c>
      <c r="K2537" t="s">
        <v>12265</v>
      </c>
      <c r="N2537" t="s">
        <v>12266</v>
      </c>
      <c r="Z2537" t="s">
        <v>43</v>
      </c>
    </row>
    <row r="2538" spans="1:26" x14ac:dyDescent="0.25">
      <c r="A2538">
        <v>2537</v>
      </c>
      <c r="B2538" t="s">
        <v>30</v>
      </c>
      <c r="C2538" t="s">
        <v>12267</v>
      </c>
      <c r="D2538" t="s">
        <v>8036</v>
      </c>
      <c r="E2538" t="s">
        <v>56</v>
      </c>
      <c r="F2538" t="s">
        <v>8037</v>
      </c>
      <c r="G2538" t="s">
        <v>57</v>
      </c>
      <c r="I2538" t="s">
        <v>12268</v>
      </c>
      <c r="J2538">
        <f>57-321-484-3506</f>
        <v>-4254</v>
      </c>
      <c r="K2538" t="s">
        <v>12269</v>
      </c>
      <c r="N2538" t="s">
        <v>12270</v>
      </c>
      <c r="Z2538" t="s">
        <v>43</v>
      </c>
    </row>
    <row r="2539" spans="1:26" x14ac:dyDescent="0.25">
      <c r="A2539">
        <v>2538</v>
      </c>
      <c r="B2539" t="s">
        <v>30</v>
      </c>
      <c r="C2539" t="s">
        <v>12271</v>
      </c>
      <c r="D2539" t="s">
        <v>2585</v>
      </c>
      <c r="E2539" t="s">
        <v>3657</v>
      </c>
      <c r="F2539" t="s">
        <v>12272</v>
      </c>
      <c r="G2539" t="s">
        <v>3659</v>
      </c>
      <c r="I2539" t="s">
        <v>12273</v>
      </c>
      <c r="J2539">
        <f>57-319-502-3434</f>
        <v>-4198</v>
      </c>
      <c r="K2539" t="s">
        <v>12274</v>
      </c>
      <c r="N2539" t="s">
        <v>12275</v>
      </c>
      <c r="Z2539" t="s">
        <v>43</v>
      </c>
    </row>
    <row r="2540" spans="1:26" x14ac:dyDescent="0.25">
      <c r="A2540">
        <v>2539</v>
      </c>
      <c r="B2540" t="s">
        <v>30</v>
      </c>
      <c r="C2540" t="s">
        <v>12276</v>
      </c>
      <c r="D2540" t="s">
        <v>12277</v>
      </c>
      <c r="E2540" t="s">
        <v>1217</v>
      </c>
      <c r="F2540" t="s">
        <v>12278</v>
      </c>
      <c r="G2540" t="s">
        <v>1530</v>
      </c>
      <c r="I2540" t="s">
        <v>12279</v>
      </c>
      <c r="K2540" t="s">
        <v>12280</v>
      </c>
      <c r="N2540" t="s">
        <v>12281</v>
      </c>
      <c r="Z2540" t="s">
        <v>43</v>
      </c>
    </row>
    <row r="2541" spans="1:26" x14ac:dyDescent="0.25">
      <c r="A2541">
        <v>2540</v>
      </c>
      <c r="B2541" t="s">
        <v>30</v>
      </c>
      <c r="C2541" t="s">
        <v>12282</v>
      </c>
      <c r="D2541" t="s">
        <v>899</v>
      </c>
      <c r="E2541" t="s">
        <v>1217</v>
      </c>
      <c r="F2541" t="s">
        <v>2456</v>
      </c>
      <c r="G2541" t="s">
        <v>2132</v>
      </c>
      <c r="I2541" t="s">
        <v>12283</v>
      </c>
      <c r="K2541" t="s">
        <v>12284</v>
      </c>
      <c r="N2541" t="s">
        <v>12285</v>
      </c>
      <c r="Z2541" t="s">
        <v>43</v>
      </c>
    </row>
    <row r="2542" spans="1:26" x14ac:dyDescent="0.25">
      <c r="A2542">
        <v>2541</v>
      </c>
      <c r="B2542" t="s">
        <v>30</v>
      </c>
      <c r="C2542" t="s">
        <v>12286</v>
      </c>
      <c r="D2542" t="s">
        <v>12287</v>
      </c>
      <c r="E2542" t="s">
        <v>8690</v>
      </c>
      <c r="F2542" t="s">
        <v>12288</v>
      </c>
      <c r="G2542" t="s">
        <v>8692</v>
      </c>
      <c r="I2542" t="s">
        <v>12289</v>
      </c>
      <c r="K2542" t="s">
        <v>12290</v>
      </c>
      <c r="N2542" t="s">
        <v>12291</v>
      </c>
      <c r="Z2542" t="s">
        <v>43</v>
      </c>
    </row>
    <row r="2543" spans="1:26" x14ac:dyDescent="0.25">
      <c r="A2543">
        <v>2542</v>
      </c>
      <c r="B2543" t="s">
        <v>30</v>
      </c>
      <c r="C2543" t="s">
        <v>12292</v>
      </c>
      <c r="D2543" t="s">
        <v>1805</v>
      </c>
      <c r="E2543" t="s">
        <v>56</v>
      </c>
      <c r="F2543" t="s">
        <v>4959</v>
      </c>
      <c r="G2543" t="s">
        <v>57</v>
      </c>
      <c r="I2543" t="s">
        <v>12293</v>
      </c>
      <c r="J2543">
        <f>57-310-309-8031</f>
        <v>-8593</v>
      </c>
      <c r="K2543" t="s">
        <v>12294</v>
      </c>
      <c r="N2543" t="s">
        <v>12295</v>
      </c>
      <c r="Z2543" t="s">
        <v>43</v>
      </c>
    </row>
    <row r="2544" spans="1:26" x14ac:dyDescent="0.25">
      <c r="A2544">
        <v>2543</v>
      </c>
      <c r="B2544" t="s">
        <v>30</v>
      </c>
      <c r="C2544" t="s">
        <v>12296</v>
      </c>
      <c r="D2544" t="s">
        <v>2585</v>
      </c>
      <c r="E2544" t="s">
        <v>56</v>
      </c>
      <c r="F2544" t="s">
        <v>2586</v>
      </c>
      <c r="G2544" t="s">
        <v>57</v>
      </c>
      <c r="I2544" t="s">
        <v>12297</v>
      </c>
      <c r="K2544" t="s">
        <v>12298</v>
      </c>
      <c r="N2544" t="s">
        <v>11004</v>
      </c>
      <c r="Z2544" t="s">
        <v>43</v>
      </c>
    </row>
    <row r="2545" spans="1:26" x14ac:dyDescent="0.25">
      <c r="A2545">
        <v>2544</v>
      </c>
      <c r="B2545" t="s">
        <v>30</v>
      </c>
      <c r="C2545" t="s">
        <v>12299</v>
      </c>
      <c r="D2545" t="s">
        <v>12300</v>
      </c>
      <c r="E2545" t="s">
        <v>56</v>
      </c>
      <c r="F2545" t="s">
        <v>12301</v>
      </c>
      <c r="G2545" t="s">
        <v>57</v>
      </c>
      <c r="I2545" t="s">
        <v>12302</v>
      </c>
      <c r="K2545" t="s">
        <v>12303</v>
      </c>
      <c r="N2545" t="s">
        <v>12304</v>
      </c>
      <c r="Z2545" t="s">
        <v>43</v>
      </c>
    </row>
    <row r="2546" spans="1:26" x14ac:dyDescent="0.25">
      <c r="A2546">
        <v>2545</v>
      </c>
      <c r="B2546" t="s">
        <v>30</v>
      </c>
      <c r="C2546" t="s">
        <v>12305</v>
      </c>
      <c r="D2546" t="s">
        <v>2467</v>
      </c>
      <c r="E2546" t="s">
        <v>1585</v>
      </c>
      <c r="F2546" t="s">
        <v>2468</v>
      </c>
      <c r="G2546" t="s">
        <v>1587</v>
      </c>
      <c r="I2546" t="s">
        <v>12306</v>
      </c>
      <c r="K2546" t="s">
        <v>12307</v>
      </c>
      <c r="N2546" t="s">
        <v>12308</v>
      </c>
      <c r="Z2546" t="s">
        <v>43</v>
      </c>
    </row>
    <row r="2547" spans="1:26" x14ac:dyDescent="0.25">
      <c r="A2547">
        <v>2546</v>
      </c>
      <c r="B2547" t="s">
        <v>30</v>
      </c>
      <c r="C2547" t="s">
        <v>12309</v>
      </c>
      <c r="D2547" t="s">
        <v>2862</v>
      </c>
      <c r="E2547" t="s">
        <v>56</v>
      </c>
      <c r="F2547" t="s">
        <v>6861</v>
      </c>
      <c r="G2547" t="s">
        <v>57</v>
      </c>
      <c r="I2547" t="s">
        <v>12310</v>
      </c>
      <c r="J2547">
        <f>57-60-1-260-8674</f>
        <v>-8938</v>
      </c>
      <c r="K2547" t="s">
        <v>12311</v>
      </c>
      <c r="N2547" t="s">
        <v>12312</v>
      </c>
      <c r="Z2547" t="s">
        <v>43</v>
      </c>
    </row>
    <row r="2548" spans="1:26" x14ac:dyDescent="0.25">
      <c r="A2548">
        <v>2547</v>
      </c>
      <c r="B2548" t="s">
        <v>30</v>
      </c>
      <c r="C2548" t="s">
        <v>12313</v>
      </c>
      <c r="D2548" t="s">
        <v>12314</v>
      </c>
      <c r="E2548" t="s">
        <v>1792</v>
      </c>
      <c r="F2548" t="s">
        <v>12315</v>
      </c>
      <c r="G2548" t="s">
        <v>1794</v>
      </c>
      <c r="I2548" t="s">
        <v>12316</v>
      </c>
      <c r="K2548" t="s">
        <v>12317</v>
      </c>
      <c r="N2548" t="s">
        <v>12318</v>
      </c>
      <c r="Z2548" t="s">
        <v>43</v>
      </c>
    </row>
    <row r="2549" spans="1:26" x14ac:dyDescent="0.25">
      <c r="A2549">
        <v>2548</v>
      </c>
      <c r="B2549" t="s">
        <v>30</v>
      </c>
      <c r="C2549" t="s">
        <v>12319</v>
      </c>
      <c r="D2549" t="s">
        <v>12320</v>
      </c>
      <c r="E2549" t="s">
        <v>1585</v>
      </c>
      <c r="F2549" t="s">
        <v>12321</v>
      </c>
      <c r="G2549" t="s">
        <v>1587</v>
      </c>
      <c r="I2549" t="s">
        <v>12322</v>
      </c>
      <c r="J2549">
        <f>57-314-334-1051</f>
        <v>-1642</v>
      </c>
      <c r="K2549" t="s">
        <v>12323</v>
      </c>
      <c r="N2549" t="s">
        <v>12324</v>
      </c>
      <c r="Z2549" t="s">
        <v>43</v>
      </c>
    </row>
    <row r="2550" spans="1:26" x14ac:dyDescent="0.25">
      <c r="A2550">
        <v>2549</v>
      </c>
      <c r="B2550" t="s">
        <v>30</v>
      </c>
      <c r="C2550" t="s">
        <v>12325</v>
      </c>
      <c r="D2550" t="s">
        <v>2394</v>
      </c>
      <c r="E2550" t="s">
        <v>471</v>
      </c>
      <c r="F2550" t="s">
        <v>5518</v>
      </c>
      <c r="G2550" t="s">
        <v>47</v>
      </c>
      <c r="I2550" t="s">
        <v>12326</v>
      </c>
      <c r="J2550">
        <f>57-60-1-743-5100</f>
        <v>-5847</v>
      </c>
      <c r="K2550" t="s">
        <v>12327</v>
      </c>
      <c r="N2550" t="s">
        <v>12328</v>
      </c>
      <c r="Z2550" t="s">
        <v>43</v>
      </c>
    </row>
    <row r="2551" spans="1:26" x14ac:dyDescent="0.25">
      <c r="A2551">
        <v>2550</v>
      </c>
      <c r="B2551" t="s">
        <v>30</v>
      </c>
      <c r="C2551" t="s">
        <v>12329</v>
      </c>
      <c r="D2551" t="s">
        <v>46</v>
      </c>
      <c r="E2551" t="s">
        <v>471</v>
      </c>
      <c r="F2551" t="s">
        <v>1708</v>
      </c>
      <c r="G2551" t="s">
        <v>47</v>
      </c>
      <c r="I2551" t="s">
        <v>12330</v>
      </c>
      <c r="K2551" t="s">
        <v>12331</v>
      </c>
      <c r="N2551" t="s">
        <v>12332</v>
      </c>
      <c r="Z2551" t="s">
        <v>43</v>
      </c>
    </row>
    <row r="2552" spans="1:26" x14ac:dyDescent="0.25">
      <c r="A2552">
        <v>2551</v>
      </c>
      <c r="B2552" t="s">
        <v>30</v>
      </c>
      <c r="C2552" t="s">
        <v>12333</v>
      </c>
      <c r="D2552" t="s">
        <v>72</v>
      </c>
      <c r="E2552" t="s">
        <v>72</v>
      </c>
      <c r="F2552" t="s">
        <v>73</v>
      </c>
      <c r="G2552" t="s">
        <v>73</v>
      </c>
      <c r="I2552" t="s">
        <v>12334</v>
      </c>
      <c r="J2552">
        <f>57-311-253-7216</f>
        <v>-7723</v>
      </c>
      <c r="K2552" t="s">
        <v>12335</v>
      </c>
      <c r="N2552" t="s">
        <v>12336</v>
      </c>
      <c r="Z2552" t="s">
        <v>43</v>
      </c>
    </row>
    <row r="2553" spans="1:26" x14ac:dyDescent="0.25">
      <c r="A2553">
        <v>2552</v>
      </c>
      <c r="B2553" t="s">
        <v>30</v>
      </c>
      <c r="C2553" t="s">
        <v>12337</v>
      </c>
      <c r="D2553" t="s">
        <v>12338</v>
      </c>
      <c r="E2553" t="s">
        <v>11044</v>
      </c>
      <c r="F2553" t="s">
        <v>12339</v>
      </c>
      <c r="G2553" t="s">
        <v>11046</v>
      </c>
      <c r="I2553" t="s">
        <v>12340</v>
      </c>
      <c r="K2553" t="s">
        <v>12341</v>
      </c>
      <c r="N2553" t="s">
        <v>12342</v>
      </c>
      <c r="Z2553" t="s">
        <v>43</v>
      </c>
    </row>
    <row r="2554" spans="1:26" x14ac:dyDescent="0.25">
      <c r="A2554">
        <v>2553</v>
      </c>
      <c r="B2554" t="s">
        <v>30</v>
      </c>
      <c r="C2554" t="s">
        <v>12343</v>
      </c>
      <c r="D2554" t="s">
        <v>12344</v>
      </c>
      <c r="E2554" t="s">
        <v>64</v>
      </c>
      <c r="F2554" t="s">
        <v>12345</v>
      </c>
      <c r="G2554" t="s">
        <v>65</v>
      </c>
      <c r="I2554" t="s">
        <v>12346</v>
      </c>
      <c r="J2554">
        <f>57-350-340-6532</f>
        <v>-7165</v>
      </c>
      <c r="K2554" t="s">
        <v>12347</v>
      </c>
      <c r="N2554" t="s">
        <v>12348</v>
      </c>
      <c r="Z2554" t="s">
        <v>43</v>
      </c>
    </row>
    <row r="2555" spans="1:26" x14ac:dyDescent="0.25">
      <c r="A2555">
        <v>2554</v>
      </c>
      <c r="B2555" t="s">
        <v>30</v>
      </c>
      <c r="C2555" t="s">
        <v>12349</v>
      </c>
      <c r="D2555" t="s">
        <v>56</v>
      </c>
      <c r="E2555" t="s">
        <v>56</v>
      </c>
      <c r="F2555" t="s">
        <v>57</v>
      </c>
      <c r="G2555" t="s">
        <v>57</v>
      </c>
      <c r="I2555" t="s">
        <v>12350</v>
      </c>
      <c r="K2555" t="s">
        <v>12351</v>
      </c>
      <c r="N2555" t="s">
        <v>12352</v>
      </c>
      <c r="Z2555" t="s">
        <v>43</v>
      </c>
    </row>
    <row r="2556" spans="1:26" x14ac:dyDescent="0.25">
      <c r="A2556">
        <v>2555</v>
      </c>
      <c r="B2556" t="s">
        <v>30</v>
      </c>
      <c r="C2556" t="s">
        <v>12353</v>
      </c>
      <c r="D2556" t="s">
        <v>899</v>
      </c>
      <c r="E2556" t="s">
        <v>471</v>
      </c>
      <c r="F2556" t="s">
        <v>12354</v>
      </c>
      <c r="G2556" t="s">
        <v>47</v>
      </c>
      <c r="I2556" t="s">
        <v>12355</v>
      </c>
      <c r="J2556">
        <f>57-320-899-6109</f>
        <v>-7271</v>
      </c>
      <c r="K2556" t="s">
        <v>12356</v>
      </c>
      <c r="N2556" t="s">
        <v>12357</v>
      </c>
      <c r="Z2556" t="s">
        <v>43</v>
      </c>
    </row>
    <row r="2557" spans="1:26" x14ac:dyDescent="0.25">
      <c r="A2557">
        <v>2556</v>
      </c>
      <c r="B2557" t="s">
        <v>30</v>
      </c>
      <c r="C2557" t="s">
        <v>12358</v>
      </c>
      <c r="D2557" t="s">
        <v>1268</v>
      </c>
      <c r="E2557" t="s">
        <v>56</v>
      </c>
      <c r="F2557" t="s">
        <v>12359</v>
      </c>
      <c r="G2557" t="s">
        <v>57</v>
      </c>
      <c r="I2557" t="s">
        <v>12360</v>
      </c>
      <c r="J2557">
        <f>57-314-404-8018</f>
        <v>-8679</v>
      </c>
      <c r="K2557" t="s">
        <v>12361</v>
      </c>
      <c r="N2557" t="s">
        <v>12362</v>
      </c>
      <c r="Z2557" t="s">
        <v>43</v>
      </c>
    </row>
    <row r="2558" spans="1:26" x14ac:dyDescent="0.25">
      <c r="A2558">
        <v>2557</v>
      </c>
      <c r="B2558" t="s">
        <v>30</v>
      </c>
      <c r="C2558" t="s">
        <v>12363</v>
      </c>
      <c r="D2558" t="s">
        <v>5695</v>
      </c>
      <c r="E2558" t="s">
        <v>4176</v>
      </c>
      <c r="F2558" t="s">
        <v>5696</v>
      </c>
      <c r="G2558" t="s">
        <v>4178</v>
      </c>
      <c r="I2558" t="s">
        <v>12364</v>
      </c>
      <c r="J2558">
        <f>57-313-863-763</f>
        <v>-1882</v>
      </c>
      <c r="K2558" t="s">
        <v>12365</v>
      </c>
      <c r="N2558" t="s">
        <v>12366</v>
      </c>
      <c r="Z2558" t="s">
        <v>43</v>
      </c>
    </row>
    <row r="2559" spans="1:26" x14ac:dyDescent="0.25">
      <c r="A2559">
        <v>2558</v>
      </c>
      <c r="B2559" t="s">
        <v>30</v>
      </c>
      <c r="C2559" t="s">
        <v>12367</v>
      </c>
      <c r="D2559" t="s">
        <v>12368</v>
      </c>
      <c r="E2559" t="s">
        <v>56</v>
      </c>
      <c r="F2559" t="s">
        <v>12369</v>
      </c>
      <c r="G2559" t="s">
        <v>57</v>
      </c>
      <c r="I2559" t="s">
        <v>12370</v>
      </c>
      <c r="J2559">
        <f>57-302-219-2404</f>
        <v>-2868</v>
      </c>
      <c r="K2559" t="s">
        <v>12371</v>
      </c>
      <c r="N2559" t="s">
        <v>12372</v>
      </c>
      <c r="Z2559" t="s">
        <v>43</v>
      </c>
    </row>
    <row r="2560" spans="1:26" x14ac:dyDescent="0.25">
      <c r="A2560">
        <v>2559</v>
      </c>
      <c r="B2560" t="s">
        <v>30</v>
      </c>
      <c r="C2560" t="s">
        <v>12373</v>
      </c>
      <c r="D2560" t="s">
        <v>12374</v>
      </c>
      <c r="E2560" t="s">
        <v>56</v>
      </c>
      <c r="F2560" t="s">
        <v>12375</v>
      </c>
      <c r="G2560" t="s">
        <v>57</v>
      </c>
      <c r="I2560" t="s">
        <v>12376</v>
      </c>
      <c r="K2560" t="s">
        <v>12377</v>
      </c>
      <c r="N2560" t="s">
        <v>12378</v>
      </c>
      <c r="Z2560" t="s">
        <v>43</v>
      </c>
    </row>
    <row r="2561" spans="1:26" x14ac:dyDescent="0.25">
      <c r="A2561">
        <v>2560</v>
      </c>
      <c r="B2561" t="s">
        <v>30</v>
      </c>
      <c r="C2561" t="s">
        <v>12379</v>
      </c>
      <c r="D2561" t="s">
        <v>1753</v>
      </c>
      <c r="E2561" t="s">
        <v>1269</v>
      </c>
      <c r="F2561" t="s">
        <v>1754</v>
      </c>
      <c r="G2561" t="s">
        <v>1271</v>
      </c>
      <c r="I2561" t="s">
        <v>12380</v>
      </c>
      <c r="J2561">
        <f>57-301-373-663</f>
        <v>-1280</v>
      </c>
      <c r="K2561" t="s">
        <v>12381</v>
      </c>
      <c r="N2561" t="s">
        <v>12382</v>
      </c>
      <c r="Z2561" t="s">
        <v>43</v>
      </c>
    </row>
    <row r="2562" spans="1:26" x14ac:dyDescent="0.25">
      <c r="A2562">
        <v>2561</v>
      </c>
      <c r="B2562" t="s">
        <v>30</v>
      </c>
      <c r="C2562" t="s">
        <v>12383</v>
      </c>
      <c r="D2562" t="s">
        <v>2989</v>
      </c>
      <c r="E2562" t="s">
        <v>1269</v>
      </c>
      <c r="F2562" t="s">
        <v>2990</v>
      </c>
      <c r="G2562" t="s">
        <v>1271</v>
      </c>
      <c r="I2562" t="s">
        <v>12384</v>
      </c>
      <c r="K2562" t="s">
        <v>12385</v>
      </c>
      <c r="N2562" t="s">
        <v>12386</v>
      </c>
      <c r="Z2562" t="s">
        <v>43</v>
      </c>
    </row>
    <row r="2563" spans="1:26" x14ac:dyDescent="0.25">
      <c r="A2563">
        <v>2562</v>
      </c>
      <c r="B2563" t="s">
        <v>30</v>
      </c>
      <c r="C2563" t="s">
        <v>12387</v>
      </c>
      <c r="D2563" t="s">
        <v>12388</v>
      </c>
      <c r="E2563" t="s">
        <v>1760</v>
      </c>
      <c r="F2563" t="s">
        <v>12389</v>
      </c>
      <c r="G2563" t="s">
        <v>1762</v>
      </c>
      <c r="I2563" t="s">
        <v>12390</v>
      </c>
      <c r="J2563">
        <f>57-322-857-6222</f>
        <v>-7344</v>
      </c>
      <c r="K2563" t="s">
        <v>12391</v>
      </c>
      <c r="N2563" t="s">
        <v>12392</v>
      </c>
      <c r="Z2563" t="s">
        <v>43</v>
      </c>
    </row>
    <row r="2564" spans="1:26" x14ac:dyDescent="0.25">
      <c r="A2564">
        <v>2563</v>
      </c>
      <c r="B2564" t="s">
        <v>30</v>
      </c>
      <c r="C2564" t="s">
        <v>12393</v>
      </c>
      <c r="D2564" t="s">
        <v>3364</v>
      </c>
      <c r="E2564" t="s">
        <v>471</v>
      </c>
      <c r="F2564" t="s">
        <v>3365</v>
      </c>
      <c r="G2564" t="s">
        <v>47</v>
      </c>
      <c r="I2564" t="s">
        <v>12394</v>
      </c>
      <c r="J2564">
        <f>57-60-1-927-2788</f>
        <v>-3719</v>
      </c>
      <c r="K2564" t="s">
        <v>12395</v>
      </c>
      <c r="N2564" t="s">
        <v>7256</v>
      </c>
      <c r="Z2564" t="s">
        <v>43</v>
      </c>
    </row>
    <row r="2565" spans="1:26" x14ac:dyDescent="0.25">
      <c r="A2565">
        <v>2564</v>
      </c>
      <c r="B2565" t="s">
        <v>30</v>
      </c>
      <c r="C2565" t="s">
        <v>12396</v>
      </c>
      <c r="D2565" t="s">
        <v>64</v>
      </c>
      <c r="E2565" t="s">
        <v>64</v>
      </c>
      <c r="F2565" t="s">
        <v>65</v>
      </c>
      <c r="G2565" t="s">
        <v>65</v>
      </c>
      <c r="I2565" t="s">
        <v>12397</v>
      </c>
      <c r="K2565" t="s">
        <v>12398</v>
      </c>
      <c r="N2565" t="s">
        <v>12399</v>
      </c>
      <c r="Z2565" t="s">
        <v>43</v>
      </c>
    </row>
    <row r="2566" spans="1:26" x14ac:dyDescent="0.25">
      <c r="A2566">
        <v>2565</v>
      </c>
      <c r="B2566" t="s">
        <v>30</v>
      </c>
      <c r="C2566" t="s">
        <v>12400</v>
      </c>
      <c r="D2566" t="s">
        <v>12401</v>
      </c>
      <c r="E2566" t="s">
        <v>4987</v>
      </c>
      <c r="F2566" t="s">
        <v>12402</v>
      </c>
      <c r="G2566" t="s">
        <v>4989</v>
      </c>
      <c r="I2566" t="s">
        <v>12403</v>
      </c>
      <c r="K2566" t="s">
        <v>12404</v>
      </c>
      <c r="N2566" t="s">
        <v>12405</v>
      </c>
      <c r="Z2566" t="s">
        <v>43</v>
      </c>
    </row>
    <row r="2567" spans="1:26" x14ac:dyDescent="0.25">
      <c r="A2567">
        <v>2566</v>
      </c>
      <c r="B2567" t="s">
        <v>30</v>
      </c>
      <c r="C2567" t="s">
        <v>12406</v>
      </c>
      <c r="D2567" t="s">
        <v>5913</v>
      </c>
      <c r="E2567" t="s">
        <v>1402</v>
      </c>
      <c r="F2567" t="s">
        <v>5914</v>
      </c>
      <c r="G2567" t="s">
        <v>1404</v>
      </c>
      <c r="I2567" t="s">
        <v>12407</v>
      </c>
      <c r="J2567">
        <f>57-313-771-3303</f>
        <v>-4330</v>
      </c>
      <c r="K2567" t="s">
        <v>12408</v>
      </c>
      <c r="N2567" t="s">
        <v>12409</v>
      </c>
      <c r="Z2567" t="s">
        <v>43</v>
      </c>
    </row>
    <row r="2568" spans="1:26" x14ac:dyDescent="0.25">
      <c r="A2568">
        <v>2567</v>
      </c>
      <c r="B2568" t="s">
        <v>30</v>
      </c>
      <c r="C2568" t="s">
        <v>12410</v>
      </c>
      <c r="D2568" t="s">
        <v>12411</v>
      </c>
      <c r="E2568" t="s">
        <v>800</v>
      </c>
      <c r="F2568" t="s">
        <v>12412</v>
      </c>
      <c r="G2568" t="s">
        <v>802</v>
      </c>
      <c r="I2568" t="s">
        <v>12413</v>
      </c>
      <c r="K2568" t="s">
        <v>12414</v>
      </c>
      <c r="N2568" t="s">
        <v>12415</v>
      </c>
      <c r="Z2568" t="s">
        <v>43</v>
      </c>
    </row>
    <row r="2569" spans="1:26" x14ac:dyDescent="0.25">
      <c r="A2569">
        <v>2568</v>
      </c>
      <c r="B2569" t="s">
        <v>30</v>
      </c>
      <c r="C2569" t="s">
        <v>12416</v>
      </c>
      <c r="D2569" t="s">
        <v>72</v>
      </c>
      <c r="E2569" t="s">
        <v>72</v>
      </c>
      <c r="F2569" t="s">
        <v>73</v>
      </c>
      <c r="G2569" t="s">
        <v>73</v>
      </c>
      <c r="I2569" t="s">
        <v>12417</v>
      </c>
      <c r="J2569">
        <f>57-60-1-702-740</f>
        <v>-1446</v>
      </c>
      <c r="K2569" t="s">
        <v>12418</v>
      </c>
      <c r="N2569" t="s">
        <v>12419</v>
      </c>
      <c r="Z2569" t="s">
        <v>43</v>
      </c>
    </row>
    <row r="2570" spans="1:26" x14ac:dyDescent="0.25">
      <c r="A2570">
        <v>2569</v>
      </c>
      <c r="B2570" t="s">
        <v>30</v>
      </c>
      <c r="C2570" t="s">
        <v>12420</v>
      </c>
      <c r="D2570" t="s">
        <v>5172</v>
      </c>
      <c r="E2570" t="s">
        <v>800</v>
      </c>
      <c r="F2570" t="s">
        <v>5173</v>
      </c>
      <c r="G2570" t="s">
        <v>802</v>
      </c>
      <c r="I2570" t="s">
        <v>12421</v>
      </c>
      <c r="K2570" t="s">
        <v>12422</v>
      </c>
      <c r="N2570" t="s">
        <v>12423</v>
      </c>
      <c r="Z2570" t="s">
        <v>43</v>
      </c>
    </row>
    <row r="2571" spans="1:26" x14ac:dyDescent="0.25">
      <c r="A2571">
        <v>2570</v>
      </c>
      <c r="B2571" t="s">
        <v>30</v>
      </c>
      <c r="C2571" t="s">
        <v>12424</v>
      </c>
      <c r="D2571" t="s">
        <v>3287</v>
      </c>
      <c r="E2571" t="s">
        <v>471</v>
      </c>
      <c r="F2571" t="s">
        <v>3288</v>
      </c>
      <c r="G2571" t="s">
        <v>47</v>
      </c>
      <c r="I2571" t="s">
        <v>12425</v>
      </c>
      <c r="J2571">
        <f>57-60-1-761-570</f>
        <v>-1335</v>
      </c>
      <c r="K2571" t="s">
        <v>12426</v>
      </c>
      <c r="N2571" t="s">
        <v>12427</v>
      </c>
      <c r="Z2571" t="s">
        <v>43</v>
      </c>
    </row>
    <row r="2572" spans="1:26" x14ac:dyDescent="0.25">
      <c r="A2572">
        <v>2571</v>
      </c>
      <c r="B2572" t="s">
        <v>30</v>
      </c>
      <c r="C2572" t="s">
        <v>12428</v>
      </c>
      <c r="D2572" t="s">
        <v>46</v>
      </c>
      <c r="E2572" t="s">
        <v>471</v>
      </c>
      <c r="F2572" t="s">
        <v>820</v>
      </c>
      <c r="G2572" t="s">
        <v>47</v>
      </c>
      <c r="I2572" t="s">
        <v>12429</v>
      </c>
      <c r="K2572" t="s">
        <v>12430</v>
      </c>
      <c r="N2572" t="s">
        <v>12431</v>
      </c>
      <c r="Z2572" t="s">
        <v>43</v>
      </c>
    </row>
    <row r="2573" spans="1:26" x14ac:dyDescent="0.25">
      <c r="A2573">
        <v>2572</v>
      </c>
      <c r="B2573" t="s">
        <v>30</v>
      </c>
      <c r="C2573" t="s">
        <v>12432</v>
      </c>
      <c r="D2573" t="s">
        <v>46</v>
      </c>
      <c r="E2573" t="s">
        <v>56</v>
      </c>
      <c r="F2573" t="s">
        <v>820</v>
      </c>
      <c r="G2573" t="s">
        <v>57</v>
      </c>
      <c r="I2573" t="s">
        <v>12433</v>
      </c>
      <c r="K2573" t="s">
        <v>12434</v>
      </c>
      <c r="N2573" t="s">
        <v>12435</v>
      </c>
      <c r="Z2573" t="s">
        <v>43</v>
      </c>
    </row>
    <row r="2574" spans="1:26" x14ac:dyDescent="0.25">
      <c r="A2574">
        <v>2573</v>
      </c>
      <c r="B2574" t="s">
        <v>30</v>
      </c>
      <c r="C2574" t="s">
        <v>12436</v>
      </c>
      <c r="D2574" t="s">
        <v>12437</v>
      </c>
      <c r="E2574" t="s">
        <v>2190</v>
      </c>
      <c r="F2574" t="s">
        <v>12438</v>
      </c>
      <c r="G2574" t="s">
        <v>2192</v>
      </c>
      <c r="I2574" t="s">
        <v>12439</v>
      </c>
      <c r="K2574" t="s">
        <v>12440</v>
      </c>
      <c r="N2574" t="s">
        <v>12441</v>
      </c>
      <c r="Z2574" t="s">
        <v>43</v>
      </c>
    </row>
    <row r="2575" spans="1:26" x14ac:dyDescent="0.25">
      <c r="A2575">
        <v>2574</v>
      </c>
      <c r="B2575" t="s">
        <v>30</v>
      </c>
      <c r="C2575" t="s">
        <v>12442</v>
      </c>
      <c r="D2575" t="s">
        <v>3729</v>
      </c>
      <c r="E2575" t="s">
        <v>1217</v>
      </c>
      <c r="F2575" t="s">
        <v>3730</v>
      </c>
      <c r="G2575" t="s">
        <v>2132</v>
      </c>
      <c r="I2575" t="s">
        <v>12443</v>
      </c>
      <c r="J2575">
        <f>57-317-432-700</f>
        <v>-1392</v>
      </c>
      <c r="K2575" t="s">
        <v>12444</v>
      </c>
      <c r="N2575" t="s">
        <v>12445</v>
      </c>
      <c r="Z2575" t="s">
        <v>43</v>
      </c>
    </row>
    <row r="2576" spans="1:26" x14ac:dyDescent="0.25">
      <c r="A2576">
        <v>2575</v>
      </c>
      <c r="B2576" t="s">
        <v>30</v>
      </c>
      <c r="C2576" t="s">
        <v>12446</v>
      </c>
      <c r="D2576" t="s">
        <v>46</v>
      </c>
      <c r="E2576" t="s">
        <v>471</v>
      </c>
      <c r="F2576" t="s">
        <v>820</v>
      </c>
      <c r="G2576" t="s">
        <v>47</v>
      </c>
      <c r="I2576" t="s">
        <v>12447</v>
      </c>
      <c r="J2576">
        <f>57-317-372-1265</f>
        <v>-1897</v>
      </c>
      <c r="K2576" t="s">
        <v>12448</v>
      </c>
      <c r="N2576" t="s">
        <v>12449</v>
      </c>
      <c r="Z2576" t="s">
        <v>43</v>
      </c>
    </row>
    <row r="2577" spans="1:26" x14ac:dyDescent="0.25">
      <c r="A2577">
        <v>2576</v>
      </c>
      <c r="B2577" t="s">
        <v>30</v>
      </c>
      <c r="C2577" t="s">
        <v>12450</v>
      </c>
      <c r="D2577" t="s">
        <v>384</v>
      </c>
      <c r="E2577" t="s">
        <v>385</v>
      </c>
      <c r="F2577" t="s">
        <v>386</v>
      </c>
      <c r="G2577" t="s">
        <v>387</v>
      </c>
      <c r="I2577" t="s">
        <v>12451</v>
      </c>
      <c r="K2577" t="s">
        <v>12452</v>
      </c>
      <c r="N2577" t="s">
        <v>12453</v>
      </c>
      <c r="Z2577" t="s">
        <v>43</v>
      </c>
    </row>
    <row r="2578" spans="1:26" x14ac:dyDescent="0.25">
      <c r="A2578">
        <v>2577</v>
      </c>
      <c r="B2578" t="s">
        <v>30</v>
      </c>
      <c r="C2578" t="s">
        <v>12454</v>
      </c>
      <c r="D2578" t="s">
        <v>2058</v>
      </c>
      <c r="E2578" t="s">
        <v>56</v>
      </c>
      <c r="F2578" t="s">
        <v>2059</v>
      </c>
      <c r="G2578" t="s">
        <v>57</v>
      </c>
      <c r="I2578" t="s">
        <v>12455</v>
      </c>
      <c r="J2578">
        <f>57-316-311-9154</f>
        <v>-9724</v>
      </c>
      <c r="K2578" t="s">
        <v>12456</v>
      </c>
      <c r="N2578" t="s">
        <v>12457</v>
      </c>
      <c r="Z2578" t="s">
        <v>43</v>
      </c>
    </row>
    <row r="2579" spans="1:26" x14ac:dyDescent="0.25">
      <c r="A2579">
        <v>2578</v>
      </c>
      <c r="B2579" t="s">
        <v>30</v>
      </c>
      <c r="C2579" t="s">
        <v>12458</v>
      </c>
      <c r="D2579" t="s">
        <v>64</v>
      </c>
      <c r="E2579" t="s">
        <v>64</v>
      </c>
      <c r="F2579" t="s">
        <v>65</v>
      </c>
      <c r="G2579" t="s">
        <v>65</v>
      </c>
      <c r="I2579" t="s">
        <v>12459</v>
      </c>
      <c r="K2579" t="s">
        <v>12460</v>
      </c>
      <c r="N2579" t="s">
        <v>12461</v>
      </c>
      <c r="Z2579" t="s">
        <v>43</v>
      </c>
    </row>
    <row r="2580" spans="1:26" x14ac:dyDescent="0.25">
      <c r="A2580">
        <v>2579</v>
      </c>
      <c r="B2580" t="s">
        <v>30</v>
      </c>
      <c r="C2580" t="s">
        <v>12462</v>
      </c>
      <c r="D2580" t="s">
        <v>12463</v>
      </c>
      <c r="E2580" t="s">
        <v>471</v>
      </c>
      <c r="F2580" t="s">
        <v>12464</v>
      </c>
      <c r="G2580" t="s">
        <v>47</v>
      </c>
      <c r="I2580" t="s">
        <v>12465</v>
      </c>
      <c r="K2580" t="s">
        <v>12466</v>
      </c>
      <c r="N2580" t="s">
        <v>12467</v>
      </c>
      <c r="Z2580" t="s">
        <v>43</v>
      </c>
    </row>
    <row r="2581" spans="1:26" x14ac:dyDescent="0.25">
      <c r="A2581">
        <v>2580</v>
      </c>
      <c r="B2581" t="s">
        <v>30</v>
      </c>
      <c r="C2581" t="s">
        <v>12468</v>
      </c>
      <c r="D2581" t="s">
        <v>12469</v>
      </c>
      <c r="E2581" t="s">
        <v>2210</v>
      </c>
      <c r="F2581" t="s">
        <v>12470</v>
      </c>
      <c r="G2581" t="s">
        <v>2212</v>
      </c>
      <c r="I2581" t="s">
        <v>12471</v>
      </c>
      <c r="K2581" t="s">
        <v>12472</v>
      </c>
      <c r="N2581" t="s">
        <v>12473</v>
      </c>
      <c r="Z2581" t="s">
        <v>43</v>
      </c>
    </row>
    <row r="2582" spans="1:26" x14ac:dyDescent="0.25">
      <c r="A2582">
        <v>2581</v>
      </c>
      <c r="B2582" t="s">
        <v>30</v>
      </c>
      <c r="C2582" t="s">
        <v>12474</v>
      </c>
      <c r="D2582" t="s">
        <v>12475</v>
      </c>
      <c r="E2582" t="s">
        <v>9085</v>
      </c>
      <c r="F2582" t="s">
        <v>12476</v>
      </c>
      <c r="G2582" t="s">
        <v>9087</v>
      </c>
      <c r="I2582" t="s">
        <v>12477</v>
      </c>
      <c r="J2582">
        <f>57-60-1-309-6925</f>
        <v>-7238</v>
      </c>
      <c r="K2582" t="s">
        <v>12478</v>
      </c>
      <c r="N2582" t="s">
        <v>12479</v>
      </c>
      <c r="Z2582" t="s">
        <v>43</v>
      </c>
    </row>
    <row r="2583" spans="1:26" x14ac:dyDescent="0.25">
      <c r="A2583">
        <v>2582</v>
      </c>
      <c r="B2583" t="s">
        <v>30</v>
      </c>
      <c r="C2583" t="s">
        <v>12480</v>
      </c>
      <c r="D2583" t="s">
        <v>12481</v>
      </c>
      <c r="E2583" t="s">
        <v>2916</v>
      </c>
      <c r="F2583" t="s">
        <v>12482</v>
      </c>
      <c r="G2583" t="s">
        <v>2918</v>
      </c>
      <c r="I2583" t="s">
        <v>12483</v>
      </c>
      <c r="K2583" t="s">
        <v>12484</v>
      </c>
      <c r="N2583" t="s">
        <v>12485</v>
      </c>
      <c r="Z2583" t="s">
        <v>43</v>
      </c>
    </row>
    <row r="2584" spans="1:26" x14ac:dyDescent="0.25">
      <c r="A2584">
        <v>2583</v>
      </c>
      <c r="B2584" t="s">
        <v>30</v>
      </c>
      <c r="C2584" t="s">
        <v>12486</v>
      </c>
      <c r="D2584" t="s">
        <v>46</v>
      </c>
      <c r="E2584" t="s">
        <v>471</v>
      </c>
      <c r="F2584" t="s">
        <v>820</v>
      </c>
      <c r="G2584" t="s">
        <v>47</v>
      </c>
      <c r="I2584" t="s">
        <v>12487</v>
      </c>
      <c r="K2584" t="s">
        <v>12488</v>
      </c>
      <c r="N2584" t="s">
        <v>12489</v>
      </c>
      <c r="Z2584" t="s">
        <v>43</v>
      </c>
    </row>
    <row r="2585" spans="1:26" x14ac:dyDescent="0.25">
      <c r="A2585">
        <v>2584</v>
      </c>
      <c r="B2585" t="s">
        <v>30</v>
      </c>
      <c r="C2585" t="s">
        <v>12490</v>
      </c>
      <c r="D2585" t="s">
        <v>12491</v>
      </c>
      <c r="E2585" t="s">
        <v>2210</v>
      </c>
      <c r="F2585" t="s">
        <v>12492</v>
      </c>
      <c r="G2585" t="s">
        <v>2212</v>
      </c>
      <c r="H2585" t="s">
        <v>12493</v>
      </c>
      <c r="I2585" t="s">
        <v>12494</v>
      </c>
      <c r="J2585">
        <f>57-60-1-602-3243</f>
        <v>-3849</v>
      </c>
      <c r="K2585" t="s">
        <v>12495</v>
      </c>
      <c r="N2585" t="s">
        <v>12496</v>
      </c>
      <c r="O2585" t="s">
        <v>12497</v>
      </c>
      <c r="Z2585" t="s">
        <v>43</v>
      </c>
    </row>
    <row r="2586" spans="1:26" x14ac:dyDescent="0.25">
      <c r="A2586">
        <v>2585</v>
      </c>
      <c r="B2586" t="s">
        <v>30</v>
      </c>
      <c r="C2586" t="s">
        <v>12498</v>
      </c>
      <c r="D2586" t="s">
        <v>12499</v>
      </c>
      <c r="E2586" t="s">
        <v>64</v>
      </c>
      <c r="F2586" t="s">
        <v>12500</v>
      </c>
      <c r="G2586" t="s">
        <v>65</v>
      </c>
      <c r="I2586" t="s">
        <v>12501</v>
      </c>
      <c r="J2586">
        <f>57-316-832-502</f>
        <v>-1593</v>
      </c>
      <c r="K2586" t="s">
        <v>12502</v>
      </c>
      <c r="N2586" t="s">
        <v>12503</v>
      </c>
      <c r="Z2586" t="s">
        <v>43</v>
      </c>
    </row>
    <row r="2587" spans="1:26" x14ac:dyDescent="0.25">
      <c r="A2587">
        <v>2586</v>
      </c>
      <c r="B2587" t="s">
        <v>30</v>
      </c>
      <c r="C2587" t="s">
        <v>12504</v>
      </c>
      <c r="D2587" t="s">
        <v>1054</v>
      </c>
      <c r="E2587" t="s">
        <v>1055</v>
      </c>
      <c r="F2587" t="s">
        <v>1056</v>
      </c>
      <c r="G2587" t="s">
        <v>1057</v>
      </c>
      <c r="I2587" t="s">
        <v>12505</v>
      </c>
      <c r="J2587">
        <f>57-305-412-2019</f>
        <v>-2679</v>
      </c>
      <c r="K2587" t="s">
        <v>12506</v>
      </c>
      <c r="N2587" t="s">
        <v>12507</v>
      </c>
      <c r="Z2587" t="s">
        <v>43</v>
      </c>
    </row>
    <row r="2588" spans="1:26" x14ac:dyDescent="0.25">
      <c r="A2588">
        <v>2587</v>
      </c>
      <c r="B2588" t="s">
        <v>30</v>
      </c>
      <c r="C2588" t="s">
        <v>12508</v>
      </c>
      <c r="D2588" t="s">
        <v>12509</v>
      </c>
      <c r="E2588" t="s">
        <v>1269</v>
      </c>
      <c r="F2588" t="s">
        <v>12510</v>
      </c>
      <c r="G2588" t="s">
        <v>1271</v>
      </c>
      <c r="I2588" t="s">
        <v>12511</v>
      </c>
      <c r="K2588" t="s">
        <v>12512</v>
      </c>
      <c r="N2588" t="s">
        <v>12513</v>
      </c>
      <c r="Z2588" t="s">
        <v>43</v>
      </c>
    </row>
    <row r="2589" spans="1:26" x14ac:dyDescent="0.25">
      <c r="A2589">
        <v>2588</v>
      </c>
      <c r="B2589" t="s">
        <v>30</v>
      </c>
      <c r="C2589" t="s">
        <v>12514</v>
      </c>
      <c r="D2589" t="s">
        <v>3391</v>
      </c>
      <c r="E2589" t="s">
        <v>1760</v>
      </c>
      <c r="F2589" t="s">
        <v>3392</v>
      </c>
      <c r="G2589" t="s">
        <v>1762</v>
      </c>
      <c r="I2589" t="s">
        <v>12515</v>
      </c>
      <c r="J2589">
        <f>57-314-630-4447</f>
        <v>-5334</v>
      </c>
      <c r="K2589" t="s">
        <v>12516</v>
      </c>
      <c r="N2589" t="s">
        <v>12517</v>
      </c>
      <c r="Z2589" t="s">
        <v>43</v>
      </c>
    </row>
    <row r="2590" spans="1:26" x14ac:dyDescent="0.25">
      <c r="A2590">
        <v>2589</v>
      </c>
      <c r="B2590" t="s">
        <v>30</v>
      </c>
      <c r="C2590" t="s">
        <v>12518</v>
      </c>
      <c r="D2590" t="s">
        <v>12519</v>
      </c>
      <c r="E2590" t="s">
        <v>2117</v>
      </c>
      <c r="F2590" t="s">
        <v>12520</v>
      </c>
      <c r="G2590" t="s">
        <v>2119</v>
      </c>
      <c r="I2590" t="s">
        <v>12521</v>
      </c>
      <c r="J2590">
        <f>57-313-674-4902</f>
        <v>-5832</v>
      </c>
      <c r="K2590" t="s">
        <v>12522</v>
      </c>
      <c r="N2590" t="s">
        <v>12523</v>
      </c>
      <c r="Z2590" t="s">
        <v>43</v>
      </c>
    </row>
    <row r="2591" spans="1:26" x14ac:dyDescent="0.25">
      <c r="A2591">
        <v>2590</v>
      </c>
      <c r="B2591" t="s">
        <v>30</v>
      </c>
      <c r="C2591" t="s">
        <v>12524</v>
      </c>
      <c r="D2591" t="s">
        <v>4421</v>
      </c>
      <c r="E2591" t="s">
        <v>56</v>
      </c>
      <c r="F2591" t="s">
        <v>4422</v>
      </c>
      <c r="G2591" t="s">
        <v>57</v>
      </c>
      <c r="I2591" t="s">
        <v>12525</v>
      </c>
      <c r="J2591">
        <f>57-310-584-2697</f>
        <v>-3534</v>
      </c>
      <c r="K2591" t="s">
        <v>12526</v>
      </c>
      <c r="N2591" t="s">
        <v>12527</v>
      </c>
      <c r="Z2591" t="s">
        <v>43</v>
      </c>
    </row>
    <row r="2592" spans="1:26" x14ac:dyDescent="0.25">
      <c r="A2592">
        <v>2591</v>
      </c>
      <c r="B2592" t="s">
        <v>30</v>
      </c>
      <c r="C2592" t="s">
        <v>12528</v>
      </c>
      <c r="D2592" t="s">
        <v>6556</v>
      </c>
      <c r="E2592" t="s">
        <v>2117</v>
      </c>
      <c r="F2592" t="s">
        <v>6557</v>
      </c>
      <c r="G2592" t="s">
        <v>2119</v>
      </c>
      <c r="I2592" t="s">
        <v>12529</v>
      </c>
      <c r="J2592">
        <f>57-302-413-5306</f>
        <v>-5964</v>
      </c>
      <c r="K2592" t="s">
        <v>12530</v>
      </c>
      <c r="N2592" t="s">
        <v>12531</v>
      </c>
      <c r="Z2592" t="s">
        <v>43</v>
      </c>
    </row>
    <row r="2593" spans="1:26" x14ac:dyDescent="0.25">
      <c r="A2593">
        <v>2592</v>
      </c>
      <c r="B2593" t="s">
        <v>30</v>
      </c>
      <c r="C2593" t="s">
        <v>12532</v>
      </c>
      <c r="D2593" t="s">
        <v>2168</v>
      </c>
      <c r="E2593" t="s">
        <v>800</v>
      </c>
      <c r="F2593" t="s">
        <v>2169</v>
      </c>
      <c r="G2593" t="s">
        <v>802</v>
      </c>
      <c r="I2593" t="s">
        <v>12533</v>
      </c>
      <c r="K2593" t="s">
        <v>12534</v>
      </c>
      <c r="N2593" t="s">
        <v>12535</v>
      </c>
      <c r="Z2593" t="s">
        <v>43</v>
      </c>
    </row>
    <row r="2594" spans="1:26" x14ac:dyDescent="0.25">
      <c r="A2594">
        <v>2593</v>
      </c>
      <c r="B2594" t="s">
        <v>30</v>
      </c>
      <c r="C2594" t="s">
        <v>12536</v>
      </c>
      <c r="D2594" t="s">
        <v>3957</v>
      </c>
      <c r="E2594" t="s">
        <v>72</v>
      </c>
      <c r="F2594" t="s">
        <v>4007</v>
      </c>
      <c r="G2594" t="s">
        <v>73</v>
      </c>
      <c r="I2594" t="s">
        <v>12537</v>
      </c>
      <c r="J2594">
        <f>57-300-609-6018</f>
        <v>-6870</v>
      </c>
      <c r="K2594" t="s">
        <v>12538</v>
      </c>
      <c r="N2594" t="s">
        <v>12539</v>
      </c>
      <c r="Z2594" t="s">
        <v>43</v>
      </c>
    </row>
    <row r="2595" spans="1:26" x14ac:dyDescent="0.25">
      <c r="A2595">
        <v>2594</v>
      </c>
      <c r="B2595" t="s">
        <v>30</v>
      </c>
      <c r="C2595" t="s">
        <v>12540</v>
      </c>
      <c r="D2595" t="s">
        <v>12541</v>
      </c>
      <c r="E2595" t="s">
        <v>800</v>
      </c>
      <c r="F2595" t="s">
        <v>12542</v>
      </c>
      <c r="G2595" t="s">
        <v>802</v>
      </c>
      <c r="I2595" t="s">
        <v>12543</v>
      </c>
      <c r="K2595" t="s">
        <v>12544</v>
      </c>
      <c r="N2595" t="s">
        <v>12545</v>
      </c>
      <c r="Z2595" t="s">
        <v>43</v>
      </c>
    </row>
    <row r="2596" spans="1:26" x14ac:dyDescent="0.25">
      <c r="A2596">
        <v>2595</v>
      </c>
      <c r="B2596" t="s">
        <v>30</v>
      </c>
      <c r="C2596" t="s">
        <v>12546</v>
      </c>
      <c r="D2596" t="s">
        <v>4421</v>
      </c>
      <c r="E2596" t="s">
        <v>471</v>
      </c>
      <c r="F2596" t="s">
        <v>12547</v>
      </c>
      <c r="G2596" t="s">
        <v>47</v>
      </c>
      <c r="I2596" t="s">
        <v>12548</v>
      </c>
      <c r="K2596" t="s">
        <v>12549</v>
      </c>
      <c r="N2596" t="s">
        <v>12550</v>
      </c>
      <c r="Z2596" t="s">
        <v>43</v>
      </c>
    </row>
    <row r="2597" spans="1:26" x14ac:dyDescent="0.25">
      <c r="A2597">
        <v>2596</v>
      </c>
      <c r="B2597" t="s">
        <v>30</v>
      </c>
      <c r="C2597" t="s">
        <v>12551</v>
      </c>
      <c r="D2597" t="s">
        <v>12552</v>
      </c>
      <c r="E2597" t="s">
        <v>2295</v>
      </c>
      <c r="F2597" t="s">
        <v>12553</v>
      </c>
      <c r="G2597" t="s">
        <v>2297</v>
      </c>
      <c r="I2597" t="s">
        <v>12554</v>
      </c>
      <c r="J2597">
        <f>57-60-1-790-3814</f>
        <v>-4608</v>
      </c>
      <c r="K2597" t="s">
        <v>12555</v>
      </c>
      <c r="N2597" t="s">
        <v>12556</v>
      </c>
      <c r="Z2597" t="s">
        <v>43</v>
      </c>
    </row>
    <row r="2598" spans="1:26" x14ac:dyDescent="0.25">
      <c r="A2598">
        <v>2597</v>
      </c>
      <c r="B2598" t="s">
        <v>30</v>
      </c>
      <c r="C2598" t="s">
        <v>12557</v>
      </c>
      <c r="D2598" t="s">
        <v>1154</v>
      </c>
      <c r="E2598" t="s">
        <v>385</v>
      </c>
      <c r="F2598" t="s">
        <v>1156</v>
      </c>
      <c r="G2598" t="s">
        <v>387</v>
      </c>
      <c r="I2598" t="s">
        <v>12558</v>
      </c>
      <c r="J2598">
        <f>57-60-1-238-1724</f>
        <v>-1966</v>
      </c>
      <c r="K2598" t="s">
        <v>12559</v>
      </c>
      <c r="N2598" t="s">
        <v>12560</v>
      </c>
      <c r="Z2598" t="s">
        <v>43</v>
      </c>
    </row>
    <row r="2599" spans="1:26" x14ac:dyDescent="0.25">
      <c r="A2599">
        <v>2598</v>
      </c>
      <c r="B2599" t="s">
        <v>30</v>
      </c>
      <c r="C2599" t="s">
        <v>12561</v>
      </c>
      <c r="D2599" t="s">
        <v>5144</v>
      </c>
      <c r="E2599" t="s">
        <v>56</v>
      </c>
      <c r="F2599" t="s">
        <v>5145</v>
      </c>
      <c r="G2599" t="s">
        <v>57</v>
      </c>
      <c r="I2599" t="s">
        <v>12562</v>
      </c>
      <c r="J2599">
        <f>57-310-867-664</f>
        <v>-1784</v>
      </c>
      <c r="K2599" t="s">
        <v>12563</v>
      </c>
      <c r="N2599" t="s">
        <v>12564</v>
      </c>
      <c r="Z2599" t="s">
        <v>43</v>
      </c>
    </row>
    <row r="2600" spans="1:26" x14ac:dyDescent="0.25">
      <c r="A2600">
        <v>2599</v>
      </c>
      <c r="B2600" t="s">
        <v>30</v>
      </c>
      <c r="C2600" t="s">
        <v>12565</v>
      </c>
      <c r="D2600" t="s">
        <v>5144</v>
      </c>
      <c r="E2600" t="s">
        <v>2936</v>
      </c>
      <c r="F2600" t="s">
        <v>5145</v>
      </c>
      <c r="G2600" t="s">
        <v>2938</v>
      </c>
      <c r="I2600" t="s">
        <v>12566</v>
      </c>
      <c r="K2600" t="s">
        <v>12567</v>
      </c>
      <c r="N2600" t="s">
        <v>12568</v>
      </c>
      <c r="Z2600" t="s">
        <v>43</v>
      </c>
    </row>
    <row r="2601" spans="1:26" x14ac:dyDescent="0.25">
      <c r="A2601">
        <v>2600</v>
      </c>
      <c r="B2601" t="s">
        <v>30</v>
      </c>
      <c r="C2601" t="s">
        <v>12569</v>
      </c>
      <c r="D2601" t="s">
        <v>12570</v>
      </c>
      <c r="E2601" t="s">
        <v>1217</v>
      </c>
      <c r="F2601" t="s">
        <v>12571</v>
      </c>
      <c r="G2601" t="s">
        <v>2132</v>
      </c>
      <c r="I2601" t="s">
        <v>12572</v>
      </c>
      <c r="K2601" t="s">
        <v>12573</v>
      </c>
      <c r="N2601" t="s">
        <v>12574</v>
      </c>
      <c r="Z2601" t="s">
        <v>43</v>
      </c>
    </row>
    <row r="2602" spans="1:26" x14ac:dyDescent="0.25">
      <c r="A2602">
        <v>2601</v>
      </c>
      <c r="B2602" t="s">
        <v>30</v>
      </c>
      <c r="C2602" t="s">
        <v>12575</v>
      </c>
      <c r="D2602" t="s">
        <v>12576</v>
      </c>
      <c r="E2602" t="s">
        <v>2157</v>
      </c>
      <c r="F2602" t="s">
        <v>12577</v>
      </c>
      <c r="G2602" t="s">
        <v>2159</v>
      </c>
      <c r="I2602" t="s">
        <v>12578</v>
      </c>
      <c r="J2602">
        <f>57-312-550-2379</f>
        <v>-3184</v>
      </c>
      <c r="K2602" t="s">
        <v>12579</v>
      </c>
      <c r="N2602" t="s">
        <v>12580</v>
      </c>
      <c r="Z2602" t="s">
        <v>43</v>
      </c>
    </row>
    <row r="2603" spans="1:26" x14ac:dyDescent="0.25">
      <c r="A2603">
        <v>2602</v>
      </c>
      <c r="B2603" t="s">
        <v>30</v>
      </c>
      <c r="C2603" t="s">
        <v>12581</v>
      </c>
      <c r="D2603" t="s">
        <v>12582</v>
      </c>
      <c r="E2603" t="s">
        <v>948</v>
      </c>
      <c r="F2603" t="s">
        <v>12583</v>
      </c>
      <c r="G2603" t="s">
        <v>950</v>
      </c>
      <c r="I2603" t="s">
        <v>12584</v>
      </c>
      <c r="J2603">
        <f>57-301-729-4123</f>
        <v>-5096</v>
      </c>
      <c r="K2603" t="s">
        <v>12585</v>
      </c>
      <c r="N2603" t="s">
        <v>12586</v>
      </c>
      <c r="Z2603" t="s">
        <v>43</v>
      </c>
    </row>
    <row r="2604" spans="1:26" x14ac:dyDescent="0.25">
      <c r="A2604">
        <v>2603</v>
      </c>
      <c r="B2604" t="s">
        <v>30</v>
      </c>
      <c r="C2604" t="s">
        <v>12587</v>
      </c>
      <c r="D2604" t="s">
        <v>46</v>
      </c>
      <c r="E2604" t="s">
        <v>471</v>
      </c>
      <c r="F2604" t="s">
        <v>820</v>
      </c>
      <c r="G2604" t="s">
        <v>47</v>
      </c>
      <c r="I2604" t="s">
        <v>9931</v>
      </c>
      <c r="J2604">
        <f>57-60-1-334-2186</f>
        <v>-2524</v>
      </c>
      <c r="K2604" t="s">
        <v>9932</v>
      </c>
      <c r="N2604" t="s">
        <v>9933</v>
      </c>
      <c r="Z2604" t="s">
        <v>43</v>
      </c>
    </row>
    <row r="2605" spans="1:26" x14ac:dyDescent="0.25">
      <c r="A2605">
        <v>2604</v>
      </c>
      <c r="B2605" t="s">
        <v>30</v>
      </c>
      <c r="C2605" t="s">
        <v>12588</v>
      </c>
      <c r="D2605" t="s">
        <v>909</v>
      </c>
      <c r="E2605" t="s">
        <v>471</v>
      </c>
      <c r="F2605" t="s">
        <v>910</v>
      </c>
      <c r="G2605" t="s">
        <v>47</v>
      </c>
      <c r="I2605" t="s">
        <v>12589</v>
      </c>
      <c r="J2605">
        <f>57-322-851-656</f>
        <v>-1772</v>
      </c>
      <c r="K2605" t="s">
        <v>12590</v>
      </c>
      <c r="N2605" t="s">
        <v>4014</v>
      </c>
      <c r="Z2605" t="s">
        <v>43</v>
      </c>
    </row>
    <row r="2606" spans="1:26" x14ac:dyDescent="0.25">
      <c r="A2606">
        <v>2605</v>
      </c>
      <c r="B2606" t="s">
        <v>30</v>
      </c>
      <c r="C2606" t="s">
        <v>12591</v>
      </c>
      <c r="D2606" t="s">
        <v>72</v>
      </c>
      <c r="E2606" t="s">
        <v>72</v>
      </c>
      <c r="F2606" t="s">
        <v>73</v>
      </c>
      <c r="G2606" t="s">
        <v>73</v>
      </c>
      <c r="I2606" t="s">
        <v>12592</v>
      </c>
      <c r="J2606">
        <f>57-60-1-743-2130</f>
        <v>-2877</v>
      </c>
      <c r="K2606" t="s">
        <v>12593</v>
      </c>
      <c r="N2606" t="s">
        <v>12594</v>
      </c>
      <c r="Z2606" t="s">
        <v>43</v>
      </c>
    </row>
    <row r="2607" spans="1:26" x14ac:dyDescent="0.25">
      <c r="A2607">
        <v>2606</v>
      </c>
      <c r="B2607" t="s">
        <v>30</v>
      </c>
      <c r="C2607" t="s">
        <v>12595</v>
      </c>
      <c r="D2607" t="s">
        <v>12596</v>
      </c>
      <c r="E2607" t="s">
        <v>1248</v>
      </c>
      <c r="F2607" t="s">
        <v>12597</v>
      </c>
      <c r="G2607" t="s">
        <v>1250</v>
      </c>
      <c r="I2607" t="s">
        <v>12598</v>
      </c>
      <c r="K2607" t="s">
        <v>12599</v>
      </c>
      <c r="N2607" t="s">
        <v>12600</v>
      </c>
      <c r="Z2607" t="s">
        <v>43</v>
      </c>
    </row>
    <row r="2608" spans="1:26" x14ac:dyDescent="0.25">
      <c r="A2608">
        <v>2607</v>
      </c>
      <c r="B2608" t="s">
        <v>30</v>
      </c>
      <c r="C2608" t="s">
        <v>12601</v>
      </c>
      <c r="D2608" t="s">
        <v>12602</v>
      </c>
      <c r="E2608" t="s">
        <v>755</v>
      </c>
      <c r="F2608" t="s">
        <v>12603</v>
      </c>
      <c r="G2608" t="s">
        <v>2199</v>
      </c>
      <c r="I2608" t="s">
        <v>12604</v>
      </c>
      <c r="J2608">
        <f>57-60-1-752-9484</f>
        <v>-10240</v>
      </c>
      <c r="K2608" t="s">
        <v>12605</v>
      </c>
      <c r="N2608" t="s">
        <v>12606</v>
      </c>
      <c r="Z2608" t="s">
        <v>43</v>
      </c>
    </row>
    <row r="2609" spans="1:26" x14ac:dyDescent="0.25">
      <c r="A2609">
        <v>2608</v>
      </c>
      <c r="B2609" t="s">
        <v>30</v>
      </c>
      <c r="C2609" t="s">
        <v>12607</v>
      </c>
      <c r="D2609" t="s">
        <v>7781</v>
      </c>
      <c r="E2609" t="s">
        <v>1760</v>
      </c>
      <c r="F2609" t="s">
        <v>7782</v>
      </c>
      <c r="G2609" t="s">
        <v>1762</v>
      </c>
      <c r="I2609" t="s">
        <v>12608</v>
      </c>
      <c r="J2609">
        <f>57-320-549-5305</f>
        <v>-6117</v>
      </c>
      <c r="K2609" t="s">
        <v>12609</v>
      </c>
      <c r="N2609" t="s">
        <v>12610</v>
      </c>
      <c r="Z2609" t="s">
        <v>43</v>
      </c>
    </row>
    <row r="2610" spans="1:26" x14ac:dyDescent="0.25">
      <c r="A2610">
        <v>2609</v>
      </c>
      <c r="B2610" t="s">
        <v>30</v>
      </c>
      <c r="C2610" t="s">
        <v>12611</v>
      </c>
      <c r="D2610" t="s">
        <v>12612</v>
      </c>
      <c r="E2610" t="s">
        <v>385</v>
      </c>
      <c r="F2610" t="s">
        <v>12613</v>
      </c>
      <c r="G2610" t="s">
        <v>387</v>
      </c>
      <c r="I2610" t="s">
        <v>12614</v>
      </c>
      <c r="K2610" t="s">
        <v>12615</v>
      </c>
      <c r="N2610" t="s">
        <v>12616</v>
      </c>
      <c r="Z2610" t="s">
        <v>43</v>
      </c>
    </row>
    <row r="2611" spans="1:26" x14ac:dyDescent="0.25">
      <c r="A2611">
        <v>2610</v>
      </c>
      <c r="B2611" t="s">
        <v>30</v>
      </c>
      <c r="C2611" t="s">
        <v>12617</v>
      </c>
      <c r="D2611" t="s">
        <v>46</v>
      </c>
      <c r="E2611" t="s">
        <v>56</v>
      </c>
      <c r="F2611" t="s">
        <v>820</v>
      </c>
      <c r="G2611" t="s">
        <v>57</v>
      </c>
      <c r="I2611" t="s">
        <v>12618</v>
      </c>
      <c r="K2611" t="s">
        <v>12619</v>
      </c>
      <c r="N2611" t="s">
        <v>12620</v>
      </c>
      <c r="Z2611" t="s">
        <v>43</v>
      </c>
    </row>
    <row r="2612" spans="1:26" x14ac:dyDescent="0.25">
      <c r="A2612">
        <v>2611</v>
      </c>
      <c r="B2612" t="s">
        <v>30</v>
      </c>
      <c r="C2612" t="s">
        <v>12621</v>
      </c>
      <c r="D2612" t="s">
        <v>12622</v>
      </c>
      <c r="E2612" t="s">
        <v>385</v>
      </c>
      <c r="F2612" t="s">
        <v>12623</v>
      </c>
      <c r="G2612" t="s">
        <v>387</v>
      </c>
      <c r="I2612" t="s">
        <v>12624</v>
      </c>
      <c r="J2612">
        <f>57-301-769-3173</f>
        <v>-4186</v>
      </c>
      <c r="K2612" t="s">
        <v>12625</v>
      </c>
      <c r="N2612" t="s">
        <v>12626</v>
      </c>
      <c r="Z2612" t="s">
        <v>43</v>
      </c>
    </row>
    <row r="2613" spans="1:26" x14ac:dyDescent="0.25">
      <c r="A2613">
        <v>2612</v>
      </c>
      <c r="B2613" t="s">
        <v>30</v>
      </c>
      <c r="C2613" t="s">
        <v>12627</v>
      </c>
      <c r="D2613" t="s">
        <v>1260</v>
      </c>
      <c r="E2613" t="s">
        <v>471</v>
      </c>
      <c r="F2613" t="s">
        <v>5119</v>
      </c>
      <c r="G2613" t="s">
        <v>966</v>
      </c>
      <c r="I2613" t="s">
        <v>12628</v>
      </c>
      <c r="J2613">
        <f>57-60-1-683-2351</f>
        <v>-3038</v>
      </c>
      <c r="K2613" t="s">
        <v>12629</v>
      </c>
      <c r="N2613" t="s">
        <v>12630</v>
      </c>
      <c r="Z2613" t="s">
        <v>43</v>
      </c>
    </row>
    <row r="2614" spans="1:26" x14ac:dyDescent="0.25">
      <c r="A2614">
        <v>2613</v>
      </c>
      <c r="B2614" t="s">
        <v>30</v>
      </c>
      <c r="C2614" t="s">
        <v>12631</v>
      </c>
      <c r="D2614" t="s">
        <v>813</v>
      </c>
      <c r="E2614" t="s">
        <v>72</v>
      </c>
      <c r="F2614" t="s">
        <v>814</v>
      </c>
      <c r="G2614" t="s">
        <v>73</v>
      </c>
      <c r="I2614" t="s">
        <v>12632</v>
      </c>
      <c r="J2614">
        <f>57-315-352-3708</f>
        <v>-4318</v>
      </c>
      <c r="K2614" t="s">
        <v>12633</v>
      </c>
      <c r="N2614" t="s">
        <v>12634</v>
      </c>
      <c r="Z2614" t="s">
        <v>43</v>
      </c>
    </row>
    <row r="2615" spans="1:26" x14ac:dyDescent="0.25">
      <c r="A2615">
        <v>2614</v>
      </c>
      <c r="B2615" t="s">
        <v>30</v>
      </c>
      <c r="C2615" t="s">
        <v>12635</v>
      </c>
      <c r="D2615" t="s">
        <v>2168</v>
      </c>
      <c r="E2615" t="s">
        <v>800</v>
      </c>
      <c r="F2615" t="s">
        <v>2169</v>
      </c>
      <c r="G2615" t="s">
        <v>802</v>
      </c>
      <c r="I2615" t="s">
        <v>12636</v>
      </c>
      <c r="J2615">
        <f>57-60-1-411-3947</f>
        <v>-4362</v>
      </c>
      <c r="K2615" t="s">
        <v>12637</v>
      </c>
      <c r="N2615" t="s">
        <v>12638</v>
      </c>
      <c r="Z2615" t="s">
        <v>43</v>
      </c>
    </row>
    <row r="2616" spans="1:26" x14ac:dyDescent="0.25">
      <c r="A2616">
        <v>2615</v>
      </c>
      <c r="B2616" t="s">
        <v>30</v>
      </c>
      <c r="C2616" t="s">
        <v>12639</v>
      </c>
      <c r="D2616" t="s">
        <v>384</v>
      </c>
      <c r="E2616" t="s">
        <v>56</v>
      </c>
      <c r="F2616" t="s">
        <v>386</v>
      </c>
      <c r="G2616" t="s">
        <v>57</v>
      </c>
      <c r="I2616" t="s">
        <v>12640</v>
      </c>
      <c r="K2616" t="s">
        <v>12641</v>
      </c>
      <c r="N2616" t="s">
        <v>12642</v>
      </c>
      <c r="Z2616" t="s">
        <v>43</v>
      </c>
    </row>
    <row r="2617" spans="1:26" x14ac:dyDescent="0.25">
      <c r="A2617">
        <v>2616</v>
      </c>
      <c r="B2617" t="s">
        <v>30</v>
      </c>
      <c r="C2617" t="s">
        <v>12643</v>
      </c>
      <c r="D2617" t="s">
        <v>772</v>
      </c>
      <c r="E2617" t="s">
        <v>72</v>
      </c>
      <c r="F2617" t="s">
        <v>3559</v>
      </c>
      <c r="G2617" t="s">
        <v>73</v>
      </c>
      <c r="I2617" t="s">
        <v>12644</v>
      </c>
      <c r="K2617" t="s">
        <v>12645</v>
      </c>
      <c r="N2617" t="s">
        <v>12646</v>
      </c>
      <c r="Z2617" t="s">
        <v>43</v>
      </c>
    </row>
    <row r="2618" spans="1:26" x14ac:dyDescent="0.25">
      <c r="A2618">
        <v>2617</v>
      </c>
      <c r="B2618" t="s">
        <v>30</v>
      </c>
      <c r="C2618" t="s">
        <v>12647</v>
      </c>
      <c r="D2618" t="s">
        <v>772</v>
      </c>
      <c r="E2618" t="s">
        <v>471</v>
      </c>
      <c r="F2618" t="s">
        <v>773</v>
      </c>
      <c r="G2618" t="s">
        <v>47</v>
      </c>
      <c r="I2618" t="s">
        <v>12648</v>
      </c>
      <c r="J2618">
        <f>57-320-300-1597</f>
        <v>-2160</v>
      </c>
      <c r="K2618" t="s">
        <v>12649</v>
      </c>
      <c r="N2618" t="s">
        <v>12650</v>
      </c>
      <c r="Z2618" t="s">
        <v>43</v>
      </c>
    </row>
    <row r="2619" spans="1:26" x14ac:dyDescent="0.25">
      <c r="A2619">
        <v>2618</v>
      </c>
      <c r="B2619" t="s">
        <v>30</v>
      </c>
      <c r="C2619" t="s">
        <v>12651</v>
      </c>
      <c r="D2619" t="s">
        <v>772</v>
      </c>
      <c r="E2619" t="s">
        <v>471</v>
      </c>
      <c r="F2619" t="s">
        <v>773</v>
      </c>
      <c r="G2619" t="s">
        <v>47</v>
      </c>
      <c r="I2619" t="s">
        <v>12652</v>
      </c>
      <c r="J2619">
        <f>57-311-512-1876</f>
        <v>-2642</v>
      </c>
      <c r="K2619" t="s">
        <v>12653</v>
      </c>
      <c r="N2619" t="s">
        <v>12654</v>
      </c>
      <c r="Z2619" t="s">
        <v>43</v>
      </c>
    </row>
    <row r="2620" spans="1:26" x14ac:dyDescent="0.25">
      <c r="A2620">
        <v>2619</v>
      </c>
      <c r="B2620" t="s">
        <v>30</v>
      </c>
      <c r="C2620" t="s">
        <v>12655</v>
      </c>
      <c r="D2620" t="s">
        <v>64</v>
      </c>
      <c r="E2620" t="s">
        <v>64</v>
      </c>
      <c r="F2620" t="s">
        <v>65</v>
      </c>
      <c r="G2620" t="s">
        <v>65</v>
      </c>
      <c r="I2620" t="s">
        <v>12656</v>
      </c>
      <c r="J2620">
        <f>57-60-1-547-3504</f>
        <v>-4055</v>
      </c>
      <c r="K2620" t="s">
        <v>12657</v>
      </c>
      <c r="N2620" t="s">
        <v>12658</v>
      </c>
      <c r="Z2620" t="s">
        <v>43</v>
      </c>
    </row>
    <row r="2621" spans="1:26" x14ac:dyDescent="0.25">
      <c r="A2621">
        <v>2620</v>
      </c>
      <c r="B2621" t="s">
        <v>30</v>
      </c>
      <c r="C2621" t="s">
        <v>12659</v>
      </c>
      <c r="D2621" t="s">
        <v>2336</v>
      </c>
      <c r="E2621" t="s">
        <v>471</v>
      </c>
      <c r="F2621" t="s">
        <v>2337</v>
      </c>
      <c r="G2621" t="s">
        <v>47</v>
      </c>
      <c r="I2621" t="s">
        <v>12660</v>
      </c>
      <c r="J2621">
        <f>57-310-320-3252</f>
        <v>-3825</v>
      </c>
      <c r="K2621" t="s">
        <v>12661</v>
      </c>
      <c r="N2621" t="s">
        <v>8190</v>
      </c>
      <c r="Z2621" t="s">
        <v>43</v>
      </c>
    </row>
    <row r="2622" spans="1:26" x14ac:dyDescent="0.25">
      <c r="A2622">
        <v>2621</v>
      </c>
      <c r="B2622" t="s">
        <v>30</v>
      </c>
      <c r="C2622" t="s">
        <v>12662</v>
      </c>
      <c r="D2622" t="s">
        <v>46</v>
      </c>
      <c r="E2622" t="s">
        <v>471</v>
      </c>
      <c r="F2622" t="s">
        <v>820</v>
      </c>
      <c r="G2622" t="s">
        <v>47</v>
      </c>
      <c r="I2622" t="s">
        <v>12663</v>
      </c>
      <c r="J2622">
        <f>57-60-1-232-3212</f>
        <v>-3448</v>
      </c>
      <c r="K2622" t="s">
        <v>12664</v>
      </c>
      <c r="N2622" t="s">
        <v>12665</v>
      </c>
      <c r="Z2622" t="s">
        <v>43</v>
      </c>
    </row>
    <row r="2623" spans="1:26" x14ac:dyDescent="0.25">
      <c r="A2623">
        <v>2622</v>
      </c>
      <c r="B2623" t="s">
        <v>30</v>
      </c>
      <c r="C2623" t="s">
        <v>12666</v>
      </c>
      <c r="D2623" t="s">
        <v>12667</v>
      </c>
      <c r="E2623" t="s">
        <v>8690</v>
      </c>
      <c r="F2623" t="s">
        <v>12668</v>
      </c>
      <c r="G2623" t="s">
        <v>8692</v>
      </c>
      <c r="I2623" t="s">
        <v>12669</v>
      </c>
      <c r="J2623">
        <f>57-311-247-5033</f>
        <v>-5534</v>
      </c>
      <c r="K2623" t="s">
        <v>12670</v>
      </c>
      <c r="N2623" t="s">
        <v>12671</v>
      </c>
      <c r="Z2623" t="s">
        <v>43</v>
      </c>
    </row>
    <row r="2624" spans="1:26" x14ac:dyDescent="0.25">
      <c r="A2624">
        <v>2623</v>
      </c>
      <c r="B2624" t="s">
        <v>30</v>
      </c>
      <c r="C2624" t="s">
        <v>12672</v>
      </c>
      <c r="D2624" t="s">
        <v>46</v>
      </c>
      <c r="E2624" t="s">
        <v>471</v>
      </c>
      <c r="F2624" t="s">
        <v>820</v>
      </c>
      <c r="G2624" t="s">
        <v>47</v>
      </c>
      <c r="I2624" t="s">
        <v>12673</v>
      </c>
      <c r="K2624" t="s">
        <v>12674</v>
      </c>
      <c r="N2624" t="s">
        <v>12675</v>
      </c>
      <c r="Z2624" t="s">
        <v>43</v>
      </c>
    </row>
    <row r="2625" spans="1:26" x14ac:dyDescent="0.25">
      <c r="A2625">
        <v>2624</v>
      </c>
      <c r="B2625" t="s">
        <v>30</v>
      </c>
      <c r="C2625" t="s">
        <v>12676</v>
      </c>
      <c r="D2625" t="s">
        <v>909</v>
      </c>
      <c r="E2625" t="s">
        <v>471</v>
      </c>
      <c r="F2625" t="s">
        <v>1659</v>
      </c>
      <c r="G2625" t="s">
        <v>47</v>
      </c>
      <c r="I2625" t="s">
        <v>12677</v>
      </c>
      <c r="K2625" t="s">
        <v>12678</v>
      </c>
      <c r="N2625" t="s">
        <v>12679</v>
      </c>
      <c r="Z2625" t="s">
        <v>43</v>
      </c>
    </row>
    <row r="2626" spans="1:26" x14ac:dyDescent="0.25">
      <c r="A2626">
        <v>2625</v>
      </c>
      <c r="B2626" t="s">
        <v>30</v>
      </c>
      <c r="C2626" t="s">
        <v>12680</v>
      </c>
      <c r="D2626" t="s">
        <v>1054</v>
      </c>
      <c r="E2626" t="s">
        <v>1055</v>
      </c>
      <c r="F2626" t="s">
        <v>1056</v>
      </c>
      <c r="G2626" t="s">
        <v>1057</v>
      </c>
      <c r="I2626" t="s">
        <v>12681</v>
      </c>
      <c r="J2626">
        <f>57-323-250-7691</f>
        <v>-8207</v>
      </c>
      <c r="K2626" t="s">
        <v>12682</v>
      </c>
      <c r="N2626" t="s">
        <v>12683</v>
      </c>
      <c r="Z2626" t="s">
        <v>43</v>
      </c>
    </row>
    <row r="2627" spans="1:26" x14ac:dyDescent="0.25">
      <c r="A2627">
        <v>2626</v>
      </c>
      <c r="B2627" t="s">
        <v>30</v>
      </c>
      <c r="C2627" t="s">
        <v>12684</v>
      </c>
      <c r="D2627" t="s">
        <v>772</v>
      </c>
      <c r="E2627" t="s">
        <v>72</v>
      </c>
      <c r="F2627" t="s">
        <v>773</v>
      </c>
      <c r="G2627" t="s">
        <v>73</v>
      </c>
      <c r="I2627" t="s">
        <v>12685</v>
      </c>
      <c r="J2627">
        <f>57-313-870-781</f>
        <v>-1907</v>
      </c>
      <c r="K2627" t="s">
        <v>12686</v>
      </c>
      <c r="N2627" t="s">
        <v>12687</v>
      </c>
      <c r="Z2627" t="s">
        <v>43</v>
      </c>
    </row>
    <row r="2628" spans="1:26" x14ac:dyDescent="0.25">
      <c r="A2628">
        <v>2627</v>
      </c>
      <c r="B2628" t="s">
        <v>30</v>
      </c>
      <c r="C2628" t="s">
        <v>12688</v>
      </c>
      <c r="D2628" t="s">
        <v>7429</v>
      </c>
      <c r="E2628" t="s">
        <v>1658</v>
      </c>
      <c r="F2628" t="s">
        <v>7430</v>
      </c>
      <c r="G2628" t="s">
        <v>1660</v>
      </c>
      <c r="I2628" t="s">
        <v>12689</v>
      </c>
      <c r="K2628" t="s">
        <v>12690</v>
      </c>
      <c r="N2628" t="s">
        <v>12691</v>
      </c>
      <c r="Z2628" t="s">
        <v>43</v>
      </c>
    </row>
    <row r="2629" spans="1:26" x14ac:dyDescent="0.25">
      <c r="A2629">
        <v>2628</v>
      </c>
      <c r="B2629" t="s">
        <v>30</v>
      </c>
      <c r="C2629" t="s">
        <v>12692</v>
      </c>
      <c r="D2629" t="s">
        <v>46</v>
      </c>
      <c r="E2629" t="s">
        <v>471</v>
      </c>
      <c r="F2629" t="s">
        <v>820</v>
      </c>
      <c r="G2629" t="s">
        <v>47</v>
      </c>
      <c r="I2629" t="s">
        <v>12693</v>
      </c>
      <c r="J2629">
        <f>57-320-913-6379</f>
        <v>-7555</v>
      </c>
      <c r="K2629" t="s">
        <v>12694</v>
      </c>
      <c r="N2629" t="s">
        <v>11957</v>
      </c>
      <c r="Z2629" t="s">
        <v>43</v>
      </c>
    </row>
    <row r="2630" spans="1:26" x14ac:dyDescent="0.25">
      <c r="A2630">
        <v>2629</v>
      </c>
      <c r="B2630" t="s">
        <v>30</v>
      </c>
      <c r="C2630" t="s">
        <v>12695</v>
      </c>
      <c r="D2630" t="s">
        <v>46</v>
      </c>
      <c r="E2630" t="s">
        <v>471</v>
      </c>
      <c r="F2630" t="s">
        <v>820</v>
      </c>
      <c r="G2630" t="s">
        <v>47</v>
      </c>
      <c r="I2630" t="s">
        <v>12696</v>
      </c>
      <c r="K2630" t="s">
        <v>12697</v>
      </c>
      <c r="N2630" t="s">
        <v>12698</v>
      </c>
      <c r="Z2630" t="s">
        <v>43</v>
      </c>
    </row>
    <row r="2631" spans="1:26" x14ac:dyDescent="0.25">
      <c r="A2631">
        <v>2630</v>
      </c>
      <c r="B2631" t="s">
        <v>30</v>
      </c>
      <c r="C2631" t="s">
        <v>12699</v>
      </c>
      <c r="D2631" t="s">
        <v>46</v>
      </c>
      <c r="E2631" t="s">
        <v>471</v>
      </c>
      <c r="F2631" t="s">
        <v>820</v>
      </c>
      <c r="G2631" t="s">
        <v>47</v>
      </c>
      <c r="I2631" t="s">
        <v>12700</v>
      </c>
      <c r="J2631">
        <f>57-314-269-2058</f>
        <v>-2584</v>
      </c>
      <c r="K2631" t="s">
        <v>12701</v>
      </c>
      <c r="N2631" t="s">
        <v>12702</v>
      </c>
      <c r="Z2631" t="s">
        <v>43</v>
      </c>
    </row>
    <row r="2632" spans="1:26" x14ac:dyDescent="0.25">
      <c r="A2632">
        <v>2631</v>
      </c>
      <c r="B2632" t="s">
        <v>30</v>
      </c>
      <c r="C2632" t="s">
        <v>12703</v>
      </c>
      <c r="D2632" t="s">
        <v>9712</v>
      </c>
      <c r="E2632" t="s">
        <v>2117</v>
      </c>
      <c r="F2632" t="s">
        <v>9713</v>
      </c>
      <c r="G2632" t="s">
        <v>2119</v>
      </c>
      <c r="I2632" t="s">
        <v>9714</v>
      </c>
      <c r="J2632">
        <f>57-301-628-7118</f>
        <v>-7990</v>
      </c>
      <c r="K2632" t="s">
        <v>12704</v>
      </c>
      <c r="N2632" t="s">
        <v>12705</v>
      </c>
      <c r="Z2632" t="s">
        <v>43</v>
      </c>
    </row>
    <row r="2633" spans="1:26" x14ac:dyDescent="0.25">
      <c r="A2633">
        <v>2632</v>
      </c>
      <c r="B2633" t="s">
        <v>30</v>
      </c>
      <c r="C2633" t="s">
        <v>12706</v>
      </c>
      <c r="D2633" t="s">
        <v>1606</v>
      </c>
      <c r="E2633" t="s">
        <v>1658</v>
      </c>
      <c r="F2633" t="s">
        <v>1607</v>
      </c>
      <c r="G2633" t="s">
        <v>1660</v>
      </c>
      <c r="I2633" t="s">
        <v>12707</v>
      </c>
      <c r="K2633" t="s">
        <v>12708</v>
      </c>
      <c r="N2633" t="s">
        <v>12709</v>
      </c>
      <c r="Z2633" t="s">
        <v>43</v>
      </c>
    </row>
    <row r="2634" spans="1:26" x14ac:dyDescent="0.25">
      <c r="A2634">
        <v>2633</v>
      </c>
      <c r="B2634" t="s">
        <v>30</v>
      </c>
      <c r="C2634" t="s">
        <v>12710</v>
      </c>
      <c r="D2634" t="s">
        <v>1260</v>
      </c>
      <c r="E2634" t="s">
        <v>471</v>
      </c>
      <c r="F2634" t="s">
        <v>1665</v>
      </c>
      <c r="G2634" t="s">
        <v>47</v>
      </c>
      <c r="I2634" t="s">
        <v>12711</v>
      </c>
      <c r="J2634">
        <f>57-312-430-7362</f>
        <v>-8047</v>
      </c>
      <c r="K2634" t="s">
        <v>12712</v>
      </c>
      <c r="N2634" t="s">
        <v>12713</v>
      </c>
      <c r="Z2634" t="s">
        <v>43</v>
      </c>
    </row>
    <row r="2635" spans="1:26" x14ac:dyDescent="0.25">
      <c r="A2635">
        <v>2634</v>
      </c>
      <c r="B2635" t="s">
        <v>30</v>
      </c>
      <c r="C2635" t="s">
        <v>12714</v>
      </c>
      <c r="D2635" t="s">
        <v>1606</v>
      </c>
      <c r="E2635" t="s">
        <v>1658</v>
      </c>
      <c r="F2635" t="s">
        <v>1607</v>
      </c>
      <c r="G2635" t="s">
        <v>1660</v>
      </c>
      <c r="I2635" t="s">
        <v>12715</v>
      </c>
      <c r="J2635">
        <f>57-324-636-1373</f>
        <v>-2276</v>
      </c>
      <c r="K2635" t="s">
        <v>12716</v>
      </c>
      <c r="N2635" t="s">
        <v>12717</v>
      </c>
      <c r="Z2635" t="s">
        <v>43</v>
      </c>
    </row>
    <row r="2636" spans="1:26" x14ac:dyDescent="0.25">
      <c r="A2636">
        <v>2635</v>
      </c>
      <c r="B2636" t="s">
        <v>30</v>
      </c>
      <c r="C2636" t="s">
        <v>12718</v>
      </c>
      <c r="D2636" t="s">
        <v>12719</v>
      </c>
      <c r="E2636" t="s">
        <v>3133</v>
      </c>
      <c r="F2636" t="s">
        <v>12720</v>
      </c>
      <c r="G2636" t="s">
        <v>3135</v>
      </c>
      <c r="I2636" t="s">
        <v>12721</v>
      </c>
      <c r="K2636" t="s">
        <v>12722</v>
      </c>
      <c r="N2636" t="s">
        <v>12723</v>
      </c>
      <c r="Z2636" t="s">
        <v>43</v>
      </c>
    </row>
    <row r="2637" spans="1:26" x14ac:dyDescent="0.25">
      <c r="A2637">
        <v>2636</v>
      </c>
      <c r="B2637" t="s">
        <v>30</v>
      </c>
      <c r="C2637" t="s">
        <v>12724</v>
      </c>
      <c r="D2637" t="s">
        <v>12725</v>
      </c>
      <c r="E2637" t="s">
        <v>64</v>
      </c>
      <c r="F2637" t="s">
        <v>12726</v>
      </c>
      <c r="G2637" t="s">
        <v>65</v>
      </c>
      <c r="I2637" t="s">
        <v>12727</v>
      </c>
      <c r="J2637">
        <f>57-60-1-721-117</f>
        <v>-842</v>
      </c>
      <c r="K2637" t="s">
        <v>12728</v>
      </c>
      <c r="N2637" t="s">
        <v>12729</v>
      </c>
      <c r="Z2637" t="s">
        <v>43</v>
      </c>
    </row>
    <row r="2638" spans="1:26" x14ac:dyDescent="0.25">
      <c r="A2638">
        <v>2637</v>
      </c>
      <c r="B2638" t="s">
        <v>30</v>
      </c>
      <c r="C2638" t="s">
        <v>12730</v>
      </c>
      <c r="D2638" t="s">
        <v>12731</v>
      </c>
      <c r="E2638" t="s">
        <v>56</v>
      </c>
      <c r="F2638" t="s">
        <v>12732</v>
      </c>
      <c r="G2638" t="s">
        <v>57</v>
      </c>
      <c r="I2638" t="s">
        <v>12733</v>
      </c>
      <c r="K2638" t="s">
        <v>12734</v>
      </c>
      <c r="N2638" t="s">
        <v>12735</v>
      </c>
      <c r="Z2638" t="s">
        <v>43</v>
      </c>
    </row>
    <row r="2639" spans="1:26" x14ac:dyDescent="0.25">
      <c r="A2639">
        <v>2638</v>
      </c>
      <c r="B2639" t="s">
        <v>30</v>
      </c>
      <c r="C2639" t="s">
        <v>12736</v>
      </c>
      <c r="D2639" t="s">
        <v>12737</v>
      </c>
      <c r="E2639" t="s">
        <v>6023</v>
      </c>
      <c r="F2639" t="s">
        <v>12738</v>
      </c>
      <c r="G2639" t="s">
        <v>6025</v>
      </c>
      <c r="I2639" t="s">
        <v>12739</v>
      </c>
      <c r="J2639">
        <f>57-60-1-218-8770</f>
        <v>-8992</v>
      </c>
      <c r="K2639" t="s">
        <v>12740</v>
      </c>
      <c r="N2639" t="s">
        <v>12741</v>
      </c>
      <c r="Z2639" t="s">
        <v>43</v>
      </c>
    </row>
    <row r="2640" spans="1:26" x14ac:dyDescent="0.25">
      <c r="A2640">
        <v>2639</v>
      </c>
      <c r="B2640" t="s">
        <v>30</v>
      </c>
      <c r="C2640" t="s">
        <v>12742</v>
      </c>
      <c r="D2640" t="s">
        <v>46</v>
      </c>
      <c r="E2640" t="s">
        <v>471</v>
      </c>
      <c r="F2640" t="s">
        <v>820</v>
      </c>
      <c r="G2640" t="s">
        <v>47</v>
      </c>
      <c r="I2640" t="s">
        <v>12743</v>
      </c>
      <c r="J2640">
        <f>57-60-1-656-2228</f>
        <v>-2888</v>
      </c>
      <c r="K2640" t="s">
        <v>12744</v>
      </c>
      <c r="N2640" t="s">
        <v>12745</v>
      </c>
      <c r="Z2640" t="s">
        <v>43</v>
      </c>
    </row>
    <row r="2641" spans="1:26" x14ac:dyDescent="0.25">
      <c r="A2641">
        <v>2640</v>
      </c>
      <c r="B2641" t="s">
        <v>30</v>
      </c>
      <c r="C2641" t="s">
        <v>12746</v>
      </c>
      <c r="D2641" t="s">
        <v>12747</v>
      </c>
      <c r="E2641" t="s">
        <v>9085</v>
      </c>
      <c r="F2641" t="s">
        <v>12748</v>
      </c>
      <c r="G2641" t="s">
        <v>9087</v>
      </c>
      <c r="I2641" t="s">
        <v>12749</v>
      </c>
      <c r="J2641">
        <f>57-310-260-1344</f>
        <v>-1857</v>
      </c>
      <c r="K2641" t="s">
        <v>12750</v>
      </c>
      <c r="N2641" t="s">
        <v>12751</v>
      </c>
      <c r="Z2641" t="s">
        <v>43</v>
      </c>
    </row>
    <row r="2642" spans="1:26" x14ac:dyDescent="0.25">
      <c r="A2642">
        <v>2641</v>
      </c>
      <c r="B2642" t="s">
        <v>30</v>
      </c>
      <c r="C2642" t="s">
        <v>12752</v>
      </c>
      <c r="D2642" t="s">
        <v>9849</v>
      </c>
      <c r="E2642" t="s">
        <v>471</v>
      </c>
      <c r="F2642" t="s">
        <v>12753</v>
      </c>
      <c r="G2642" t="s">
        <v>47</v>
      </c>
      <c r="I2642" t="s">
        <v>12754</v>
      </c>
      <c r="K2642" t="s">
        <v>12755</v>
      </c>
      <c r="N2642" t="s">
        <v>12756</v>
      </c>
      <c r="Z2642" t="s">
        <v>43</v>
      </c>
    </row>
    <row r="2643" spans="1:26" x14ac:dyDescent="0.25">
      <c r="A2643">
        <v>2642</v>
      </c>
      <c r="B2643" t="s">
        <v>30</v>
      </c>
      <c r="C2643" t="s">
        <v>12757</v>
      </c>
      <c r="D2643" t="s">
        <v>1401</v>
      </c>
      <c r="E2643" t="s">
        <v>56</v>
      </c>
      <c r="F2643" t="s">
        <v>1403</v>
      </c>
      <c r="G2643" t="s">
        <v>57</v>
      </c>
      <c r="I2643" t="s">
        <v>12758</v>
      </c>
      <c r="J2643">
        <f>57-310-805-8456</f>
        <v>-9514</v>
      </c>
      <c r="K2643" t="s">
        <v>12759</v>
      </c>
      <c r="N2643" t="s">
        <v>12760</v>
      </c>
      <c r="Z2643" t="s">
        <v>43</v>
      </c>
    </row>
    <row r="2644" spans="1:26" x14ac:dyDescent="0.25">
      <c r="A2644">
        <v>2643</v>
      </c>
      <c r="B2644" t="s">
        <v>30</v>
      </c>
      <c r="C2644" t="s">
        <v>12761</v>
      </c>
      <c r="D2644" t="s">
        <v>2368</v>
      </c>
      <c r="E2644" t="s">
        <v>2210</v>
      </c>
      <c r="F2644" t="s">
        <v>2369</v>
      </c>
      <c r="G2644" t="s">
        <v>2212</v>
      </c>
      <c r="I2644" t="s">
        <v>5246</v>
      </c>
      <c r="J2644">
        <f>57-60-1-347-4558</f>
        <v>-4909</v>
      </c>
      <c r="K2644" t="s">
        <v>183</v>
      </c>
      <c r="N2644" t="s">
        <v>2371</v>
      </c>
      <c r="Z2644" t="s">
        <v>43</v>
      </c>
    </row>
    <row r="2645" spans="1:26" x14ac:dyDescent="0.25">
      <c r="A2645">
        <v>2644</v>
      </c>
      <c r="B2645" t="s">
        <v>30</v>
      </c>
      <c r="C2645" t="s">
        <v>12762</v>
      </c>
      <c r="D2645" t="s">
        <v>46</v>
      </c>
      <c r="E2645" t="s">
        <v>471</v>
      </c>
      <c r="F2645" t="s">
        <v>820</v>
      </c>
      <c r="G2645" t="s">
        <v>47</v>
      </c>
      <c r="I2645" t="s">
        <v>12763</v>
      </c>
      <c r="J2645">
        <f>57-60-1-648-5560</f>
        <v>-6212</v>
      </c>
      <c r="K2645" t="s">
        <v>12764</v>
      </c>
      <c r="N2645" t="s">
        <v>2497</v>
      </c>
      <c r="Z2645" t="s">
        <v>43</v>
      </c>
    </row>
    <row r="2646" spans="1:26" x14ac:dyDescent="0.25">
      <c r="A2646">
        <v>2645</v>
      </c>
      <c r="B2646" t="s">
        <v>30</v>
      </c>
      <c r="C2646" t="s">
        <v>12765</v>
      </c>
      <c r="D2646" t="s">
        <v>813</v>
      </c>
      <c r="E2646" t="s">
        <v>1658</v>
      </c>
      <c r="F2646" t="s">
        <v>814</v>
      </c>
      <c r="G2646" t="s">
        <v>1660</v>
      </c>
      <c r="I2646" t="s">
        <v>12766</v>
      </c>
      <c r="K2646" t="s">
        <v>12767</v>
      </c>
      <c r="N2646" t="s">
        <v>12768</v>
      </c>
      <c r="Z2646" t="s">
        <v>43</v>
      </c>
    </row>
    <row r="2647" spans="1:26" x14ac:dyDescent="0.25">
      <c r="A2647">
        <v>2646</v>
      </c>
      <c r="B2647" t="s">
        <v>30</v>
      </c>
      <c r="C2647" t="s">
        <v>12769</v>
      </c>
      <c r="D2647" t="s">
        <v>46</v>
      </c>
      <c r="E2647" t="s">
        <v>471</v>
      </c>
      <c r="F2647" t="s">
        <v>820</v>
      </c>
      <c r="G2647" t="s">
        <v>47</v>
      </c>
      <c r="I2647" t="s">
        <v>12770</v>
      </c>
      <c r="J2647">
        <f>57-312-439-860</f>
        <v>-1554</v>
      </c>
      <c r="K2647" t="s">
        <v>12771</v>
      </c>
      <c r="N2647" t="s">
        <v>12772</v>
      </c>
      <c r="Z2647" t="s">
        <v>43</v>
      </c>
    </row>
    <row r="2648" spans="1:26" x14ac:dyDescent="0.25">
      <c r="A2648">
        <v>2647</v>
      </c>
      <c r="B2648" t="s">
        <v>30</v>
      </c>
      <c r="C2648" t="s">
        <v>12773</v>
      </c>
      <c r="D2648" t="s">
        <v>12774</v>
      </c>
      <c r="E2648" t="s">
        <v>72</v>
      </c>
      <c r="F2648" t="s">
        <v>12775</v>
      </c>
      <c r="G2648" t="s">
        <v>73</v>
      </c>
      <c r="I2648" t="s">
        <v>9039</v>
      </c>
      <c r="J2648">
        <f>57-60-1-612-2720</f>
        <v>-3336</v>
      </c>
      <c r="K2648" t="s">
        <v>12776</v>
      </c>
      <c r="N2648" t="s">
        <v>9041</v>
      </c>
      <c r="Z2648" t="s">
        <v>43</v>
      </c>
    </row>
    <row r="2649" spans="1:26" x14ac:dyDescent="0.25">
      <c r="A2649">
        <v>2648</v>
      </c>
      <c r="B2649" t="s">
        <v>30</v>
      </c>
      <c r="C2649" t="s">
        <v>12777</v>
      </c>
      <c r="D2649" t="s">
        <v>64</v>
      </c>
      <c r="E2649" t="s">
        <v>64</v>
      </c>
      <c r="F2649" t="s">
        <v>65</v>
      </c>
      <c r="G2649" t="s">
        <v>65</v>
      </c>
      <c r="I2649" t="s">
        <v>12778</v>
      </c>
      <c r="J2649">
        <f>57-311-807-6829</f>
        <v>-7890</v>
      </c>
      <c r="K2649" t="s">
        <v>12779</v>
      </c>
      <c r="N2649" t="s">
        <v>12780</v>
      </c>
      <c r="Z2649" t="s">
        <v>43</v>
      </c>
    </row>
    <row r="2650" spans="1:26" x14ac:dyDescent="0.25">
      <c r="A2650">
        <v>2649</v>
      </c>
      <c r="B2650" t="s">
        <v>30</v>
      </c>
      <c r="C2650" t="s">
        <v>12781</v>
      </c>
      <c r="D2650" t="s">
        <v>12782</v>
      </c>
      <c r="E2650" t="s">
        <v>800</v>
      </c>
      <c r="F2650" t="s">
        <v>12783</v>
      </c>
      <c r="G2650" t="s">
        <v>802</v>
      </c>
      <c r="I2650" t="s">
        <v>12784</v>
      </c>
      <c r="K2650" t="s">
        <v>12785</v>
      </c>
      <c r="N2650" t="s">
        <v>12786</v>
      </c>
      <c r="Z2650" t="s">
        <v>43</v>
      </c>
    </row>
    <row r="2651" spans="1:26" x14ac:dyDescent="0.25">
      <c r="A2651">
        <v>2650</v>
      </c>
      <c r="B2651" t="s">
        <v>30</v>
      </c>
      <c r="C2651" t="s">
        <v>12787</v>
      </c>
      <c r="D2651" t="s">
        <v>12788</v>
      </c>
      <c r="E2651" t="s">
        <v>1338</v>
      </c>
      <c r="F2651" t="s">
        <v>12789</v>
      </c>
      <c r="G2651" t="s">
        <v>1340</v>
      </c>
      <c r="I2651" t="s">
        <v>12790</v>
      </c>
      <c r="J2651">
        <f>57-320-443-2917</f>
        <v>-3623</v>
      </c>
      <c r="K2651" t="s">
        <v>12791</v>
      </c>
      <c r="N2651" t="s">
        <v>12792</v>
      </c>
      <c r="Z2651" t="s">
        <v>43</v>
      </c>
    </row>
    <row r="2652" spans="1:26" x14ac:dyDescent="0.25">
      <c r="A2652">
        <v>2651</v>
      </c>
      <c r="B2652" t="s">
        <v>30</v>
      </c>
      <c r="C2652" t="s">
        <v>12793</v>
      </c>
      <c r="D2652" t="s">
        <v>1260</v>
      </c>
      <c r="E2652" t="s">
        <v>471</v>
      </c>
      <c r="F2652" t="s">
        <v>2204</v>
      </c>
      <c r="G2652" t="s">
        <v>47</v>
      </c>
      <c r="I2652" t="s">
        <v>12794</v>
      </c>
      <c r="K2652" t="s">
        <v>12795</v>
      </c>
      <c r="N2652" t="s">
        <v>12796</v>
      </c>
      <c r="Z2652" t="s">
        <v>43</v>
      </c>
    </row>
    <row r="2653" spans="1:26" x14ac:dyDescent="0.25">
      <c r="A2653">
        <v>2652</v>
      </c>
      <c r="B2653" t="s">
        <v>30</v>
      </c>
      <c r="C2653" t="s">
        <v>12797</v>
      </c>
      <c r="D2653" t="s">
        <v>46</v>
      </c>
      <c r="E2653" t="s">
        <v>471</v>
      </c>
      <c r="F2653" t="s">
        <v>820</v>
      </c>
      <c r="G2653" t="s">
        <v>47</v>
      </c>
      <c r="I2653" t="s">
        <v>12798</v>
      </c>
      <c r="K2653" t="s">
        <v>12799</v>
      </c>
      <c r="N2653" t="s">
        <v>12800</v>
      </c>
      <c r="Z2653" t="s">
        <v>43</v>
      </c>
    </row>
    <row r="2654" spans="1:26" x14ac:dyDescent="0.25">
      <c r="A2654">
        <v>2653</v>
      </c>
      <c r="B2654" t="s">
        <v>30</v>
      </c>
      <c r="C2654" t="s">
        <v>12801</v>
      </c>
      <c r="D2654" t="s">
        <v>12802</v>
      </c>
      <c r="E2654" t="s">
        <v>5179</v>
      </c>
      <c r="F2654" t="s">
        <v>12803</v>
      </c>
      <c r="G2654" t="s">
        <v>5181</v>
      </c>
      <c r="I2654" t="s">
        <v>12804</v>
      </c>
      <c r="J2654">
        <f>57-322-768-3589</f>
        <v>-4622</v>
      </c>
      <c r="K2654" t="s">
        <v>12805</v>
      </c>
      <c r="N2654" t="s">
        <v>12806</v>
      </c>
      <c r="Z2654" t="s">
        <v>43</v>
      </c>
    </row>
    <row r="2655" spans="1:26" x14ac:dyDescent="0.25">
      <c r="A2655">
        <v>2654</v>
      </c>
      <c r="B2655" t="s">
        <v>30</v>
      </c>
      <c r="C2655" t="s">
        <v>12807</v>
      </c>
      <c r="D2655" t="s">
        <v>979</v>
      </c>
      <c r="E2655" t="s">
        <v>1269</v>
      </c>
      <c r="F2655" t="s">
        <v>980</v>
      </c>
      <c r="G2655" t="s">
        <v>1271</v>
      </c>
      <c r="I2655" t="s">
        <v>12808</v>
      </c>
      <c r="J2655">
        <f>57-60-1-215-2510</f>
        <v>-2729</v>
      </c>
      <c r="K2655" t="s">
        <v>12809</v>
      </c>
      <c r="N2655" t="s">
        <v>7361</v>
      </c>
      <c r="Z2655" t="s">
        <v>43</v>
      </c>
    </row>
    <row r="2656" spans="1:26" x14ac:dyDescent="0.25">
      <c r="A2656">
        <v>2655</v>
      </c>
      <c r="B2656" t="s">
        <v>30</v>
      </c>
      <c r="C2656" t="s">
        <v>12810</v>
      </c>
      <c r="D2656" t="s">
        <v>7502</v>
      </c>
      <c r="E2656" t="s">
        <v>1269</v>
      </c>
      <c r="F2656" t="s">
        <v>7503</v>
      </c>
      <c r="G2656" t="s">
        <v>1271</v>
      </c>
      <c r="I2656" t="s">
        <v>1272</v>
      </c>
      <c r="J2656">
        <f>57-60-1-301-6144</f>
        <v>-6449</v>
      </c>
      <c r="K2656" t="s">
        <v>1273</v>
      </c>
      <c r="N2656" t="s">
        <v>12811</v>
      </c>
      <c r="Z2656" t="s">
        <v>43</v>
      </c>
    </row>
    <row r="2657" spans="1:26" x14ac:dyDescent="0.25">
      <c r="A2657">
        <v>2656</v>
      </c>
      <c r="B2657" t="s">
        <v>30</v>
      </c>
      <c r="C2657" t="s">
        <v>12812</v>
      </c>
      <c r="D2657" t="s">
        <v>7502</v>
      </c>
      <c r="E2657" t="s">
        <v>1269</v>
      </c>
      <c r="F2657" t="s">
        <v>7503</v>
      </c>
      <c r="G2657" t="s">
        <v>1271</v>
      </c>
      <c r="I2657" t="s">
        <v>1272</v>
      </c>
      <c r="J2657">
        <f>57-311-863-6820</f>
        <v>-7937</v>
      </c>
      <c r="K2657" t="s">
        <v>1273</v>
      </c>
      <c r="N2657" t="s">
        <v>1274</v>
      </c>
      <c r="Z2657" t="s">
        <v>43</v>
      </c>
    </row>
    <row r="2658" spans="1:26" x14ac:dyDescent="0.25">
      <c r="A2658">
        <v>2657</v>
      </c>
      <c r="B2658" t="s">
        <v>30</v>
      </c>
      <c r="C2658" t="s">
        <v>12813</v>
      </c>
      <c r="D2658" t="s">
        <v>2394</v>
      </c>
      <c r="E2658" t="s">
        <v>56</v>
      </c>
      <c r="F2658" t="s">
        <v>2395</v>
      </c>
      <c r="G2658" t="s">
        <v>57</v>
      </c>
      <c r="I2658" t="s">
        <v>12814</v>
      </c>
      <c r="K2658" t="s">
        <v>12815</v>
      </c>
      <c r="N2658" t="s">
        <v>12816</v>
      </c>
      <c r="Z2658" t="s">
        <v>43</v>
      </c>
    </row>
    <row r="2659" spans="1:26" x14ac:dyDescent="0.25">
      <c r="A2659">
        <v>2658</v>
      </c>
      <c r="B2659" t="s">
        <v>30</v>
      </c>
      <c r="C2659" t="s">
        <v>12817</v>
      </c>
      <c r="D2659" t="s">
        <v>46</v>
      </c>
      <c r="E2659" t="s">
        <v>56</v>
      </c>
      <c r="F2659" t="s">
        <v>820</v>
      </c>
      <c r="G2659" t="s">
        <v>57</v>
      </c>
      <c r="I2659" t="s">
        <v>12818</v>
      </c>
      <c r="K2659" t="s">
        <v>12819</v>
      </c>
      <c r="N2659" t="s">
        <v>4133</v>
      </c>
      <c r="Z2659" t="s">
        <v>43</v>
      </c>
    </row>
    <row r="2660" spans="1:26" x14ac:dyDescent="0.25">
      <c r="A2660">
        <v>2659</v>
      </c>
      <c r="B2660" t="s">
        <v>30</v>
      </c>
      <c r="C2660" t="s">
        <v>12820</v>
      </c>
      <c r="D2660" t="s">
        <v>12821</v>
      </c>
      <c r="E2660" t="s">
        <v>3234</v>
      </c>
      <c r="F2660" t="s">
        <v>12822</v>
      </c>
      <c r="G2660" t="s">
        <v>3236</v>
      </c>
      <c r="I2660" t="s">
        <v>12823</v>
      </c>
      <c r="J2660">
        <f>57-60-1-469-4640</f>
        <v>-5113</v>
      </c>
      <c r="K2660" t="s">
        <v>12824</v>
      </c>
      <c r="N2660" t="s">
        <v>12825</v>
      </c>
      <c r="Z2660" t="s">
        <v>43</v>
      </c>
    </row>
    <row r="2661" spans="1:26" x14ac:dyDescent="0.25">
      <c r="A2661">
        <v>2660</v>
      </c>
      <c r="B2661" t="s">
        <v>30</v>
      </c>
      <c r="C2661" t="s">
        <v>12826</v>
      </c>
      <c r="D2661" t="s">
        <v>46</v>
      </c>
      <c r="E2661" t="s">
        <v>56</v>
      </c>
      <c r="F2661" t="s">
        <v>820</v>
      </c>
      <c r="G2661" t="s">
        <v>57</v>
      </c>
      <c r="I2661" t="s">
        <v>12827</v>
      </c>
      <c r="J2661">
        <f>57-321-475-7430</f>
        <v>-8169</v>
      </c>
      <c r="K2661" t="s">
        <v>12828</v>
      </c>
      <c r="N2661" t="s">
        <v>12829</v>
      </c>
      <c r="Z2661" t="s">
        <v>43</v>
      </c>
    </row>
    <row r="2662" spans="1:26" x14ac:dyDescent="0.25">
      <c r="A2662">
        <v>2661</v>
      </c>
      <c r="B2662" t="s">
        <v>30</v>
      </c>
      <c r="C2662" t="s">
        <v>12830</v>
      </c>
      <c r="D2662" t="s">
        <v>12831</v>
      </c>
      <c r="E2662" t="s">
        <v>471</v>
      </c>
      <c r="F2662" t="s">
        <v>12832</v>
      </c>
      <c r="G2662" t="s">
        <v>47</v>
      </c>
      <c r="I2662" t="s">
        <v>12833</v>
      </c>
      <c r="J2662">
        <f>57-60-1-471-6883</f>
        <v>-7358</v>
      </c>
      <c r="K2662" t="s">
        <v>12834</v>
      </c>
      <c r="N2662" t="s">
        <v>12835</v>
      </c>
      <c r="Z2662" t="s">
        <v>43</v>
      </c>
    </row>
    <row r="2663" spans="1:26" x14ac:dyDescent="0.25">
      <c r="A2663">
        <v>2662</v>
      </c>
      <c r="B2663" t="s">
        <v>30</v>
      </c>
      <c r="C2663" t="s">
        <v>12836</v>
      </c>
      <c r="D2663" t="s">
        <v>12837</v>
      </c>
      <c r="E2663" t="s">
        <v>1055</v>
      </c>
      <c r="F2663" t="s">
        <v>12838</v>
      </c>
      <c r="G2663" t="s">
        <v>1057</v>
      </c>
      <c r="I2663" t="s">
        <v>12839</v>
      </c>
      <c r="K2663" t="s">
        <v>12840</v>
      </c>
      <c r="N2663" t="s">
        <v>12841</v>
      </c>
      <c r="Z2663" t="s">
        <v>43</v>
      </c>
    </row>
    <row r="2664" spans="1:26" x14ac:dyDescent="0.25">
      <c r="A2664">
        <v>2663</v>
      </c>
      <c r="B2664" t="s">
        <v>30</v>
      </c>
      <c r="C2664" t="s">
        <v>12842</v>
      </c>
      <c r="D2664" t="s">
        <v>384</v>
      </c>
      <c r="E2664" t="s">
        <v>56</v>
      </c>
      <c r="F2664" t="s">
        <v>386</v>
      </c>
      <c r="G2664" t="s">
        <v>57</v>
      </c>
      <c r="I2664" t="s">
        <v>12843</v>
      </c>
      <c r="J2664">
        <f>57-301-458-389</f>
        <v>-1091</v>
      </c>
      <c r="K2664" t="s">
        <v>12844</v>
      </c>
      <c r="N2664" t="s">
        <v>12845</v>
      </c>
      <c r="Z2664" t="s">
        <v>43</v>
      </c>
    </row>
    <row r="2665" spans="1:26" x14ac:dyDescent="0.25">
      <c r="A2665">
        <v>2664</v>
      </c>
      <c r="B2665" t="s">
        <v>30</v>
      </c>
      <c r="C2665" t="s">
        <v>12846</v>
      </c>
      <c r="D2665" t="s">
        <v>72</v>
      </c>
      <c r="E2665" t="s">
        <v>72</v>
      </c>
      <c r="F2665" t="s">
        <v>73</v>
      </c>
      <c r="G2665" t="s">
        <v>73</v>
      </c>
      <c r="I2665" t="s">
        <v>12847</v>
      </c>
      <c r="J2665">
        <f>57-321-399-1576</f>
        <v>-2239</v>
      </c>
      <c r="K2665" t="s">
        <v>12848</v>
      </c>
      <c r="N2665" t="s">
        <v>12849</v>
      </c>
      <c r="Z2665" t="s">
        <v>43</v>
      </c>
    </row>
    <row r="2666" spans="1:26" x14ac:dyDescent="0.25">
      <c r="A2666">
        <v>2665</v>
      </c>
      <c r="B2666" t="s">
        <v>30</v>
      </c>
      <c r="C2666" t="s">
        <v>12850</v>
      </c>
      <c r="D2666" t="s">
        <v>2394</v>
      </c>
      <c r="E2666" t="s">
        <v>471</v>
      </c>
      <c r="F2666" t="s">
        <v>2395</v>
      </c>
      <c r="G2666" t="s">
        <v>47</v>
      </c>
      <c r="I2666" t="s">
        <v>12851</v>
      </c>
      <c r="K2666" t="s">
        <v>12852</v>
      </c>
      <c r="N2666" t="s">
        <v>12853</v>
      </c>
      <c r="Z2666" t="s">
        <v>43</v>
      </c>
    </row>
    <row r="2667" spans="1:26" x14ac:dyDescent="0.25">
      <c r="A2667">
        <v>2666</v>
      </c>
      <c r="B2667" t="s">
        <v>30</v>
      </c>
      <c r="C2667" t="s">
        <v>12854</v>
      </c>
      <c r="D2667" t="s">
        <v>1606</v>
      </c>
      <c r="E2667" t="s">
        <v>471</v>
      </c>
      <c r="F2667" t="s">
        <v>1607</v>
      </c>
      <c r="G2667" t="s">
        <v>47</v>
      </c>
      <c r="I2667" t="s">
        <v>12855</v>
      </c>
      <c r="J2667">
        <f>57-320-439-9576</f>
        <v>-10278</v>
      </c>
      <c r="K2667" t="s">
        <v>12856</v>
      </c>
      <c r="N2667" t="s">
        <v>12857</v>
      </c>
      <c r="Z2667" t="s">
        <v>43</v>
      </c>
    </row>
    <row r="2668" spans="1:26" x14ac:dyDescent="0.25">
      <c r="A2668">
        <v>2667</v>
      </c>
      <c r="B2668" t="s">
        <v>30</v>
      </c>
      <c r="C2668" t="s">
        <v>12858</v>
      </c>
      <c r="D2668" t="s">
        <v>909</v>
      </c>
      <c r="E2668" t="s">
        <v>471</v>
      </c>
      <c r="F2668" t="s">
        <v>1659</v>
      </c>
      <c r="G2668" t="s">
        <v>47</v>
      </c>
      <c r="I2668" t="s">
        <v>12859</v>
      </c>
      <c r="K2668" t="s">
        <v>12860</v>
      </c>
      <c r="N2668" t="s">
        <v>12861</v>
      </c>
      <c r="Z2668" t="s">
        <v>43</v>
      </c>
    </row>
    <row r="2669" spans="1:26" x14ac:dyDescent="0.25">
      <c r="A2669">
        <v>2668</v>
      </c>
      <c r="B2669" t="s">
        <v>30</v>
      </c>
      <c r="C2669" t="s">
        <v>12862</v>
      </c>
      <c r="D2669" t="s">
        <v>46</v>
      </c>
      <c r="E2669" t="s">
        <v>471</v>
      </c>
      <c r="F2669" t="s">
        <v>820</v>
      </c>
      <c r="G2669" t="s">
        <v>47</v>
      </c>
      <c r="I2669" t="s">
        <v>12863</v>
      </c>
      <c r="J2669">
        <f>57-312-430-1798</f>
        <v>-2483</v>
      </c>
      <c r="K2669" t="s">
        <v>12864</v>
      </c>
      <c r="N2669" t="s">
        <v>12865</v>
      </c>
      <c r="Z2669" t="s">
        <v>43</v>
      </c>
    </row>
    <row r="2670" spans="1:26" x14ac:dyDescent="0.25">
      <c r="A2670">
        <v>2669</v>
      </c>
      <c r="B2670" t="s">
        <v>30</v>
      </c>
      <c r="C2670" t="s">
        <v>12866</v>
      </c>
      <c r="D2670" t="s">
        <v>46</v>
      </c>
      <c r="E2670" t="s">
        <v>471</v>
      </c>
      <c r="F2670" t="s">
        <v>820</v>
      </c>
      <c r="G2670" t="s">
        <v>47</v>
      </c>
      <c r="I2670" t="s">
        <v>12867</v>
      </c>
      <c r="J2670">
        <f>57-304-529-9358</f>
        <v>-10134</v>
      </c>
      <c r="K2670" t="s">
        <v>12868</v>
      </c>
      <c r="N2670" t="s">
        <v>12869</v>
      </c>
      <c r="Z2670" t="s">
        <v>43</v>
      </c>
    </row>
    <row r="2671" spans="1:26" x14ac:dyDescent="0.25">
      <c r="A2671">
        <v>2670</v>
      </c>
      <c r="B2671" t="s">
        <v>30</v>
      </c>
      <c r="C2671" t="s">
        <v>12870</v>
      </c>
      <c r="D2671" t="s">
        <v>979</v>
      </c>
      <c r="E2671" t="s">
        <v>56</v>
      </c>
      <c r="F2671" t="s">
        <v>980</v>
      </c>
      <c r="G2671" t="s">
        <v>57</v>
      </c>
      <c r="I2671" t="s">
        <v>12871</v>
      </c>
      <c r="K2671" t="s">
        <v>8130</v>
      </c>
      <c r="N2671" t="s">
        <v>8131</v>
      </c>
      <c r="Z2671" t="s">
        <v>43</v>
      </c>
    </row>
    <row r="2672" spans="1:26" x14ac:dyDescent="0.25">
      <c r="A2672">
        <v>2671</v>
      </c>
      <c r="B2672" t="s">
        <v>30</v>
      </c>
      <c r="C2672" t="s">
        <v>12872</v>
      </c>
      <c r="D2672" t="s">
        <v>4427</v>
      </c>
      <c r="E2672" t="s">
        <v>1155</v>
      </c>
      <c r="F2672" t="s">
        <v>4428</v>
      </c>
      <c r="G2672" t="s">
        <v>1157</v>
      </c>
      <c r="I2672" t="s">
        <v>12873</v>
      </c>
      <c r="K2672" t="s">
        <v>12874</v>
      </c>
      <c r="N2672" t="s">
        <v>4431</v>
      </c>
      <c r="Z2672" t="s">
        <v>43</v>
      </c>
    </row>
    <row r="2673" spans="1:26" x14ac:dyDescent="0.25">
      <c r="A2673">
        <v>2672</v>
      </c>
      <c r="B2673" t="s">
        <v>30</v>
      </c>
      <c r="C2673" t="s">
        <v>12875</v>
      </c>
      <c r="D2673" t="s">
        <v>64</v>
      </c>
      <c r="E2673" t="s">
        <v>64</v>
      </c>
      <c r="F2673" t="s">
        <v>3572</v>
      </c>
      <c r="G2673" t="s">
        <v>65</v>
      </c>
      <c r="I2673" t="s">
        <v>12876</v>
      </c>
      <c r="J2673">
        <f>57-60-1-744-7790</f>
        <v>-8538</v>
      </c>
      <c r="K2673" t="s">
        <v>448</v>
      </c>
      <c r="N2673" t="s">
        <v>12877</v>
      </c>
      <c r="Z2673" t="s">
        <v>43</v>
      </c>
    </row>
    <row r="2674" spans="1:26" x14ac:dyDescent="0.25">
      <c r="A2674">
        <v>2673</v>
      </c>
      <c r="B2674" t="s">
        <v>30</v>
      </c>
      <c r="C2674" t="s">
        <v>12878</v>
      </c>
      <c r="D2674" t="s">
        <v>64</v>
      </c>
      <c r="E2674" t="s">
        <v>72</v>
      </c>
      <c r="F2674" t="s">
        <v>3572</v>
      </c>
      <c r="G2674" t="s">
        <v>73</v>
      </c>
      <c r="I2674" t="s">
        <v>12879</v>
      </c>
      <c r="J2674">
        <f>57-60-1-340-8206</f>
        <v>-8550</v>
      </c>
      <c r="K2674" t="s">
        <v>12880</v>
      </c>
      <c r="N2674" t="s">
        <v>12881</v>
      </c>
      <c r="Z2674" t="s">
        <v>43</v>
      </c>
    </row>
    <row r="2675" spans="1:26" x14ac:dyDescent="0.25">
      <c r="A2675">
        <v>2674</v>
      </c>
      <c r="B2675" t="s">
        <v>30</v>
      </c>
      <c r="C2675" t="s">
        <v>12882</v>
      </c>
      <c r="D2675" t="s">
        <v>12883</v>
      </c>
      <c r="E2675" t="s">
        <v>1248</v>
      </c>
      <c r="F2675" t="s">
        <v>12884</v>
      </c>
      <c r="G2675" t="s">
        <v>1250</v>
      </c>
      <c r="I2675" t="s">
        <v>12885</v>
      </c>
      <c r="J2675">
        <f>57-310-803-4760</f>
        <v>-5816</v>
      </c>
      <c r="K2675" t="s">
        <v>12886</v>
      </c>
      <c r="N2675" t="s">
        <v>12887</v>
      </c>
      <c r="Z2675" t="s">
        <v>43</v>
      </c>
    </row>
    <row r="2676" spans="1:26" x14ac:dyDescent="0.25">
      <c r="A2676">
        <v>2675</v>
      </c>
      <c r="B2676" t="s">
        <v>30</v>
      </c>
      <c r="C2676" t="s">
        <v>12888</v>
      </c>
      <c r="D2676" t="s">
        <v>64</v>
      </c>
      <c r="E2676" t="s">
        <v>64</v>
      </c>
      <c r="F2676" t="s">
        <v>65</v>
      </c>
      <c r="G2676" t="s">
        <v>65</v>
      </c>
      <c r="I2676" t="s">
        <v>12889</v>
      </c>
      <c r="J2676">
        <f>57-315-521-9492</f>
        <v>-10271</v>
      </c>
      <c r="K2676" t="s">
        <v>12890</v>
      </c>
      <c r="N2676" t="s">
        <v>12891</v>
      </c>
      <c r="Z2676" t="s">
        <v>43</v>
      </c>
    </row>
    <row r="2677" spans="1:26" x14ac:dyDescent="0.25">
      <c r="A2677">
        <v>2676</v>
      </c>
      <c r="B2677" t="s">
        <v>30</v>
      </c>
      <c r="C2677" t="s">
        <v>12892</v>
      </c>
      <c r="D2677" t="s">
        <v>12893</v>
      </c>
      <c r="E2677" t="s">
        <v>2105</v>
      </c>
      <c r="F2677" t="s">
        <v>12894</v>
      </c>
      <c r="G2677" t="s">
        <v>2107</v>
      </c>
      <c r="I2677" t="s">
        <v>12895</v>
      </c>
      <c r="J2677">
        <f>57-312-129-3821</f>
        <v>-4205</v>
      </c>
      <c r="K2677" t="s">
        <v>12896</v>
      </c>
      <c r="N2677" t="s">
        <v>12897</v>
      </c>
      <c r="Z2677" t="s">
        <v>43</v>
      </c>
    </row>
    <row r="2678" spans="1:26" x14ac:dyDescent="0.25">
      <c r="A2678">
        <v>2677</v>
      </c>
      <c r="B2678" t="s">
        <v>30</v>
      </c>
      <c r="C2678" t="s">
        <v>12898</v>
      </c>
      <c r="D2678" t="s">
        <v>2713</v>
      </c>
      <c r="E2678" t="s">
        <v>64</v>
      </c>
      <c r="F2678" t="s">
        <v>5418</v>
      </c>
      <c r="G2678" t="s">
        <v>65</v>
      </c>
      <c r="I2678" t="s">
        <v>12899</v>
      </c>
      <c r="K2678" t="s">
        <v>12900</v>
      </c>
      <c r="N2678" t="s">
        <v>12901</v>
      </c>
      <c r="Z2678" t="s">
        <v>43</v>
      </c>
    </row>
    <row r="2679" spans="1:26" x14ac:dyDescent="0.25">
      <c r="A2679">
        <v>2678</v>
      </c>
      <c r="B2679" t="s">
        <v>30</v>
      </c>
      <c r="C2679" t="s">
        <v>12902</v>
      </c>
      <c r="D2679" t="s">
        <v>12903</v>
      </c>
      <c r="E2679" t="s">
        <v>471</v>
      </c>
      <c r="F2679" t="s">
        <v>12904</v>
      </c>
      <c r="G2679" t="s">
        <v>47</v>
      </c>
      <c r="I2679" t="s">
        <v>12905</v>
      </c>
      <c r="J2679">
        <f>57-305-385-9660</f>
        <v>-10293</v>
      </c>
      <c r="K2679" t="s">
        <v>12906</v>
      </c>
      <c r="N2679" t="s">
        <v>12907</v>
      </c>
      <c r="Z2679" t="s">
        <v>43</v>
      </c>
    </row>
    <row r="2680" spans="1:26" x14ac:dyDescent="0.25">
      <c r="A2680">
        <v>2679</v>
      </c>
      <c r="B2680" t="s">
        <v>30</v>
      </c>
      <c r="C2680" t="s">
        <v>12908</v>
      </c>
      <c r="D2680" t="s">
        <v>2713</v>
      </c>
      <c r="E2680" t="s">
        <v>2105</v>
      </c>
      <c r="F2680" t="s">
        <v>6321</v>
      </c>
      <c r="G2680" t="s">
        <v>2107</v>
      </c>
      <c r="I2680" t="s">
        <v>12909</v>
      </c>
      <c r="J2680">
        <f>57-320-848-8508</f>
        <v>-9619</v>
      </c>
      <c r="K2680" t="s">
        <v>12910</v>
      </c>
      <c r="N2680" t="s">
        <v>12911</v>
      </c>
      <c r="Z2680" t="s">
        <v>43</v>
      </c>
    </row>
    <row r="2681" spans="1:26" x14ac:dyDescent="0.25">
      <c r="A2681">
        <v>2680</v>
      </c>
      <c r="B2681" t="s">
        <v>30</v>
      </c>
      <c r="C2681" t="s">
        <v>12912</v>
      </c>
      <c r="D2681" t="s">
        <v>7838</v>
      </c>
      <c r="E2681" t="s">
        <v>64</v>
      </c>
      <c r="F2681" t="s">
        <v>7839</v>
      </c>
      <c r="G2681" t="s">
        <v>65</v>
      </c>
      <c r="I2681" t="s">
        <v>12913</v>
      </c>
      <c r="K2681" t="s">
        <v>12914</v>
      </c>
      <c r="Z2681" t="s">
        <v>43</v>
      </c>
    </row>
    <row r="2682" spans="1:26" x14ac:dyDescent="0.25">
      <c r="A2682">
        <v>2681</v>
      </c>
      <c r="B2682" t="s">
        <v>30</v>
      </c>
      <c r="C2682" t="s">
        <v>12915</v>
      </c>
      <c r="D2682" t="s">
        <v>46</v>
      </c>
      <c r="E2682" t="s">
        <v>471</v>
      </c>
      <c r="F2682" t="s">
        <v>820</v>
      </c>
      <c r="G2682" t="s">
        <v>47</v>
      </c>
      <c r="I2682" t="s">
        <v>12916</v>
      </c>
      <c r="K2682" t="s">
        <v>12917</v>
      </c>
      <c r="N2682" t="s">
        <v>12918</v>
      </c>
      <c r="Z2682" t="s">
        <v>43</v>
      </c>
    </row>
    <row r="2683" spans="1:26" x14ac:dyDescent="0.25">
      <c r="A2683">
        <v>2682</v>
      </c>
      <c r="B2683" t="s">
        <v>30</v>
      </c>
      <c r="C2683" t="s">
        <v>12919</v>
      </c>
      <c r="D2683" t="s">
        <v>64</v>
      </c>
      <c r="E2683" t="s">
        <v>64</v>
      </c>
      <c r="F2683" t="s">
        <v>65</v>
      </c>
      <c r="G2683" t="s">
        <v>65</v>
      </c>
      <c r="I2683" t="s">
        <v>12920</v>
      </c>
      <c r="J2683">
        <f>57-60-1-703-2243</f>
        <v>-2950</v>
      </c>
      <c r="K2683" t="s">
        <v>12921</v>
      </c>
      <c r="N2683" t="s">
        <v>12922</v>
      </c>
      <c r="Z2683" t="s">
        <v>43</v>
      </c>
    </row>
    <row r="2684" spans="1:26" x14ac:dyDescent="0.25">
      <c r="A2684">
        <v>2683</v>
      </c>
      <c r="B2684" t="s">
        <v>30</v>
      </c>
      <c r="C2684" t="s">
        <v>12923</v>
      </c>
      <c r="D2684" t="s">
        <v>64</v>
      </c>
      <c r="E2684" t="s">
        <v>64</v>
      </c>
      <c r="F2684" t="s">
        <v>5227</v>
      </c>
      <c r="G2684" t="s">
        <v>65</v>
      </c>
      <c r="I2684" t="s">
        <v>12924</v>
      </c>
      <c r="J2684">
        <f>57-319-788-5485</f>
        <v>-6535</v>
      </c>
      <c r="K2684" t="s">
        <v>12925</v>
      </c>
      <c r="N2684" t="s">
        <v>12926</v>
      </c>
      <c r="Z2684" t="s">
        <v>43</v>
      </c>
    </row>
    <row r="2685" spans="1:26" x14ac:dyDescent="0.25">
      <c r="A2685">
        <v>2684</v>
      </c>
      <c r="B2685" t="s">
        <v>30</v>
      </c>
      <c r="C2685" t="s">
        <v>12927</v>
      </c>
      <c r="D2685" t="s">
        <v>64</v>
      </c>
      <c r="E2685" t="s">
        <v>64</v>
      </c>
      <c r="F2685" t="s">
        <v>65</v>
      </c>
      <c r="G2685" t="s">
        <v>65</v>
      </c>
      <c r="I2685" t="s">
        <v>12928</v>
      </c>
      <c r="K2685" t="s">
        <v>12929</v>
      </c>
      <c r="N2685" t="s">
        <v>12930</v>
      </c>
      <c r="Z2685" t="s">
        <v>43</v>
      </c>
    </row>
    <row r="2686" spans="1:26" x14ac:dyDescent="0.25">
      <c r="A2686">
        <v>2685</v>
      </c>
      <c r="B2686" t="s">
        <v>30</v>
      </c>
      <c r="C2686" t="s">
        <v>12931</v>
      </c>
      <c r="D2686" t="s">
        <v>2394</v>
      </c>
      <c r="E2686" t="s">
        <v>64</v>
      </c>
      <c r="F2686" t="s">
        <v>2395</v>
      </c>
      <c r="G2686" t="s">
        <v>65</v>
      </c>
      <c r="I2686" t="s">
        <v>12932</v>
      </c>
      <c r="J2686">
        <f>57-314-266-1929</f>
        <v>-2452</v>
      </c>
      <c r="K2686" t="s">
        <v>12933</v>
      </c>
      <c r="N2686" t="s">
        <v>12934</v>
      </c>
      <c r="Z2686" t="s">
        <v>43</v>
      </c>
    </row>
    <row r="2687" spans="1:26" x14ac:dyDescent="0.25">
      <c r="A2687">
        <v>2686</v>
      </c>
      <c r="B2687" t="s">
        <v>30</v>
      </c>
      <c r="C2687" t="s">
        <v>12935</v>
      </c>
      <c r="D2687" t="s">
        <v>2713</v>
      </c>
      <c r="E2687" t="s">
        <v>2105</v>
      </c>
      <c r="F2687" t="s">
        <v>6321</v>
      </c>
      <c r="G2687" t="s">
        <v>2107</v>
      </c>
      <c r="I2687" t="s">
        <v>12936</v>
      </c>
      <c r="K2687" t="s">
        <v>12937</v>
      </c>
      <c r="N2687" t="s">
        <v>12938</v>
      </c>
      <c r="Z2687" t="s">
        <v>43</v>
      </c>
    </row>
    <row r="2688" spans="1:26" x14ac:dyDescent="0.25">
      <c r="A2688">
        <v>2687</v>
      </c>
      <c r="B2688" t="s">
        <v>30</v>
      </c>
      <c r="C2688" t="s">
        <v>12939</v>
      </c>
      <c r="D2688" t="s">
        <v>64</v>
      </c>
      <c r="E2688" t="s">
        <v>64</v>
      </c>
      <c r="F2688" t="s">
        <v>65</v>
      </c>
      <c r="G2688" t="s">
        <v>65</v>
      </c>
      <c r="I2688" t="s">
        <v>12940</v>
      </c>
      <c r="K2688" t="s">
        <v>12941</v>
      </c>
      <c r="N2688" t="s">
        <v>12942</v>
      </c>
      <c r="Z2688" t="s">
        <v>43</v>
      </c>
    </row>
    <row r="2689" spans="1:26" x14ac:dyDescent="0.25">
      <c r="A2689">
        <v>2688</v>
      </c>
      <c r="B2689" t="s">
        <v>30</v>
      </c>
      <c r="C2689" t="s">
        <v>12943</v>
      </c>
      <c r="D2689" t="s">
        <v>3401</v>
      </c>
      <c r="E2689" t="s">
        <v>64</v>
      </c>
      <c r="F2689" t="s">
        <v>3402</v>
      </c>
      <c r="G2689" t="s">
        <v>65</v>
      </c>
      <c r="I2689" t="s">
        <v>12944</v>
      </c>
      <c r="K2689" t="s">
        <v>12945</v>
      </c>
      <c r="N2689" t="s">
        <v>12946</v>
      </c>
      <c r="Z2689" t="s">
        <v>43</v>
      </c>
    </row>
    <row r="2690" spans="1:26" x14ac:dyDescent="0.25">
      <c r="A2690">
        <v>2689</v>
      </c>
      <c r="B2690" t="s">
        <v>30</v>
      </c>
      <c r="C2690" t="s">
        <v>12947</v>
      </c>
      <c r="D2690" t="s">
        <v>7838</v>
      </c>
      <c r="E2690" t="s">
        <v>471</v>
      </c>
      <c r="F2690" t="s">
        <v>7839</v>
      </c>
      <c r="G2690" t="s">
        <v>47</v>
      </c>
      <c r="I2690" t="s">
        <v>12948</v>
      </c>
      <c r="J2690">
        <f>57-315-791-4866</f>
        <v>-5915</v>
      </c>
      <c r="K2690" t="s">
        <v>12949</v>
      </c>
      <c r="N2690" t="s">
        <v>12950</v>
      </c>
      <c r="Z2690" t="s">
        <v>43</v>
      </c>
    </row>
    <row r="2691" spans="1:26" x14ac:dyDescent="0.25">
      <c r="A2691">
        <v>2690</v>
      </c>
      <c r="B2691" t="s">
        <v>30</v>
      </c>
      <c r="C2691" t="s">
        <v>12951</v>
      </c>
      <c r="D2691" t="s">
        <v>12952</v>
      </c>
      <c r="E2691" t="s">
        <v>2105</v>
      </c>
      <c r="F2691" t="s">
        <v>12953</v>
      </c>
      <c r="G2691" t="s">
        <v>5419</v>
      </c>
      <c r="I2691" t="s">
        <v>12954</v>
      </c>
      <c r="K2691" t="s">
        <v>12955</v>
      </c>
      <c r="N2691" t="s">
        <v>12956</v>
      </c>
      <c r="Z2691" t="s">
        <v>43</v>
      </c>
    </row>
    <row r="2692" spans="1:26" x14ac:dyDescent="0.25">
      <c r="A2692">
        <v>2691</v>
      </c>
      <c r="B2692" t="s">
        <v>30</v>
      </c>
      <c r="C2692" t="s">
        <v>12957</v>
      </c>
      <c r="D2692" t="s">
        <v>64</v>
      </c>
      <c r="E2692" t="s">
        <v>64</v>
      </c>
      <c r="F2692" t="s">
        <v>65</v>
      </c>
      <c r="G2692" t="s">
        <v>65</v>
      </c>
      <c r="I2692" t="s">
        <v>12958</v>
      </c>
      <c r="J2692">
        <f>57-60-1-283-5194</f>
        <v>-5481</v>
      </c>
      <c r="K2692" t="s">
        <v>12959</v>
      </c>
      <c r="N2692" t="s">
        <v>12960</v>
      </c>
      <c r="Z2692" t="s">
        <v>43</v>
      </c>
    </row>
    <row r="2693" spans="1:26" x14ac:dyDescent="0.25">
      <c r="A2693">
        <v>2692</v>
      </c>
      <c r="B2693" t="s">
        <v>30</v>
      </c>
      <c r="C2693" t="s">
        <v>12961</v>
      </c>
      <c r="D2693" t="s">
        <v>1260</v>
      </c>
      <c r="E2693" t="s">
        <v>471</v>
      </c>
      <c r="F2693" t="s">
        <v>1653</v>
      </c>
      <c r="G2693" t="s">
        <v>966</v>
      </c>
      <c r="I2693" t="s">
        <v>12962</v>
      </c>
      <c r="J2693">
        <f>57-323-203-90</f>
        <v>-559</v>
      </c>
      <c r="K2693" t="s">
        <v>12963</v>
      </c>
      <c r="N2693" t="s">
        <v>12964</v>
      </c>
      <c r="Z2693" t="s">
        <v>43</v>
      </c>
    </row>
    <row r="2694" spans="1:26" x14ac:dyDescent="0.25">
      <c r="A2694">
        <v>2693</v>
      </c>
      <c r="B2694" t="s">
        <v>30</v>
      </c>
      <c r="C2694" t="s">
        <v>12965</v>
      </c>
      <c r="D2694" t="s">
        <v>64</v>
      </c>
      <c r="E2694" t="s">
        <v>64</v>
      </c>
      <c r="F2694" t="s">
        <v>65</v>
      </c>
      <c r="G2694" t="s">
        <v>65</v>
      </c>
      <c r="I2694" t="s">
        <v>12966</v>
      </c>
      <c r="J2694">
        <f>57-313-285-9526</f>
        <v>-10067</v>
      </c>
      <c r="K2694" t="s">
        <v>12967</v>
      </c>
      <c r="N2694" t="s">
        <v>12968</v>
      </c>
      <c r="Z2694" t="s">
        <v>43</v>
      </c>
    </row>
    <row r="2695" spans="1:26" x14ac:dyDescent="0.25">
      <c r="A2695">
        <v>2694</v>
      </c>
      <c r="B2695" t="s">
        <v>30</v>
      </c>
      <c r="C2695" t="s">
        <v>12969</v>
      </c>
      <c r="D2695" t="s">
        <v>3465</v>
      </c>
      <c r="E2695" t="s">
        <v>1269</v>
      </c>
      <c r="F2695" t="s">
        <v>3466</v>
      </c>
      <c r="G2695" t="s">
        <v>1271</v>
      </c>
      <c r="I2695" t="s">
        <v>12970</v>
      </c>
      <c r="K2695" t="s">
        <v>12971</v>
      </c>
      <c r="N2695" t="s">
        <v>12972</v>
      </c>
      <c r="Z2695" t="s">
        <v>43</v>
      </c>
    </row>
    <row r="2696" spans="1:26" x14ac:dyDescent="0.25">
      <c r="A2696">
        <v>2695</v>
      </c>
      <c r="B2696" t="s">
        <v>30</v>
      </c>
      <c r="C2696" t="s">
        <v>12973</v>
      </c>
      <c r="D2696" t="s">
        <v>1276</v>
      </c>
      <c r="E2696" t="s">
        <v>64</v>
      </c>
      <c r="F2696" t="s">
        <v>12974</v>
      </c>
      <c r="G2696" t="s">
        <v>65</v>
      </c>
      <c r="I2696" t="s">
        <v>12975</v>
      </c>
      <c r="J2696">
        <f>57-305-773-514</f>
        <v>-1535</v>
      </c>
      <c r="K2696" t="s">
        <v>12976</v>
      </c>
      <c r="N2696" t="s">
        <v>12977</v>
      </c>
      <c r="Z2696" t="s">
        <v>43</v>
      </c>
    </row>
    <row r="2697" spans="1:26" x14ac:dyDescent="0.25">
      <c r="A2697">
        <v>2696</v>
      </c>
      <c r="B2697" t="s">
        <v>30</v>
      </c>
      <c r="C2697" t="s">
        <v>12978</v>
      </c>
      <c r="D2697" t="s">
        <v>2644</v>
      </c>
      <c r="E2697" t="s">
        <v>800</v>
      </c>
      <c r="F2697" t="s">
        <v>3386</v>
      </c>
      <c r="G2697" t="s">
        <v>802</v>
      </c>
      <c r="I2697" t="s">
        <v>12979</v>
      </c>
      <c r="J2697">
        <f>57-316-672-9271</f>
        <v>-10202</v>
      </c>
      <c r="K2697" t="s">
        <v>12980</v>
      </c>
      <c r="N2697" t="s">
        <v>12981</v>
      </c>
      <c r="Z2697" t="s">
        <v>43</v>
      </c>
    </row>
    <row r="2698" spans="1:26" x14ac:dyDescent="0.25">
      <c r="A2698">
        <v>2697</v>
      </c>
      <c r="B2698" t="s">
        <v>30</v>
      </c>
      <c r="C2698" t="s">
        <v>12982</v>
      </c>
      <c r="D2698" t="s">
        <v>2713</v>
      </c>
      <c r="E2698" t="s">
        <v>2105</v>
      </c>
      <c r="F2698" t="s">
        <v>12983</v>
      </c>
      <c r="G2698" t="s">
        <v>5419</v>
      </c>
      <c r="I2698" t="s">
        <v>12984</v>
      </c>
      <c r="K2698" t="s">
        <v>12985</v>
      </c>
      <c r="N2698" t="s">
        <v>12986</v>
      </c>
      <c r="Z2698" t="s">
        <v>43</v>
      </c>
    </row>
    <row r="2699" spans="1:26" x14ac:dyDescent="0.25">
      <c r="A2699">
        <v>2698</v>
      </c>
      <c r="B2699" t="s">
        <v>30</v>
      </c>
      <c r="C2699" t="s">
        <v>12987</v>
      </c>
      <c r="D2699" t="s">
        <v>2394</v>
      </c>
      <c r="E2699" t="s">
        <v>64</v>
      </c>
      <c r="F2699" t="s">
        <v>3996</v>
      </c>
      <c r="G2699" t="s">
        <v>65</v>
      </c>
      <c r="I2699" t="s">
        <v>12988</v>
      </c>
      <c r="K2699" t="s">
        <v>12989</v>
      </c>
      <c r="N2699" t="s">
        <v>12990</v>
      </c>
      <c r="Z2699" t="s">
        <v>43</v>
      </c>
    </row>
    <row r="2700" spans="1:26" x14ac:dyDescent="0.25">
      <c r="A2700">
        <v>2699</v>
      </c>
      <c r="B2700" t="s">
        <v>30</v>
      </c>
      <c r="C2700" t="s">
        <v>12991</v>
      </c>
      <c r="D2700" t="s">
        <v>12992</v>
      </c>
      <c r="E2700" t="s">
        <v>3416</v>
      </c>
      <c r="F2700" t="s">
        <v>12993</v>
      </c>
      <c r="G2700" t="s">
        <v>3418</v>
      </c>
      <c r="I2700" t="s">
        <v>12994</v>
      </c>
      <c r="K2700" t="s">
        <v>12995</v>
      </c>
      <c r="N2700" t="s">
        <v>12996</v>
      </c>
      <c r="Z2700" t="s">
        <v>43</v>
      </c>
    </row>
    <row r="2701" spans="1:26" x14ac:dyDescent="0.25">
      <c r="A2701">
        <v>2700</v>
      </c>
      <c r="B2701" t="s">
        <v>30</v>
      </c>
      <c r="C2701" t="s">
        <v>12997</v>
      </c>
      <c r="D2701" t="s">
        <v>3380</v>
      </c>
      <c r="E2701" t="s">
        <v>1269</v>
      </c>
      <c r="F2701" t="s">
        <v>11280</v>
      </c>
      <c r="G2701" t="s">
        <v>1271</v>
      </c>
      <c r="I2701" t="s">
        <v>12998</v>
      </c>
      <c r="K2701" t="s">
        <v>12999</v>
      </c>
      <c r="N2701" t="s">
        <v>13000</v>
      </c>
      <c r="Z2701" t="s">
        <v>43</v>
      </c>
    </row>
    <row r="2702" spans="1:26" x14ac:dyDescent="0.25">
      <c r="A2702">
        <v>2701</v>
      </c>
      <c r="B2702" t="s">
        <v>30</v>
      </c>
      <c r="C2702" t="s">
        <v>13001</v>
      </c>
      <c r="D2702" t="s">
        <v>2098</v>
      </c>
      <c r="E2702" t="s">
        <v>56</v>
      </c>
      <c r="F2702" t="s">
        <v>2099</v>
      </c>
      <c r="G2702" t="s">
        <v>57</v>
      </c>
      <c r="I2702" t="s">
        <v>13002</v>
      </c>
      <c r="K2702" t="s">
        <v>13003</v>
      </c>
      <c r="N2702" t="s">
        <v>13004</v>
      </c>
      <c r="Z2702" t="s">
        <v>43</v>
      </c>
    </row>
    <row r="2703" spans="1:26" x14ac:dyDescent="0.25">
      <c r="A2703">
        <v>2702</v>
      </c>
      <c r="B2703" t="s">
        <v>30</v>
      </c>
      <c r="C2703" t="s">
        <v>13005</v>
      </c>
      <c r="D2703" t="s">
        <v>1260</v>
      </c>
      <c r="E2703" t="s">
        <v>471</v>
      </c>
      <c r="F2703" t="s">
        <v>2084</v>
      </c>
      <c r="G2703" t="s">
        <v>47</v>
      </c>
      <c r="I2703" t="s">
        <v>13006</v>
      </c>
      <c r="K2703" t="s">
        <v>13007</v>
      </c>
      <c r="N2703" t="s">
        <v>13008</v>
      </c>
      <c r="Z2703" t="s">
        <v>43</v>
      </c>
    </row>
    <row r="2704" spans="1:26" x14ac:dyDescent="0.25">
      <c r="A2704">
        <v>2703</v>
      </c>
      <c r="B2704" t="s">
        <v>30</v>
      </c>
      <c r="C2704" t="s">
        <v>13009</v>
      </c>
      <c r="D2704" t="s">
        <v>12499</v>
      </c>
      <c r="E2704" t="s">
        <v>2105</v>
      </c>
      <c r="F2704" t="s">
        <v>12500</v>
      </c>
      <c r="G2704" t="s">
        <v>2107</v>
      </c>
      <c r="I2704" t="s">
        <v>13010</v>
      </c>
      <c r="K2704" t="s">
        <v>13011</v>
      </c>
      <c r="N2704" t="s">
        <v>13012</v>
      </c>
      <c r="Z2704" t="s">
        <v>43</v>
      </c>
    </row>
    <row r="2705" spans="1:26" x14ac:dyDescent="0.25">
      <c r="A2705">
        <v>2704</v>
      </c>
      <c r="B2705" t="s">
        <v>30</v>
      </c>
      <c r="C2705" t="s">
        <v>13013</v>
      </c>
      <c r="D2705" t="s">
        <v>13014</v>
      </c>
      <c r="E2705" t="s">
        <v>1269</v>
      </c>
      <c r="F2705" t="s">
        <v>13015</v>
      </c>
      <c r="G2705" t="s">
        <v>1271</v>
      </c>
      <c r="I2705" t="s">
        <v>13016</v>
      </c>
      <c r="J2705">
        <f>57-311-472-6550</f>
        <v>-7276</v>
      </c>
      <c r="K2705" t="s">
        <v>13017</v>
      </c>
      <c r="N2705" t="s">
        <v>13018</v>
      </c>
      <c r="Z2705" t="s">
        <v>43</v>
      </c>
    </row>
    <row r="2706" spans="1:26" x14ac:dyDescent="0.25">
      <c r="A2706">
        <v>2705</v>
      </c>
      <c r="B2706" t="s">
        <v>30</v>
      </c>
      <c r="C2706" t="s">
        <v>13019</v>
      </c>
      <c r="D2706" t="s">
        <v>1260</v>
      </c>
      <c r="E2706" t="s">
        <v>64</v>
      </c>
      <c r="F2706" t="s">
        <v>2204</v>
      </c>
      <c r="G2706" t="s">
        <v>65</v>
      </c>
      <c r="I2706" t="s">
        <v>13020</v>
      </c>
      <c r="J2706">
        <f>57-322-857-1322</f>
        <v>-2444</v>
      </c>
      <c r="K2706" t="s">
        <v>13021</v>
      </c>
      <c r="N2706" t="s">
        <v>13022</v>
      </c>
      <c r="Z2706" t="s">
        <v>43</v>
      </c>
    </row>
    <row r="2707" spans="1:26" x14ac:dyDescent="0.25">
      <c r="A2707">
        <v>2706</v>
      </c>
      <c r="B2707" t="s">
        <v>30</v>
      </c>
      <c r="C2707" t="s">
        <v>13023</v>
      </c>
      <c r="D2707" t="s">
        <v>1260</v>
      </c>
      <c r="E2707" t="s">
        <v>64</v>
      </c>
      <c r="F2707" t="s">
        <v>2204</v>
      </c>
      <c r="G2707" t="s">
        <v>65</v>
      </c>
      <c r="I2707" t="s">
        <v>13024</v>
      </c>
      <c r="J2707">
        <f>57-322-857-1322</f>
        <v>-2444</v>
      </c>
      <c r="K2707" t="s">
        <v>13025</v>
      </c>
      <c r="N2707" t="s">
        <v>13026</v>
      </c>
      <c r="Z2707" t="s">
        <v>43</v>
      </c>
    </row>
    <row r="2708" spans="1:26" x14ac:dyDescent="0.25">
      <c r="A2708">
        <v>2707</v>
      </c>
      <c r="B2708" t="s">
        <v>30</v>
      </c>
      <c r="C2708" t="s">
        <v>13027</v>
      </c>
      <c r="D2708" t="s">
        <v>72</v>
      </c>
      <c r="E2708" t="s">
        <v>72</v>
      </c>
      <c r="F2708" t="s">
        <v>73</v>
      </c>
      <c r="G2708" t="s">
        <v>73</v>
      </c>
      <c r="I2708" t="s">
        <v>13028</v>
      </c>
      <c r="J2708">
        <f>57-60-1-247-4797</f>
        <v>-5048</v>
      </c>
      <c r="K2708" t="s">
        <v>13029</v>
      </c>
      <c r="N2708" t="s">
        <v>13030</v>
      </c>
      <c r="Z2708" t="s">
        <v>43</v>
      </c>
    </row>
    <row r="2709" spans="1:26" x14ac:dyDescent="0.25">
      <c r="A2709">
        <v>2708</v>
      </c>
      <c r="B2709" t="s">
        <v>30</v>
      </c>
      <c r="C2709" t="s">
        <v>13031</v>
      </c>
      <c r="D2709" t="s">
        <v>13032</v>
      </c>
      <c r="E2709" t="s">
        <v>72</v>
      </c>
      <c r="F2709" t="s">
        <v>13033</v>
      </c>
      <c r="G2709" t="s">
        <v>73</v>
      </c>
      <c r="I2709" t="s">
        <v>13034</v>
      </c>
      <c r="J2709">
        <f>57-319-767-4953</f>
        <v>-5982</v>
      </c>
      <c r="K2709" t="s">
        <v>13035</v>
      </c>
      <c r="N2709" t="s">
        <v>13036</v>
      </c>
      <c r="Z2709" t="s">
        <v>43</v>
      </c>
    </row>
    <row r="2710" spans="1:26" x14ac:dyDescent="0.25">
      <c r="A2710">
        <v>2709</v>
      </c>
      <c r="B2710" t="s">
        <v>30</v>
      </c>
      <c r="C2710" t="s">
        <v>13037</v>
      </c>
      <c r="D2710" t="s">
        <v>947</v>
      </c>
      <c r="E2710" t="s">
        <v>471</v>
      </c>
      <c r="F2710" t="s">
        <v>949</v>
      </c>
      <c r="G2710" t="s">
        <v>47</v>
      </c>
      <c r="I2710" t="s">
        <v>13038</v>
      </c>
      <c r="J2710">
        <f>57-350-892-2881</f>
        <v>-4066</v>
      </c>
      <c r="K2710" t="s">
        <v>13039</v>
      </c>
      <c r="N2710" t="s">
        <v>13040</v>
      </c>
      <c r="Z2710" t="s">
        <v>43</v>
      </c>
    </row>
    <row r="2711" spans="1:26" x14ac:dyDescent="0.25">
      <c r="A2711">
        <v>2710</v>
      </c>
      <c r="B2711" t="s">
        <v>30</v>
      </c>
      <c r="C2711" t="s">
        <v>13041</v>
      </c>
      <c r="D2711" t="s">
        <v>799</v>
      </c>
      <c r="E2711" t="s">
        <v>800</v>
      </c>
      <c r="F2711" t="s">
        <v>2228</v>
      </c>
      <c r="G2711" t="s">
        <v>802</v>
      </c>
      <c r="I2711" t="s">
        <v>13042</v>
      </c>
      <c r="J2711">
        <f>57-321-414-6000</f>
        <v>-6678</v>
      </c>
      <c r="K2711" t="s">
        <v>13043</v>
      </c>
      <c r="N2711" t="s">
        <v>13044</v>
      </c>
      <c r="Z2711" t="s">
        <v>43</v>
      </c>
    </row>
    <row r="2712" spans="1:26" x14ac:dyDescent="0.25">
      <c r="A2712">
        <v>2711</v>
      </c>
      <c r="B2712" t="s">
        <v>30</v>
      </c>
      <c r="C2712" t="s">
        <v>13045</v>
      </c>
      <c r="D2712" t="s">
        <v>1260</v>
      </c>
      <c r="E2712" t="s">
        <v>64</v>
      </c>
      <c r="F2712" t="s">
        <v>1653</v>
      </c>
      <c r="G2712" t="s">
        <v>65</v>
      </c>
      <c r="I2712" t="s">
        <v>13046</v>
      </c>
      <c r="K2712" t="s">
        <v>13047</v>
      </c>
      <c r="N2712" t="s">
        <v>13048</v>
      </c>
      <c r="Z2712" t="s">
        <v>43</v>
      </c>
    </row>
    <row r="2713" spans="1:26" x14ac:dyDescent="0.25">
      <c r="A2713">
        <v>2712</v>
      </c>
      <c r="B2713" t="s">
        <v>30</v>
      </c>
      <c r="C2713" t="s">
        <v>13049</v>
      </c>
      <c r="D2713" t="s">
        <v>13050</v>
      </c>
      <c r="E2713" t="s">
        <v>471</v>
      </c>
      <c r="F2713" t="s">
        <v>13051</v>
      </c>
      <c r="G2713" t="s">
        <v>47</v>
      </c>
      <c r="I2713" t="s">
        <v>13052</v>
      </c>
      <c r="K2713" t="s">
        <v>13053</v>
      </c>
      <c r="N2713" t="s">
        <v>13054</v>
      </c>
      <c r="Z2713" t="s">
        <v>43</v>
      </c>
    </row>
    <row r="2714" spans="1:26" x14ac:dyDescent="0.25">
      <c r="A2714">
        <v>2713</v>
      </c>
      <c r="B2714" t="s">
        <v>30</v>
      </c>
      <c r="C2714" t="s">
        <v>13055</v>
      </c>
      <c r="D2714" t="s">
        <v>2394</v>
      </c>
      <c r="E2714" t="s">
        <v>64</v>
      </c>
      <c r="F2714" t="s">
        <v>2395</v>
      </c>
      <c r="G2714" t="s">
        <v>65</v>
      </c>
      <c r="I2714" t="s">
        <v>13056</v>
      </c>
      <c r="J2714">
        <f>57-312-507-2697</f>
        <v>-3459</v>
      </c>
      <c r="K2714" t="s">
        <v>13057</v>
      </c>
      <c r="N2714" t="s">
        <v>13058</v>
      </c>
      <c r="Z2714" t="s">
        <v>43</v>
      </c>
    </row>
    <row r="2715" spans="1:26" x14ac:dyDescent="0.25">
      <c r="A2715">
        <v>2714</v>
      </c>
      <c r="B2715" t="s">
        <v>30</v>
      </c>
      <c r="C2715" t="s">
        <v>13059</v>
      </c>
      <c r="D2715" t="s">
        <v>13060</v>
      </c>
      <c r="E2715" t="s">
        <v>2666</v>
      </c>
      <c r="F2715" t="s">
        <v>13061</v>
      </c>
      <c r="G2715" t="s">
        <v>2668</v>
      </c>
      <c r="H2715" t="s">
        <v>13062</v>
      </c>
      <c r="I2715" t="s">
        <v>13063</v>
      </c>
      <c r="J2715">
        <f>57-60-1-758-7500</f>
        <v>-8262</v>
      </c>
      <c r="K2715" t="s">
        <v>13064</v>
      </c>
      <c r="N2715" t="s">
        <v>13065</v>
      </c>
      <c r="Z2715" t="s">
        <v>43</v>
      </c>
    </row>
    <row r="2716" spans="1:26" x14ac:dyDescent="0.25">
      <c r="A2716">
        <v>2715</v>
      </c>
      <c r="B2716" t="s">
        <v>30</v>
      </c>
      <c r="C2716" t="s">
        <v>13066</v>
      </c>
      <c r="D2716" t="s">
        <v>1713</v>
      </c>
      <c r="E2716" t="s">
        <v>471</v>
      </c>
      <c r="F2716" t="s">
        <v>3159</v>
      </c>
      <c r="G2716" t="s">
        <v>47</v>
      </c>
      <c r="I2716" t="s">
        <v>13067</v>
      </c>
      <c r="J2716">
        <f>57-321-722-4507</f>
        <v>-5493</v>
      </c>
      <c r="K2716" t="s">
        <v>13068</v>
      </c>
      <c r="N2716" t="s">
        <v>13069</v>
      </c>
      <c r="Z2716" t="s">
        <v>43</v>
      </c>
    </row>
    <row r="2717" spans="1:26" x14ac:dyDescent="0.25">
      <c r="A2717">
        <v>2716</v>
      </c>
      <c r="B2717" t="s">
        <v>30</v>
      </c>
      <c r="C2717" t="s">
        <v>13070</v>
      </c>
      <c r="D2717" t="s">
        <v>13071</v>
      </c>
      <c r="E2717" t="s">
        <v>64</v>
      </c>
      <c r="F2717" t="s">
        <v>13072</v>
      </c>
      <c r="G2717" t="s">
        <v>65</v>
      </c>
      <c r="I2717" t="s">
        <v>13073</v>
      </c>
      <c r="K2717" t="s">
        <v>13074</v>
      </c>
      <c r="N2717" t="s">
        <v>13075</v>
      </c>
      <c r="Z2717" t="s">
        <v>43</v>
      </c>
    </row>
    <row r="2718" spans="1:26" x14ac:dyDescent="0.25">
      <c r="A2718">
        <v>2717</v>
      </c>
      <c r="B2718" t="s">
        <v>30</v>
      </c>
      <c r="C2718" t="s">
        <v>13076</v>
      </c>
      <c r="D2718" t="s">
        <v>72</v>
      </c>
      <c r="E2718" t="s">
        <v>72</v>
      </c>
      <c r="F2718" t="s">
        <v>73</v>
      </c>
      <c r="G2718" t="s">
        <v>73</v>
      </c>
      <c r="I2718" t="s">
        <v>13077</v>
      </c>
      <c r="K2718" t="s">
        <v>13078</v>
      </c>
      <c r="N2718" t="s">
        <v>13079</v>
      </c>
      <c r="Z2718" t="s">
        <v>43</v>
      </c>
    </row>
    <row r="2719" spans="1:26" x14ac:dyDescent="0.25">
      <c r="A2719">
        <v>2718</v>
      </c>
      <c r="B2719" t="s">
        <v>30</v>
      </c>
      <c r="C2719" t="s">
        <v>13080</v>
      </c>
      <c r="D2719" t="s">
        <v>2098</v>
      </c>
      <c r="E2719" t="s">
        <v>1269</v>
      </c>
      <c r="F2719" t="s">
        <v>2099</v>
      </c>
      <c r="G2719" t="s">
        <v>1271</v>
      </c>
      <c r="I2719" t="s">
        <v>13081</v>
      </c>
      <c r="J2719">
        <f>57-314-445-8775</f>
        <v>-9477</v>
      </c>
      <c r="K2719" t="s">
        <v>13082</v>
      </c>
      <c r="N2719" t="s">
        <v>13083</v>
      </c>
      <c r="Z2719" t="s">
        <v>43</v>
      </c>
    </row>
    <row r="2720" spans="1:26" x14ac:dyDescent="0.25">
      <c r="A2720">
        <v>2719</v>
      </c>
      <c r="B2720" t="s">
        <v>30</v>
      </c>
      <c r="C2720" t="s">
        <v>13084</v>
      </c>
      <c r="D2720" t="s">
        <v>13085</v>
      </c>
      <c r="E2720" t="s">
        <v>64</v>
      </c>
      <c r="F2720" t="s">
        <v>13086</v>
      </c>
      <c r="G2720" t="s">
        <v>65</v>
      </c>
      <c r="I2720" t="s">
        <v>13087</v>
      </c>
      <c r="J2720">
        <f>57-317-404-5964</f>
        <v>-6628</v>
      </c>
      <c r="K2720" t="s">
        <v>13088</v>
      </c>
      <c r="N2720" t="s">
        <v>13089</v>
      </c>
      <c r="Z2720" t="s">
        <v>43</v>
      </c>
    </row>
    <row r="2721" spans="1:26" x14ac:dyDescent="0.25">
      <c r="A2721">
        <v>2720</v>
      </c>
      <c r="B2721" t="s">
        <v>30</v>
      </c>
      <c r="C2721" t="s">
        <v>13090</v>
      </c>
      <c r="D2721" t="s">
        <v>909</v>
      </c>
      <c r="E2721" t="s">
        <v>471</v>
      </c>
      <c r="F2721" t="s">
        <v>1659</v>
      </c>
      <c r="G2721" t="s">
        <v>47</v>
      </c>
      <c r="I2721" t="s">
        <v>13091</v>
      </c>
      <c r="K2721" t="s">
        <v>13092</v>
      </c>
      <c r="N2721" t="s">
        <v>13093</v>
      </c>
      <c r="Z2721" t="s">
        <v>43</v>
      </c>
    </row>
    <row r="2722" spans="1:26" x14ac:dyDescent="0.25">
      <c r="A2722">
        <v>2721</v>
      </c>
      <c r="B2722" t="s">
        <v>30</v>
      </c>
      <c r="C2722" t="s">
        <v>13094</v>
      </c>
      <c r="D2722" t="s">
        <v>13095</v>
      </c>
      <c r="E2722" t="s">
        <v>6023</v>
      </c>
      <c r="F2722" t="s">
        <v>13096</v>
      </c>
      <c r="G2722" t="s">
        <v>6025</v>
      </c>
      <c r="I2722" t="s">
        <v>13097</v>
      </c>
      <c r="J2722">
        <f>57-60-1-703-8446</f>
        <v>-9153</v>
      </c>
      <c r="K2722" t="s">
        <v>13098</v>
      </c>
      <c r="N2722" t="s">
        <v>13099</v>
      </c>
      <c r="Z2722" t="s">
        <v>43</v>
      </c>
    </row>
    <row r="2723" spans="1:26" x14ac:dyDescent="0.25">
      <c r="A2723">
        <v>2722</v>
      </c>
      <c r="B2723" t="s">
        <v>30</v>
      </c>
      <c r="C2723" t="s">
        <v>13100</v>
      </c>
      <c r="D2723" t="s">
        <v>46</v>
      </c>
      <c r="E2723" t="s">
        <v>471</v>
      </c>
      <c r="F2723" t="s">
        <v>820</v>
      </c>
      <c r="G2723" t="s">
        <v>47</v>
      </c>
      <c r="I2723" t="s">
        <v>13101</v>
      </c>
      <c r="J2723">
        <f>57-312-458-9297</f>
        <v>-10010</v>
      </c>
      <c r="K2723" t="s">
        <v>13102</v>
      </c>
      <c r="N2723" t="s">
        <v>13103</v>
      </c>
      <c r="Z2723" t="s">
        <v>43</v>
      </c>
    </row>
    <row r="2724" spans="1:26" x14ac:dyDescent="0.25">
      <c r="A2724">
        <v>2723</v>
      </c>
      <c r="B2724" t="s">
        <v>30</v>
      </c>
      <c r="C2724" t="s">
        <v>13104</v>
      </c>
      <c r="D2724" t="s">
        <v>13105</v>
      </c>
      <c r="E2724" t="s">
        <v>1155</v>
      </c>
      <c r="F2724" t="s">
        <v>13106</v>
      </c>
      <c r="G2724" t="s">
        <v>1157</v>
      </c>
      <c r="I2724" t="s">
        <v>13107</v>
      </c>
      <c r="K2724" t="s">
        <v>13108</v>
      </c>
      <c r="N2724" t="s">
        <v>13109</v>
      </c>
      <c r="Z2724" t="s">
        <v>43</v>
      </c>
    </row>
    <row r="2725" spans="1:26" x14ac:dyDescent="0.25">
      <c r="A2725">
        <v>2724</v>
      </c>
      <c r="B2725" t="s">
        <v>30</v>
      </c>
      <c r="C2725" t="s">
        <v>13110</v>
      </c>
      <c r="D2725" t="s">
        <v>13111</v>
      </c>
      <c r="E2725" t="s">
        <v>471</v>
      </c>
      <c r="F2725" t="s">
        <v>13112</v>
      </c>
      <c r="G2725" t="s">
        <v>47</v>
      </c>
      <c r="I2725" t="s">
        <v>13113</v>
      </c>
      <c r="J2725">
        <f>57-60-1-336-8763</f>
        <v>-9103</v>
      </c>
      <c r="K2725" t="s">
        <v>13114</v>
      </c>
      <c r="N2725" t="s">
        <v>13115</v>
      </c>
      <c r="Z2725" t="s">
        <v>43</v>
      </c>
    </row>
    <row r="2726" spans="1:26" x14ac:dyDescent="0.25">
      <c r="A2726">
        <v>2725</v>
      </c>
      <c r="B2726" t="s">
        <v>30</v>
      </c>
      <c r="C2726" t="s">
        <v>13116</v>
      </c>
      <c r="D2726" t="s">
        <v>72</v>
      </c>
      <c r="E2726" t="s">
        <v>72</v>
      </c>
      <c r="F2726" t="s">
        <v>73</v>
      </c>
      <c r="G2726" t="s">
        <v>73</v>
      </c>
      <c r="I2726" t="s">
        <v>13117</v>
      </c>
      <c r="J2726">
        <f>57-60-1-221-5711</f>
        <v>-5936</v>
      </c>
      <c r="K2726" t="s">
        <v>13118</v>
      </c>
      <c r="N2726" t="s">
        <v>13119</v>
      </c>
      <c r="Z2726" t="s">
        <v>43</v>
      </c>
    </row>
    <row r="2727" spans="1:26" x14ac:dyDescent="0.25">
      <c r="A2727">
        <v>2726</v>
      </c>
      <c r="B2727" t="s">
        <v>30</v>
      </c>
      <c r="C2727" t="s">
        <v>13120</v>
      </c>
      <c r="D2727" t="s">
        <v>813</v>
      </c>
      <c r="E2727" t="s">
        <v>72</v>
      </c>
      <c r="F2727" t="s">
        <v>814</v>
      </c>
      <c r="G2727" t="s">
        <v>73</v>
      </c>
      <c r="I2727" t="s">
        <v>13121</v>
      </c>
      <c r="K2727" t="s">
        <v>13122</v>
      </c>
      <c r="N2727" t="s">
        <v>13123</v>
      </c>
      <c r="Z2727" t="s">
        <v>43</v>
      </c>
    </row>
    <row r="2728" spans="1:26" x14ac:dyDescent="0.25">
      <c r="A2728">
        <v>2727</v>
      </c>
      <c r="B2728" t="s">
        <v>30</v>
      </c>
      <c r="C2728" t="s">
        <v>13124</v>
      </c>
      <c r="D2728" t="s">
        <v>2336</v>
      </c>
      <c r="E2728" t="s">
        <v>56</v>
      </c>
      <c r="F2728" t="s">
        <v>2337</v>
      </c>
      <c r="G2728" t="s">
        <v>57</v>
      </c>
      <c r="I2728" t="s">
        <v>13125</v>
      </c>
      <c r="K2728" t="s">
        <v>13126</v>
      </c>
      <c r="N2728" t="s">
        <v>13127</v>
      </c>
      <c r="Z2728" t="s">
        <v>43</v>
      </c>
    </row>
    <row r="2729" spans="1:26" x14ac:dyDescent="0.25">
      <c r="A2729">
        <v>2728</v>
      </c>
      <c r="B2729" t="s">
        <v>30</v>
      </c>
      <c r="C2729" t="s">
        <v>13128</v>
      </c>
      <c r="D2729" t="s">
        <v>13129</v>
      </c>
      <c r="E2729" t="s">
        <v>56</v>
      </c>
      <c r="F2729" t="s">
        <v>13130</v>
      </c>
      <c r="G2729" t="s">
        <v>57</v>
      </c>
      <c r="I2729" t="s">
        <v>13131</v>
      </c>
      <c r="J2729">
        <f>57-318-305-8359</f>
        <v>-8925</v>
      </c>
      <c r="K2729" t="s">
        <v>13132</v>
      </c>
      <c r="N2729" t="s">
        <v>13133</v>
      </c>
      <c r="Z2729" t="s">
        <v>43</v>
      </c>
    </row>
    <row r="2730" spans="1:26" x14ac:dyDescent="0.25">
      <c r="A2730">
        <v>2729</v>
      </c>
      <c r="B2730" t="s">
        <v>30</v>
      </c>
      <c r="C2730" t="s">
        <v>13134</v>
      </c>
      <c r="D2730" t="s">
        <v>46</v>
      </c>
      <c r="E2730" t="s">
        <v>471</v>
      </c>
      <c r="F2730" t="s">
        <v>820</v>
      </c>
      <c r="G2730" t="s">
        <v>47</v>
      </c>
      <c r="I2730" t="s">
        <v>13135</v>
      </c>
      <c r="K2730" t="s">
        <v>13136</v>
      </c>
      <c r="N2730" t="s">
        <v>13137</v>
      </c>
      <c r="Z2730" t="s">
        <v>43</v>
      </c>
    </row>
    <row r="2731" spans="1:26" x14ac:dyDescent="0.25">
      <c r="A2731">
        <v>2730</v>
      </c>
      <c r="B2731" t="s">
        <v>30</v>
      </c>
      <c r="C2731" t="s">
        <v>13138</v>
      </c>
      <c r="D2731" t="s">
        <v>867</v>
      </c>
      <c r="E2731" t="s">
        <v>471</v>
      </c>
      <c r="F2731" t="s">
        <v>868</v>
      </c>
      <c r="G2731" t="s">
        <v>47</v>
      </c>
      <c r="I2731" t="s">
        <v>13139</v>
      </c>
      <c r="J2731">
        <f>57-316-498-9256</f>
        <v>-10013</v>
      </c>
      <c r="K2731" t="s">
        <v>13140</v>
      </c>
      <c r="N2731" t="s">
        <v>13141</v>
      </c>
      <c r="Z2731" t="s">
        <v>43</v>
      </c>
    </row>
    <row r="2732" spans="1:26" x14ac:dyDescent="0.25">
      <c r="A2732">
        <v>2731</v>
      </c>
      <c r="B2732" t="s">
        <v>30</v>
      </c>
      <c r="C2732" t="s">
        <v>13142</v>
      </c>
      <c r="D2732" t="s">
        <v>13143</v>
      </c>
      <c r="E2732" t="s">
        <v>2105</v>
      </c>
      <c r="F2732" t="s">
        <v>13144</v>
      </c>
      <c r="G2732" t="s">
        <v>2107</v>
      </c>
      <c r="I2732" t="s">
        <v>13145</v>
      </c>
      <c r="J2732">
        <f>57-315-617-907</f>
        <v>-1782</v>
      </c>
      <c r="K2732" t="s">
        <v>13146</v>
      </c>
      <c r="N2732" t="s">
        <v>13147</v>
      </c>
      <c r="Z2732" t="s">
        <v>43</v>
      </c>
    </row>
    <row r="2733" spans="1:26" x14ac:dyDescent="0.25">
      <c r="A2733">
        <v>2732</v>
      </c>
      <c r="B2733" t="s">
        <v>30</v>
      </c>
      <c r="C2733" t="s">
        <v>13148</v>
      </c>
      <c r="D2733" t="s">
        <v>46</v>
      </c>
      <c r="E2733" t="s">
        <v>471</v>
      </c>
      <c r="F2733" t="s">
        <v>820</v>
      </c>
      <c r="G2733" t="s">
        <v>47</v>
      </c>
      <c r="I2733" t="s">
        <v>13149</v>
      </c>
      <c r="K2733" t="s">
        <v>13150</v>
      </c>
      <c r="N2733" t="s">
        <v>13151</v>
      </c>
      <c r="Z2733" t="s">
        <v>43</v>
      </c>
    </row>
    <row r="2734" spans="1:26" x14ac:dyDescent="0.25">
      <c r="A2734">
        <v>2733</v>
      </c>
      <c r="B2734" t="s">
        <v>30</v>
      </c>
      <c r="C2734" t="s">
        <v>13152</v>
      </c>
      <c r="D2734" t="s">
        <v>13153</v>
      </c>
      <c r="E2734" t="s">
        <v>800</v>
      </c>
      <c r="F2734" t="s">
        <v>13154</v>
      </c>
      <c r="G2734" t="s">
        <v>802</v>
      </c>
      <c r="I2734" t="s">
        <v>13155</v>
      </c>
      <c r="K2734" t="s">
        <v>13156</v>
      </c>
      <c r="N2734" t="s">
        <v>13157</v>
      </c>
      <c r="Z2734" t="s">
        <v>43</v>
      </c>
    </row>
    <row r="2735" spans="1:26" x14ac:dyDescent="0.25">
      <c r="A2735">
        <v>2734</v>
      </c>
      <c r="B2735" t="s">
        <v>30</v>
      </c>
      <c r="C2735" t="s">
        <v>13158</v>
      </c>
      <c r="D2735" t="s">
        <v>46</v>
      </c>
      <c r="E2735" t="s">
        <v>471</v>
      </c>
      <c r="F2735" t="s">
        <v>820</v>
      </c>
      <c r="G2735" t="s">
        <v>47</v>
      </c>
      <c r="I2735" t="s">
        <v>13159</v>
      </c>
      <c r="J2735">
        <f>57-310-805-3844</f>
        <v>-4902</v>
      </c>
      <c r="K2735" t="s">
        <v>13160</v>
      </c>
      <c r="N2735" t="s">
        <v>7928</v>
      </c>
      <c r="Z2735" t="s">
        <v>43</v>
      </c>
    </row>
    <row r="2736" spans="1:26" x14ac:dyDescent="0.25">
      <c r="A2736">
        <v>2735</v>
      </c>
      <c r="B2736" t="s">
        <v>30</v>
      </c>
      <c r="C2736" t="s">
        <v>13161</v>
      </c>
      <c r="D2736" t="s">
        <v>46</v>
      </c>
      <c r="E2736" t="s">
        <v>56</v>
      </c>
      <c r="F2736" t="s">
        <v>820</v>
      </c>
      <c r="G2736" t="s">
        <v>57</v>
      </c>
      <c r="I2736" t="s">
        <v>13162</v>
      </c>
      <c r="J2736">
        <f>57-315-867-8896</f>
        <v>-10021</v>
      </c>
      <c r="K2736" t="s">
        <v>13163</v>
      </c>
      <c r="N2736" t="s">
        <v>13164</v>
      </c>
      <c r="Z2736" t="s">
        <v>43</v>
      </c>
    </row>
    <row r="2737" spans="1:26" x14ac:dyDescent="0.25">
      <c r="A2737">
        <v>2736</v>
      </c>
      <c r="B2737" t="s">
        <v>30</v>
      </c>
      <c r="C2737" t="s">
        <v>13165</v>
      </c>
      <c r="D2737" t="s">
        <v>13166</v>
      </c>
      <c r="E2737" t="s">
        <v>64</v>
      </c>
      <c r="F2737" t="s">
        <v>13167</v>
      </c>
      <c r="G2737" t="s">
        <v>65</v>
      </c>
      <c r="I2737" t="s">
        <v>13168</v>
      </c>
      <c r="J2737">
        <f>57-310-777-1985</f>
        <v>-3015</v>
      </c>
      <c r="K2737" t="s">
        <v>13169</v>
      </c>
      <c r="N2737" t="s">
        <v>13170</v>
      </c>
      <c r="Z2737" t="s">
        <v>43</v>
      </c>
    </row>
    <row r="2738" spans="1:26" x14ac:dyDescent="0.25">
      <c r="A2738">
        <v>2737</v>
      </c>
      <c r="B2738" t="s">
        <v>30</v>
      </c>
      <c r="C2738" t="s">
        <v>13171</v>
      </c>
      <c r="D2738" t="s">
        <v>4036</v>
      </c>
      <c r="E2738" t="s">
        <v>471</v>
      </c>
      <c r="F2738" t="s">
        <v>13172</v>
      </c>
      <c r="G2738" t="s">
        <v>47</v>
      </c>
      <c r="I2738" t="s">
        <v>13173</v>
      </c>
      <c r="J2738">
        <f>57-317-379-2436</f>
        <v>-3075</v>
      </c>
      <c r="K2738" t="s">
        <v>13174</v>
      </c>
      <c r="N2738" t="s">
        <v>13175</v>
      </c>
      <c r="Z2738" t="s">
        <v>43</v>
      </c>
    </row>
    <row r="2739" spans="1:26" x14ac:dyDescent="0.25">
      <c r="A2739">
        <v>2738</v>
      </c>
      <c r="B2739" t="s">
        <v>30</v>
      </c>
      <c r="C2739" t="s">
        <v>13176</v>
      </c>
      <c r="D2739" t="s">
        <v>56</v>
      </c>
      <c r="E2739" t="s">
        <v>56</v>
      </c>
      <c r="F2739" t="s">
        <v>57</v>
      </c>
      <c r="G2739" t="s">
        <v>57</v>
      </c>
      <c r="H2739" t="s">
        <v>13177</v>
      </c>
      <c r="I2739" t="s">
        <v>13178</v>
      </c>
      <c r="J2739">
        <f>57-60-1-235-900</f>
        <v>-1139</v>
      </c>
      <c r="K2739" t="s">
        <v>13179</v>
      </c>
      <c r="N2739" t="s">
        <v>13180</v>
      </c>
      <c r="Z2739" t="s">
        <v>43</v>
      </c>
    </row>
    <row r="2740" spans="1:26" x14ac:dyDescent="0.25">
      <c r="A2740">
        <v>2739</v>
      </c>
      <c r="B2740" t="s">
        <v>30</v>
      </c>
      <c r="C2740" t="s">
        <v>13181</v>
      </c>
      <c r="D2740" t="s">
        <v>13182</v>
      </c>
      <c r="E2740" t="s">
        <v>5606</v>
      </c>
      <c r="F2740" t="s">
        <v>13183</v>
      </c>
      <c r="G2740" t="s">
        <v>5608</v>
      </c>
      <c r="I2740" t="s">
        <v>13184</v>
      </c>
      <c r="J2740">
        <f>57-321-489-6224</f>
        <v>-6977</v>
      </c>
      <c r="K2740" t="s">
        <v>13185</v>
      </c>
      <c r="N2740" t="s">
        <v>13186</v>
      </c>
      <c r="Z2740" t="s">
        <v>43</v>
      </c>
    </row>
    <row r="2741" spans="1:26" x14ac:dyDescent="0.25">
      <c r="A2741">
        <v>2740</v>
      </c>
      <c r="B2741" t="s">
        <v>30</v>
      </c>
      <c r="C2741" t="s">
        <v>13187</v>
      </c>
      <c r="D2741" t="s">
        <v>11350</v>
      </c>
      <c r="E2741" t="s">
        <v>11351</v>
      </c>
      <c r="F2741" t="s">
        <v>11352</v>
      </c>
      <c r="G2741" t="s">
        <v>11353</v>
      </c>
      <c r="I2741" t="s">
        <v>13188</v>
      </c>
      <c r="J2741">
        <f>57-316-311-9563</f>
        <v>-10133</v>
      </c>
      <c r="K2741" t="s">
        <v>13189</v>
      </c>
      <c r="N2741" t="s">
        <v>13190</v>
      </c>
      <c r="Z2741" t="s">
        <v>43</v>
      </c>
    </row>
    <row r="2742" spans="1:26" x14ac:dyDescent="0.25">
      <c r="A2742">
        <v>2741</v>
      </c>
      <c r="B2742" t="s">
        <v>30</v>
      </c>
      <c r="C2742" t="s">
        <v>13191</v>
      </c>
      <c r="D2742" t="s">
        <v>1260</v>
      </c>
      <c r="E2742" t="s">
        <v>3321</v>
      </c>
      <c r="F2742" t="s">
        <v>13192</v>
      </c>
      <c r="G2742" t="s">
        <v>3323</v>
      </c>
      <c r="I2742" t="s">
        <v>13193</v>
      </c>
      <c r="K2742" t="s">
        <v>13194</v>
      </c>
      <c r="N2742" t="s">
        <v>13195</v>
      </c>
      <c r="Z2742" t="s">
        <v>43</v>
      </c>
    </row>
    <row r="2743" spans="1:26" x14ac:dyDescent="0.25">
      <c r="A2743">
        <v>2742</v>
      </c>
      <c r="B2743" t="s">
        <v>30</v>
      </c>
      <c r="C2743" t="s">
        <v>13196</v>
      </c>
      <c r="D2743" t="s">
        <v>772</v>
      </c>
      <c r="E2743" t="s">
        <v>471</v>
      </c>
      <c r="F2743" t="s">
        <v>773</v>
      </c>
      <c r="G2743" t="s">
        <v>47</v>
      </c>
      <c r="I2743" t="s">
        <v>13197</v>
      </c>
      <c r="K2743" t="s">
        <v>13198</v>
      </c>
      <c r="N2743" t="s">
        <v>13199</v>
      </c>
      <c r="Z2743" t="s">
        <v>43</v>
      </c>
    </row>
    <row r="2744" spans="1:26" x14ac:dyDescent="0.25">
      <c r="A2744">
        <v>2743</v>
      </c>
      <c r="B2744" t="s">
        <v>30</v>
      </c>
      <c r="C2744" t="s">
        <v>13200</v>
      </c>
      <c r="D2744" t="s">
        <v>46</v>
      </c>
      <c r="E2744" t="s">
        <v>471</v>
      </c>
      <c r="F2744" t="s">
        <v>820</v>
      </c>
      <c r="G2744" t="s">
        <v>47</v>
      </c>
      <c r="I2744" t="s">
        <v>13201</v>
      </c>
      <c r="K2744" t="s">
        <v>13202</v>
      </c>
      <c r="N2744" t="s">
        <v>13203</v>
      </c>
      <c r="Z2744" t="s">
        <v>43</v>
      </c>
    </row>
    <row r="2745" spans="1:26" x14ac:dyDescent="0.25">
      <c r="A2745">
        <v>2744</v>
      </c>
      <c r="B2745" t="s">
        <v>30</v>
      </c>
      <c r="C2745" t="s">
        <v>13204</v>
      </c>
      <c r="D2745" t="s">
        <v>772</v>
      </c>
      <c r="E2745" t="s">
        <v>471</v>
      </c>
      <c r="F2745" t="s">
        <v>773</v>
      </c>
      <c r="G2745" t="s">
        <v>47</v>
      </c>
      <c r="I2745" t="s">
        <v>13205</v>
      </c>
      <c r="K2745" t="s">
        <v>13206</v>
      </c>
      <c r="N2745" t="s">
        <v>13207</v>
      </c>
      <c r="Z2745" t="s">
        <v>43</v>
      </c>
    </row>
    <row r="2746" spans="1:26" x14ac:dyDescent="0.25">
      <c r="A2746">
        <v>2745</v>
      </c>
      <c r="B2746" t="s">
        <v>30</v>
      </c>
      <c r="C2746" t="s">
        <v>13208</v>
      </c>
      <c r="D2746" t="s">
        <v>13209</v>
      </c>
      <c r="E2746" t="s">
        <v>64</v>
      </c>
      <c r="F2746" t="s">
        <v>13210</v>
      </c>
      <c r="G2746" t="s">
        <v>65</v>
      </c>
      <c r="I2746" t="s">
        <v>13211</v>
      </c>
      <c r="J2746">
        <f>57-310-607-4025</f>
        <v>-4885</v>
      </c>
      <c r="K2746" t="s">
        <v>13212</v>
      </c>
      <c r="N2746" t="s">
        <v>13213</v>
      </c>
      <c r="Z2746" t="s">
        <v>43</v>
      </c>
    </row>
    <row r="2747" spans="1:26" x14ac:dyDescent="0.25">
      <c r="A2747">
        <v>2746</v>
      </c>
      <c r="B2747" t="s">
        <v>30</v>
      </c>
      <c r="C2747" t="s">
        <v>13214</v>
      </c>
      <c r="D2747" t="s">
        <v>13215</v>
      </c>
      <c r="E2747" t="s">
        <v>755</v>
      </c>
      <c r="F2747" t="s">
        <v>13216</v>
      </c>
      <c r="G2747" t="s">
        <v>2199</v>
      </c>
      <c r="I2747" t="s">
        <v>13217</v>
      </c>
      <c r="J2747">
        <f>57-60-1-745-7572</f>
        <v>-8321</v>
      </c>
      <c r="K2747" t="s">
        <v>13218</v>
      </c>
      <c r="N2747" t="s">
        <v>13219</v>
      </c>
      <c r="Z2747" t="s">
        <v>43</v>
      </c>
    </row>
    <row r="2748" spans="1:26" x14ac:dyDescent="0.25">
      <c r="A2748">
        <v>2747</v>
      </c>
      <c r="B2748" t="s">
        <v>30</v>
      </c>
      <c r="C2748" t="s">
        <v>13220</v>
      </c>
      <c r="D2748" t="s">
        <v>46</v>
      </c>
      <c r="E2748" t="s">
        <v>471</v>
      </c>
      <c r="F2748" t="s">
        <v>820</v>
      </c>
      <c r="G2748" t="s">
        <v>47</v>
      </c>
      <c r="I2748" t="s">
        <v>13221</v>
      </c>
      <c r="K2748" t="s">
        <v>13222</v>
      </c>
      <c r="N2748" t="s">
        <v>13223</v>
      </c>
      <c r="Z2748" t="s">
        <v>43</v>
      </c>
    </row>
    <row r="2749" spans="1:26" x14ac:dyDescent="0.25">
      <c r="A2749">
        <v>2748</v>
      </c>
      <c r="B2749" t="s">
        <v>30</v>
      </c>
      <c r="C2749" t="s">
        <v>13224</v>
      </c>
      <c r="D2749" t="s">
        <v>72</v>
      </c>
      <c r="E2749" t="s">
        <v>72</v>
      </c>
      <c r="F2749" t="s">
        <v>73</v>
      </c>
      <c r="G2749" t="s">
        <v>73</v>
      </c>
      <c r="I2749" t="s">
        <v>13225</v>
      </c>
      <c r="K2749" t="s">
        <v>13226</v>
      </c>
      <c r="N2749" t="s">
        <v>13227</v>
      </c>
      <c r="Z2749" t="s">
        <v>43</v>
      </c>
    </row>
    <row r="2750" spans="1:26" x14ac:dyDescent="0.25">
      <c r="A2750">
        <v>2749</v>
      </c>
      <c r="B2750" t="s">
        <v>30</v>
      </c>
      <c r="C2750" t="s">
        <v>13228</v>
      </c>
      <c r="D2750" t="s">
        <v>13229</v>
      </c>
      <c r="E2750" t="s">
        <v>1155</v>
      </c>
      <c r="F2750" t="s">
        <v>13230</v>
      </c>
      <c r="G2750" t="s">
        <v>1157</v>
      </c>
      <c r="I2750" t="s">
        <v>13231</v>
      </c>
      <c r="K2750" t="s">
        <v>13232</v>
      </c>
      <c r="N2750" t="s">
        <v>13233</v>
      </c>
      <c r="Z2750" t="s">
        <v>43</v>
      </c>
    </row>
    <row r="2751" spans="1:26" x14ac:dyDescent="0.25">
      <c r="A2751">
        <v>2750</v>
      </c>
      <c r="B2751" t="s">
        <v>30</v>
      </c>
      <c r="C2751" t="s">
        <v>13234</v>
      </c>
      <c r="D2751" t="s">
        <v>867</v>
      </c>
      <c r="E2751" t="s">
        <v>471</v>
      </c>
      <c r="F2751" t="s">
        <v>2660</v>
      </c>
      <c r="G2751" t="s">
        <v>47</v>
      </c>
      <c r="I2751" t="s">
        <v>13235</v>
      </c>
      <c r="J2751">
        <f>57-60-1-347-9325</f>
        <v>-9676</v>
      </c>
      <c r="K2751" t="s">
        <v>13236</v>
      </c>
      <c r="N2751" t="s">
        <v>13237</v>
      </c>
      <c r="Z2751" t="s">
        <v>43</v>
      </c>
    </row>
    <row r="2752" spans="1:26" x14ac:dyDescent="0.25">
      <c r="A2752">
        <v>2751</v>
      </c>
      <c r="B2752" t="s">
        <v>30</v>
      </c>
      <c r="C2752" t="s">
        <v>13238</v>
      </c>
      <c r="D2752" t="s">
        <v>46</v>
      </c>
      <c r="E2752" t="s">
        <v>471</v>
      </c>
      <c r="F2752" t="s">
        <v>820</v>
      </c>
      <c r="G2752" t="s">
        <v>47</v>
      </c>
      <c r="I2752" t="s">
        <v>13239</v>
      </c>
      <c r="J2752">
        <f>57-322-550-1971</f>
        <v>-2786</v>
      </c>
      <c r="K2752" t="s">
        <v>13240</v>
      </c>
      <c r="N2752" t="s">
        <v>13241</v>
      </c>
      <c r="Z2752" t="s">
        <v>43</v>
      </c>
    </row>
    <row r="2753" spans="1:26" x14ac:dyDescent="0.25">
      <c r="A2753">
        <v>2752</v>
      </c>
      <c r="B2753" t="s">
        <v>30</v>
      </c>
      <c r="C2753" t="s">
        <v>13242</v>
      </c>
      <c r="D2753" t="s">
        <v>2614</v>
      </c>
      <c r="E2753" t="s">
        <v>56</v>
      </c>
      <c r="F2753" t="s">
        <v>4232</v>
      </c>
      <c r="G2753" t="s">
        <v>57</v>
      </c>
      <c r="I2753" t="s">
        <v>13243</v>
      </c>
      <c r="J2753">
        <f>57-311-233-4476</f>
        <v>-4963</v>
      </c>
      <c r="K2753" t="s">
        <v>13244</v>
      </c>
      <c r="N2753" t="s">
        <v>13245</v>
      </c>
      <c r="Z2753" t="s">
        <v>43</v>
      </c>
    </row>
    <row r="2754" spans="1:26" x14ac:dyDescent="0.25">
      <c r="A2754">
        <v>2753</v>
      </c>
      <c r="B2754" t="s">
        <v>30</v>
      </c>
      <c r="C2754" t="s">
        <v>13246</v>
      </c>
      <c r="D2754" t="s">
        <v>13247</v>
      </c>
      <c r="E2754" t="s">
        <v>1760</v>
      </c>
      <c r="F2754" t="s">
        <v>13248</v>
      </c>
      <c r="G2754" t="s">
        <v>1762</v>
      </c>
      <c r="I2754" t="s">
        <v>13249</v>
      </c>
      <c r="J2754">
        <f>57-320-799-4458</f>
        <v>-5520</v>
      </c>
      <c r="K2754" t="s">
        <v>13250</v>
      </c>
      <c r="N2754" t="s">
        <v>13251</v>
      </c>
      <c r="Z2754" t="s">
        <v>43</v>
      </c>
    </row>
    <row r="2755" spans="1:26" x14ac:dyDescent="0.25">
      <c r="A2755">
        <v>2754</v>
      </c>
      <c r="B2755" t="s">
        <v>30</v>
      </c>
      <c r="C2755" t="s">
        <v>13252</v>
      </c>
      <c r="D2755" t="s">
        <v>13253</v>
      </c>
      <c r="E2755" t="s">
        <v>1217</v>
      </c>
      <c r="F2755" t="s">
        <v>13254</v>
      </c>
      <c r="G2755" t="s">
        <v>1530</v>
      </c>
      <c r="I2755" t="s">
        <v>13255</v>
      </c>
      <c r="J2755">
        <f>57-60-1-626-4730</f>
        <v>-5360</v>
      </c>
      <c r="K2755" t="s">
        <v>13256</v>
      </c>
      <c r="N2755" t="s">
        <v>13257</v>
      </c>
      <c r="Z2755" t="s">
        <v>43</v>
      </c>
    </row>
    <row r="2756" spans="1:26" x14ac:dyDescent="0.25">
      <c r="A2756">
        <v>2755</v>
      </c>
      <c r="B2756" t="s">
        <v>30</v>
      </c>
      <c r="C2756" t="s">
        <v>13258</v>
      </c>
      <c r="D2756" t="s">
        <v>2585</v>
      </c>
      <c r="E2756" t="s">
        <v>56</v>
      </c>
      <c r="F2756" t="s">
        <v>2586</v>
      </c>
      <c r="G2756" t="s">
        <v>57</v>
      </c>
      <c r="I2756" t="s">
        <v>13259</v>
      </c>
      <c r="K2756" t="s">
        <v>13260</v>
      </c>
      <c r="N2756" t="s">
        <v>13261</v>
      </c>
      <c r="Z2756" t="s">
        <v>43</v>
      </c>
    </row>
    <row r="2757" spans="1:26" x14ac:dyDescent="0.25">
      <c r="A2757">
        <v>2756</v>
      </c>
      <c r="B2757" t="s">
        <v>30</v>
      </c>
      <c r="C2757" t="s">
        <v>13262</v>
      </c>
      <c r="D2757" t="s">
        <v>2585</v>
      </c>
      <c r="E2757" t="s">
        <v>56</v>
      </c>
      <c r="F2757" t="s">
        <v>2586</v>
      </c>
      <c r="G2757" t="s">
        <v>57</v>
      </c>
      <c r="I2757" t="s">
        <v>13263</v>
      </c>
      <c r="K2757" t="s">
        <v>13264</v>
      </c>
      <c r="N2757" t="s">
        <v>13265</v>
      </c>
      <c r="Z2757" t="s">
        <v>43</v>
      </c>
    </row>
    <row r="2758" spans="1:26" x14ac:dyDescent="0.25">
      <c r="A2758">
        <v>2757</v>
      </c>
      <c r="B2758" t="s">
        <v>30</v>
      </c>
      <c r="C2758" t="s">
        <v>13266</v>
      </c>
      <c r="D2758" t="s">
        <v>2168</v>
      </c>
      <c r="E2758" t="s">
        <v>64</v>
      </c>
      <c r="F2758" t="s">
        <v>2169</v>
      </c>
      <c r="G2758" t="s">
        <v>65</v>
      </c>
      <c r="I2758" t="s">
        <v>5435</v>
      </c>
      <c r="K2758" t="s">
        <v>13267</v>
      </c>
      <c r="N2758" t="s">
        <v>13268</v>
      </c>
      <c r="Z2758" t="s">
        <v>43</v>
      </c>
    </row>
    <row r="2759" spans="1:26" x14ac:dyDescent="0.25">
      <c r="A2759">
        <v>2758</v>
      </c>
      <c r="B2759" t="s">
        <v>30</v>
      </c>
      <c r="C2759" t="s">
        <v>13269</v>
      </c>
      <c r="D2759" t="s">
        <v>6680</v>
      </c>
      <c r="E2759" t="s">
        <v>385</v>
      </c>
      <c r="F2759" t="s">
        <v>6681</v>
      </c>
      <c r="G2759" t="s">
        <v>387</v>
      </c>
      <c r="I2759" t="s">
        <v>13270</v>
      </c>
      <c r="J2759">
        <f>57-310-483-8452</f>
        <v>-9188</v>
      </c>
      <c r="K2759" t="s">
        <v>13271</v>
      </c>
      <c r="N2759" t="s">
        <v>13272</v>
      </c>
      <c r="Z2759" t="s">
        <v>43</v>
      </c>
    </row>
    <row r="2760" spans="1:26" x14ac:dyDescent="0.25">
      <c r="A2760">
        <v>2759</v>
      </c>
      <c r="B2760" t="s">
        <v>30</v>
      </c>
      <c r="C2760" t="s">
        <v>13273</v>
      </c>
      <c r="D2760" t="s">
        <v>1260</v>
      </c>
      <c r="E2760" t="s">
        <v>471</v>
      </c>
      <c r="F2760" t="s">
        <v>1653</v>
      </c>
      <c r="G2760" t="s">
        <v>966</v>
      </c>
      <c r="I2760" t="s">
        <v>13274</v>
      </c>
      <c r="K2760" t="s">
        <v>13275</v>
      </c>
      <c r="N2760" t="s">
        <v>13276</v>
      </c>
      <c r="Z2760" t="s">
        <v>43</v>
      </c>
    </row>
    <row r="2761" spans="1:26" x14ac:dyDescent="0.25">
      <c r="A2761">
        <v>2760</v>
      </c>
      <c r="B2761" t="s">
        <v>30</v>
      </c>
      <c r="C2761" t="s">
        <v>13277</v>
      </c>
      <c r="D2761" t="s">
        <v>72</v>
      </c>
      <c r="E2761" t="s">
        <v>72</v>
      </c>
      <c r="F2761" t="s">
        <v>73</v>
      </c>
      <c r="G2761" t="s">
        <v>73</v>
      </c>
      <c r="I2761" t="s">
        <v>13278</v>
      </c>
      <c r="J2761">
        <f>57-323-207-9025</f>
        <v>-9498</v>
      </c>
      <c r="K2761" t="s">
        <v>13279</v>
      </c>
      <c r="N2761" t="s">
        <v>13280</v>
      </c>
      <c r="Z2761" t="s">
        <v>43</v>
      </c>
    </row>
    <row r="2762" spans="1:26" x14ac:dyDescent="0.25">
      <c r="A2762">
        <v>2761</v>
      </c>
      <c r="B2762" t="s">
        <v>30</v>
      </c>
      <c r="C2762" t="s">
        <v>13281</v>
      </c>
      <c r="D2762" t="s">
        <v>64</v>
      </c>
      <c r="E2762" t="s">
        <v>64</v>
      </c>
      <c r="F2762" t="s">
        <v>65</v>
      </c>
      <c r="G2762" t="s">
        <v>65</v>
      </c>
      <c r="I2762" t="s">
        <v>13282</v>
      </c>
      <c r="K2762" t="s">
        <v>13283</v>
      </c>
      <c r="N2762" t="s">
        <v>13284</v>
      </c>
      <c r="Z2762" t="s">
        <v>43</v>
      </c>
    </row>
    <row r="2763" spans="1:26" x14ac:dyDescent="0.25">
      <c r="A2763">
        <v>2762</v>
      </c>
      <c r="B2763" t="s">
        <v>30</v>
      </c>
      <c r="C2763" t="s">
        <v>13285</v>
      </c>
      <c r="D2763" t="s">
        <v>10845</v>
      </c>
      <c r="E2763" t="s">
        <v>1658</v>
      </c>
      <c r="F2763" t="s">
        <v>13286</v>
      </c>
      <c r="G2763" t="s">
        <v>1660</v>
      </c>
      <c r="I2763" t="s">
        <v>13287</v>
      </c>
      <c r="J2763">
        <f>57-300-498-5653</f>
        <v>-6394</v>
      </c>
      <c r="K2763" t="s">
        <v>13288</v>
      </c>
      <c r="N2763" t="s">
        <v>13289</v>
      </c>
      <c r="Z2763" t="s">
        <v>43</v>
      </c>
    </row>
    <row r="2764" spans="1:26" x14ac:dyDescent="0.25">
      <c r="A2764">
        <v>2763</v>
      </c>
      <c r="B2764" t="s">
        <v>30</v>
      </c>
      <c r="C2764" t="s">
        <v>13290</v>
      </c>
      <c r="D2764" t="s">
        <v>2168</v>
      </c>
      <c r="E2764" t="s">
        <v>800</v>
      </c>
      <c r="F2764" t="s">
        <v>2169</v>
      </c>
      <c r="G2764" t="s">
        <v>802</v>
      </c>
      <c r="I2764" t="s">
        <v>13291</v>
      </c>
      <c r="K2764" t="s">
        <v>13292</v>
      </c>
      <c r="N2764" t="s">
        <v>13293</v>
      </c>
      <c r="Z2764" t="s">
        <v>43</v>
      </c>
    </row>
    <row r="2765" spans="1:26" x14ac:dyDescent="0.25">
      <c r="A2765">
        <v>2764</v>
      </c>
      <c r="B2765" t="s">
        <v>30</v>
      </c>
      <c r="C2765" t="s">
        <v>13294</v>
      </c>
      <c r="D2765" t="s">
        <v>1816</v>
      </c>
      <c r="E2765" t="s">
        <v>64</v>
      </c>
      <c r="F2765" t="s">
        <v>1857</v>
      </c>
      <c r="G2765" t="s">
        <v>65</v>
      </c>
      <c r="I2765" t="s">
        <v>13295</v>
      </c>
      <c r="K2765" t="s">
        <v>13296</v>
      </c>
      <c r="N2765" t="s">
        <v>13297</v>
      </c>
      <c r="Z2765" t="s">
        <v>43</v>
      </c>
    </row>
    <row r="2766" spans="1:26" x14ac:dyDescent="0.25">
      <c r="A2766">
        <v>2765</v>
      </c>
      <c r="B2766" t="s">
        <v>30</v>
      </c>
      <c r="C2766" t="s">
        <v>13298</v>
      </c>
      <c r="D2766" t="s">
        <v>899</v>
      </c>
      <c r="E2766" t="s">
        <v>56</v>
      </c>
      <c r="F2766" t="s">
        <v>900</v>
      </c>
      <c r="G2766" t="s">
        <v>57</v>
      </c>
      <c r="I2766" t="s">
        <v>13299</v>
      </c>
      <c r="K2766" t="s">
        <v>13300</v>
      </c>
      <c r="N2766" t="s">
        <v>13301</v>
      </c>
      <c r="Z2766" t="s">
        <v>43</v>
      </c>
    </row>
    <row r="2767" spans="1:26" x14ac:dyDescent="0.25">
      <c r="A2767">
        <v>2766</v>
      </c>
      <c r="B2767" t="s">
        <v>30</v>
      </c>
      <c r="C2767" t="s">
        <v>13302</v>
      </c>
      <c r="D2767" t="s">
        <v>909</v>
      </c>
      <c r="E2767" t="s">
        <v>56</v>
      </c>
      <c r="F2767" t="s">
        <v>1659</v>
      </c>
      <c r="G2767" t="s">
        <v>57</v>
      </c>
      <c r="I2767" t="s">
        <v>13303</v>
      </c>
      <c r="K2767" t="s">
        <v>13304</v>
      </c>
      <c r="N2767" t="s">
        <v>13305</v>
      </c>
      <c r="Z2767" t="s">
        <v>43</v>
      </c>
    </row>
    <row r="2768" spans="1:26" x14ac:dyDescent="0.25">
      <c r="A2768">
        <v>2767</v>
      </c>
      <c r="B2768" t="s">
        <v>30</v>
      </c>
      <c r="C2768" t="s">
        <v>13306</v>
      </c>
      <c r="D2768" t="s">
        <v>13307</v>
      </c>
      <c r="E2768" t="s">
        <v>1055</v>
      </c>
      <c r="F2768" t="s">
        <v>13308</v>
      </c>
      <c r="G2768" t="s">
        <v>1057</v>
      </c>
      <c r="I2768" t="s">
        <v>13309</v>
      </c>
      <c r="J2768">
        <f>57-312-515-4319</f>
        <v>-5089</v>
      </c>
      <c r="K2768" t="s">
        <v>13310</v>
      </c>
      <c r="N2768" t="s">
        <v>13311</v>
      </c>
      <c r="Z2768" t="s">
        <v>43</v>
      </c>
    </row>
    <row r="2769" spans="1:26" x14ac:dyDescent="0.25">
      <c r="A2769">
        <v>2768</v>
      </c>
      <c r="B2769" t="s">
        <v>30</v>
      </c>
      <c r="C2769" t="s">
        <v>13312</v>
      </c>
      <c r="D2769" t="s">
        <v>947</v>
      </c>
      <c r="E2769" t="s">
        <v>948</v>
      </c>
      <c r="F2769" t="s">
        <v>949</v>
      </c>
      <c r="G2769" t="s">
        <v>950</v>
      </c>
      <c r="I2769" t="s">
        <v>13313</v>
      </c>
      <c r="J2769">
        <f>57-313-666-6110</f>
        <v>-7032</v>
      </c>
      <c r="K2769" t="s">
        <v>13314</v>
      </c>
      <c r="N2769" t="s">
        <v>13315</v>
      </c>
      <c r="Z2769" t="s">
        <v>43</v>
      </c>
    </row>
    <row r="2770" spans="1:26" x14ac:dyDescent="0.25">
      <c r="A2770">
        <v>2769</v>
      </c>
      <c r="B2770" t="s">
        <v>30</v>
      </c>
      <c r="C2770" t="s">
        <v>13316</v>
      </c>
      <c r="D2770" t="s">
        <v>3957</v>
      </c>
      <c r="E2770" t="s">
        <v>385</v>
      </c>
      <c r="F2770" t="s">
        <v>4007</v>
      </c>
      <c r="G2770" t="s">
        <v>387</v>
      </c>
      <c r="I2770" t="s">
        <v>13317</v>
      </c>
      <c r="K2770" t="s">
        <v>13318</v>
      </c>
      <c r="N2770" t="s">
        <v>13319</v>
      </c>
      <c r="Z2770" t="s">
        <v>43</v>
      </c>
    </row>
    <row r="2771" spans="1:26" x14ac:dyDescent="0.25">
      <c r="A2771">
        <v>2770</v>
      </c>
      <c r="B2771" t="s">
        <v>30</v>
      </c>
      <c r="C2771" t="s">
        <v>13320</v>
      </c>
      <c r="D2771" t="s">
        <v>3359</v>
      </c>
      <c r="E2771" t="s">
        <v>1402</v>
      </c>
      <c r="F2771" t="s">
        <v>3360</v>
      </c>
      <c r="G2771" t="s">
        <v>1404</v>
      </c>
      <c r="I2771" t="s">
        <v>13321</v>
      </c>
      <c r="J2771">
        <f>57-316-337-3523</f>
        <v>-4119</v>
      </c>
      <c r="K2771" t="s">
        <v>13322</v>
      </c>
      <c r="N2771" t="s">
        <v>13323</v>
      </c>
      <c r="Z2771" t="s">
        <v>43</v>
      </c>
    </row>
    <row r="2772" spans="1:26" x14ac:dyDescent="0.25">
      <c r="A2772">
        <v>2771</v>
      </c>
      <c r="B2772" t="s">
        <v>30</v>
      </c>
      <c r="C2772" t="s">
        <v>13324</v>
      </c>
      <c r="D2772" t="s">
        <v>3221</v>
      </c>
      <c r="E2772" t="s">
        <v>1338</v>
      </c>
      <c r="F2772" t="s">
        <v>3222</v>
      </c>
      <c r="G2772" t="s">
        <v>1340</v>
      </c>
      <c r="I2772" t="s">
        <v>13325</v>
      </c>
      <c r="K2772" t="s">
        <v>13326</v>
      </c>
      <c r="N2772" t="s">
        <v>13327</v>
      </c>
      <c r="Z2772" t="s">
        <v>43</v>
      </c>
    </row>
    <row r="2773" spans="1:26" x14ac:dyDescent="0.25">
      <c r="A2773">
        <v>2772</v>
      </c>
      <c r="B2773" t="s">
        <v>30</v>
      </c>
      <c r="C2773" t="s">
        <v>13328</v>
      </c>
      <c r="D2773" t="s">
        <v>3699</v>
      </c>
      <c r="E2773" t="s">
        <v>1774</v>
      </c>
      <c r="F2773" t="s">
        <v>3700</v>
      </c>
      <c r="G2773" t="s">
        <v>1776</v>
      </c>
      <c r="I2773" t="s">
        <v>13329</v>
      </c>
      <c r="J2773">
        <f>57-300-232-2477</f>
        <v>-2952</v>
      </c>
      <c r="K2773" t="s">
        <v>13330</v>
      </c>
      <c r="N2773" t="s">
        <v>3703</v>
      </c>
      <c r="Z2773" t="s">
        <v>43</v>
      </c>
    </row>
    <row r="2774" spans="1:26" x14ac:dyDescent="0.25">
      <c r="A2774">
        <v>2773</v>
      </c>
      <c r="B2774" t="s">
        <v>30</v>
      </c>
      <c r="C2774" t="s">
        <v>13331</v>
      </c>
      <c r="D2774" t="s">
        <v>2585</v>
      </c>
      <c r="E2774" t="s">
        <v>1217</v>
      </c>
      <c r="F2774" t="s">
        <v>2586</v>
      </c>
      <c r="G2774" t="s">
        <v>2132</v>
      </c>
      <c r="I2774" t="s">
        <v>13332</v>
      </c>
      <c r="K2774" t="s">
        <v>13333</v>
      </c>
      <c r="N2774" t="s">
        <v>13334</v>
      </c>
      <c r="Z2774" t="s">
        <v>43</v>
      </c>
    </row>
    <row r="2775" spans="1:26" x14ac:dyDescent="0.25">
      <c r="A2775">
        <v>2774</v>
      </c>
      <c r="B2775" t="s">
        <v>30</v>
      </c>
      <c r="C2775" t="s">
        <v>13335</v>
      </c>
      <c r="D2775" t="s">
        <v>6556</v>
      </c>
      <c r="E2775" t="s">
        <v>2117</v>
      </c>
      <c r="F2775" t="s">
        <v>6557</v>
      </c>
      <c r="G2775" t="s">
        <v>2119</v>
      </c>
      <c r="I2775" t="s">
        <v>13336</v>
      </c>
      <c r="J2775">
        <f>57-316-866-2380</f>
        <v>-3505</v>
      </c>
      <c r="K2775" t="s">
        <v>13337</v>
      </c>
      <c r="N2775" t="s">
        <v>13338</v>
      </c>
      <c r="Z2775" t="s">
        <v>43</v>
      </c>
    </row>
    <row r="2776" spans="1:26" x14ac:dyDescent="0.25">
      <c r="A2776">
        <v>2775</v>
      </c>
      <c r="B2776" t="s">
        <v>30</v>
      </c>
      <c r="C2776" t="s">
        <v>13339</v>
      </c>
      <c r="D2776" t="s">
        <v>46</v>
      </c>
      <c r="E2776" t="s">
        <v>471</v>
      </c>
      <c r="F2776" t="s">
        <v>941</v>
      </c>
      <c r="G2776" t="s">
        <v>47</v>
      </c>
      <c r="I2776" t="s">
        <v>13340</v>
      </c>
      <c r="K2776" t="s">
        <v>13341</v>
      </c>
      <c r="N2776" t="s">
        <v>13342</v>
      </c>
      <c r="Z2776" t="s">
        <v>43</v>
      </c>
    </row>
    <row r="2777" spans="1:26" x14ac:dyDescent="0.25">
      <c r="A2777">
        <v>2776</v>
      </c>
      <c r="B2777" t="s">
        <v>30</v>
      </c>
      <c r="C2777" t="s">
        <v>13343</v>
      </c>
      <c r="D2777" t="s">
        <v>64</v>
      </c>
      <c r="E2777" t="s">
        <v>64</v>
      </c>
      <c r="F2777" t="s">
        <v>65</v>
      </c>
      <c r="G2777" t="s">
        <v>65</v>
      </c>
      <c r="I2777" t="s">
        <v>13344</v>
      </c>
      <c r="K2777" t="s">
        <v>13345</v>
      </c>
      <c r="N2777" t="s">
        <v>13346</v>
      </c>
      <c r="Z2777" t="s">
        <v>43</v>
      </c>
    </row>
    <row r="2778" spans="1:26" x14ac:dyDescent="0.25">
      <c r="A2778">
        <v>2777</v>
      </c>
      <c r="B2778" t="s">
        <v>30</v>
      </c>
      <c r="C2778" t="s">
        <v>13347</v>
      </c>
      <c r="D2778" t="s">
        <v>1982</v>
      </c>
      <c r="E2778" t="s">
        <v>471</v>
      </c>
      <c r="F2778" t="s">
        <v>7163</v>
      </c>
      <c r="G2778" t="s">
        <v>47</v>
      </c>
      <c r="I2778" t="s">
        <v>13348</v>
      </c>
      <c r="J2778">
        <f>57-318-769-2913</f>
        <v>-3943</v>
      </c>
      <c r="K2778" t="s">
        <v>13349</v>
      </c>
      <c r="N2778" t="s">
        <v>13350</v>
      </c>
      <c r="Z2778" t="s">
        <v>43</v>
      </c>
    </row>
    <row r="2779" spans="1:26" x14ac:dyDescent="0.25">
      <c r="A2779">
        <v>2778</v>
      </c>
      <c r="B2779" t="s">
        <v>30</v>
      </c>
      <c r="C2779" t="s">
        <v>13351</v>
      </c>
      <c r="D2779" t="s">
        <v>46</v>
      </c>
      <c r="E2779" t="s">
        <v>56</v>
      </c>
      <c r="F2779" t="s">
        <v>820</v>
      </c>
      <c r="G2779" t="s">
        <v>57</v>
      </c>
      <c r="I2779" t="s">
        <v>13352</v>
      </c>
      <c r="K2779" t="s">
        <v>13353</v>
      </c>
      <c r="N2779" t="s">
        <v>13354</v>
      </c>
      <c r="Z2779" t="s">
        <v>43</v>
      </c>
    </row>
    <row r="2780" spans="1:26" x14ac:dyDescent="0.25">
      <c r="A2780">
        <v>2779</v>
      </c>
      <c r="B2780" t="s">
        <v>30</v>
      </c>
      <c r="C2780" t="s">
        <v>13355</v>
      </c>
      <c r="D2780" t="s">
        <v>5641</v>
      </c>
      <c r="E2780" t="s">
        <v>1760</v>
      </c>
      <c r="F2780" t="s">
        <v>5642</v>
      </c>
      <c r="G2780" t="s">
        <v>1762</v>
      </c>
      <c r="I2780" t="s">
        <v>13356</v>
      </c>
      <c r="J2780">
        <f>57-311-286-4407</f>
        <v>-4947</v>
      </c>
      <c r="K2780" t="s">
        <v>13357</v>
      </c>
      <c r="N2780" t="s">
        <v>13358</v>
      </c>
      <c r="Z2780" t="s">
        <v>43</v>
      </c>
    </row>
    <row r="2781" spans="1:26" x14ac:dyDescent="0.25">
      <c r="A2781">
        <v>2780</v>
      </c>
      <c r="B2781" t="s">
        <v>30</v>
      </c>
      <c r="C2781" t="s">
        <v>13359</v>
      </c>
      <c r="D2781" t="s">
        <v>9862</v>
      </c>
      <c r="E2781" t="s">
        <v>2210</v>
      </c>
      <c r="F2781" t="s">
        <v>9863</v>
      </c>
      <c r="G2781" t="s">
        <v>2212</v>
      </c>
      <c r="H2781" t="s">
        <v>13360</v>
      </c>
      <c r="I2781" t="s">
        <v>13361</v>
      </c>
      <c r="J2781">
        <f>57-60-1-257-4047</f>
        <v>-4308</v>
      </c>
      <c r="K2781" t="s">
        <v>13362</v>
      </c>
      <c r="L2781" t="s">
        <v>13363</v>
      </c>
      <c r="N2781" t="s">
        <v>13364</v>
      </c>
      <c r="Z2781" t="s">
        <v>43</v>
      </c>
    </row>
    <row r="2782" spans="1:26" x14ac:dyDescent="0.25">
      <c r="A2782">
        <v>2781</v>
      </c>
      <c r="B2782" t="s">
        <v>30</v>
      </c>
      <c r="C2782" t="s">
        <v>13365</v>
      </c>
      <c r="D2782" t="s">
        <v>13366</v>
      </c>
      <c r="E2782" t="s">
        <v>13367</v>
      </c>
      <c r="F2782" t="s">
        <v>13368</v>
      </c>
      <c r="G2782" t="s">
        <v>13369</v>
      </c>
      <c r="I2782" t="s">
        <v>13370</v>
      </c>
      <c r="K2782" t="s">
        <v>13371</v>
      </c>
      <c r="N2782" t="s">
        <v>13372</v>
      </c>
      <c r="Z2782" t="s">
        <v>43</v>
      </c>
    </row>
    <row r="2783" spans="1:26" x14ac:dyDescent="0.25">
      <c r="A2783">
        <v>2782</v>
      </c>
      <c r="B2783" t="s">
        <v>30</v>
      </c>
      <c r="C2783" t="s">
        <v>13373</v>
      </c>
      <c r="D2783" t="s">
        <v>13374</v>
      </c>
      <c r="E2783" t="s">
        <v>56</v>
      </c>
      <c r="F2783" t="s">
        <v>13375</v>
      </c>
      <c r="G2783" t="s">
        <v>57</v>
      </c>
      <c r="I2783" t="s">
        <v>8492</v>
      </c>
      <c r="J2783">
        <f>57-314-204-4211</f>
        <v>-4672</v>
      </c>
      <c r="K2783" t="s">
        <v>13376</v>
      </c>
      <c r="N2783" t="s">
        <v>13377</v>
      </c>
      <c r="Z2783" t="s">
        <v>43</v>
      </c>
    </row>
    <row r="2784" spans="1:26" x14ac:dyDescent="0.25">
      <c r="A2784">
        <v>2783</v>
      </c>
      <c r="B2784" t="s">
        <v>30</v>
      </c>
      <c r="C2784" t="s">
        <v>13378</v>
      </c>
      <c r="D2784" t="s">
        <v>56</v>
      </c>
      <c r="E2784" t="s">
        <v>56</v>
      </c>
      <c r="F2784" t="s">
        <v>57</v>
      </c>
      <c r="G2784" t="s">
        <v>57</v>
      </c>
      <c r="I2784" t="s">
        <v>13379</v>
      </c>
      <c r="K2784" t="s">
        <v>3497</v>
      </c>
      <c r="N2784" t="s">
        <v>3498</v>
      </c>
      <c r="Z2784" t="s">
        <v>43</v>
      </c>
    </row>
    <row r="2785" spans="1:26" x14ac:dyDescent="0.25">
      <c r="A2785">
        <v>2784</v>
      </c>
      <c r="B2785" t="s">
        <v>30</v>
      </c>
      <c r="C2785" t="s">
        <v>13380</v>
      </c>
      <c r="D2785" t="s">
        <v>5785</v>
      </c>
      <c r="E2785" t="s">
        <v>471</v>
      </c>
      <c r="F2785" t="s">
        <v>13381</v>
      </c>
      <c r="G2785" t="s">
        <v>47</v>
      </c>
      <c r="I2785" t="s">
        <v>13382</v>
      </c>
      <c r="K2785" t="s">
        <v>13383</v>
      </c>
      <c r="N2785" t="s">
        <v>13384</v>
      </c>
      <c r="Z2785" t="s">
        <v>43</v>
      </c>
    </row>
    <row r="2786" spans="1:26" x14ac:dyDescent="0.25">
      <c r="A2786">
        <v>2785</v>
      </c>
      <c r="B2786" t="s">
        <v>30</v>
      </c>
      <c r="C2786" t="s">
        <v>13385</v>
      </c>
      <c r="D2786" t="s">
        <v>13386</v>
      </c>
      <c r="E2786" t="s">
        <v>2077</v>
      </c>
      <c r="F2786" t="s">
        <v>13387</v>
      </c>
      <c r="G2786" t="s">
        <v>2079</v>
      </c>
      <c r="I2786" t="s">
        <v>13388</v>
      </c>
      <c r="K2786" t="s">
        <v>13389</v>
      </c>
      <c r="N2786" t="s">
        <v>13390</v>
      </c>
      <c r="Z2786" t="s">
        <v>43</v>
      </c>
    </row>
    <row r="2787" spans="1:26" x14ac:dyDescent="0.25">
      <c r="A2787">
        <v>2786</v>
      </c>
      <c r="B2787" t="s">
        <v>30</v>
      </c>
      <c r="C2787" t="s">
        <v>13391</v>
      </c>
      <c r="D2787" t="s">
        <v>772</v>
      </c>
      <c r="E2787" t="s">
        <v>72</v>
      </c>
      <c r="F2787" t="s">
        <v>3559</v>
      </c>
      <c r="G2787" t="s">
        <v>73</v>
      </c>
      <c r="I2787" t="s">
        <v>13392</v>
      </c>
      <c r="J2787">
        <f>57-310-547-1912</f>
        <v>-2712</v>
      </c>
      <c r="K2787" t="s">
        <v>703</v>
      </c>
      <c r="N2787" t="s">
        <v>13393</v>
      </c>
      <c r="Z2787" t="s">
        <v>43</v>
      </c>
    </row>
    <row r="2788" spans="1:26" x14ac:dyDescent="0.25">
      <c r="A2788">
        <v>2787</v>
      </c>
      <c r="B2788" t="s">
        <v>30</v>
      </c>
      <c r="C2788" t="s">
        <v>13394</v>
      </c>
      <c r="D2788" t="s">
        <v>46</v>
      </c>
      <c r="E2788" t="s">
        <v>471</v>
      </c>
      <c r="F2788" t="s">
        <v>820</v>
      </c>
      <c r="G2788" t="s">
        <v>47</v>
      </c>
      <c r="I2788" t="s">
        <v>13395</v>
      </c>
      <c r="J2788">
        <f>57-60-1-358-8425</f>
        <v>-8787</v>
      </c>
      <c r="K2788" t="s">
        <v>13396</v>
      </c>
      <c r="N2788" t="s">
        <v>13397</v>
      </c>
      <c r="Z2788" t="s">
        <v>43</v>
      </c>
    </row>
    <row r="2789" spans="1:26" x14ac:dyDescent="0.25">
      <c r="A2789">
        <v>2788</v>
      </c>
      <c r="B2789" t="s">
        <v>30</v>
      </c>
      <c r="C2789" t="s">
        <v>13398</v>
      </c>
      <c r="D2789" t="s">
        <v>772</v>
      </c>
      <c r="E2789" t="s">
        <v>471</v>
      </c>
      <c r="F2789" t="s">
        <v>6013</v>
      </c>
      <c r="G2789" t="s">
        <v>47</v>
      </c>
      <c r="I2789" t="s">
        <v>13399</v>
      </c>
      <c r="J2789">
        <f>57-316-466-2834</f>
        <v>-3559</v>
      </c>
      <c r="K2789" t="s">
        <v>13400</v>
      </c>
      <c r="N2789" t="s">
        <v>13401</v>
      </c>
      <c r="Z2789" t="s">
        <v>43</v>
      </c>
    </row>
    <row r="2790" spans="1:26" x14ac:dyDescent="0.25">
      <c r="A2790">
        <v>2789</v>
      </c>
      <c r="B2790" t="s">
        <v>30</v>
      </c>
      <c r="C2790" t="s">
        <v>13402</v>
      </c>
      <c r="D2790" t="s">
        <v>3906</v>
      </c>
      <c r="E2790" t="s">
        <v>3907</v>
      </c>
      <c r="F2790" t="s">
        <v>3908</v>
      </c>
      <c r="G2790" t="s">
        <v>3909</v>
      </c>
      <c r="I2790" t="s">
        <v>13403</v>
      </c>
      <c r="K2790" t="s">
        <v>13404</v>
      </c>
      <c r="N2790" t="s">
        <v>13405</v>
      </c>
      <c r="Z2790" t="s">
        <v>43</v>
      </c>
    </row>
    <row r="2791" spans="1:26" x14ac:dyDescent="0.25">
      <c r="A2791">
        <v>2790</v>
      </c>
      <c r="B2791" t="s">
        <v>30</v>
      </c>
      <c r="C2791" t="s">
        <v>13406</v>
      </c>
      <c r="D2791" t="s">
        <v>1260</v>
      </c>
      <c r="E2791" t="s">
        <v>471</v>
      </c>
      <c r="F2791" t="s">
        <v>2204</v>
      </c>
      <c r="G2791" t="s">
        <v>47</v>
      </c>
      <c r="I2791" t="s">
        <v>13407</v>
      </c>
      <c r="J2791">
        <f>57-60-1-753-7307</f>
        <v>-8064</v>
      </c>
      <c r="K2791" t="s">
        <v>13408</v>
      </c>
      <c r="N2791" t="s">
        <v>13409</v>
      </c>
      <c r="Z2791" t="s">
        <v>43</v>
      </c>
    </row>
    <row r="2792" spans="1:26" x14ac:dyDescent="0.25">
      <c r="A2792">
        <v>2791</v>
      </c>
      <c r="B2792" t="s">
        <v>30</v>
      </c>
      <c r="C2792" t="s">
        <v>13410</v>
      </c>
      <c r="D2792" t="s">
        <v>909</v>
      </c>
      <c r="E2792" t="s">
        <v>471</v>
      </c>
      <c r="F2792" t="s">
        <v>1659</v>
      </c>
      <c r="G2792" t="s">
        <v>47</v>
      </c>
      <c r="I2792" t="s">
        <v>13411</v>
      </c>
      <c r="K2792" t="s">
        <v>13412</v>
      </c>
      <c r="N2792" t="s">
        <v>13413</v>
      </c>
      <c r="Z2792" t="s">
        <v>43</v>
      </c>
    </row>
    <row r="2793" spans="1:26" x14ac:dyDescent="0.25">
      <c r="A2793">
        <v>2792</v>
      </c>
      <c r="B2793" t="s">
        <v>30</v>
      </c>
      <c r="C2793" t="s">
        <v>13414</v>
      </c>
      <c r="D2793" t="s">
        <v>13415</v>
      </c>
      <c r="E2793" t="s">
        <v>72</v>
      </c>
      <c r="F2793" t="s">
        <v>13416</v>
      </c>
      <c r="G2793" t="s">
        <v>73</v>
      </c>
      <c r="I2793" t="s">
        <v>13417</v>
      </c>
      <c r="K2793" t="s">
        <v>13418</v>
      </c>
      <c r="N2793" t="s">
        <v>13419</v>
      </c>
      <c r="Z2793" t="s">
        <v>43</v>
      </c>
    </row>
    <row r="2794" spans="1:26" x14ac:dyDescent="0.25">
      <c r="A2794">
        <v>2793</v>
      </c>
      <c r="B2794" t="s">
        <v>30</v>
      </c>
      <c r="C2794" t="s">
        <v>13420</v>
      </c>
      <c r="D2794" t="s">
        <v>13421</v>
      </c>
      <c r="E2794" t="s">
        <v>385</v>
      </c>
      <c r="F2794" t="s">
        <v>13422</v>
      </c>
      <c r="G2794" t="s">
        <v>387</v>
      </c>
      <c r="I2794" t="s">
        <v>13423</v>
      </c>
      <c r="J2794">
        <f>57-60-1-473-2529</f>
        <v>-3006</v>
      </c>
      <c r="K2794" t="s">
        <v>13424</v>
      </c>
      <c r="N2794" t="s">
        <v>13425</v>
      </c>
      <c r="Z2794" t="s">
        <v>43</v>
      </c>
    </row>
    <row r="2795" spans="1:26" x14ac:dyDescent="0.25">
      <c r="A2795">
        <v>2794</v>
      </c>
      <c r="B2795" t="s">
        <v>30</v>
      </c>
      <c r="C2795" t="s">
        <v>13426</v>
      </c>
      <c r="D2795" t="s">
        <v>979</v>
      </c>
      <c r="E2795" t="s">
        <v>471</v>
      </c>
      <c r="F2795" t="s">
        <v>980</v>
      </c>
      <c r="G2795" t="s">
        <v>47</v>
      </c>
      <c r="I2795" t="s">
        <v>13427</v>
      </c>
      <c r="K2795" t="s">
        <v>13428</v>
      </c>
      <c r="N2795" t="s">
        <v>13429</v>
      </c>
      <c r="Z2795" t="s">
        <v>43</v>
      </c>
    </row>
    <row r="2796" spans="1:26" x14ac:dyDescent="0.25">
      <c r="A2796">
        <v>2795</v>
      </c>
      <c r="B2796" t="s">
        <v>30</v>
      </c>
      <c r="C2796" t="s">
        <v>13430</v>
      </c>
      <c r="D2796" t="s">
        <v>3465</v>
      </c>
      <c r="E2796" t="s">
        <v>1269</v>
      </c>
      <c r="F2796" t="s">
        <v>3466</v>
      </c>
      <c r="G2796" t="s">
        <v>1271</v>
      </c>
      <c r="I2796" t="s">
        <v>13431</v>
      </c>
      <c r="K2796" t="s">
        <v>13432</v>
      </c>
      <c r="N2796" t="s">
        <v>13433</v>
      </c>
      <c r="Z2796" t="s">
        <v>43</v>
      </c>
    </row>
    <row r="2797" spans="1:26" x14ac:dyDescent="0.25">
      <c r="A2797">
        <v>2796</v>
      </c>
      <c r="B2797" t="s">
        <v>30</v>
      </c>
      <c r="C2797" t="s">
        <v>13434</v>
      </c>
      <c r="D2797" t="s">
        <v>56</v>
      </c>
      <c r="E2797" t="s">
        <v>56</v>
      </c>
      <c r="F2797" t="s">
        <v>57</v>
      </c>
      <c r="G2797" t="s">
        <v>57</v>
      </c>
      <c r="I2797" t="s">
        <v>13435</v>
      </c>
      <c r="K2797" t="s">
        <v>13436</v>
      </c>
      <c r="N2797" t="s">
        <v>13437</v>
      </c>
      <c r="Z2797" t="s">
        <v>43</v>
      </c>
    </row>
    <row r="2798" spans="1:26" x14ac:dyDescent="0.25">
      <c r="A2798">
        <v>2797</v>
      </c>
      <c r="B2798" t="s">
        <v>30</v>
      </c>
      <c r="C2798" t="s">
        <v>13438</v>
      </c>
      <c r="D2798" t="s">
        <v>2585</v>
      </c>
      <c r="E2798" t="s">
        <v>56</v>
      </c>
      <c r="F2798" t="s">
        <v>2586</v>
      </c>
      <c r="G2798" t="s">
        <v>57</v>
      </c>
      <c r="I2798" t="s">
        <v>13439</v>
      </c>
      <c r="J2798">
        <f>57-315-507-8947</f>
        <v>-9712</v>
      </c>
      <c r="K2798" t="s">
        <v>13440</v>
      </c>
      <c r="N2798" t="s">
        <v>13441</v>
      </c>
      <c r="Z2798" t="s">
        <v>43</v>
      </c>
    </row>
    <row r="2799" spans="1:26" x14ac:dyDescent="0.25">
      <c r="A2799">
        <v>2798</v>
      </c>
      <c r="B2799" t="s">
        <v>30</v>
      </c>
      <c r="C2799" t="s">
        <v>13442</v>
      </c>
      <c r="D2799" t="s">
        <v>754</v>
      </c>
      <c r="E2799" t="s">
        <v>755</v>
      </c>
      <c r="F2799" t="s">
        <v>13443</v>
      </c>
      <c r="G2799" t="s">
        <v>2199</v>
      </c>
      <c r="I2799" t="s">
        <v>13444</v>
      </c>
      <c r="J2799">
        <f>57-60-1-813-4836</f>
        <v>-5653</v>
      </c>
      <c r="K2799" t="s">
        <v>13445</v>
      </c>
      <c r="N2799" t="s">
        <v>13446</v>
      </c>
      <c r="Z2799" t="s">
        <v>43</v>
      </c>
    </row>
    <row r="2800" spans="1:26" x14ac:dyDescent="0.25">
      <c r="A2800">
        <v>2799</v>
      </c>
      <c r="B2800" t="s">
        <v>30</v>
      </c>
      <c r="C2800" t="s">
        <v>13447</v>
      </c>
      <c r="D2800" t="s">
        <v>3168</v>
      </c>
      <c r="E2800" t="s">
        <v>471</v>
      </c>
      <c r="F2800" t="s">
        <v>7933</v>
      </c>
      <c r="G2800" t="s">
        <v>47</v>
      </c>
      <c r="I2800" t="s">
        <v>13448</v>
      </c>
      <c r="J2800">
        <f>57-300-241-3346</f>
        <v>-3830</v>
      </c>
      <c r="K2800" t="s">
        <v>13449</v>
      </c>
      <c r="N2800" t="s">
        <v>13450</v>
      </c>
      <c r="Z2800" t="s">
        <v>43</v>
      </c>
    </row>
    <row r="2801" spans="1:26" x14ac:dyDescent="0.25">
      <c r="A2801">
        <v>2800</v>
      </c>
      <c r="B2801" t="s">
        <v>30</v>
      </c>
      <c r="C2801" t="s">
        <v>13451</v>
      </c>
      <c r="D2801" t="s">
        <v>13452</v>
      </c>
      <c r="E2801" t="s">
        <v>1402</v>
      </c>
      <c r="F2801" t="s">
        <v>13453</v>
      </c>
      <c r="G2801" t="s">
        <v>1404</v>
      </c>
      <c r="I2801" t="s">
        <v>13454</v>
      </c>
      <c r="J2801">
        <f>57-302-354-6687</f>
        <v>-7286</v>
      </c>
      <c r="K2801" t="s">
        <v>13455</v>
      </c>
      <c r="N2801" t="s">
        <v>13456</v>
      </c>
      <c r="Z2801" t="s">
        <v>43</v>
      </c>
    </row>
    <row r="2802" spans="1:26" x14ac:dyDescent="0.25">
      <c r="A2802">
        <v>2801</v>
      </c>
      <c r="B2802" t="s">
        <v>30</v>
      </c>
      <c r="C2802" t="s">
        <v>13457</v>
      </c>
      <c r="D2802" t="s">
        <v>909</v>
      </c>
      <c r="E2802" t="s">
        <v>471</v>
      </c>
      <c r="F2802" t="s">
        <v>1659</v>
      </c>
      <c r="G2802" t="s">
        <v>47</v>
      </c>
      <c r="I2802" t="s">
        <v>13458</v>
      </c>
      <c r="K2802" t="s">
        <v>13459</v>
      </c>
      <c r="N2802" t="s">
        <v>13460</v>
      </c>
      <c r="Z2802" t="s">
        <v>43</v>
      </c>
    </row>
    <row r="2803" spans="1:26" x14ac:dyDescent="0.25">
      <c r="A2803">
        <v>2802</v>
      </c>
      <c r="B2803" t="s">
        <v>30</v>
      </c>
      <c r="C2803" t="s">
        <v>13461</v>
      </c>
      <c r="D2803" t="s">
        <v>46</v>
      </c>
      <c r="E2803" t="s">
        <v>471</v>
      </c>
      <c r="F2803" t="s">
        <v>820</v>
      </c>
      <c r="G2803" t="s">
        <v>47</v>
      </c>
      <c r="I2803" t="s">
        <v>13462</v>
      </c>
      <c r="J2803">
        <f>57-60-1-217-5289</f>
        <v>-5510</v>
      </c>
      <c r="K2803" t="s">
        <v>13463</v>
      </c>
      <c r="N2803" t="s">
        <v>13464</v>
      </c>
      <c r="Z2803" t="s">
        <v>43</v>
      </c>
    </row>
    <row r="2804" spans="1:26" x14ac:dyDescent="0.25">
      <c r="A2804">
        <v>2803</v>
      </c>
      <c r="B2804" t="s">
        <v>30</v>
      </c>
      <c r="C2804" t="s">
        <v>13465</v>
      </c>
      <c r="D2804" t="s">
        <v>7429</v>
      </c>
      <c r="E2804" t="s">
        <v>56</v>
      </c>
      <c r="F2804" t="s">
        <v>11203</v>
      </c>
      <c r="G2804" t="s">
        <v>57</v>
      </c>
      <c r="I2804" t="s">
        <v>13466</v>
      </c>
      <c r="K2804" t="s">
        <v>13467</v>
      </c>
      <c r="N2804" t="s">
        <v>13468</v>
      </c>
      <c r="Z2804" t="s">
        <v>43</v>
      </c>
    </row>
    <row r="2805" spans="1:26" x14ac:dyDescent="0.25">
      <c r="A2805">
        <v>2804</v>
      </c>
      <c r="B2805" t="s">
        <v>30</v>
      </c>
      <c r="C2805" t="s">
        <v>13469</v>
      </c>
      <c r="D2805" t="s">
        <v>13470</v>
      </c>
      <c r="E2805" t="s">
        <v>800</v>
      </c>
      <c r="F2805" t="s">
        <v>13471</v>
      </c>
      <c r="G2805" t="s">
        <v>802</v>
      </c>
      <c r="I2805" t="s">
        <v>13472</v>
      </c>
      <c r="J2805">
        <f>57-313-208-1926</f>
        <v>-2390</v>
      </c>
      <c r="K2805" t="s">
        <v>13473</v>
      </c>
      <c r="N2805" t="s">
        <v>13474</v>
      </c>
      <c r="Z2805" t="s">
        <v>43</v>
      </c>
    </row>
    <row r="2806" spans="1:26" x14ac:dyDescent="0.25">
      <c r="A2806">
        <v>2805</v>
      </c>
      <c r="B2806" t="s">
        <v>30</v>
      </c>
      <c r="C2806" t="s">
        <v>13475</v>
      </c>
      <c r="D2806" t="s">
        <v>5854</v>
      </c>
      <c r="E2806" t="s">
        <v>385</v>
      </c>
      <c r="F2806" t="s">
        <v>5855</v>
      </c>
      <c r="G2806" t="s">
        <v>387</v>
      </c>
      <c r="I2806" t="s">
        <v>13476</v>
      </c>
      <c r="J2806">
        <f>57-60-1-302-514</f>
        <v>-820</v>
      </c>
      <c r="K2806" t="s">
        <v>13477</v>
      </c>
      <c r="N2806" t="s">
        <v>13478</v>
      </c>
      <c r="Z2806" t="s">
        <v>43</v>
      </c>
    </row>
    <row r="2807" spans="1:26" x14ac:dyDescent="0.25">
      <c r="A2807">
        <v>2806</v>
      </c>
      <c r="B2807" t="s">
        <v>30</v>
      </c>
      <c r="C2807" t="s">
        <v>13479</v>
      </c>
      <c r="D2807" t="s">
        <v>13480</v>
      </c>
      <c r="E2807" t="s">
        <v>56</v>
      </c>
      <c r="F2807" t="s">
        <v>13481</v>
      </c>
      <c r="G2807" t="s">
        <v>57</v>
      </c>
      <c r="I2807" t="s">
        <v>13482</v>
      </c>
      <c r="K2807" t="s">
        <v>13483</v>
      </c>
      <c r="N2807" t="s">
        <v>13484</v>
      </c>
      <c r="Z2807" t="s">
        <v>43</v>
      </c>
    </row>
    <row r="2808" spans="1:26" x14ac:dyDescent="0.25">
      <c r="A2808">
        <v>2807</v>
      </c>
      <c r="B2808" t="s">
        <v>30</v>
      </c>
      <c r="C2808" t="s">
        <v>13485</v>
      </c>
      <c r="D2808" t="s">
        <v>56</v>
      </c>
      <c r="E2808" t="s">
        <v>56</v>
      </c>
      <c r="F2808" t="s">
        <v>57</v>
      </c>
      <c r="G2808" t="s">
        <v>57</v>
      </c>
      <c r="I2808" t="s">
        <v>13486</v>
      </c>
      <c r="J2808">
        <f>57-320-495-3608</f>
        <v>-4366</v>
      </c>
      <c r="K2808" t="s">
        <v>13487</v>
      </c>
      <c r="N2808" t="s">
        <v>13488</v>
      </c>
      <c r="Z2808" t="s">
        <v>43</v>
      </c>
    </row>
    <row r="2809" spans="1:26" x14ac:dyDescent="0.25">
      <c r="A2809">
        <v>2808</v>
      </c>
      <c r="B2809" t="s">
        <v>30</v>
      </c>
      <c r="C2809" t="s">
        <v>13489</v>
      </c>
      <c r="D2809" t="s">
        <v>4036</v>
      </c>
      <c r="E2809" t="s">
        <v>56</v>
      </c>
      <c r="F2809" t="s">
        <v>13490</v>
      </c>
      <c r="G2809" t="s">
        <v>57</v>
      </c>
      <c r="I2809" t="s">
        <v>13491</v>
      </c>
      <c r="K2809" t="s">
        <v>13492</v>
      </c>
      <c r="N2809" t="s">
        <v>13493</v>
      </c>
      <c r="Z2809" t="s">
        <v>43</v>
      </c>
    </row>
    <row r="2810" spans="1:26" x14ac:dyDescent="0.25">
      <c r="A2810">
        <v>2809</v>
      </c>
      <c r="B2810" t="s">
        <v>30</v>
      </c>
      <c r="C2810" t="s">
        <v>13494</v>
      </c>
      <c r="D2810" t="s">
        <v>8825</v>
      </c>
      <c r="E2810" t="s">
        <v>56</v>
      </c>
      <c r="F2810" t="s">
        <v>8826</v>
      </c>
      <c r="G2810" t="s">
        <v>57</v>
      </c>
      <c r="I2810" t="s">
        <v>13495</v>
      </c>
      <c r="J2810">
        <f>57-300-632-4392</f>
        <v>-5267</v>
      </c>
      <c r="K2810" t="s">
        <v>13496</v>
      </c>
      <c r="N2810" t="s">
        <v>10907</v>
      </c>
      <c r="Z2810" t="s">
        <v>43</v>
      </c>
    </row>
    <row r="2811" spans="1:26" x14ac:dyDescent="0.25">
      <c r="A2811">
        <v>2810</v>
      </c>
      <c r="B2811" t="s">
        <v>30</v>
      </c>
      <c r="C2811" t="s">
        <v>13497</v>
      </c>
      <c r="D2811" t="s">
        <v>13498</v>
      </c>
      <c r="E2811" t="s">
        <v>4312</v>
      </c>
      <c r="F2811" t="s">
        <v>13499</v>
      </c>
      <c r="G2811" t="s">
        <v>4314</v>
      </c>
      <c r="I2811" t="s">
        <v>13500</v>
      </c>
      <c r="J2811">
        <f>57-60-1-645-9701</f>
        <v>-10350</v>
      </c>
      <c r="K2811" t="s">
        <v>13501</v>
      </c>
      <c r="N2811" t="s">
        <v>13502</v>
      </c>
      <c r="Z2811" t="s">
        <v>43</v>
      </c>
    </row>
    <row r="2812" spans="1:26" x14ac:dyDescent="0.25">
      <c r="A2812">
        <v>2811</v>
      </c>
      <c r="B2812" t="s">
        <v>30</v>
      </c>
      <c r="C2812" t="s">
        <v>13503</v>
      </c>
      <c r="D2812" t="s">
        <v>1260</v>
      </c>
      <c r="E2812" t="s">
        <v>64</v>
      </c>
      <c r="F2812" t="s">
        <v>1653</v>
      </c>
      <c r="G2812" t="s">
        <v>65</v>
      </c>
      <c r="I2812" t="s">
        <v>13504</v>
      </c>
      <c r="K2812" t="s">
        <v>13505</v>
      </c>
      <c r="N2812" t="s">
        <v>13506</v>
      </c>
      <c r="Z2812" t="s">
        <v>43</v>
      </c>
    </row>
    <row r="2813" spans="1:26" x14ac:dyDescent="0.25">
      <c r="A2813">
        <v>2812</v>
      </c>
      <c r="B2813" t="s">
        <v>30</v>
      </c>
      <c r="C2813" t="s">
        <v>13507</v>
      </c>
      <c r="D2813" t="s">
        <v>11934</v>
      </c>
      <c r="E2813" t="s">
        <v>800</v>
      </c>
      <c r="F2813" t="s">
        <v>11935</v>
      </c>
      <c r="G2813" t="s">
        <v>802</v>
      </c>
      <c r="I2813" t="s">
        <v>13508</v>
      </c>
      <c r="J2813">
        <f>57-322-726-5195</f>
        <v>-6186</v>
      </c>
      <c r="K2813" t="s">
        <v>13509</v>
      </c>
      <c r="N2813" t="s">
        <v>13510</v>
      </c>
      <c r="Z2813" t="s">
        <v>43</v>
      </c>
    </row>
    <row r="2814" spans="1:26" x14ac:dyDescent="0.25">
      <c r="A2814">
        <v>2813</v>
      </c>
      <c r="B2814" t="s">
        <v>30</v>
      </c>
      <c r="C2814" t="s">
        <v>13511</v>
      </c>
      <c r="D2814" t="s">
        <v>11832</v>
      </c>
      <c r="E2814" t="s">
        <v>1217</v>
      </c>
      <c r="F2814" t="s">
        <v>13512</v>
      </c>
      <c r="G2814" t="s">
        <v>1219</v>
      </c>
      <c r="I2814" t="s">
        <v>13513</v>
      </c>
      <c r="J2814">
        <f>57-302-827-7023</f>
        <v>-8095</v>
      </c>
      <c r="K2814" t="s">
        <v>13514</v>
      </c>
      <c r="N2814" t="s">
        <v>8264</v>
      </c>
      <c r="Z2814" t="s">
        <v>43</v>
      </c>
    </row>
    <row r="2815" spans="1:26" x14ac:dyDescent="0.25">
      <c r="A2815">
        <v>2814</v>
      </c>
      <c r="B2815" t="s">
        <v>30</v>
      </c>
      <c r="C2815" t="s">
        <v>13515</v>
      </c>
      <c r="D2815" t="s">
        <v>2098</v>
      </c>
      <c r="E2815" t="s">
        <v>1269</v>
      </c>
      <c r="F2815" t="s">
        <v>2099</v>
      </c>
      <c r="G2815" t="s">
        <v>1271</v>
      </c>
      <c r="I2815" t="s">
        <v>13516</v>
      </c>
      <c r="K2815" t="s">
        <v>13517</v>
      </c>
      <c r="N2815" t="s">
        <v>13518</v>
      </c>
      <c r="Z2815" t="s">
        <v>43</v>
      </c>
    </row>
    <row r="2816" spans="1:26" x14ac:dyDescent="0.25">
      <c r="A2816">
        <v>2815</v>
      </c>
      <c r="B2816" t="s">
        <v>30</v>
      </c>
      <c r="C2816" t="s">
        <v>13519</v>
      </c>
      <c r="D2816" t="s">
        <v>909</v>
      </c>
      <c r="E2816" t="s">
        <v>1658</v>
      </c>
      <c r="F2816" t="s">
        <v>1659</v>
      </c>
      <c r="G2816" t="s">
        <v>1660</v>
      </c>
      <c r="I2816" t="s">
        <v>13520</v>
      </c>
      <c r="K2816" t="s">
        <v>13521</v>
      </c>
      <c r="N2816" t="s">
        <v>13522</v>
      </c>
      <c r="Z2816" t="s">
        <v>43</v>
      </c>
    </row>
    <row r="2817" spans="1:26" x14ac:dyDescent="0.25">
      <c r="A2817">
        <v>2816</v>
      </c>
      <c r="B2817" t="s">
        <v>30</v>
      </c>
      <c r="C2817" t="s">
        <v>13523</v>
      </c>
      <c r="D2817" t="s">
        <v>46</v>
      </c>
      <c r="E2817" t="s">
        <v>471</v>
      </c>
      <c r="F2817" t="s">
        <v>820</v>
      </c>
      <c r="G2817" t="s">
        <v>47</v>
      </c>
      <c r="I2817" t="s">
        <v>13524</v>
      </c>
      <c r="J2817">
        <f>57-314-437-9379</f>
        <v>-10073</v>
      </c>
      <c r="K2817" t="s">
        <v>13525</v>
      </c>
      <c r="N2817" t="s">
        <v>13526</v>
      </c>
      <c r="Z2817" t="s">
        <v>43</v>
      </c>
    </row>
    <row r="2818" spans="1:26" x14ac:dyDescent="0.25">
      <c r="A2818">
        <v>2817</v>
      </c>
      <c r="B2818" t="s">
        <v>30</v>
      </c>
      <c r="C2818" t="s">
        <v>13527</v>
      </c>
      <c r="D2818" t="s">
        <v>13528</v>
      </c>
      <c r="E2818" t="s">
        <v>13529</v>
      </c>
      <c r="F2818" t="s">
        <v>13530</v>
      </c>
      <c r="G2818" t="s">
        <v>13531</v>
      </c>
      <c r="I2818" t="s">
        <v>13532</v>
      </c>
      <c r="J2818">
        <f>57-319-728-6538</f>
        <v>-7528</v>
      </c>
      <c r="K2818" t="s">
        <v>13533</v>
      </c>
      <c r="N2818" t="s">
        <v>13534</v>
      </c>
      <c r="Z2818" t="s">
        <v>43</v>
      </c>
    </row>
    <row r="2819" spans="1:26" x14ac:dyDescent="0.25">
      <c r="A2819">
        <v>2818</v>
      </c>
      <c r="B2819" t="s">
        <v>30</v>
      </c>
      <c r="C2819" t="s">
        <v>13535</v>
      </c>
      <c r="D2819" t="s">
        <v>10538</v>
      </c>
      <c r="E2819" t="s">
        <v>64</v>
      </c>
      <c r="F2819" t="s">
        <v>10539</v>
      </c>
      <c r="G2819" t="s">
        <v>65</v>
      </c>
      <c r="I2819" t="s">
        <v>13536</v>
      </c>
      <c r="K2819" t="s">
        <v>13537</v>
      </c>
      <c r="N2819" t="s">
        <v>13538</v>
      </c>
      <c r="Z2819" t="s">
        <v>43</v>
      </c>
    </row>
    <row r="2820" spans="1:26" x14ac:dyDescent="0.25">
      <c r="A2820">
        <v>2819</v>
      </c>
      <c r="B2820" t="s">
        <v>30</v>
      </c>
      <c r="C2820" t="s">
        <v>13539</v>
      </c>
      <c r="D2820" t="s">
        <v>2098</v>
      </c>
      <c r="E2820" t="s">
        <v>56</v>
      </c>
      <c r="F2820" t="s">
        <v>2099</v>
      </c>
      <c r="G2820" t="s">
        <v>57</v>
      </c>
      <c r="I2820" t="s">
        <v>13540</v>
      </c>
      <c r="J2820">
        <f>57-310-818-9754</f>
        <v>-10825</v>
      </c>
      <c r="K2820" t="s">
        <v>13541</v>
      </c>
      <c r="N2820" t="s">
        <v>3810</v>
      </c>
      <c r="Z2820" t="s">
        <v>43</v>
      </c>
    </row>
    <row r="2821" spans="1:26" x14ac:dyDescent="0.25">
      <c r="A2821">
        <v>2820</v>
      </c>
      <c r="B2821" t="s">
        <v>30</v>
      </c>
      <c r="C2821" t="s">
        <v>13542</v>
      </c>
      <c r="D2821" t="s">
        <v>13543</v>
      </c>
      <c r="E2821" t="s">
        <v>4176</v>
      </c>
      <c r="F2821" t="s">
        <v>13544</v>
      </c>
      <c r="G2821" t="s">
        <v>4178</v>
      </c>
      <c r="I2821" t="s">
        <v>13545</v>
      </c>
      <c r="K2821" t="s">
        <v>13546</v>
      </c>
      <c r="N2821" t="s">
        <v>13547</v>
      </c>
      <c r="Z2821" t="s">
        <v>43</v>
      </c>
    </row>
    <row r="2822" spans="1:26" x14ac:dyDescent="0.25">
      <c r="A2822">
        <v>2821</v>
      </c>
      <c r="B2822" t="s">
        <v>30</v>
      </c>
      <c r="C2822" t="s">
        <v>13548</v>
      </c>
      <c r="D2822" t="s">
        <v>5679</v>
      </c>
      <c r="E2822" t="s">
        <v>3133</v>
      </c>
      <c r="F2822" t="s">
        <v>5680</v>
      </c>
      <c r="G2822" t="s">
        <v>3135</v>
      </c>
      <c r="I2822" t="s">
        <v>13549</v>
      </c>
      <c r="J2822">
        <f>57-321-241-5504</f>
        <v>-6009</v>
      </c>
      <c r="K2822" t="s">
        <v>13550</v>
      </c>
      <c r="N2822" t="s">
        <v>13551</v>
      </c>
      <c r="Z2822" t="s">
        <v>43</v>
      </c>
    </row>
    <row r="2823" spans="1:26" x14ac:dyDescent="0.25">
      <c r="A2823">
        <v>2822</v>
      </c>
      <c r="B2823" t="s">
        <v>30</v>
      </c>
      <c r="C2823" t="s">
        <v>13552</v>
      </c>
      <c r="D2823" t="s">
        <v>3359</v>
      </c>
      <c r="E2823" t="s">
        <v>1402</v>
      </c>
      <c r="F2823" t="s">
        <v>3360</v>
      </c>
      <c r="G2823" t="s">
        <v>1404</v>
      </c>
      <c r="I2823" t="s">
        <v>13553</v>
      </c>
      <c r="J2823">
        <f>57-60-1-383-9983</f>
        <v>-10370</v>
      </c>
      <c r="K2823" t="s">
        <v>13554</v>
      </c>
      <c r="N2823" t="s">
        <v>13555</v>
      </c>
      <c r="Z2823" t="s">
        <v>43</v>
      </c>
    </row>
    <row r="2824" spans="1:26" x14ac:dyDescent="0.25">
      <c r="A2824">
        <v>2823</v>
      </c>
      <c r="B2824" t="s">
        <v>30</v>
      </c>
      <c r="C2824" t="s">
        <v>13556</v>
      </c>
      <c r="D2824" t="s">
        <v>64</v>
      </c>
      <c r="E2824" t="s">
        <v>64</v>
      </c>
      <c r="F2824" t="s">
        <v>65</v>
      </c>
      <c r="G2824" t="s">
        <v>65</v>
      </c>
      <c r="I2824" t="s">
        <v>13557</v>
      </c>
      <c r="J2824">
        <f>57-300-234-2696</f>
        <v>-3173</v>
      </c>
      <c r="K2824" t="s">
        <v>13558</v>
      </c>
      <c r="N2824" t="s">
        <v>13559</v>
      </c>
      <c r="Z2824" t="s">
        <v>43</v>
      </c>
    </row>
    <row r="2825" spans="1:26" x14ac:dyDescent="0.25">
      <c r="A2825">
        <v>2824</v>
      </c>
      <c r="B2825" t="s">
        <v>30</v>
      </c>
      <c r="C2825" t="s">
        <v>13560</v>
      </c>
      <c r="D2825" t="s">
        <v>2014</v>
      </c>
      <c r="E2825" t="s">
        <v>64</v>
      </c>
      <c r="F2825" t="s">
        <v>9359</v>
      </c>
      <c r="G2825" t="s">
        <v>65</v>
      </c>
      <c r="I2825" t="s">
        <v>13561</v>
      </c>
      <c r="J2825">
        <f>57-319-540-547</f>
        <v>-1349</v>
      </c>
      <c r="K2825" t="s">
        <v>13562</v>
      </c>
      <c r="N2825" t="s">
        <v>13563</v>
      </c>
      <c r="Z2825" t="s">
        <v>43</v>
      </c>
    </row>
    <row r="2826" spans="1:26" x14ac:dyDescent="0.25">
      <c r="A2826">
        <v>2825</v>
      </c>
      <c r="B2826" t="s">
        <v>30</v>
      </c>
      <c r="C2826" t="s">
        <v>13564</v>
      </c>
      <c r="D2826" t="s">
        <v>46</v>
      </c>
      <c r="E2826" t="s">
        <v>471</v>
      </c>
      <c r="F2826" t="s">
        <v>820</v>
      </c>
      <c r="G2826" t="s">
        <v>47</v>
      </c>
      <c r="I2826" t="s">
        <v>13565</v>
      </c>
      <c r="K2826" t="s">
        <v>13566</v>
      </c>
      <c r="N2826" t="s">
        <v>13567</v>
      </c>
      <c r="Z2826" t="s">
        <v>43</v>
      </c>
    </row>
    <row r="2827" spans="1:26" x14ac:dyDescent="0.25">
      <c r="A2827">
        <v>2826</v>
      </c>
      <c r="B2827" t="s">
        <v>30</v>
      </c>
      <c r="C2827" t="s">
        <v>13568</v>
      </c>
      <c r="D2827" t="s">
        <v>13569</v>
      </c>
      <c r="E2827" t="s">
        <v>948</v>
      </c>
      <c r="F2827" t="s">
        <v>13570</v>
      </c>
      <c r="G2827" t="s">
        <v>950</v>
      </c>
      <c r="I2827" t="s">
        <v>13571</v>
      </c>
      <c r="K2827" t="s">
        <v>13572</v>
      </c>
      <c r="N2827" t="s">
        <v>13573</v>
      </c>
      <c r="Z2827" t="s">
        <v>43</v>
      </c>
    </row>
    <row r="2828" spans="1:26" x14ac:dyDescent="0.25">
      <c r="A2828">
        <v>2827</v>
      </c>
      <c r="B2828" t="s">
        <v>30</v>
      </c>
      <c r="C2828" t="s">
        <v>13574</v>
      </c>
      <c r="D2828" t="s">
        <v>2168</v>
      </c>
      <c r="E2828" t="s">
        <v>800</v>
      </c>
      <c r="F2828" t="s">
        <v>2169</v>
      </c>
      <c r="G2828" t="s">
        <v>802</v>
      </c>
      <c r="I2828" t="s">
        <v>13575</v>
      </c>
      <c r="K2828" t="s">
        <v>13576</v>
      </c>
      <c r="N2828" t="s">
        <v>13577</v>
      </c>
      <c r="Z2828" t="s">
        <v>43</v>
      </c>
    </row>
    <row r="2829" spans="1:26" x14ac:dyDescent="0.25">
      <c r="A2829">
        <v>2828</v>
      </c>
      <c r="B2829" t="s">
        <v>30</v>
      </c>
      <c r="C2829" t="s">
        <v>13578</v>
      </c>
      <c r="D2829" t="s">
        <v>13579</v>
      </c>
      <c r="E2829" t="s">
        <v>64</v>
      </c>
      <c r="F2829" t="s">
        <v>13580</v>
      </c>
      <c r="G2829" t="s">
        <v>65</v>
      </c>
      <c r="I2829" t="s">
        <v>13581</v>
      </c>
      <c r="J2829">
        <f>57-313-853-3278</f>
        <v>-4387</v>
      </c>
      <c r="K2829" t="s">
        <v>13582</v>
      </c>
      <c r="N2829" t="s">
        <v>13583</v>
      </c>
      <c r="Z2829" t="s">
        <v>43</v>
      </c>
    </row>
    <row r="2830" spans="1:26" x14ac:dyDescent="0.25">
      <c r="A2830">
        <v>2829</v>
      </c>
      <c r="B2830" t="s">
        <v>30</v>
      </c>
      <c r="C2830" t="s">
        <v>13584</v>
      </c>
      <c r="D2830" t="s">
        <v>46</v>
      </c>
      <c r="E2830" t="s">
        <v>471</v>
      </c>
      <c r="F2830" t="s">
        <v>820</v>
      </c>
      <c r="G2830" t="s">
        <v>47</v>
      </c>
      <c r="I2830" t="s">
        <v>13585</v>
      </c>
      <c r="J2830">
        <f>57-318-209-7234</f>
        <v>-7704</v>
      </c>
      <c r="K2830" t="s">
        <v>13586</v>
      </c>
      <c r="N2830" t="s">
        <v>13587</v>
      </c>
      <c r="Z2830" t="s">
        <v>43</v>
      </c>
    </row>
    <row r="2831" spans="1:26" x14ac:dyDescent="0.25">
      <c r="A2831">
        <v>2830</v>
      </c>
      <c r="B2831" t="s">
        <v>30</v>
      </c>
      <c r="C2831" t="s">
        <v>13588</v>
      </c>
      <c r="D2831" t="s">
        <v>46</v>
      </c>
      <c r="E2831" t="s">
        <v>471</v>
      </c>
      <c r="F2831" t="s">
        <v>820</v>
      </c>
      <c r="G2831" t="s">
        <v>47</v>
      </c>
      <c r="I2831" t="s">
        <v>13589</v>
      </c>
      <c r="J2831">
        <f>57-310-249-9577</f>
        <v>-10079</v>
      </c>
      <c r="K2831" t="s">
        <v>13590</v>
      </c>
      <c r="N2831" t="s">
        <v>13591</v>
      </c>
      <c r="Z2831" t="s">
        <v>43</v>
      </c>
    </row>
    <row r="2832" spans="1:26" x14ac:dyDescent="0.25">
      <c r="A2832">
        <v>2831</v>
      </c>
      <c r="B2832" t="s">
        <v>30</v>
      </c>
      <c r="C2832" t="s">
        <v>13592</v>
      </c>
      <c r="D2832" t="s">
        <v>2467</v>
      </c>
      <c r="E2832" t="s">
        <v>1585</v>
      </c>
      <c r="F2832" t="s">
        <v>2468</v>
      </c>
      <c r="G2832" t="s">
        <v>1587</v>
      </c>
      <c r="I2832" t="s">
        <v>13593</v>
      </c>
      <c r="J2832">
        <f>57-318-715-9300</f>
        <v>-10276</v>
      </c>
      <c r="K2832" t="s">
        <v>13594</v>
      </c>
      <c r="N2832" t="s">
        <v>13595</v>
      </c>
      <c r="Z2832" t="s">
        <v>43</v>
      </c>
    </row>
    <row r="2833" spans="1:26" x14ac:dyDescent="0.25">
      <c r="A2833">
        <v>2832</v>
      </c>
      <c r="B2833" t="s">
        <v>30</v>
      </c>
      <c r="C2833" t="s">
        <v>13596</v>
      </c>
      <c r="D2833" t="s">
        <v>3391</v>
      </c>
      <c r="E2833" t="s">
        <v>2117</v>
      </c>
      <c r="F2833" t="s">
        <v>3392</v>
      </c>
      <c r="G2833" t="s">
        <v>2119</v>
      </c>
      <c r="I2833" t="s">
        <v>11342</v>
      </c>
      <c r="J2833">
        <f>57-319-488-7558</f>
        <v>-8308</v>
      </c>
      <c r="K2833" t="s">
        <v>13597</v>
      </c>
      <c r="N2833" t="s">
        <v>13598</v>
      </c>
      <c r="Z2833" t="s">
        <v>43</v>
      </c>
    </row>
    <row r="2834" spans="1:26" x14ac:dyDescent="0.25">
      <c r="A2834">
        <v>2833</v>
      </c>
      <c r="B2834" t="s">
        <v>30</v>
      </c>
      <c r="C2834" t="s">
        <v>13599</v>
      </c>
      <c r="D2834" t="s">
        <v>13600</v>
      </c>
      <c r="E2834" t="s">
        <v>1585</v>
      </c>
      <c r="F2834" t="s">
        <v>13601</v>
      </c>
      <c r="G2834" t="s">
        <v>1587</v>
      </c>
      <c r="I2834" t="s">
        <v>13602</v>
      </c>
      <c r="K2834" t="s">
        <v>13603</v>
      </c>
      <c r="N2834" t="s">
        <v>13604</v>
      </c>
      <c r="Z2834" t="s">
        <v>43</v>
      </c>
    </row>
    <row r="2835" spans="1:26" x14ac:dyDescent="0.25">
      <c r="A2835">
        <v>2834</v>
      </c>
      <c r="B2835" t="s">
        <v>30</v>
      </c>
      <c r="C2835" t="s">
        <v>13605</v>
      </c>
      <c r="D2835" t="s">
        <v>813</v>
      </c>
      <c r="E2835" t="s">
        <v>1658</v>
      </c>
      <c r="F2835" t="s">
        <v>3735</v>
      </c>
      <c r="G2835" t="s">
        <v>1660</v>
      </c>
      <c r="I2835" t="s">
        <v>13606</v>
      </c>
      <c r="K2835" t="s">
        <v>13607</v>
      </c>
      <c r="N2835" t="s">
        <v>13608</v>
      </c>
      <c r="Z2835" t="s">
        <v>43</v>
      </c>
    </row>
    <row r="2836" spans="1:26" x14ac:dyDescent="0.25">
      <c r="A2836">
        <v>2835</v>
      </c>
      <c r="B2836" t="s">
        <v>30</v>
      </c>
      <c r="C2836" t="s">
        <v>13609</v>
      </c>
      <c r="D2836" t="s">
        <v>56</v>
      </c>
      <c r="E2836" t="s">
        <v>56</v>
      </c>
      <c r="F2836" t="s">
        <v>57</v>
      </c>
      <c r="G2836" t="s">
        <v>57</v>
      </c>
      <c r="I2836" t="s">
        <v>13610</v>
      </c>
      <c r="J2836">
        <f>57-301-698-5895</f>
        <v>-6837</v>
      </c>
      <c r="K2836" t="s">
        <v>13611</v>
      </c>
      <c r="N2836" t="s">
        <v>13612</v>
      </c>
      <c r="Z2836" t="s">
        <v>43</v>
      </c>
    </row>
    <row r="2837" spans="1:26" x14ac:dyDescent="0.25">
      <c r="A2837">
        <v>2836</v>
      </c>
      <c r="B2837" t="s">
        <v>30</v>
      </c>
      <c r="C2837" t="s">
        <v>13613</v>
      </c>
      <c r="D2837" t="s">
        <v>3359</v>
      </c>
      <c r="E2837" t="s">
        <v>1402</v>
      </c>
      <c r="F2837" t="s">
        <v>3360</v>
      </c>
      <c r="G2837" t="s">
        <v>1404</v>
      </c>
      <c r="I2837" t="s">
        <v>13614</v>
      </c>
      <c r="J2837">
        <f>57-305-483-3502</f>
        <v>-4233</v>
      </c>
      <c r="K2837" t="s">
        <v>13615</v>
      </c>
      <c r="N2837" t="s">
        <v>13616</v>
      </c>
      <c r="Z2837" t="s">
        <v>43</v>
      </c>
    </row>
    <row r="2838" spans="1:26" x14ac:dyDescent="0.25">
      <c r="A2838">
        <v>2837</v>
      </c>
      <c r="B2838" t="s">
        <v>30</v>
      </c>
      <c r="C2838" t="s">
        <v>13617</v>
      </c>
      <c r="D2838" t="s">
        <v>56</v>
      </c>
      <c r="E2838" t="s">
        <v>56</v>
      </c>
      <c r="F2838" t="s">
        <v>57</v>
      </c>
      <c r="G2838" t="s">
        <v>57</v>
      </c>
      <c r="I2838" t="s">
        <v>13618</v>
      </c>
      <c r="J2838">
        <f>57-311-212-6421</f>
        <v>-6887</v>
      </c>
      <c r="K2838" t="s">
        <v>3797</v>
      </c>
      <c r="N2838" t="s">
        <v>3798</v>
      </c>
      <c r="Z2838" t="s">
        <v>43</v>
      </c>
    </row>
    <row r="2839" spans="1:26" x14ac:dyDescent="0.25">
      <c r="A2839">
        <v>2838</v>
      </c>
      <c r="B2839" t="s">
        <v>30</v>
      </c>
      <c r="C2839" t="s">
        <v>13619</v>
      </c>
      <c r="D2839" t="s">
        <v>3664</v>
      </c>
      <c r="E2839" t="s">
        <v>56</v>
      </c>
      <c r="F2839" t="s">
        <v>3665</v>
      </c>
      <c r="G2839" t="s">
        <v>57</v>
      </c>
      <c r="I2839" t="s">
        <v>13620</v>
      </c>
      <c r="J2839">
        <f>57-320-247-226</f>
        <v>-736</v>
      </c>
      <c r="K2839" t="s">
        <v>13621</v>
      </c>
      <c r="N2839" t="s">
        <v>13622</v>
      </c>
      <c r="Z2839" t="s">
        <v>43</v>
      </c>
    </row>
    <row r="2840" spans="1:26" x14ac:dyDescent="0.25">
      <c r="A2840">
        <v>2839</v>
      </c>
      <c r="B2840" t="s">
        <v>30</v>
      </c>
      <c r="C2840" t="s">
        <v>13623</v>
      </c>
      <c r="D2840" t="s">
        <v>2585</v>
      </c>
      <c r="E2840" t="s">
        <v>56</v>
      </c>
      <c r="F2840" t="s">
        <v>2586</v>
      </c>
      <c r="G2840" t="s">
        <v>57</v>
      </c>
      <c r="I2840" t="s">
        <v>13624</v>
      </c>
      <c r="K2840" t="s">
        <v>13625</v>
      </c>
      <c r="N2840" t="s">
        <v>13626</v>
      </c>
      <c r="Z2840" t="s">
        <v>43</v>
      </c>
    </row>
    <row r="2841" spans="1:26" x14ac:dyDescent="0.25">
      <c r="A2841">
        <v>2840</v>
      </c>
      <c r="B2841" t="s">
        <v>30</v>
      </c>
      <c r="C2841" t="s">
        <v>13627</v>
      </c>
      <c r="D2841" t="s">
        <v>64</v>
      </c>
      <c r="E2841" t="s">
        <v>64</v>
      </c>
      <c r="F2841" t="s">
        <v>65</v>
      </c>
      <c r="G2841" t="s">
        <v>65</v>
      </c>
      <c r="I2841" t="s">
        <v>13628</v>
      </c>
      <c r="J2841">
        <f>57-313-401-6000</f>
        <v>-6657</v>
      </c>
      <c r="K2841" t="s">
        <v>13629</v>
      </c>
      <c r="N2841" t="s">
        <v>13630</v>
      </c>
      <c r="Z2841" t="s">
        <v>43</v>
      </c>
    </row>
    <row r="2842" spans="1:26" x14ac:dyDescent="0.25">
      <c r="A2842">
        <v>2841</v>
      </c>
      <c r="B2842" t="s">
        <v>30</v>
      </c>
      <c r="C2842" t="s">
        <v>13631</v>
      </c>
      <c r="D2842" t="s">
        <v>3380</v>
      </c>
      <c r="E2842" t="s">
        <v>56</v>
      </c>
      <c r="F2842" t="s">
        <v>11280</v>
      </c>
      <c r="G2842" t="s">
        <v>57</v>
      </c>
      <c r="I2842" t="s">
        <v>13632</v>
      </c>
      <c r="J2842">
        <f>57-312-222-9214</f>
        <v>-9691</v>
      </c>
      <c r="K2842" t="s">
        <v>13633</v>
      </c>
      <c r="N2842" t="s">
        <v>13634</v>
      </c>
      <c r="Z2842" t="s">
        <v>43</v>
      </c>
    </row>
    <row r="2843" spans="1:26" x14ac:dyDescent="0.25">
      <c r="A2843">
        <v>2842</v>
      </c>
      <c r="B2843" t="s">
        <v>30</v>
      </c>
      <c r="C2843" t="s">
        <v>13635</v>
      </c>
      <c r="D2843" t="s">
        <v>1713</v>
      </c>
      <c r="E2843" t="s">
        <v>3321</v>
      </c>
      <c r="F2843" t="s">
        <v>3159</v>
      </c>
      <c r="G2843" t="s">
        <v>3323</v>
      </c>
      <c r="I2843" t="s">
        <v>13636</v>
      </c>
      <c r="K2843" t="s">
        <v>13637</v>
      </c>
      <c r="N2843" t="s">
        <v>13638</v>
      </c>
      <c r="Z2843" t="s">
        <v>43</v>
      </c>
    </row>
    <row r="2844" spans="1:26" x14ac:dyDescent="0.25">
      <c r="A2844">
        <v>2843</v>
      </c>
      <c r="B2844" t="s">
        <v>30</v>
      </c>
      <c r="C2844" t="s">
        <v>13639</v>
      </c>
      <c r="D2844" t="s">
        <v>2346</v>
      </c>
      <c r="E2844" t="s">
        <v>471</v>
      </c>
      <c r="F2844" t="s">
        <v>2347</v>
      </c>
      <c r="G2844" t="s">
        <v>47</v>
      </c>
      <c r="I2844" t="s">
        <v>13640</v>
      </c>
      <c r="J2844">
        <f>57-60-1-285-4866</f>
        <v>-5155</v>
      </c>
      <c r="K2844" t="s">
        <v>13641</v>
      </c>
      <c r="N2844" t="s">
        <v>13642</v>
      </c>
      <c r="Z2844" t="s">
        <v>43</v>
      </c>
    </row>
    <row r="2845" spans="1:26" x14ac:dyDescent="0.25">
      <c r="A2845">
        <v>2844</v>
      </c>
      <c r="B2845" t="s">
        <v>30</v>
      </c>
      <c r="C2845" t="s">
        <v>13643</v>
      </c>
      <c r="D2845" t="s">
        <v>13644</v>
      </c>
      <c r="E2845" t="s">
        <v>1055</v>
      </c>
      <c r="F2845" t="s">
        <v>13645</v>
      </c>
      <c r="G2845" t="s">
        <v>1057</v>
      </c>
      <c r="I2845" t="s">
        <v>13646</v>
      </c>
      <c r="J2845">
        <f>57-312-588-8436</f>
        <v>-9279</v>
      </c>
      <c r="K2845" t="s">
        <v>13647</v>
      </c>
      <c r="N2845" t="s">
        <v>13648</v>
      </c>
      <c r="Z2845" t="s">
        <v>43</v>
      </c>
    </row>
    <row r="2846" spans="1:26" x14ac:dyDescent="0.25">
      <c r="A2846">
        <v>2845</v>
      </c>
      <c r="B2846" t="s">
        <v>30</v>
      </c>
      <c r="C2846" t="s">
        <v>13649</v>
      </c>
      <c r="D2846" t="s">
        <v>56</v>
      </c>
      <c r="E2846" t="s">
        <v>56</v>
      </c>
      <c r="F2846" t="s">
        <v>57</v>
      </c>
      <c r="G2846" t="s">
        <v>57</v>
      </c>
      <c r="I2846" t="s">
        <v>13650</v>
      </c>
      <c r="J2846">
        <f>57-316-690-4720</f>
        <v>-5669</v>
      </c>
      <c r="K2846" t="s">
        <v>13651</v>
      </c>
      <c r="N2846" t="s">
        <v>13652</v>
      </c>
      <c r="Z2846" t="s">
        <v>43</v>
      </c>
    </row>
    <row r="2847" spans="1:26" x14ac:dyDescent="0.25">
      <c r="A2847">
        <v>2846</v>
      </c>
      <c r="B2847" t="s">
        <v>30</v>
      </c>
      <c r="C2847" t="s">
        <v>13653</v>
      </c>
      <c r="D2847" t="s">
        <v>64</v>
      </c>
      <c r="E2847" t="s">
        <v>64</v>
      </c>
      <c r="F2847" t="s">
        <v>65</v>
      </c>
      <c r="G2847" t="s">
        <v>65</v>
      </c>
      <c r="I2847" t="s">
        <v>13654</v>
      </c>
      <c r="K2847" t="s">
        <v>13655</v>
      </c>
      <c r="N2847" t="s">
        <v>13656</v>
      </c>
      <c r="Z2847" t="s">
        <v>43</v>
      </c>
    </row>
    <row r="2848" spans="1:26" x14ac:dyDescent="0.25">
      <c r="A2848">
        <v>2847</v>
      </c>
      <c r="B2848" t="s">
        <v>30</v>
      </c>
      <c r="C2848" t="s">
        <v>13657</v>
      </c>
      <c r="D2848" t="s">
        <v>4202</v>
      </c>
      <c r="E2848" t="s">
        <v>1155</v>
      </c>
      <c r="F2848" t="s">
        <v>13658</v>
      </c>
      <c r="G2848" t="s">
        <v>1157</v>
      </c>
      <c r="I2848" t="s">
        <v>13659</v>
      </c>
      <c r="J2848">
        <f>57-301-202-225</f>
        <v>-671</v>
      </c>
      <c r="K2848" t="s">
        <v>13660</v>
      </c>
      <c r="N2848" t="s">
        <v>13661</v>
      </c>
      <c r="Z2848" t="s">
        <v>43</v>
      </c>
    </row>
    <row r="2849" spans="1:26" x14ac:dyDescent="0.25">
      <c r="A2849">
        <v>2848</v>
      </c>
      <c r="B2849" t="s">
        <v>30</v>
      </c>
      <c r="C2849" t="s">
        <v>13662</v>
      </c>
      <c r="D2849" t="s">
        <v>2014</v>
      </c>
      <c r="E2849" t="s">
        <v>800</v>
      </c>
      <c r="F2849" t="s">
        <v>2015</v>
      </c>
      <c r="G2849" t="s">
        <v>802</v>
      </c>
      <c r="I2849" t="s">
        <v>13663</v>
      </c>
      <c r="K2849" t="s">
        <v>13664</v>
      </c>
      <c r="N2849" t="s">
        <v>13665</v>
      </c>
      <c r="Z2849" t="s">
        <v>43</v>
      </c>
    </row>
    <row r="2850" spans="1:26" x14ac:dyDescent="0.25">
      <c r="A2850">
        <v>2849</v>
      </c>
      <c r="B2850" t="s">
        <v>30</v>
      </c>
      <c r="C2850" t="s">
        <v>13666</v>
      </c>
      <c r="D2850" t="s">
        <v>979</v>
      </c>
      <c r="E2850" t="s">
        <v>56</v>
      </c>
      <c r="F2850" t="s">
        <v>980</v>
      </c>
      <c r="G2850" t="s">
        <v>57</v>
      </c>
      <c r="I2850" t="s">
        <v>13667</v>
      </c>
      <c r="K2850" t="s">
        <v>13668</v>
      </c>
      <c r="N2850" t="s">
        <v>13669</v>
      </c>
      <c r="Z2850" t="s">
        <v>43</v>
      </c>
    </row>
    <row r="2851" spans="1:26" x14ac:dyDescent="0.25">
      <c r="A2851">
        <v>2850</v>
      </c>
      <c r="B2851" t="s">
        <v>30</v>
      </c>
      <c r="C2851" t="s">
        <v>13670</v>
      </c>
      <c r="D2851" t="s">
        <v>1260</v>
      </c>
      <c r="E2851" t="s">
        <v>3321</v>
      </c>
      <c r="F2851" t="s">
        <v>1261</v>
      </c>
      <c r="G2851" t="s">
        <v>3323</v>
      </c>
      <c r="I2851" t="s">
        <v>13671</v>
      </c>
      <c r="K2851" t="s">
        <v>13672</v>
      </c>
      <c r="N2851" t="s">
        <v>13673</v>
      </c>
      <c r="Z2851" t="s">
        <v>43</v>
      </c>
    </row>
    <row r="2852" spans="1:26" x14ac:dyDescent="0.25">
      <c r="A2852">
        <v>2851</v>
      </c>
      <c r="B2852" t="s">
        <v>30</v>
      </c>
      <c r="C2852" t="s">
        <v>13674</v>
      </c>
      <c r="D2852" t="s">
        <v>46</v>
      </c>
      <c r="E2852" t="s">
        <v>471</v>
      </c>
      <c r="F2852" t="s">
        <v>820</v>
      </c>
      <c r="G2852" t="s">
        <v>47</v>
      </c>
      <c r="I2852" t="s">
        <v>13675</v>
      </c>
      <c r="K2852" t="s">
        <v>13676</v>
      </c>
      <c r="N2852" t="s">
        <v>13677</v>
      </c>
      <c r="Z2852" t="s">
        <v>43</v>
      </c>
    </row>
    <row r="2853" spans="1:26" x14ac:dyDescent="0.25">
      <c r="A2853">
        <v>2852</v>
      </c>
      <c r="B2853" t="s">
        <v>30</v>
      </c>
      <c r="C2853" t="s">
        <v>13678</v>
      </c>
      <c r="D2853" t="s">
        <v>8835</v>
      </c>
      <c r="E2853" t="s">
        <v>56</v>
      </c>
      <c r="F2853" t="s">
        <v>8836</v>
      </c>
      <c r="G2853" t="s">
        <v>57</v>
      </c>
      <c r="I2853" t="s">
        <v>13679</v>
      </c>
      <c r="J2853">
        <f>57-313-403-5157</f>
        <v>-5816</v>
      </c>
      <c r="K2853" t="s">
        <v>8838</v>
      </c>
      <c r="N2853" t="s">
        <v>8839</v>
      </c>
      <c r="Z2853" t="s">
        <v>43</v>
      </c>
    </row>
    <row r="2854" spans="1:26" x14ac:dyDescent="0.25">
      <c r="A2854">
        <v>2853</v>
      </c>
      <c r="B2854" t="s">
        <v>30</v>
      </c>
      <c r="C2854" t="s">
        <v>13680</v>
      </c>
      <c r="D2854" t="s">
        <v>6783</v>
      </c>
      <c r="E2854" t="s">
        <v>471</v>
      </c>
      <c r="F2854" t="s">
        <v>6784</v>
      </c>
      <c r="G2854" t="s">
        <v>47</v>
      </c>
      <c r="I2854" t="s">
        <v>13681</v>
      </c>
      <c r="K2854" t="s">
        <v>13682</v>
      </c>
      <c r="N2854" t="s">
        <v>13683</v>
      </c>
      <c r="Z2854" t="s">
        <v>43</v>
      </c>
    </row>
    <row r="2855" spans="1:26" x14ac:dyDescent="0.25">
      <c r="A2855">
        <v>2854</v>
      </c>
      <c r="B2855" t="s">
        <v>30</v>
      </c>
      <c r="C2855" t="s">
        <v>13684</v>
      </c>
      <c r="D2855" t="s">
        <v>46</v>
      </c>
      <c r="E2855" t="s">
        <v>471</v>
      </c>
      <c r="F2855" t="s">
        <v>820</v>
      </c>
      <c r="G2855" t="s">
        <v>47</v>
      </c>
      <c r="I2855" t="s">
        <v>13685</v>
      </c>
      <c r="J2855">
        <f>57-312-386-7927</f>
        <v>-8568</v>
      </c>
      <c r="K2855" t="s">
        <v>13686</v>
      </c>
      <c r="N2855" t="s">
        <v>13687</v>
      </c>
      <c r="Z2855" t="s">
        <v>43</v>
      </c>
    </row>
    <row r="2856" spans="1:26" x14ac:dyDescent="0.25">
      <c r="A2856">
        <v>2855</v>
      </c>
      <c r="B2856" t="s">
        <v>30</v>
      </c>
      <c r="C2856" t="s">
        <v>13688</v>
      </c>
      <c r="D2856" t="s">
        <v>867</v>
      </c>
      <c r="E2856" t="s">
        <v>471</v>
      </c>
      <c r="F2856" t="s">
        <v>868</v>
      </c>
      <c r="G2856" t="s">
        <v>47</v>
      </c>
      <c r="I2856" t="s">
        <v>13689</v>
      </c>
      <c r="K2856" t="s">
        <v>13690</v>
      </c>
      <c r="N2856" t="s">
        <v>13691</v>
      </c>
      <c r="Z2856" t="s">
        <v>43</v>
      </c>
    </row>
    <row r="2857" spans="1:26" x14ac:dyDescent="0.25">
      <c r="A2857">
        <v>2856</v>
      </c>
      <c r="B2857" t="s">
        <v>30</v>
      </c>
      <c r="C2857" t="s">
        <v>13692</v>
      </c>
      <c r="D2857" t="s">
        <v>13693</v>
      </c>
      <c r="E2857" t="s">
        <v>6999</v>
      </c>
      <c r="F2857" t="s">
        <v>13694</v>
      </c>
      <c r="G2857" t="s">
        <v>7001</v>
      </c>
      <c r="I2857" t="s">
        <v>13695</v>
      </c>
      <c r="K2857" t="s">
        <v>13696</v>
      </c>
      <c r="N2857" t="s">
        <v>13697</v>
      </c>
      <c r="Z2857" t="s">
        <v>43</v>
      </c>
    </row>
    <row r="2858" spans="1:26" x14ac:dyDescent="0.25">
      <c r="A2858">
        <v>2857</v>
      </c>
      <c r="B2858" t="s">
        <v>30</v>
      </c>
      <c r="C2858" t="s">
        <v>13698</v>
      </c>
      <c r="D2858" t="s">
        <v>13699</v>
      </c>
      <c r="E2858" t="s">
        <v>5179</v>
      </c>
      <c r="F2858" t="s">
        <v>13700</v>
      </c>
      <c r="G2858" t="s">
        <v>5181</v>
      </c>
      <c r="I2858" t="s">
        <v>13701</v>
      </c>
      <c r="J2858">
        <f>57-315-315-3542</f>
        <v>-4115</v>
      </c>
      <c r="K2858" t="s">
        <v>13702</v>
      </c>
      <c r="N2858" t="s">
        <v>13703</v>
      </c>
      <c r="Z2858" t="s">
        <v>43</v>
      </c>
    </row>
    <row r="2859" spans="1:26" x14ac:dyDescent="0.25">
      <c r="A2859">
        <v>2858</v>
      </c>
      <c r="B2859" t="s">
        <v>30</v>
      </c>
      <c r="C2859" t="s">
        <v>13704</v>
      </c>
      <c r="D2859" t="s">
        <v>1896</v>
      </c>
      <c r="E2859" t="s">
        <v>471</v>
      </c>
      <c r="F2859" t="s">
        <v>7635</v>
      </c>
      <c r="G2859" t="s">
        <v>966</v>
      </c>
      <c r="I2859" t="s">
        <v>13705</v>
      </c>
      <c r="J2859">
        <f>57-320-847-1496</f>
        <v>-2606</v>
      </c>
      <c r="K2859" t="s">
        <v>13706</v>
      </c>
      <c r="N2859" t="s">
        <v>13707</v>
      </c>
      <c r="Z2859" t="s">
        <v>43</v>
      </c>
    </row>
    <row r="2860" spans="1:26" x14ac:dyDescent="0.25">
      <c r="A2860">
        <v>2859</v>
      </c>
      <c r="B2860" t="s">
        <v>30</v>
      </c>
      <c r="C2860" t="s">
        <v>13708</v>
      </c>
      <c r="D2860" t="s">
        <v>13709</v>
      </c>
      <c r="E2860" t="s">
        <v>5155</v>
      </c>
      <c r="F2860" t="s">
        <v>13710</v>
      </c>
      <c r="G2860" t="s">
        <v>5157</v>
      </c>
      <c r="I2860" t="s">
        <v>13711</v>
      </c>
      <c r="J2860">
        <f>57-317-309-3278</f>
        <v>-3847</v>
      </c>
      <c r="K2860" t="s">
        <v>13712</v>
      </c>
      <c r="N2860" t="s">
        <v>13713</v>
      </c>
      <c r="Z2860" t="s">
        <v>43</v>
      </c>
    </row>
    <row r="2861" spans="1:26" x14ac:dyDescent="0.25">
      <c r="A2861">
        <v>2860</v>
      </c>
      <c r="B2861" t="s">
        <v>30</v>
      </c>
      <c r="C2861" t="s">
        <v>13714</v>
      </c>
      <c r="D2861" t="s">
        <v>3465</v>
      </c>
      <c r="E2861" t="s">
        <v>64</v>
      </c>
      <c r="F2861" t="s">
        <v>13715</v>
      </c>
      <c r="G2861" t="s">
        <v>65</v>
      </c>
      <c r="I2861" t="s">
        <v>13716</v>
      </c>
      <c r="K2861" t="s">
        <v>13717</v>
      </c>
      <c r="N2861" t="s">
        <v>13718</v>
      </c>
      <c r="Z2861" t="s">
        <v>43</v>
      </c>
    </row>
    <row r="2862" spans="1:26" x14ac:dyDescent="0.25">
      <c r="A2862">
        <v>2861</v>
      </c>
      <c r="B2862" t="s">
        <v>30</v>
      </c>
      <c r="C2862" t="s">
        <v>13719</v>
      </c>
      <c r="D2862" t="s">
        <v>5290</v>
      </c>
      <c r="E2862" t="s">
        <v>64</v>
      </c>
      <c r="F2862" t="s">
        <v>13720</v>
      </c>
      <c r="G2862" t="s">
        <v>65</v>
      </c>
      <c r="I2862" t="s">
        <v>13721</v>
      </c>
      <c r="K2862" t="s">
        <v>13722</v>
      </c>
      <c r="N2862" t="s">
        <v>13723</v>
      </c>
      <c r="Z2862" t="s">
        <v>43</v>
      </c>
    </row>
    <row r="2863" spans="1:26" x14ac:dyDescent="0.25">
      <c r="A2863">
        <v>2862</v>
      </c>
      <c r="B2863" t="s">
        <v>30</v>
      </c>
      <c r="C2863" t="s">
        <v>13724</v>
      </c>
      <c r="D2863" t="s">
        <v>5919</v>
      </c>
      <c r="E2863" t="s">
        <v>471</v>
      </c>
      <c r="F2863" t="s">
        <v>5920</v>
      </c>
      <c r="G2863" t="s">
        <v>47</v>
      </c>
      <c r="I2863" t="s">
        <v>13725</v>
      </c>
      <c r="J2863">
        <f>57-60-1-645-5153</f>
        <v>-5802</v>
      </c>
      <c r="K2863" t="s">
        <v>13726</v>
      </c>
      <c r="N2863" t="s">
        <v>13727</v>
      </c>
      <c r="Z2863" t="s">
        <v>43</v>
      </c>
    </row>
    <row r="2864" spans="1:26" x14ac:dyDescent="0.25">
      <c r="A2864">
        <v>2863</v>
      </c>
      <c r="B2864" t="s">
        <v>30</v>
      </c>
      <c r="C2864" t="s">
        <v>13728</v>
      </c>
      <c r="D2864" t="s">
        <v>909</v>
      </c>
      <c r="E2864" t="s">
        <v>471</v>
      </c>
      <c r="F2864" t="s">
        <v>1659</v>
      </c>
      <c r="G2864" t="s">
        <v>47</v>
      </c>
      <c r="I2864" t="s">
        <v>13729</v>
      </c>
      <c r="J2864">
        <f>57-310-304-695</f>
        <v>-1252</v>
      </c>
      <c r="K2864" t="s">
        <v>13730</v>
      </c>
      <c r="N2864" t="s">
        <v>13731</v>
      </c>
      <c r="Z2864" t="s">
        <v>43</v>
      </c>
    </row>
    <row r="2865" spans="1:26" x14ac:dyDescent="0.25">
      <c r="A2865">
        <v>2864</v>
      </c>
      <c r="B2865" t="s">
        <v>30</v>
      </c>
      <c r="C2865" t="s">
        <v>13732</v>
      </c>
      <c r="D2865" t="s">
        <v>4325</v>
      </c>
      <c r="E2865" t="s">
        <v>56</v>
      </c>
      <c r="F2865" t="s">
        <v>4326</v>
      </c>
      <c r="G2865" t="s">
        <v>57</v>
      </c>
      <c r="I2865" t="s">
        <v>13733</v>
      </c>
      <c r="K2865" t="s">
        <v>13734</v>
      </c>
      <c r="N2865" t="s">
        <v>13735</v>
      </c>
      <c r="Z2865" t="s">
        <v>43</v>
      </c>
    </row>
    <row r="2866" spans="1:26" x14ac:dyDescent="0.25">
      <c r="A2866">
        <v>2865</v>
      </c>
      <c r="B2866" t="s">
        <v>30</v>
      </c>
      <c r="C2866" t="s">
        <v>13736</v>
      </c>
      <c r="D2866" t="s">
        <v>4325</v>
      </c>
      <c r="E2866" t="s">
        <v>56</v>
      </c>
      <c r="F2866" t="s">
        <v>4326</v>
      </c>
      <c r="G2866" t="s">
        <v>57</v>
      </c>
      <c r="I2866" t="s">
        <v>13737</v>
      </c>
      <c r="K2866" t="s">
        <v>13738</v>
      </c>
      <c r="N2866" t="s">
        <v>13739</v>
      </c>
      <c r="Z2866" t="s">
        <v>43</v>
      </c>
    </row>
    <row r="2867" spans="1:26" x14ac:dyDescent="0.25">
      <c r="A2867">
        <v>2866</v>
      </c>
      <c r="B2867" t="s">
        <v>30</v>
      </c>
      <c r="C2867" t="s">
        <v>13740</v>
      </c>
      <c r="D2867" t="s">
        <v>13741</v>
      </c>
      <c r="E2867" t="s">
        <v>64</v>
      </c>
      <c r="F2867" t="s">
        <v>13742</v>
      </c>
      <c r="G2867" t="s">
        <v>65</v>
      </c>
      <c r="I2867" t="s">
        <v>13743</v>
      </c>
      <c r="K2867" t="s">
        <v>13744</v>
      </c>
      <c r="N2867" t="s">
        <v>13745</v>
      </c>
      <c r="Z2867" t="s">
        <v>43</v>
      </c>
    </row>
    <row r="2868" spans="1:26" x14ac:dyDescent="0.25">
      <c r="A2868">
        <v>2867</v>
      </c>
      <c r="B2868" t="s">
        <v>30</v>
      </c>
      <c r="C2868" t="s">
        <v>13746</v>
      </c>
      <c r="D2868" t="s">
        <v>13747</v>
      </c>
      <c r="E2868" t="s">
        <v>13748</v>
      </c>
      <c r="F2868" t="s">
        <v>13749</v>
      </c>
      <c r="G2868" t="s">
        <v>13750</v>
      </c>
      <c r="I2868" t="s">
        <v>13751</v>
      </c>
      <c r="K2868" t="s">
        <v>13752</v>
      </c>
      <c r="N2868" t="s">
        <v>13753</v>
      </c>
      <c r="Z2868" t="s">
        <v>43</v>
      </c>
    </row>
    <row r="2869" spans="1:26" x14ac:dyDescent="0.25">
      <c r="A2869">
        <v>2868</v>
      </c>
      <c r="B2869" t="s">
        <v>30</v>
      </c>
      <c r="C2869" t="s">
        <v>13754</v>
      </c>
      <c r="D2869" t="s">
        <v>46</v>
      </c>
      <c r="E2869" t="s">
        <v>471</v>
      </c>
      <c r="F2869" t="s">
        <v>820</v>
      </c>
      <c r="G2869" t="s">
        <v>47</v>
      </c>
      <c r="I2869" t="s">
        <v>13755</v>
      </c>
      <c r="J2869">
        <f>57-310-570-2070</f>
        <v>-2893</v>
      </c>
      <c r="K2869" t="s">
        <v>13756</v>
      </c>
      <c r="N2869" t="s">
        <v>13757</v>
      </c>
      <c r="Z2869" t="s">
        <v>43</v>
      </c>
    </row>
    <row r="2870" spans="1:26" x14ac:dyDescent="0.25">
      <c r="A2870">
        <v>2869</v>
      </c>
      <c r="B2870" t="s">
        <v>30</v>
      </c>
      <c r="C2870" t="s">
        <v>13758</v>
      </c>
      <c r="D2870" t="s">
        <v>1260</v>
      </c>
      <c r="E2870" t="s">
        <v>471</v>
      </c>
      <c r="F2870" t="s">
        <v>2204</v>
      </c>
      <c r="G2870" t="s">
        <v>47</v>
      </c>
      <c r="I2870" t="s">
        <v>13759</v>
      </c>
      <c r="J2870">
        <f>57-300-893-5680</f>
        <v>-6816</v>
      </c>
      <c r="K2870" t="s">
        <v>13760</v>
      </c>
      <c r="N2870" t="s">
        <v>13761</v>
      </c>
      <c r="Z2870" t="s">
        <v>43</v>
      </c>
    </row>
    <row r="2871" spans="1:26" x14ac:dyDescent="0.25">
      <c r="A2871">
        <v>2870</v>
      </c>
      <c r="B2871" t="s">
        <v>30</v>
      </c>
      <c r="C2871" t="s">
        <v>13762</v>
      </c>
      <c r="D2871" t="s">
        <v>13763</v>
      </c>
      <c r="E2871" t="s">
        <v>1269</v>
      </c>
      <c r="F2871" t="s">
        <v>13764</v>
      </c>
      <c r="G2871" t="s">
        <v>1271</v>
      </c>
      <c r="I2871" t="s">
        <v>13765</v>
      </c>
      <c r="J2871">
        <f>57-321-660-6</f>
        <v>-930</v>
      </c>
      <c r="K2871" t="s">
        <v>13766</v>
      </c>
      <c r="N2871" t="s">
        <v>13767</v>
      </c>
      <c r="Z2871" t="s">
        <v>43</v>
      </c>
    </row>
    <row r="2872" spans="1:26" x14ac:dyDescent="0.25">
      <c r="A2872">
        <v>2871</v>
      </c>
      <c r="B2872" t="s">
        <v>30</v>
      </c>
      <c r="C2872" t="s">
        <v>13768</v>
      </c>
      <c r="D2872" t="s">
        <v>2098</v>
      </c>
      <c r="E2872" t="s">
        <v>1269</v>
      </c>
      <c r="F2872" t="s">
        <v>2099</v>
      </c>
      <c r="G2872" t="s">
        <v>1271</v>
      </c>
      <c r="I2872" t="s">
        <v>13769</v>
      </c>
      <c r="J2872">
        <f>57-60-1-245-4864</f>
        <v>-5113</v>
      </c>
      <c r="K2872" t="s">
        <v>3607</v>
      </c>
      <c r="N2872" t="s">
        <v>3608</v>
      </c>
      <c r="Z2872" t="s">
        <v>43</v>
      </c>
    </row>
    <row r="2873" spans="1:26" x14ac:dyDescent="0.25">
      <c r="A2873">
        <v>2872</v>
      </c>
      <c r="B2873" t="s">
        <v>30</v>
      </c>
      <c r="C2873" t="s">
        <v>13770</v>
      </c>
      <c r="D2873" t="s">
        <v>3957</v>
      </c>
      <c r="E2873" t="s">
        <v>72</v>
      </c>
      <c r="F2873" t="s">
        <v>4007</v>
      </c>
      <c r="G2873" t="s">
        <v>73</v>
      </c>
      <c r="I2873" t="s">
        <v>13771</v>
      </c>
      <c r="J2873">
        <f>57-350-587-3483</f>
        <v>-4363</v>
      </c>
      <c r="K2873" t="s">
        <v>13772</v>
      </c>
      <c r="N2873" t="s">
        <v>13773</v>
      </c>
      <c r="Z2873" t="s">
        <v>43</v>
      </c>
    </row>
    <row r="2874" spans="1:26" x14ac:dyDescent="0.25">
      <c r="A2874">
        <v>2873</v>
      </c>
      <c r="B2874" t="s">
        <v>30</v>
      </c>
      <c r="C2874" t="s">
        <v>13774</v>
      </c>
      <c r="D2874" t="s">
        <v>4730</v>
      </c>
      <c r="E2874" t="s">
        <v>64</v>
      </c>
      <c r="F2874" t="s">
        <v>4731</v>
      </c>
      <c r="G2874" t="s">
        <v>65</v>
      </c>
      <c r="I2874" t="s">
        <v>13775</v>
      </c>
      <c r="K2874" t="s">
        <v>13776</v>
      </c>
      <c r="N2874" t="s">
        <v>13777</v>
      </c>
      <c r="Z2874" t="s">
        <v>43</v>
      </c>
    </row>
    <row r="2875" spans="1:26" x14ac:dyDescent="0.25">
      <c r="A2875">
        <v>2874</v>
      </c>
      <c r="B2875" t="s">
        <v>30</v>
      </c>
      <c r="C2875" t="s">
        <v>13778</v>
      </c>
      <c r="D2875" t="s">
        <v>13779</v>
      </c>
      <c r="E2875" t="s">
        <v>56</v>
      </c>
      <c r="F2875" t="s">
        <v>13780</v>
      </c>
      <c r="G2875" t="s">
        <v>57</v>
      </c>
      <c r="I2875" t="s">
        <v>13781</v>
      </c>
      <c r="K2875" t="s">
        <v>13782</v>
      </c>
      <c r="N2875" t="s">
        <v>13783</v>
      </c>
      <c r="Z2875" t="s">
        <v>43</v>
      </c>
    </row>
    <row r="2876" spans="1:26" x14ac:dyDescent="0.25">
      <c r="A2876">
        <v>2875</v>
      </c>
      <c r="B2876" t="s">
        <v>30</v>
      </c>
      <c r="C2876" t="s">
        <v>13784</v>
      </c>
      <c r="D2876" t="s">
        <v>909</v>
      </c>
      <c r="E2876" t="s">
        <v>471</v>
      </c>
      <c r="F2876" t="s">
        <v>1659</v>
      </c>
      <c r="G2876" t="s">
        <v>47</v>
      </c>
      <c r="I2876" t="s">
        <v>13785</v>
      </c>
      <c r="J2876">
        <f>57-320-471-2420</f>
        <v>-3154</v>
      </c>
      <c r="K2876" t="s">
        <v>13786</v>
      </c>
      <c r="N2876" t="s">
        <v>13787</v>
      </c>
      <c r="Z2876" t="s">
        <v>43</v>
      </c>
    </row>
    <row r="2877" spans="1:26" x14ac:dyDescent="0.25">
      <c r="A2877">
        <v>2876</v>
      </c>
      <c r="B2877" t="s">
        <v>30</v>
      </c>
      <c r="C2877" t="s">
        <v>13788</v>
      </c>
      <c r="D2877" t="s">
        <v>46</v>
      </c>
      <c r="E2877" t="s">
        <v>471</v>
      </c>
      <c r="F2877" t="s">
        <v>1708</v>
      </c>
      <c r="G2877" t="s">
        <v>47</v>
      </c>
      <c r="I2877" t="s">
        <v>13789</v>
      </c>
      <c r="J2877">
        <f>57-300-876-3619</f>
        <v>-4738</v>
      </c>
      <c r="K2877" t="s">
        <v>13790</v>
      </c>
      <c r="N2877" t="s">
        <v>7617</v>
      </c>
      <c r="Z2877" t="s">
        <v>43</v>
      </c>
    </row>
    <row r="2878" spans="1:26" x14ac:dyDescent="0.25">
      <c r="A2878">
        <v>2877</v>
      </c>
      <c r="B2878" t="s">
        <v>30</v>
      </c>
      <c r="C2878" t="s">
        <v>13791</v>
      </c>
      <c r="D2878" t="s">
        <v>13792</v>
      </c>
      <c r="E2878" t="s">
        <v>1792</v>
      </c>
      <c r="F2878" t="s">
        <v>13793</v>
      </c>
      <c r="G2878" t="s">
        <v>1794</v>
      </c>
      <c r="I2878" t="s">
        <v>13794</v>
      </c>
      <c r="K2878" t="s">
        <v>13795</v>
      </c>
      <c r="N2878" t="s">
        <v>13796</v>
      </c>
      <c r="Z2878" t="s">
        <v>43</v>
      </c>
    </row>
    <row r="2879" spans="1:26" x14ac:dyDescent="0.25">
      <c r="A2879">
        <v>2878</v>
      </c>
      <c r="B2879" t="s">
        <v>30</v>
      </c>
      <c r="C2879" t="s">
        <v>13797</v>
      </c>
      <c r="D2879" t="s">
        <v>13798</v>
      </c>
      <c r="E2879" t="s">
        <v>1217</v>
      </c>
      <c r="F2879" t="s">
        <v>13799</v>
      </c>
      <c r="G2879" t="s">
        <v>1530</v>
      </c>
      <c r="I2879" t="s">
        <v>13800</v>
      </c>
      <c r="J2879">
        <f>57-301-731-9762</f>
        <v>-10737</v>
      </c>
      <c r="K2879" t="s">
        <v>13801</v>
      </c>
      <c r="N2879" t="s">
        <v>13802</v>
      </c>
      <c r="Z2879" t="s">
        <v>43</v>
      </c>
    </row>
    <row r="2880" spans="1:26" x14ac:dyDescent="0.25">
      <c r="A2880">
        <v>2879</v>
      </c>
      <c r="B2880" t="s">
        <v>30</v>
      </c>
      <c r="C2880" t="s">
        <v>13803</v>
      </c>
      <c r="D2880" t="s">
        <v>867</v>
      </c>
      <c r="E2880" t="s">
        <v>56</v>
      </c>
      <c r="F2880" t="s">
        <v>868</v>
      </c>
      <c r="G2880" t="s">
        <v>57</v>
      </c>
      <c r="I2880" t="s">
        <v>13804</v>
      </c>
      <c r="J2880">
        <f>57-310-364-5865</f>
        <v>-6482</v>
      </c>
      <c r="K2880" t="s">
        <v>13805</v>
      </c>
      <c r="N2880" t="s">
        <v>13806</v>
      </c>
      <c r="Z2880" t="s">
        <v>43</v>
      </c>
    </row>
    <row r="2881" spans="1:26" x14ac:dyDescent="0.25">
      <c r="A2881">
        <v>2880</v>
      </c>
      <c r="B2881" t="s">
        <v>30</v>
      </c>
      <c r="C2881" t="s">
        <v>13807</v>
      </c>
      <c r="D2881" t="s">
        <v>46</v>
      </c>
      <c r="E2881" t="s">
        <v>56</v>
      </c>
      <c r="F2881" t="s">
        <v>820</v>
      </c>
      <c r="G2881" t="s">
        <v>57</v>
      </c>
      <c r="I2881" t="s">
        <v>13808</v>
      </c>
      <c r="J2881">
        <f>57-301-790-8289</f>
        <v>-9323</v>
      </c>
      <c r="K2881" t="s">
        <v>13809</v>
      </c>
      <c r="N2881" t="s">
        <v>13810</v>
      </c>
      <c r="Z2881" t="s">
        <v>43</v>
      </c>
    </row>
    <row r="2882" spans="1:26" x14ac:dyDescent="0.25">
      <c r="A2882">
        <v>2881</v>
      </c>
      <c r="B2882" t="s">
        <v>30</v>
      </c>
      <c r="C2882" t="s">
        <v>13811</v>
      </c>
      <c r="D2882" t="s">
        <v>13812</v>
      </c>
      <c r="E2882" t="s">
        <v>471</v>
      </c>
      <c r="F2882" t="s">
        <v>13813</v>
      </c>
      <c r="G2882" t="s">
        <v>47</v>
      </c>
      <c r="I2882" t="s">
        <v>13814</v>
      </c>
      <c r="K2882" t="s">
        <v>13815</v>
      </c>
      <c r="N2882" t="s">
        <v>13816</v>
      </c>
      <c r="Z2882" t="s">
        <v>43</v>
      </c>
    </row>
    <row r="2883" spans="1:26" x14ac:dyDescent="0.25">
      <c r="A2883">
        <v>2882</v>
      </c>
      <c r="B2883" t="s">
        <v>30</v>
      </c>
      <c r="C2883" t="s">
        <v>13817</v>
      </c>
      <c r="D2883" t="s">
        <v>1713</v>
      </c>
      <c r="E2883" t="s">
        <v>471</v>
      </c>
      <c r="F2883" t="s">
        <v>3159</v>
      </c>
      <c r="G2883" t="s">
        <v>47</v>
      </c>
      <c r="I2883" t="s">
        <v>13818</v>
      </c>
      <c r="J2883">
        <f>57-60-1-222-6352</f>
        <v>-6578</v>
      </c>
      <c r="K2883" t="s">
        <v>13819</v>
      </c>
      <c r="N2883" t="s">
        <v>13820</v>
      </c>
      <c r="Z2883" t="s">
        <v>43</v>
      </c>
    </row>
    <row r="2884" spans="1:26" x14ac:dyDescent="0.25">
      <c r="A2884">
        <v>2883</v>
      </c>
      <c r="B2884" t="s">
        <v>30</v>
      </c>
      <c r="C2884" t="s">
        <v>13821</v>
      </c>
      <c r="D2884" t="s">
        <v>13822</v>
      </c>
      <c r="E2884" t="s">
        <v>2814</v>
      </c>
      <c r="F2884" t="s">
        <v>13823</v>
      </c>
      <c r="G2884" t="s">
        <v>2816</v>
      </c>
      <c r="I2884" t="s">
        <v>13824</v>
      </c>
      <c r="K2884" t="s">
        <v>13825</v>
      </c>
      <c r="N2884" t="s">
        <v>13826</v>
      </c>
      <c r="Z2884" t="s">
        <v>43</v>
      </c>
    </row>
    <row r="2885" spans="1:26" x14ac:dyDescent="0.25">
      <c r="A2885">
        <v>2884</v>
      </c>
      <c r="B2885" t="s">
        <v>30</v>
      </c>
      <c r="C2885" t="s">
        <v>13827</v>
      </c>
      <c r="D2885" t="s">
        <v>46</v>
      </c>
      <c r="E2885" t="s">
        <v>471</v>
      </c>
      <c r="F2885" t="s">
        <v>941</v>
      </c>
      <c r="G2885" t="s">
        <v>47</v>
      </c>
      <c r="I2885" t="s">
        <v>13828</v>
      </c>
      <c r="J2885">
        <f>57-323-396-5584</f>
        <v>-6246</v>
      </c>
      <c r="K2885" t="s">
        <v>13829</v>
      </c>
      <c r="N2885" t="s">
        <v>13830</v>
      </c>
      <c r="Z2885" t="s">
        <v>43</v>
      </c>
    </row>
    <row r="2886" spans="1:26" x14ac:dyDescent="0.25">
      <c r="A2886">
        <v>2885</v>
      </c>
      <c r="B2886" t="s">
        <v>30</v>
      </c>
      <c r="C2886" t="s">
        <v>13831</v>
      </c>
      <c r="D2886" t="s">
        <v>909</v>
      </c>
      <c r="E2886" t="s">
        <v>471</v>
      </c>
      <c r="F2886" t="s">
        <v>1659</v>
      </c>
      <c r="G2886" t="s">
        <v>47</v>
      </c>
      <c r="I2886" t="s">
        <v>13832</v>
      </c>
      <c r="K2886" t="s">
        <v>13833</v>
      </c>
      <c r="N2886" t="s">
        <v>13834</v>
      </c>
      <c r="Z2886" t="s">
        <v>43</v>
      </c>
    </row>
    <row r="2887" spans="1:26" x14ac:dyDescent="0.25">
      <c r="A2887">
        <v>2886</v>
      </c>
      <c r="B2887" t="s">
        <v>30</v>
      </c>
      <c r="C2887" t="s">
        <v>13835</v>
      </c>
      <c r="D2887" t="s">
        <v>46</v>
      </c>
      <c r="E2887" t="s">
        <v>471</v>
      </c>
      <c r="F2887" t="s">
        <v>820</v>
      </c>
      <c r="G2887" t="s">
        <v>47</v>
      </c>
      <c r="I2887" t="s">
        <v>13836</v>
      </c>
      <c r="J2887">
        <f>57-60-1-263-4352</f>
        <v>-4619</v>
      </c>
      <c r="K2887" t="s">
        <v>13837</v>
      </c>
      <c r="N2887" t="s">
        <v>13838</v>
      </c>
      <c r="Z2887" t="s">
        <v>43</v>
      </c>
    </row>
    <row r="2888" spans="1:26" x14ac:dyDescent="0.25">
      <c r="A2888">
        <v>2887</v>
      </c>
      <c r="B2888" t="s">
        <v>30</v>
      </c>
      <c r="C2888" t="s">
        <v>13839</v>
      </c>
      <c r="D2888" t="s">
        <v>13840</v>
      </c>
      <c r="E2888" t="s">
        <v>8630</v>
      </c>
      <c r="F2888" t="s">
        <v>13841</v>
      </c>
      <c r="G2888" t="s">
        <v>8632</v>
      </c>
      <c r="I2888" t="s">
        <v>13842</v>
      </c>
      <c r="J2888">
        <f>57-317-737-3461</f>
        <v>-4458</v>
      </c>
      <c r="K2888" t="s">
        <v>13843</v>
      </c>
      <c r="N2888" t="s">
        <v>13844</v>
      </c>
      <c r="Z2888" t="s">
        <v>43</v>
      </c>
    </row>
    <row r="2889" spans="1:26" x14ac:dyDescent="0.25">
      <c r="A2889">
        <v>2888</v>
      </c>
      <c r="B2889" t="s">
        <v>30</v>
      </c>
      <c r="C2889" t="s">
        <v>13845</v>
      </c>
      <c r="D2889" t="s">
        <v>72</v>
      </c>
      <c r="E2889" t="s">
        <v>72</v>
      </c>
      <c r="F2889" t="s">
        <v>73</v>
      </c>
      <c r="G2889" t="s">
        <v>73</v>
      </c>
      <c r="I2889" t="s">
        <v>13846</v>
      </c>
      <c r="J2889">
        <f>57-60-1-626-6321</f>
        <v>-6951</v>
      </c>
      <c r="K2889" t="s">
        <v>13847</v>
      </c>
      <c r="N2889" t="s">
        <v>13848</v>
      </c>
      <c r="Z2889" t="s">
        <v>43</v>
      </c>
    </row>
    <row r="2890" spans="1:26" x14ac:dyDescent="0.25">
      <c r="A2890">
        <v>2889</v>
      </c>
      <c r="B2890" t="s">
        <v>30</v>
      </c>
      <c r="C2890" t="s">
        <v>13849</v>
      </c>
      <c r="D2890" t="s">
        <v>1976</v>
      </c>
      <c r="E2890" t="s">
        <v>471</v>
      </c>
      <c r="F2890" t="s">
        <v>3340</v>
      </c>
      <c r="G2890" t="s">
        <v>47</v>
      </c>
      <c r="I2890" t="s">
        <v>13850</v>
      </c>
      <c r="J2890">
        <f>57-321-283-7091</f>
        <v>-7638</v>
      </c>
      <c r="K2890" t="s">
        <v>13851</v>
      </c>
      <c r="N2890" t="s">
        <v>2711</v>
      </c>
      <c r="Z2890" t="s">
        <v>43</v>
      </c>
    </row>
    <row r="2891" spans="1:26" x14ac:dyDescent="0.25">
      <c r="A2891">
        <v>2890</v>
      </c>
      <c r="B2891" t="s">
        <v>30</v>
      </c>
      <c r="C2891" t="s">
        <v>13852</v>
      </c>
      <c r="D2891" t="s">
        <v>13853</v>
      </c>
      <c r="E2891" t="s">
        <v>1585</v>
      </c>
      <c r="F2891" t="s">
        <v>13854</v>
      </c>
      <c r="G2891" t="s">
        <v>1587</v>
      </c>
      <c r="I2891" t="s">
        <v>13855</v>
      </c>
      <c r="K2891" t="s">
        <v>13856</v>
      </c>
      <c r="N2891" t="s">
        <v>13857</v>
      </c>
      <c r="Z2891" t="s">
        <v>43</v>
      </c>
    </row>
    <row r="2892" spans="1:26" x14ac:dyDescent="0.25">
      <c r="A2892">
        <v>2891</v>
      </c>
      <c r="B2892" t="s">
        <v>30</v>
      </c>
      <c r="C2892" t="s">
        <v>13858</v>
      </c>
      <c r="D2892" t="s">
        <v>899</v>
      </c>
      <c r="E2892" t="s">
        <v>471</v>
      </c>
      <c r="F2892" t="s">
        <v>13859</v>
      </c>
      <c r="G2892" t="s">
        <v>47</v>
      </c>
      <c r="I2892" t="s">
        <v>13860</v>
      </c>
      <c r="J2892">
        <f>57-311-559-7513</f>
        <v>-8326</v>
      </c>
      <c r="K2892" t="s">
        <v>13861</v>
      </c>
      <c r="N2892" t="s">
        <v>13862</v>
      </c>
      <c r="Z2892" t="s">
        <v>43</v>
      </c>
    </row>
    <row r="2893" spans="1:26" x14ac:dyDescent="0.25">
      <c r="A2893">
        <v>2892</v>
      </c>
      <c r="B2893" t="s">
        <v>30</v>
      </c>
      <c r="C2893" t="s">
        <v>13863</v>
      </c>
      <c r="D2893" t="s">
        <v>13864</v>
      </c>
      <c r="E2893" t="s">
        <v>1217</v>
      </c>
      <c r="F2893" t="s">
        <v>13865</v>
      </c>
      <c r="G2893" t="s">
        <v>1530</v>
      </c>
      <c r="I2893" t="s">
        <v>13866</v>
      </c>
      <c r="K2893" t="s">
        <v>13867</v>
      </c>
      <c r="N2893" t="s">
        <v>13868</v>
      </c>
      <c r="Z2893" t="s">
        <v>43</v>
      </c>
    </row>
    <row r="2894" spans="1:26" x14ac:dyDescent="0.25">
      <c r="A2894">
        <v>2893</v>
      </c>
      <c r="B2894" t="s">
        <v>30</v>
      </c>
      <c r="C2894" t="s">
        <v>13869</v>
      </c>
      <c r="D2894" t="s">
        <v>13870</v>
      </c>
      <c r="E2894" t="s">
        <v>13871</v>
      </c>
      <c r="F2894" t="s">
        <v>13872</v>
      </c>
      <c r="G2894" t="s">
        <v>13873</v>
      </c>
      <c r="I2894" t="s">
        <v>13874</v>
      </c>
      <c r="J2894">
        <f>57-321-209-9469</f>
        <v>-9942</v>
      </c>
      <c r="K2894" t="s">
        <v>13875</v>
      </c>
      <c r="N2894" t="s">
        <v>13876</v>
      </c>
      <c r="Z2894" t="s">
        <v>43</v>
      </c>
    </row>
    <row r="2895" spans="1:26" x14ac:dyDescent="0.25">
      <c r="A2895">
        <v>2894</v>
      </c>
      <c r="B2895" t="s">
        <v>30</v>
      </c>
      <c r="C2895" t="s">
        <v>13877</v>
      </c>
      <c r="D2895" t="s">
        <v>1260</v>
      </c>
      <c r="E2895" t="s">
        <v>64</v>
      </c>
      <c r="F2895" t="s">
        <v>2204</v>
      </c>
      <c r="G2895" t="s">
        <v>65</v>
      </c>
      <c r="I2895" t="s">
        <v>13878</v>
      </c>
      <c r="J2895">
        <f>57-310-231-3790</f>
        <v>-4274</v>
      </c>
      <c r="K2895" t="s">
        <v>13879</v>
      </c>
      <c r="N2895" t="s">
        <v>13880</v>
      </c>
      <c r="Z2895" t="s">
        <v>43</v>
      </c>
    </row>
    <row r="2896" spans="1:26" x14ac:dyDescent="0.25">
      <c r="A2896">
        <v>2895</v>
      </c>
      <c r="B2896" t="s">
        <v>30</v>
      </c>
      <c r="C2896" t="s">
        <v>13881</v>
      </c>
      <c r="D2896" t="s">
        <v>1260</v>
      </c>
      <c r="E2896" t="s">
        <v>64</v>
      </c>
      <c r="F2896" t="s">
        <v>2204</v>
      </c>
      <c r="G2896" t="s">
        <v>65</v>
      </c>
      <c r="I2896" t="s">
        <v>13882</v>
      </c>
      <c r="J2896">
        <f>57-300-219-1254</f>
        <v>-1716</v>
      </c>
      <c r="K2896" t="s">
        <v>13883</v>
      </c>
      <c r="N2896" t="s">
        <v>13884</v>
      </c>
      <c r="Z2896" t="s">
        <v>43</v>
      </c>
    </row>
    <row r="2897" spans="1:26" x14ac:dyDescent="0.25">
      <c r="A2897">
        <v>2896</v>
      </c>
      <c r="B2897" t="s">
        <v>30</v>
      </c>
      <c r="C2897" t="s">
        <v>13885</v>
      </c>
      <c r="D2897" t="s">
        <v>64</v>
      </c>
      <c r="E2897" t="s">
        <v>64</v>
      </c>
      <c r="F2897" t="s">
        <v>65</v>
      </c>
      <c r="G2897" t="s">
        <v>65</v>
      </c>
      <c r="I2897" t="s">
        <v>13886</v>
      </c>
      <c r="K2897" t="s">
        <v>13887</v>
      </c>
      <c r="N2897" t="s">
        <v>13888</v>
      </c>
      <c r="Z2897" t="s">
        <v>43</v>
      </c>
    </row>
    <row r="2898" spans="1:26" x14ac:dyDescent="0.25">
      <c r="A2898">
        <v>2897</v>
      </c>
      <c r="B2898" t="s">
        <v>30</v>
      </c>
      <c r="C2898" t="s">
        <v>13889</v>
      </c>
      <c r="D2898" t="s">
        <v>2336</v>
      </c>
      <c r="E2898" t="s">
        <v>56</v>
      </c>
      <c r="F2898" t="s">
        <v>2337</v>
      </c>
      <c r="G2898" t="s">
        <v>57</v>
      </c>
      <c r="I2898" t="s">
        <v>13890</v>
      </c>
      <c r="K2898" t="s">
        <v>13891</v>
      </c>
      <c r="N2898" t="s">
        <v>13892</v>
      </c>
      <c r="Z2898" t="s">
        <v>43</v>
      </c>
    </row>
    <row r="2899" spans="1:26" x14ac:dyDescent="0.25">
      <c r="A2899">
        <v>2898</v>
      </c>
      <c r="B2899" t="s">
        <v>30</v>
      </c>
      <c r="C2899" t="s">
        <v>13893</v>
      </c>
      <c r="D2899" t="s">
        <v>1260</v>
      </c>
      <c r="E2899" t="s">
        <v>471</v>
      </c>
      <c r="F2899" t="s">
        <v>2204</v>
      </c>
      <c r="G2899" t="s">
        <v>47</v>
      </c>
      <c r="I2899" t="s">
        <v>13894</v>
      </c>
      <c r="K2899" t="s">
        <v>13895</v>
      </c>
      <c r="N2899" t="s">
        <v>13896</v>
      </c>
      <c r="Z2899" t="s">
        <v>43</v>
      </c>
    </row>
    <row r="2900" spans="1:26" x14ac:dyDescent="0.25">
      <c r="A2900">
        <v>2899</v>
      </c>
      <c r="B2900" t="s">
        <v>30</v>
      </c>
      <c r="C2900" t="s">
        <v>13897</v>
      </c>
      <c r="D2900" t="s">
        <v>1401</v>
      </c>
      <c r="E2900" t="s">
        <v>1402</v>
      </c>
      <c r="F2900" t="s">
        <v>1403</v>
      </c>
      <c r="G2900" t="s">
        <v>1404</v>
      </c>
      <c r="I2900" t="s">
        <v>9052</v>
      </c>
      <c r="J2900">
        <f>57-320-811-1111</f>
        <v>-2185</v>
      </c>
      <c r="K2900" t="s">
        <v>13898</v>
      </c>
      <c r="N2900" t="s">
        <v>4640</v>
      </c>
      <c r="Z2900" t="s">
        <v>43</v>
      </c>
    </row>
    <row r="2901" spans="1:26" x14ac:dyDescent="0.25">
      <c r="A2901">
        <v>2900</v>
      </c>
      <c r="B2901" t="s">
        <v>30</v>
      </c>
      <c r="C2901" t="s">
        <v>13899</v>
      </c>
      <c r="D2901" t="s">
        <v>8757</v>
      </c>
      <c r="E2901" t="s">
        <v>56</v>
      </c>
      <c r="F2901" t="s">
        <v>8758</v>
      </c>
      <c r="G2901" t="s">
        <v>57</v>
      </c>
      <c r="I2901" t="s">
        <v>13900</v>
      </c>
      <c r="K2901" t="s">
        <v>13901</v>
      </c>
      <c r="N2901" t="s">
        <v>13902</v>
      </c>
      <c r="Z2901" t="s">
        <v>43</v>
      </c>
    </row>
    <row r="2902" spans="1:26" x14ac:dyDescent="0.25">
      <c r="A2902">
        <v>2901</v>
      </c>
      <c r="B2902" t="s">
        <v>30</v>
      </c>
      <c r="C2902" t="s">
        <v>13903</v>
      </c>
      <c r="D2902" t="s">
        <v>2433</v>
      </c>
      <c r="E2902" t="s">
        <v>72</v>
      </c>
      <c r="F2902" t="s">
        <v>2434</v>
      </c>
      <c r="G2902" t="s">
        <v>73</v>
      </c>
      <c r="I2902" t="s">
        <v>13904</v>
      </c>
      <c r="J2902">
        <f>57-302-383-852</f>
        <v>-1480</v>
      </c>
      <c r="K2902" t="s">
        <v>13905</v>
      </c>
      <c r="N2902" t="s">
        <v>13906</v>
      </c>
      <c r="Z2902" t="s">
        <v>43</v>
      </c>
    </row>
    <row r="2903" spans="1:26" x14ac:dyDescent="0.25">
      <c r="A2903">
        <v>2902</v>
      </c>
      <c r="B2903" t="s">
        <v>30</v>
      </c>
      <c r="C2903" t="s">
        <v>13907</v>
      </c>
      <c r="D2903" t="s">
        <v>2024</v>
      </c>
      <c r="E2903" t="s">
        <v>2190</v>
      </c>
      <c r="F2903" t="s">
        <v>2025</v>
      </c>
      <c r="G2903" t="s">
        <v>2192</v>
      </c>
      <c r="I2903" t="s">
        <v>13908</v>
      </c>
      <c r="J2903">
        <f>57-60-1-268-1673</f>
        <v>-1945</v>
      </c>
      <c r="K2903" t="s">
        <v>13909</v>
      </c>
      <c r="N2903" t="s">
        <v>13910</v>
      </c>
      <c r="Z2903" t="s">
        <v>43</v>
      </c>
    </row>
    <row r="2904" spans="1:26" x14ac:dyDescent="0.25">
      <c r="A2904">
        <v>2903</v>
      </c>
      <c r="B2904" t="s">
        <v>30</v>
      </c>
      <c r="C2904" t="s">
        <v>13911</v>
      </c>
      <c r="D2904" t="s">
        <v>772</v>
      </c>
      <c r="E2904" t="s">
        <v>471</v>
      </c>
      <c r="F2904" t="s">
        <v>773</v>
      </c>
      <c r="G2904" t="s">
        <v>47</v>
      </c>
      <c r="I2904" t="s">
        <v>13912</v>
      </c>
      <c r="J2904">
        <f>57-60-1-211-3909</f>
        <v>-4124</v>
      </c>
      <c r="K2904" t="s">
        <v>13913</v>
      </c>
      <c r="N2904" t="s">
        <v>13914</v>
      </c>
      <c r="Z2904" t="s">
        <v>43</v>
      </c>
    </row>
    <row r="2905" spans="1:26" x14ac:dyDescent="0.25">
      <c r="A2905">
        <v>2904</v>
      </c>
      <c r="B2905" t="s">
        <v>30</v>
      </c>
      <c r="C2905" t="s">
        <v>13915</v>
      </c>
      <c r="D2905" t="s">
        <v>7064</v>
      </c>
      <c r="E2905" t="s">
        <v>2117</v>
      </c>
      <c r="F2905" t="s">
        <v>7065</v>
      </c>
      <c r="G2905" t="s">
        <v>2119</v>
      </c>
      <c r="I2905" t="s">
        <v>13916</v>
      </c>
      <c r="J2905">
        <f>57-318-383-2461</f>
        <v>-3105</v>
      </c>
      <c r="K2905" t="s">
        <v>13917</v>
      </c>
      <c r="N2905" t="s">
        <v>13918</v>
      </c>
      <c r="Z2905" t="s">
        <v>43</v>
      </c>
    </row>
    <row r="2906" spans="1:26" x14ac:dyDescent="0.25">
      <c r="A2906">
        <v>2905</v>
      </c>
      <c r="B2906" t="s">
        <v>30</v>
      </c>
      <c r="C2906" t="s">
        <v>13919</v>
      </c>
      <c r="D2906" t="s">
        <v>72</v>
      </c>
      <c r="E2906" t="s">
        <v>72</v>
      </c>
      <c r="F2906" t="s">
        <v>73</v>
      </c>
      <c r="G2906" t="s">
        <v>73</v>
      </c>
      <c r="I2906" t="s">
        <v>13920</v>
      </c>
      <c r="J2906">
        <f>57-310-856-950</f>
        <v>-2059</v>
      </c>
      <c r="K2906" t="s">
        <v>149</v>
      </c>
      <c r="N2906" t="s">
        <v>13921</v>
      </c>
      <c r="Z2906" t="s">
        <v>43</v>
      </c>
    </row>
    <row r="2907" spans="1:26" x14ac:dyDescent="0.25">
      <c r="A2907">
        <v>2906</v>
      </c>
      <c r="B2907" t="s">
        <v>30</v>
      </c>
      <c r="C2907" t="s">
        <v>13922</v>
      </c>
      <c r="D2907" t="s">
        <v>13923</v>
      </c>
      <c r="E2907" t="s">
        <v>1646</v>
      </c>
      <c r="F2907" t="s">
        <v>13924</v>
      </c>
      <c r="G2907" t="s">
        <v>13925</v>
      </c>
      <c r="I2907" t="s">
        <v>13926</v>
      </c>
      <c r="K2907" t="s">
        <v>13927</v>
      </c>
      <c r="N2907" t="s">
        <v>13928</v>
      </c>
      <c r="Z2907" t="s">
        <v>43</v>
      </c>
    </row>
    <row r="2908" spans="1:26" x14ac:dyDescent="0.25">
      <c r="A2908">
        <v>2907</v>
      </c>
      <c r="B2908" t="s">
        <v>30</v>
      </c>
      <c r="C2908" t="s">
        <v>13929</v>
      </c>
      <c r="D2908" t="s">
        <v>46</v>
      </c>
      <c r="E2908" t="s">
        <v>471</v>
      </c>
      <c r="F2908" t="s">
        <v>820</v>
      </c>
      <c r="G2908" t="s">
        <v>47</v>
      </c>
      <c r="I2908" t="s">
        <v>13930</v>
      </c>
      <c r="K2908" t="s">
        <v>13931</v>
      </c>
      <c r="N2908" t="s">
        <v>13932</v>
      </c>
      <c r="Z2908" t="s">
        <v>43</v>
      </c>
    </row>
    <row r="2909" spans="1:26" x14ac:dyDescent="0.25">
      <c r="A2909">
        <v>2908</v>
      </c>
      <c r="B2909" t="s">
        <v>30</v>
      </c>
      <c r="C2909" t="s">
        <v>13933</v>
      </c>
      <c r="D2909" t="s">
        <v>46</v>
      </c>
      <c r="E2909" t="s">
        <v>471</v>
      </c>
      <c r="F2909" t="s">
        <v>941</v>
      </c>
      <c r="G2909" t="s">
        <v>47</v>
      </c>
      <c r="I2909" t="s">
        <v>13934</v>
      </c>
      <c r="K2909" t="s">
        <v>13935</v>
      </c>
      <c r="N2909" t="s">
        <v>13936</v>
      </c>
      <c r="Z2909" t="s">
        <v>43</v>
      </c>
    </row>
    <row r="2910" spans="1:26" x14ac:dyDescent="0.25">
      <c r="A2910">
        <v>2909</v>
      </c>
      <c r="B2910" t="s">
        <v>30</v>
      </c>
      <c r="C2910" t="s">
        <v>13937</v>
      </c>
      <c r="D2910" t="s">
        <v>5268</v>
      </c>
      <c r="E2910" t="s">
        <v>56</v>
      </c>
      <c r="F2910" t="s">
        <v>5269</v>
      </c>
      <c r="G2910" t="s">
        <v>57</v>
      </c>
      <c r="I2910" t="s">
        <v>13938</v>
      </c>
      <c r="K2910" t="s">
        <v>13939</v>
      </c>
      <c r="N2910" t="s">
        <v>13940</v>
      </c>
      <c r="Z2910" t="s">
        <v>43</v>
      </c>
    </row>
    <row r="2911" spans="1:26" x14ac:dyDescent="0.25">
      <c r="A2911">
        <v>2910</v>
      </c>
      <c r="B2911" t="s">
        <v>30</v>
      </c>
      <c r="C2911" t="s">
        <v>13941</v>
      </c>
      <c r="D2911" t="s">
        <v>1260</v>
      </c>
      <c r="E2911" t="s">
        <v>64</v>
      </c>
      <c r="F2911" t="s">
        <v>2204</v>
      </c>
      <c r="G2911" t="s">
        <v>65</v>
      </c>
      <c r="I2911" t="s">
        <v>13942</v>
      </c>
      <c r="J2911">
        <f>57-317-573-5572</f>
        <v>-6405</v>
      </c>
      <c r="K2911" t="s">
        <v>13943</v>
      </c>
      <c r="N2911" t="s">
        <v>13944</v>
      </c>
      <c r="Z2911" t="s">
        <v>43</v>
      </c>
    </row>
    <row r="2912" spans="1:26" x14ac:dyDescent="0.25">
      <c r="A2912">
        <v>2911</v>
      </c>
      <c r="B2912" t="s">
        <v>30</v>
      </c>
      <c r="C2912" t="s">
        <v>13945</v>
      </c>
      <c r="D2912" t="s">
        <v>11506</v>
      </c>
      <c r="E2912" t="s">
        <v>3321</v>
      </c>
      <c r="F2912" t="s">
        <v>11507</v>
      </c>
      <c r="G2912" t="s">
        <v>3323</v>
      </c>
      <c r="I2912" t="s">
        <v>13946</v>
      </c>
      <c r="J2912">
        <f>57-60-1-320-6453</f>
        <v>-6777</v>
      </c>
      <c r="K2912" t="s">
        <v>13947</v>
      </c>
      <c r="N2912" t="s">
        <v>13948</v>
      </c>
      <c r="Z2912" t="s">
        <v>43</v>
      </c>
    </row>
    <row r="2913" spans="1:26" x14ac:dyDescent="0.25">
      <c r="A2913">
        <v>2912</v>
      </c>
      <c r="B2913" t="s">
        <v>30</v>
      </c>
      <c r="C2913" t="s">
        <v>13949</v>
      </c>
      <c r="D2913" t="s">
        <v>13950</v>
      </c>
      <c r="E2913" t="s">
        <v>1269</v>
      </c>
      <c r="F2913" t="s">
        <v>13951</v>
      </c>
      <c r="G2913" t="s">
        <v>1271</v>
      </c>
      <c r="I2913" t="s">
        <v>13952</v>
      </c>
      <c r="K2913" t="s">
        <v>13953</v>
      </c>
      <c r="N2913" t="s">
        <v>13954</v>
      </c>
      <c r="Z2913" t="s">
        <v>43</v>
      </c>
    </row>
    <row r="2914" spans="1:26" x14ac:dyDescent="0.25">
      <c r="A2914">
        <v>2913</v>
      </c>
      <c r="B2914" t="s">
        <v>30</v>
      </c>
      <c r="C2914" t="s">
        <v>13955</v>
      </c>
      <c r="D2914" t="s">
        <v>64</v>
      </c>
      <c r="E2914" t="s">
        <v>64</v>
      </c>
      <c r="F2914" t="s">
        <v>65</v>
      </c>
      <c r="G2914" t="s">
        <v>65</v>
      </c>
      <c r="I2914" t="s">
        <v>13956</v>
      </c>
      <c r="J2914">
        <f>57-312-312-7581</f>
        <v>-8148</v>
      </c>
      <c r="K2914" t="s">
        <v>13957</v>
      </c>
      <c r="N2914" t="s">
        <v>13958</v>
      </c>
      <c r="Z2914" t="s">
        <v>43</v>
      </c>
    </row>
    <row r="2915" spans="1:26" x14ac:dyDescent="0.25">
      <c r="A2915">
        <v>2914</v>
      </c>
      <c r="B2915" t="s">
        <v>30</v>
      </c>
      <c r="C2915" t="s">
        <v>13959</v>
      </c>
      <c r="D2915" t="s">
        <v>13960</v>
      </c>
      <c r="E2915" t="s">
        <v>64</v>
      </c>
      <c r="F2915" t="s">
        <v>13961</v>
      </c>
      <c r="G2915" t="s">
        <v>65</v>
      </c>
      <c r="I2915" t="s">
        <v>13962</v>
      </c>
      <c r="K2915" t="s">
        <v>13963</v>
      </c>
      <c r="N2915" t="s">
        <v>13964</v>
      </c>
      <c r="Z2915" t="s">
        <v>43</v>
      </c>
    </row>
    <row r="2916" spans="1:26" x14ac:dyDescent="0.25">
      <c r="A2916">
        <v>2915</v>
      </c>
      <c r="B2916" t="s">
        <v>30</v>
      </c>
      <c r="C2916" t="s">
        <v>13965</v>
      </c>
      <c r="D2916" t="s">
        <v>1260</v>
      </c>
      <c r="E2916" t="s">
        <v>471</v>
      </c>
      <c r="F2916" t="s">
        <v>1665</v>
      </c>
      <c r="G2916" t="s">
        <v>47</v>
      </c>
      <c r="I2916" t="s">
        <v>13966</v>
      </c>
      <c r="J2916">
        <f>57-60-1-273-6968</f>
        <v>-7245</v>
      </c>
      <c r="K2916" t="s">
        <v>13967</v>
      </c>
      <c r="N2916" t="s">
        <v>13968</v>
      </c>
      <c r="Z2916" t="s">
        <v>43</v>
      </c>
    </row>
    <row r="2917" spans="1:26" x14ac:dyDescent="0.25">
      <c r="A2917">
        <v>2916</v>
      </c>
      <c r="B2917" t="s">
        <v>30</v>
      </c>
      <c r="C2917" t="s">
        <v>13969</v>
      </c>
      <c r="D2917" t="s">
        <v>13970</v>
      </c>
      <c r="E2917" t="s">
        <v>2077</v>
      </c>
      <c r="F2917" t="s">
        <v>13971</v>
      </c>
      <c r="G2917" t="s">
        <v>2079</v>
      </c>
      <c r="I2917" t="s">
        <v>13972</v>
      </c>
      <c r="J2917">
        <f>57-316-807-2683</f>
        <v>-3749</v>
      </c>
      <c r="K2917" t="s">
        <v>13973</v>
      </c>
      <c r="N2917" t="s">
        <v>13974</v>
      </c>
      <c r="Z2917" t="s">
        <v>43</v>
      </c>
    </row>
    <row r="2918" spans="1:26" x14ac:dyDescent="0.25">
      <c r="A2918">
        <v>2917</v>
      </c>
      <c r="B2918" t="s">
        <v>30</v>
      </c>
      <c r="C2918" t="s">
        <v>13975</v>
      </c>
      <c r="D2918" t="s">
        <v>13976</v>
      </c>
      <c r="E2918" t="s">
        <v>2916</v>
      </c>
      <c r="F2918" t="s">
        <v>13977</v>
      </c>
      <c r="G2918" t="s">
        <v>2918</v>
      </c>
      <c r="I2918" t="s">
        <v>13978</v>
      </c>
      <c r="K2918" t="s">
        <v>13979</v>
      </c>
      <c r="N2918" t="s">
        <v>13980</v>
      </c>
      <c r="Z2918" t="s">
        <v>43</v>
      </c>
    </row>
    <row r="2919" spans="1:26" x14ac:dyDescent="0.25">
      <c r="A2919">
        <v>2918</v>
      </c>
      <c r="B2919" t="s">
        <v>30</v>
      </c>
      <c r="C2919" t="s">
        <v>13981</v>
      </c>
      <c r="D2919" t="s">
        <v>13982</v>
      </c>
      <c r="E2919" t="s">
        <v>1850</v>
      </c>
      <c r="F2919" t="s">
        <v>13983</v>
      </c>
      <c r="G2919" t="s">
        <v>1852</v>
      </c>
      <c r="I2919" t="s">
        <v>13984</v>
      </c>
      <c r="J2919">
        <f>57-320-898-7020</f>
        <v>-8181</v>
      </c>
      <c r="K2919" t="s">
        <v>13985</v>
      </c>
      <c r="N2919" t="s">
        <v>13986</v>
      </c>
      <c r="Z2919" t="s">
        <v>43</v>
      </c>
    </row>
    <row r="2920" spans="1:26" x14ac:dyDescent="0.25">
      <c r="A2920">
        <v>2919</v>
      </c>
      <c r="B2920" t="s">
        <v>30</v>
      </c>
      <c r="C2920" t="s">
        <v>13987</v>
      </c>
      <c r="D2920" t="s">
        <v>2242</v>
      </c>
      <c r="E2920" t="s">
        <v>72</v>
      </c>
      <c r="F2920" t="s">
        <v>2243</v>
      </c>
      <c r="G2920" t="s">
        <v>73</v>
      </c>
      <c r="I2920" t="s">
        <v>13988</v>
      </c>
      <c r="J2920">
        <f>57-301-720-2526</f>
        <v>-3490</v>
      </c>
      <c r="K2920" t="s">
        <v>13989</v>
      </c>
      <c r="N2920" t="s">
        <v>13990</v>
      </c>
      <c r="Z2920" t="s">
        <v>43</v>
      </c>
    </row>
    <row r="2921" spans="1:26" x14ac:dyDescent="0.25">
      <c r="A2921">
        <v>2920</v>
      </c>
      <c r="B2921" t="s">
        <v>30</v>
      </c>
      <c r="C2921" t="s">
        <v>13991</v>
      </c>
      <c r="D2921" t="s">
        <v>7234</v>
      </c>
      <c r="E2921" t="s">
        <v>1402</v>
      </c>
      <c r="F2921" t="s">
        <v>7235</v>
      </c>
      <c r="G2921" t="s">
        <v>1404</v>
      </c>
      <c r="I2921" t="s">
        <v>13992</v>
      </c>
      <c r="K2921" t="s">
        <v>13993</v>
      </c>
      <c r="N2921" t="s">
        <v>13994</v>
      </c>
      <c r="Z2921" t="s">
        <v>43</v>
      </c>
    </row>
    <row r="2922" spans="1:26" x14ac:dyDescent="0.25">
      <c r="A2922">
        <v>2921</v>
      </c>
      <c r="B2922" t="s">
        <v>30</v>
      </c>
      <c r="C2922" t="s">
        <v>13995</v>
      </c>
      <c r="D2922" t="s">
        <v>46</v>
      </c>
      <c r="E2922" t="s">
        <v>471</v>
      </c>
      <c r="F2922" t="s">
        <v>820</v>
      </c>
      <c r="G2922" t="s">
        <v>47</v>
      </c>
      <c r="I2922" t="s">
        <v>13996</v>
      </c>
      <c r="K2922" t="s">
        <v>13997</v>
      </c>
      <c r="N2922" t="s">
        <v>13998</v>
      </c>
      <c r="Z2922" t="s">
        <v>43</v>
      </c>
    </row>
    <row r="2923" spans="1:26" x14ac:dyDescent="0.25">
      <c r="A2923">
        <v>2922</v>
      </c>
      <c r="B2923" t="s">
        <v>30</v>
      </c>
      <c r="C2923" t="s">
        <v>13999</v>
      </c>
      <c r="D2923" t="s">
        <v>979</v>
      </c>
      <c r="E2923" t="s">
        <v>471</v>
      </c>
      <c r="F2923" t="s">
        <v>980</v>
      </c>
      <c r="G2923" t="s">
        <v>47</v>
      </c>
      <c r="I2923" t="s">
        <v>14000</v>
      </c>
      <c r="K2923" t="s">
        <v>14001</v>
      </c>
      <c r="N2923" t="s">
        <v>14002</v>
      </c>
      <c r="Z2923" t="s">
        <v>43</v>
      </c>
    </row>
    <row r="2924" spans="1:26" x14ac:dyDescent="0.25">
      <c r="A2924">
        <v>2923</v>
      </c>
      <c r="B2924" t="s">
        <v>30</v>
      </c>
      <c r="C2924" t="s">
        <v>14003</v>
      </c>
      <c r="D2924" t="s">
        <v>10538</v>
      </c>
      <c r="E2924" t="s">
        <v>800</v>
      </c>
      <c r="F2924" t="s">
        <v>10539</v>
      </c>
      <c r="G2924" t="s">
        <v>802</v>
      </c>
      <c r="I2924" t="s">
        <v>14004</v>
      </c>
      <c r="K2924" t="s">
        <v>14005</v>
      </c>
      <c r="N2924" t="s">
        <v>14006</v>
      </c>
      <c r="Z2924" t="s">
        <v>43</v>
      </c>
    </row>
    <row r="2925" spans="1:26" x14ac:dyDescent="0.25">
      <c r="A2925">
        <v>2924</v>
      </c>
      <c r="B2925" t="s">
        <v>30</v>
      </c>
      <c r="C2925" t="s">
        <v>14007</v>
      </c>
      <c r="D2925" t="s">
        <v>14008</v>
      </c>
      <c r="E2925" t="s">
        <v>7087</v>
      </c>
      <c r="F2925" t="s">
        <v>14009</v>
      </c>
      <c r="G2925" t="s">
        <v>7089</v>
      </c>
      <c r="I2925" t="s">
        <v>14010</v>
      </c>
      <c r="K2925" t="s">
        <v>14011</v>
      </c>
      <c r="N2925" t="s">
        <v>14012</v>
      </c>
      <c r="Z2925" t="s">
        <v>43</v>
      </c>
    </row>
    <row r="2926" spans="1:26" x14ac:dyDescent="0.25">
      <c r="A2926">
        <v>2925</v>
      </c>
      <c r="B2926" t="s">
        <v>30</v>
      </c>
      <c r="C2926" t="s">
        <v>14013</v>
      </c>
      <c r="D2926" t="s">
        <v>46</v>
      </c>
      <c r="E2926" t="s">
        <v>471</v>
      </c>
      <c r="F2926" t="s">
        <v>2523</v>
      </c>
      <c r="G2926" t="s">
        <v>47</v>
      </c>
      <c r="I2926" t="s">
        <v>14014</v>
      </c>
      <c r="K2926" t="s">
        <v>14015</v>
      </c>
      <c r="N2926" t="s">
        <v>14016</v>
      </c>
      <c r="Z2926" t="s">
        <v>43</v>
      </c>
    </row>
    <row r="2927" spans="1:26" x14ac:dyDescent="0.25">
      <c r="A2927">
        <v>2926</v>
      </c>
      <c r="B2927" t="s">
        <v>30</v>
      </c>
      <c r="C2927" t="s">
        <v>14017</v>
      </c>
      <c r="D2927" t="s">
        <v>46</v>
      </c>
      <c r="E2927" t="s">
        <v>471</v>
      </c>
      <c r="F2927" t="s">
        <v>820</v>
      </c>
      <c r="G2927" t="s">
        <v>47</v>
      </c>
      <c r="I2927" t="s">
        <v>14018</v>
      </c>
      <c r="K2927" t="s">
        <v>14019</v>
      </c>
      <c r="N2927" t="s">
        <v>14020</v>
      </c>
      <c r="Z2927" t="s">
        <v>43</v>
      </c>
    </row>
    <row r="2928" spans="1:26" x14ac:dyDescent="0.25">
      <c r="A2928">
        <v>2927</v>
      </c>
      <c r="B2928" t="s">
        <v>30</v>
      </c>
      <c r="C2928" t="s">
        <v>14021</v>
      </c>
      <c r="D2928" t="s">
        <v>14022</v>
      </c>
      <c r="E2928" t="s">
        <v>64</v>
      </c>
      <c r="F2928" t="s">
        <v>14023</v>
      </c>
      <c r="G2928" t="s">
        <v>65</v>
      </c>
      <c r="I2928" t="s">
        <v>14024</v>
      </c>
      <c r="K2928" t="s">
        <v>14025</v>
      </c>
      <c r="N2928" t="s">
        <v>14026</v>
      </c>
      <c r="Z2928" t="s">
        <v>43</v>
      </c>
    </row>
    <row r="2929" spans="1:26" x14ac:dyDescent="0.25">
      <c r="A2929">
        <v>2928</v>
      </c>
      <c r="B2929" t="s">
        <v>30</v>
      </c>
      <c r="C2929" t="s">
        <v>14027</v>
      </c>
      <c r="D2929" t="s">
        <v>64</v>
      </c>
      <c r="E2929" t="s">
        <v>64</v>
      </c>
      <c r="F2929" t="s">
        <v>65</v>
      </c>
      <c r="G2929" t="s">
        <v>65</v>
      </c>
      <c r="I2929" t="s">
        <v>14028</v>
      </c>
      <c r="J2929">
        <f>57-310-235-7057</f>
        <v>-7545</v>
      </c>
      <c r="K2929" t="s">
        <v>14029</v>
      </c>
      <c r="N2929" t="s">
        <v>14030</v>
      </c>
      <c r="Z2929" t="s">
        <v>43</v>
      </c>
    </row>
    <row r="2930" spans="1:26" x14ac:dyDescent="0.25">
      <c r="A2930">
        <v>2929</v>
      </c>
      <c r="B2930" t="s">
        <v>30</v>
      </c>
      <c r="C2930" t="s">
        <v>14031</v>
      </c>
      <c r="D2930" t="s">
        <v>9589</v>
      </c>
      <c r="E2930" t="s">
        <v>1269</v>
      </c>
      <c r="F2930" t="s">
        <v>9590</v>
      </c>
      <c r="G2930" t="s">
        <v>1271</v>
      </c>
      <c r="I2930" t="s">
        <v>14032</v>
      </c>
      <c r="K2930" t="s">
        <v>14033</v>
      </c>
      <c r="N2930" t="s">
        <v>14034</v>
      </c>
      <c r="Z2930" t="s">
        <v>43</v>
      </c>
    </row>
    <row r="2931" spans="1:26" x14ac:dyDescent="0.25">
      <c r="A2931">
        <v>2930</v>
      </c>
      <c r="B2931" t="s">
        <v>30</v>
      </c>
      <c r="C2931" t="s">
        <v>14035</v>
      </c>
      <c r="D2931" t="s">
        <v>46</v>
      </c>
      <c r="E2931" t="s">
        <v>56</v>
      </c>
      <c r="F2931" t="s">
        <v>820</v>
      </c>
      <c r="G2931" t="s">
        <v>57</v>
      </c>
      <c r="I2931" t="s">
        <v>14036</v>
      </c>
      <c r="K2931" t="s">
        <v>9860</v>
      </c>
      <c r="N2931" t="s">
        <v>4133</v>
      </c>
      <c r="Z2931" t="s">
        <v>43</v>
      </c>
    </row>
    <row r="2932" spans="1:26" x14ac:dyDescent="0.25">
      <c r="A2932">
        <v>2931</v>
      </c>
      <c r="B2932" t="s">
        <v>30</v>
      </c>
      <c r="C2932" t="s">
        <v>14037</v>
      </c>
      <c r="D2932" t="s">
        <v>14038</v>
      </c>
      <c r="E2932" t="s">
        <v>2916</v>
      </c>
      <c r="F2932" t="s">
        <v>14039</v>
      </c>
      <c r="G2932" t="s">
        <v>2918</v>
      </c>
      <c r="I2932" t="s">
        <v>14040</v>
      </c>
      <c r="K2932" t="s">
        <v>14041</v>
      </c>
      <c r="N2932" t="s">
        <v>14042</v>
      </c>
      <c r="Z2932" t="s">
        <v>43</v>
      </c>
    </row>
    <row r="2933" spans="1:26" x14ac:dyDescent="0.25">
      <c r="A2933">
        <v>2932</v>
      </c>
      <c r="B2933" t="s">
        <v>30</v>
      </c>
      <c r="C2933" t="s">
        <v>14043</v>
      </c>
      <c r="D2933" t="s">
        <v>14044</v>
      </c>
      <c r="E2933" t="s">
        <v>1155</v>
      </c>
      <c r="F2933" t="s">
        <v>14045</v>
      </c>
      <c r="G2933" t="s">
        <v>1157</v>
      </c>
      <c r="I2933" t="s">
        <v>14046</v>
      </c>
      <c r="J2933">
        <f>57-300-423-1878</f>
        <v>-2544</v>
      </c>
      <c r="K2933" t="s">
        <v>14047</v>
      </c>
      <c r="N2933" t="s">
        <v>14048</v>
      </c>
      <c r="Z2933" t="s">
        <v>43</v>
      </c>
    </row>
    <row r="2934" spans="1:26" x14ac:dyDescent="0.25">
      <c r="A2934">
        <v>2933</v>
      </c>
      <c r="B2934" t="s">
        <v>30</v>
      </c>
      <c r="C2934" t="s">
        <v>14049</v>
      </c>
      <c r="D2934" t="s">
        <v>46</v>
      </c>
      <c r="E2934" t="s">
        <v>471</v>
      </c>
      <c r="F2934" t="s">
        <v>820</v>
      </c>
      <c r="G2934" t="s">
        <v>47</v>
      </c>
      <c r="I2934" t="s">
        <v>7018</v>
      </c>
      <c r="J2934">
        <f>57-310-666-9129</f>
        <v>-10048</v>
      </c>
      <c r="K2934" t="s">
        <v>14050</v>
      </c>
      <c r="N2934" t="s">
        <v>14051</v>
      </c>
      <c r="Z2934" t="s">
        <v>43</v>
      </c>
    </row>
    <row r="2935" spans="1:26" x14ac:dyDescent="0.25">
      <c r="A2935">
        <v>2934</v>
      </c>
      <c r="B2935" t="s">
        <v>30</v>
      </c>
      <c r="C2935" t="s">
        <v>14052</v>
      </c>
      <c r="D2935" t="s">
        <v>14053</v>
      </c>
      <c r="E2935" t="s">
        <v>14054</v>
      </c>
      <c r="F2935" t="s">
        <v>14055</v>
      </c>
      <c r="G2935" t="s">
        <v>14056</v>
      </c>
      <c r="I2935" t="s">
        <v>14057</v>
      </c>
      <c r="K2935" t="s">
        <v>14058</v>
      </c>
      <c r="N2935" t="s">
        <v>14059</v>
      </c>
      <c r="Z2935" t="s">
        <v>43</v>
      </c>
    </row>
    <row r="2936" spans="1:26" x14ac:dyDescent="0.25">
      <c r="A2936">
        <v>2935</v>
      </c>
      <c r="B2936" t="s">
        <v>30</v>
      </c>
      <c r="C2936" t="s">
        <v>14060</v>
      </c>
      <c r="D2936" t="s">
        <v>14053</v>
      </c>
      <c r="E2936" t="s">
        <v>14054</v>
      </c>
      <c r="F2936" t="s">
        <v>14055</v>
      </c>
      <c r="G2936" t="s">
        <v>14056</v>
      </c>
      <c r="I2936" t="s">
        <v>14057</v>
      </c>
      <c r="K2936" t="s">
        <v>14061</v>
      </c>
      <c r="N2936" t="s">
        <v>14059</v>
      </c>
      <c r="Z2936" t="s">
        <v>43</v>
      </c>
    </row>
    <row r="2937" spans="1:26" x14ac:dyDescent="0.25">
      <c r="A2937">
        <v>2936</v>
      </c>
      <c r="B2937" t="s">
        <v>30</v>
      </c>
      <c r="C2937" t="s">
        <v>14062</v>
      </c>
      <c r="D2937" t="s">
        <v>46</v>
      </c>
      <c r="E2937" t="s">
        <v>471</v>
      </c>
      <c r="F2937" t="s">
        <v>820</v>
      </c>
      <c r="G2937" t="s">
        <v>47</v>
      </c>
      <c r="I2937" t="s">
        <v>14063</v>
      </c>
      <c r="K2937" t="s">
        <v>14064</v>
      </c>
      <c r="N2937" t="s">
        <v>14065</v>
      </c>
      <c r="Z2937" t="s">
        <v>43</v>
      </c>
    </row>
    <row r="2938" spans="1:26" x14ac:dyDescent="0.25">
      <c r="A2938">
        <v>2937</v>
      </c>
      <c r="B2938" t="s">
        <v>30</v>
      </c>
      <c r="C2938" t="s">
        <v>14066</v>
      </c>
      <c r="D2938" t="s">
        <v>772</v>
      </c>
      <c r="E2938" t="s">
        <v>471</v>
      </c>
      <c r="F2938" t="s">
        <v>773</v>
      </c>
      <c r="G2938" t="s">
        <v>47</v>
      </c>
      <c r="I2938" t="s">
        <v>14067</v>
      </c>
      <c r="K2938" t="s">
        <v>14068</v>
      </c>
      <c r="N2938" t="s">
        <v>14069</v>
      </c>
      <c r="Z2938" t="s">
        <v>43</v>
      </c>
    </row>
    <row r="2939" spans="1:26" x14ac:dyDescent="0.25">
      <c r="A2939">
        <v>2938</v>
      </c>
      <c r="B2939" t="s">
        <v>30</v>
      </c>
      <c r="C2939" t="s">
        <v>14070</v>
      </c>
      <c r="D2939" t="s">
        <v>1054</v>
      </c>
      <c r="E2939" t="s">
        <v>471</v>
      </c>
      <c r="F2939" t="s">
        <v>1056</v>
      </c>
      <c r="G2939" t="s">
        <v>47</v>
      </c>
      <c r="I2939" t="s">
        <v>14071</v>
      </c>
      <c r="J2939">
        <f>57-301-317-9377</f>
        <v>-9938</v>
      </c>
      <c r="K2939" t="s">
        <v>14072</v>
      </c>
      <c r="N2939" t="s">
        <v>14073</v>
      </c>
      <c r="Z2939" t="s">
        <v>43</v>
      </c>
    </row>
    <row r="2940" spans="1:26" x14ac:dyDescent="0.25">
      <c r="A2940">
        <v>2939</v>
      </c>
      <c r="B2940" t="s">
        <v>30</v>
      </c>
      <c r="C2940" t="s">
        <v>14074</v>
      </c>
      <c r="D2940" t="s">
        <v>7832</v>
      </c>
      <c r="E2940" t="s">
        <v>1055</v>
      </c>
      <c r="F2940" t="s">
        <v>14075</v>
      </c>
      <c r="G2940" t="s">
        <v>1057</v>
      </c>
      <c r="I2940" t="s">
        <v>14076</v>
      </c>
      <c r="J2940">
        <f>57-320-803-6684</f>
        <v>-7750</v>
      </c>
      <c r="K2940" t="s">
        <v>14077</v>
      </c>
      <c r="N2940" t="s">
        <v>14078</v>
      </c>
      <c r="Z2940" t="s">
        <v>43</v>
      </c>
    </row>
    <row r="2941" spans="1:26" x14ac:dyDescent="0.25">
      <c r="A2941">
        <v>2940</v>
      </c>
      <c r="B2941" t="s">
        <v>30</v>
      </c>
      <c r="C2941" t="s">
        <v>14079</v>
      </c>
      <c r="D2941" t="s">
        <v>56</v>
      </c>
      <c r="E2941" t="s">
        <v>56</v>
      </c>
      <c r="F2941" t="s">
        <v>57</v>
      </c>
      <c r="G2941" t="s">
        <v>57</v>
      </c>
      <c r="I2941" t="s">
        <v>14080</v>
      </c>
      <c r="K2941" t="s">
        <v>14081</v>
      </c>
      <c r="N2941" t="s">
        <v>14082</v>
      </c>
      <c r="Z2941" t="s">
        <v>43</v>
      </c>
    </row>
    <row r="2942" spans="1:26" x14ac:dyDescent="0.25">
      <c r="A2942">
        <v>2941</v>
      </c>
      <c r="B2942" t="s">
        <v>30</v>
      </c>
      <c r="C2942" t="s">
        <v>14083</v>
      </c>
      <c r="D2942" t="s">
        <v>72</v>
      </c>
      <c r="E2942" t="s">
        <v>72</v>
      </c>
      <c r="F2942" t="s">
        <v>73</v>
      </c>
      <c r="G2942" t="s">
        <v>73</v>
      </c>
      <c r="H2942" t="s">
        <v>14084</v>
      </c>
      <c r="I2942" t="s">
        <v>14085</v>
      </c>
      <c r="J2942">
        <f>57-316-694-3681</f>
        <v>-4634</v>
      </c>
      <c r="K2942" t="s">
        <v>362</v>
      </c>
      <c r="L2942" t="s">
        <v>14086</v>
      </c>
      <c r="N2942" t="s">
        <v>14087</v>
      </c>
      <c r="O2942" t="s">
        <v>14088</v>
      </c>
      <c r="Z2942" t="s">
        <v>43</v>
      </c>
    </row>
    <row r="2943" spans="1:26" x14ac:dyDescent="0.25">
      <c r="A2943">
        <v>2942</v>
      </c>
      <c r="B2943" t="s">
        <v>30</v>
      </c>
      <c r="C2943" t="s">
        <v>14089</v>
      </c>
      <c r="D2943" t="s">
        <v>4074</v>
      </c>
      <c r="E2943" t="s">
        <v>1269</v>
      </c>
      <c r="F2943" t="s">
        <v>4075</v>
      </c>
      <c r="G2943" t="s">
        <v>1271</v>
      </c>
      <c r="I2943" t="s">
        <v>14090</v>
      </c>
      <c r="K2943" t="s">
        <v>14091</v>
      </c>
      <c r="N2943" t="s">
        <v>14092</v>
      </c>
      <c r="Z2943" t="s">
        <v>43</v>
      </c>
    </row>
    <row r="2944" spans="1:26" x14ac:dyDescent="0.25">
      <c r="A2944">
        <v>2943</v>
      </c>
      <c r="B2944" t="s">
        <v>30</v>
      </c>
      <c r="C2944" t="s">
        <v>14093</v>
      </c>
      <c r="D2944" t="s">
        <v>1260</v>
      </c>
      <c r="E2944" t="s">
        <v>72</v>
      </c>
      <c r="F2944" t="s">
        <v>1665</v>
      </c>
      <c r="G2944" t="s">
        <v>73</v>
      </c>
      <c r="I2944" t="s">
        <v>14094</v>
      </c>
      <c r="J2944">
        <f>57-60-1-455-2341</f>
        <v>-2800</v>
      </c>
      <c r="K2944" t="s">
        <v>14095</v>
      </c>
      <c r="N2944" t="s">
        <v>14096</v>
      </c>
      <c r="Z2944" t="s">
        <v>43</v>
      </c>
    </row>
    <row r="2945" spans="1:26" x14ac:dyDescent="0.25">
      <c r="A2945">
        <v>2944</v>
      </c>
      <c r="B2945" t="s">
        <v>30</v>
      </c>
      <c r="C2945" t="s">
        <v>14097</v>
      </c>
      <c r="D2945" t="s">
        <v>14098</v>
      </c>
      <c r="E2945" t="s">
        <v>4921</v>
      </c>
      <c r="F2945" t="s">
        <v>14099</v>
      </c>
      <c r="G2945" t="s">
        <v>4923</v>
      </c>
      <c r="I2945" t="s">
        <v>14100</v>
      </c>
      <c r="K2945" t="s">
        <v>14101</v>
      </c>
      <c r="N2945" t="s">
        <v>14102</v>
      </c>
      <c r="Z2945" t="s">
        <v>43</v>
      </c>
    </row>
    <row r="2946" spans="1:26" x14ac:dyDescent="0.25">
      <c r="A2946">
        <v>2945</v>
      </c>
      <c r="B2946" t="s">
        <v>30</v>
      </c>
      <c r="C2946" t="s">
        <v>14103</v>
      </c>
      <c r="D2946" t="s">
        <v>5933</v>
      </c>
      <c r="E2946" t="s">
        <v>755</v>
      </c>
      <c r="F2946" t="s">
        <v>7661</v>
      </c>
      <c r="G2946" t="s">
        <v>757</v>
      </c>
      <c r="I2946" t="s">
        <v>14104</v>
      </c>
      <c r="K2946" t="s">
        <v>14105</v>
      </c>
      <c r="N2946" t="s">
        <v>14106</v>
      </c>
      <c r="Z2946" t="s">
        <v>43</v>
      </c>
    </row>
    <row r="2947" spans="1:26" x14ac:dyDescent="0.25">
      <c r="A2947">
        <v>2946</v>
      </c>
      <c r="B2947" t="s">
        <v>30</v>
      </c>
      <c r="C2947" t="s">
        <v>14107</v>
      </c>
      <c r="D2947" t="s">
        <v>754</v>
      </c>
      <c r="E2947" t="s">
        <v>755</v>
      </c>
      <c r="F2947" t="s">
        <v>1636</v>
      </c>
      <c r="G2947" t="s">
        <v>757</v>
      </c>
      <c r="I2947" t="s">
        <v>14108</v>
      </c>
      <c r="J2947">
        <f>57-60-1-741-1527</f>
        <v>-2272</v>
      </c>
      <c r="K2947" t="s">
        <v>14109</v>
      </c>
      <c r="N2947" t="s">
        <v>14110</v>
      </c>
      <c r="Z2947" t="s">
        <v>43</v>
      </c>
    </row>
    <row r="2948" spans="1:26" x14ac:dyDescent="0.25">
      <c r="A2948">
        <v>2947</v>
      </c>
      <c r="B2948" t="s">
        <v>30</v>
      </c>
      <c r="C2948" t="s">
        <v>14111</v>
      </c>
      <c r="D2948" t="s">
        <v>3521</v>
      </c>
      <c r="E2948" t="s">
        <v>800</v>
      </c>
      <c r="F2948" t="s">
        <v>3522</v>
      </c>
      <c r="G2948" t="s">
        <v>802</v>
      </c>
      <c r="I2948" t="s">
        <v>14112</v>
      </c>
      <c r="J2948">
        <f>57-322-779-3179</f>
        <v>-4223</v>
      </c>
      <c r="K2948" t="s">
        <v>14113</v>
      </c>
      <c r="N2948" t="s">
        <v>14114</v>
      </c>
      <c r="Z2948" t="s">
        <v>43</v>
      </c>
    </row>
    <row r="2949" spans="1:26" x14ac:dyDescent="0.25">
      <c r="A2949">
        <v>2948</v>
      </c>
      <c r="B2949" t="s">
        <v>30</v>
      </c>
      <c r="C2949" t="s">
        <v>14115</v>
      </c>
      <c r="D2949" t="s">
        <v>7912</v>
      </c>
      <c r="E2949" t="s">
        <v>5472</v>
      </c>
      <c r="F2949" t="s">
        <v>14116</v>
      </c>
      <c r="G2949" t="s">
        <v>5474</v>
      </c>
      <c r="I2949" t="s">
        <v>14117</v>
      </c>
      <c r="K2949" t="s">
        <v>14118</v>
      </c>
      <c r="N2949" t="s">
        <v>14119</v>
      </c>
      <c r="Z2949" t="s">
        <v>43</v>
      </c>
    </row>
    <row r="2950" spans="1:26" x14ac:dyDescent="0.25">
      <c r="A2950">
        <v>2949</v>
      </c>
      <c r="B2950" t="s">
        <v>30</v>
      </c>
      <c r="C2950" t="s">
        <v>14120</v>
      </c>
      <c r="D2950" t="s">
        <v>979</v>
      </c>
      <c r="E2950" t="s">
        <v>471</v>
      </c>
      <c r="F2950" t="s">
        <v>2385</v>
      </c>
      <c r="G2950" t="s">
        <v>966</v>
      </c>
      <c r="I2950" t="s">
        <v>14121</v>
      </c>
      <c r="J2950">
        <f>57-60-1-474-9182</f>
        <v>-9660</v>
      </c>
      <c r="K2950" t="s">
        <v>14122</v>
      </c>
      <c r="N2950" t="s">
        <v>14123</v>
      </c>
      <c r="Z2950" t="s">
        <v>43</v>
      </c>
    </row>
    <row r="2951" spans="1:26" x14ac:dyDescent="0.25">
      <c r="A2951">
        <v>2950</v>
      </c>
      <c r="B2951" t="s">
        <v>30</v>
      </c>
      <c r="C2951" t="s">
        <v>14124</v>
      </c>
      <c r="D2951" t="s">
        <v>14125</v>
      </c>
      <c r="E2951" t="s">
        <v>3133</v>
      </c>
      <c r="F2951" t="s">
        <v>14126</v>
      </c>
      <c r="G2951" t="s">
        <v>3135</v>
      </c>
      <c r="I2951" t="s">
        <v>14127</v>
      </c>
      <c r="J2951">
        <f>57-319-752-9538</f>
        <v>-10552</v>
      </c>
      <c r="K2951" t="s">
        <v>14128</v>
      </c>
      <c r="N2951" t="s">
        <v>14129</v>
      </c>
      <c r="Z2951" t="s">
        <v>43</v>
      </c>
    </row>
    <row r="2952" spans="1:26" x14ac:dyDescent="0.25">
      <c r="A2952">
        <v>2951</v>
      </c>
      <c r="B2952" t="s">
        <v>30</v>
      </c>
      <c r="C2952" t="s">
        <v>14130</v>
      </c>
      <c r="D2952" t="s">
        <v>14131</v>
      </c>
      <c r="E2952" t="s">
        <v>2416</v>
      </c>
      <c r="F2952" t="s">
        <v>14132</v>
      </c>
      <c r="G2952" t="s">
        <v>2418</v>
      </c>
      <c r="I2952" t="s">
        <v>14133</v>
      </c>
      <c r="K2952" t="s">
        <v>14134</v>
      </c>
      <c r="N2952" t="s">
        <v>14135</v>
      </c>
      <c r="Z2952" t="s">
        <v>43</v>
      </c>
    </row>
    <row r="2953" spans="1:26" x14ac:dyDescent="0.25">
      <c r="A2953">
        <v>2952</v>
      </c>
      <c r="B2953" t="s">
        <v>30</v>
      </c>
      <c r="C2953" t="s">
        <v>14136</v>
      </c>
      <c r="D2953" t="s">
        <v>56</v>
      </c>
      <c r="E2953" t="s">
        <v>56</v>
      </c>
      <c r="F2953" t="s">
        <v>57</v>
      </c>
      <c r="G2953" t="s">
        <v>57</v>
      </c>
      <c r="I2953" t="s">
        <v>14137</v>
      </c>
      <c r="K2953" t="s">
        <v>14138</v>
      </c>
      <c r="N2953" t="s">
        <v>14139</v>
      </c>
      <c r="Z2953" t="s">
        <v>43</v>
      </c>
    </row>
    <row r="2954" spans="1:26" x14ac:dyDescent="0.25">
      <c r="A2954">
        <v>2953</v>
      </c>
      <c r="B2954" t="s">
        <v>30</v>
      </c>
      <c r="C2954" t="s">
        <v>14140</v>
      </c>
      <c r="D2954" t="s">
        <v>2614</v>
      </c>
      <c r="E2954" t="s">
        <v>56</v>
      </c>
      <c r="F2954" t="s">
        <v>4232</v>
      </c>
      <c r="G2954" t="s">
        <v>57</v>
      </c>
      <c r="I2954" t="s">
        <v>14141</v>
      </c>
      <c r="J2954">
        <f>57-60-1-691-4125</f>
        <v>-4820</v>
      </c>
      <c r="K2954" t="s">
        <v>481</v>
      </c>
      <c r="N2954" t="s">
        <v>871</v>
      </c>
      <c r="Z2954" t="s">
        <v>43</v>
      </c>
    </row>
    <row r="2955" spans="1:26" x14ac:dyDescent="0.25">
      <c r="A2955">
        <v>2954</v>
      </c>
      <c r="B2955" t="s">
        <v>30</v>
      </c>
      <c r="C2955" t="s">
        <v>14142</v>
      </c>
      <c r="D2955" t="s">
        <v>867</v>
      </c>
      <c r="E2955" t="s">
        <v>56</v>
      </c>
      <c r="F2955" t="s">
        <v>4485</v>
      </c>
      <c r="G2955" t="s">
        <v>57</v>
      </c>
      <c r="I2955" t="s">
        <v>14143</v>
      </c>
      <c r="J2955">
        <f>57-318-422-4007</f>
        <v>-4690</v>
      </c>
      <c r="K2955" t="s">
        <v>14144</v>
      </c>
      <c r="N2955" t="s">
        <v>14145</v>
      </c>
      <c r="Z2955" t="s">
        <v>43</v>
      </c>
    </row>
    <row r="2956" spans="1:26" x14ac:dyDescent="0.25">
      <c r="A2956">
        <v>2955</v>
      </c>
      <c r="B2956" t="s">
        <v>30</v>
      </c>
      <c r="C2956" t="s">
        <v>14146</v>
      </c>
      <c r="D2956" t="s">
        <v>14147</v>
      </c>
      <c r="E2956" t="s">
        <v>2916</v>
      </c>
      <c r="F2956" t="s">
        <v>14148</v>
      </c>
      <c r="G2956" t="s">
        <v>2918</v>
      </c>
      <c r="I2956" t="s">
        <v>9080</v>
      </c>
      <c r="K2956" t="s">
        <v>9081</v>
      </c>
      <c r="N2956" t="s">
        <v>14149</v>
      </c>
      <c r="Z2956" t="s">
        <v>43</v>
      </c>
    </row>
    <row r="2957" spans="1:26" x14ac:dyDescent="0.25">
      <c r="A2957">
        <v>2956</v>
      </c>
      <c r="B2957" t="s">
        <v>30</v>
      </c>
      <c r="C2957" t="s">
        <v>14150</v>
      </c>
      <c r="D2957" t="s">
        <v>2098</v>
      </c>
      <c r="E2957" t="s">
        <v>1269</v>
      </c>
      <c r="F2957" t="s">
        <v>2099</v>
      </c>
      <c r="G2957" t="s">
        <v>1271</v>
      </c>
      <c r="I2957" t="s">
        <v>14151</v>
      </c>
      <c r="J2957">
        <f>57-60-1-236-4244</f>
        <v>-4484</v>
      </c>
      <c r="K2957" t="s">
        <v>3607</v>
      </c>
      <c r="N2957" t="s">
        <v>3608</v>
      </c>
      <c r="Z2957" t="s">
        <v>43</v>
      </c>
    </row>
    <row r="2958" spans="1:26" x14ac:dyDescent="0.25">
      <c r="A2958">
        <v>2957</v>
      </c>
      <c r="B2958" t="s">
        <v>30</v>
      </c>
      <c r="C2958" t="s">
        <v>14152</v>
      </c>
      <c r="D2958" t="s">
        <v>14153</v>
      </c>
      <c r="E2958" t="s">
        <v>7007</v>
      </c>
      <c r="F2958" t="s">
        <v>14154</v>
      </c>
      <c r="G2958" t="s">
        <v>7009</v>
      </c>
      <c r="I2958" t="s">
        <v>14155</v>
      </c>
      <c r="J2958">
        <f>57-321-207-9864</f>
        <v>-10335</v>
      </c>
      <c r="K2958" t="s">
        <v>14156</v>
      </c>
      <c r="N2958" t="s">
        <v>14157</v>
      </c>
      <c r="Z2958" t="s">
        <v>43</v>
      </c>
    </row>
    <row r="2959" spans="1:26" x14ac:dyDescent="0.25">
      <c r="A2959">
        <v>2958</v>
      </c>
      <c r="B2959" t="s">
        <v>30</v>
      </c>
      <c r="C2959" t="s">
        <v>14158</v>
      </c>
      <c r="D2959" t="s">
        <v>14159</v>
      </c>
      <c r="E2959" t="s">
        <v>2210</v>
      </c>
      <c r="F2959" t="s">
        <v>14160</v>
      </c>
      <c r="G2959" t="s">
        <v>2212</v>
      </c>
      <c r="I2959" t="s">
        <v>14161</v>
      </c>
      <c r="K2959" t="s">
        <v>14162</v>
      </c>
      <c r="N2959" t="s">
        <v>14163</v>
      </c>
      <c r="Z2959" t="s">
        <v>43</v>
      </c>
    </row>
    <row r="2960" spans="1:26" x14ac:dyDescent="0.25">
      <c r="A2960">
        <v>2959</v>
      </c>
      <c r="B2960" t="s">
        <v>30</v>
      </c>
      <c r="C2960" t="s">
        <v>14164</v>
      </c>
      <c r="D2960" t="s">
        <v>6531</v>
      </c>
      <c r="E2960" t="s">
        <v>385</v>
      </c>
      <c r="F2960" t="s">
        <v>14165</v>
      </c>
      <c r="G2960" t="s">
        <v>387</v>
      </c>
      <c r="I2960" t="s">
        <v>14166</v>
      </c>
      <c r="K2960" t="s">
        <v>14167</v>
      </c>
      <c r="N2960" t="s">
        <v>14168</v>
      </c>
      <c r="Z2960" t="s">
        <v>43</v>
      </c>
    </row>
    <row r="2961" spans="1:26" x14ac:dyDescent="0.25">
      <c r="A2961">
        <v>2960</v>
      </c>
      <c r="B2961" t="s">
        <v>30</v>
      </c>
      <c r="C2961" t="s">
        <v>14169</v>
      </c>
      <c r="D2961" t="s">
        <v>3118</v>
      </c>
      <c r="E2961" t="s">
        <v>471</v>
      </c>
      <c r="F2961" t="s">
        <v>14170</v>
      </c>
      <c r="G2961" t="s">
        <v>47</v>
      </c>
      <c r="I2961" t="s">
        <v>14171</v>
      </c>
      <c r="J2961">
        <f>57-300-497-9874</f>
        <v>-10614</v>
      </c>
      <c r="K2961" t="s">
        <v>14172</v>
      </c>
      <c r="N2961" t="s">
        <v>14173</v>
      </c>
      <c r="Z2961" t="s">
        <v>43</v>
      </c>
    </row>
    <row r="2962" spans="1:26" x14ac:dyDescent="0.25">
      <c r="A2962">
        <v>2961</v>
      </c>
      <c r="B2962" t="s">
        <v>30</v>
      </c>
      <c r="C2962" t="s">
        <v>14174</v>
      </c>
      <c r="D2962" t="s">
        <v>72</v>
      </c>
      <c r="E2962" t="s">
        <v>72</v>
      </c>
      <c r="F2962" t="s">
        <v>73</v>
      </c>
      <c r="G2962" t="s">
        <v>73</v>
      </c>
      <c r="I2962" t="s">
        <v>14175</v>
      </c>
      <c r="K2962" t="s">
        <v>14176</v>
      </c>
      <c r="N2962" t="s">
        <v>14177</v>
      </c>
      <c r="Z2962" t="s">
        <v>43</v>
      </c>
    </row>
    <row r="2963" spans="1:26" x14ac:dyDescent="0.25">
      <c r="A2963">
        <v>2962</v>
      </c>
      <c r="B2963" t="s">
        <v>30</v>
      </c>
      <c r="C2963" t="s">
        <v>14178</v>
      </c>
      <c r="D2963" t="s">
        <v>3118</v>
      </c>
      <c r="E2963" t="s">
        <v>471</v>
      </c>
      <c r="F2963" t="s">
        <v>14179</v>
      </c>
      <c r="G2963" t="s">
        <v>47</v>
      </c>
      <c r="I2963" t="s">
        <v>14180</v>
      </c>
      <c r="K2963" t="s">
        <v>14181</v>
      </c>
      <c r="N2963" t="s">
        <v>14182</v>
      </c>
      <c r="Z2963" t="s">
        <v>43</v>
      </c>
    </row>
    <row r="2964" spans="1:26" x14ac:dyDescent="0.25">
      <c r="A2964">
        <v>2963</v>
      </c>
      <c r="B2964" t="s">
        <v>30</v>
      </c>
      <c r="C2964" t="s">
        <v>14183</v>
      </c>
      <c r="D2964" t="s">
        <v>3723</v>
      </c>
      <c r="E2964" t="s">
        <v>72</v>
      </c>
      <c r="F2964" t="s">
        <v>3724</v>
      </c>
      <c r="G2964" t="s">
        <v>73</v>
      </c>
      <c r="I2964" t="s">
        <v>14184</v>
      </c>
      <c r="J2964">
        <f>57-300-637-8374</f>
        <v>-9254</v>
      </c>
      <c r="K2964" t="s">
        <v>14185</v>
      </c>
      <c r="N2964" t="s">
        <v>14186</v>
      </c>
      <c r="Z2964" t="s">
        <v>43</v>
      </c>
    </row>
    <row r="2965" spans="1:26" x14ac:dyDescent="0.25">
      <c r="A2965">
        <v>2964</v>
      </c>
      <c r="B2965" t="s">
        <v>30</v>
      </c>
      <c r="C2965" t="s">
        <v>14187</v>
      </c>
      <c r="D2965" t="s">
        <v>772</v>
      </c>
      <c r="E2965" t="s">
        <v>471</v>
      </c>
      <c r="F2965" t="s">
        <v>773</v>
      </c>
      <c r="G2965" t="s">
        <v>47</v>
      </c>
      <c r="I2965" t="s">
        <v>14188</v>
      </c>
      <c r="J2965">
        <f>57-300-228-3009</f>
        <v>-3480</v>
      </c>
      <c r="K2965" t="s">
        <v>14189</v>
      </c>
      <c r="N2965" t="s">
        <v>14190</v>
      </c>
      <c r="Z2965" t="s">
        <v>43</v>
      </c>
    </row>
    <row r="2966" spans="1:26" x14ac:dyDescent="0.25">
      <c r="A2966">
        <v>2965</v>
      </c>
      <c r="B2966" t="s">
        <v>30</v>
      </c>
      <c r="C2966" t="s">
        <v>14191</v>
      </c>
      <c r="D2966" t="s">
        <v>4730</v>
      </c>
      <c r="E2966" t="s">
        <v>800</v>
      </c>
      <c r="F2966" t="s">
        <v>4731</v>
      </c>
      <c r="G2966" t="s">
        <v>802</v>
      </c>
      <c r="I2966" t="s">
        <v>14192</v>
      </c>
      <c r="K2966" t="s">
        <v>14193</v>
      </c>
      <c r="N2966" t="s">
        <v>14194</v>
      </c>
      <c r="Z2966" t="s">
        <v>43</v>
      </c>
    </row>
    <row r="2967" spans="1:26" x14ac:dyDescent="0.25">
      <c r="A2967">
        <v>2966</v>
      </c>
      <c r="B2967" t="s">
        <v>30</v>
      </c>
      <c r="C2967" t="s">
        <v>14195</v>
      </c>
      <c r="D2967" t="s">
        <v>813</v>
      </c>
      <c r="E2967" t="s">
        <v>1658</v>
      </c>
      <c r="F2967" t="s">
        <v>814</v>
      </c>
      <c r="G2967" t="s">
        <v>1660</v>
      </c>
      <c r="I2967" t="s">
        <v>14196</v>
      </c>
      <c r="J2967">
        <f>57-312-379-3413</f>
        <v>-4047</v>
      </c>
      <c r="K2967" t="s">
        <v>14197</v>
      </c>
      <c r="N2967" t="s">
        <v>14198</v>
      </c>
      <c r="Z2967" t="s">
        <v>43</v>
      </c>
    </row>
    <row r="2968" spans="1:26" x14ac:dyDescent="0.25">
      <c r="A2968">
        <v>2967</v>
      </c>
      <c r="B2968" t="s">
        <v>30</v>
      </c>
      <c r="C2968" t="s">
        <v>14199</v>
      </c>
      <c r="D2968" t="s">
        <v>6556</v>
      </c>
      <c r="E2968" t="s">
        <v>2117</v>
      </c>
      <c r="F2968" t="s">
        <v>6557</v>
      </c>
      <c r="G2968" t="s">
        <v>2119</v>
      </c>
      <c r="I2968" t="s">
        <v>14200</v>
      </c>
      <c r="J2968">
        <f>57-60-1-675-4504</f>
        <v>-5183</v>
      </c>
      <c r="K2968" t="s">
        <v>14201</v>
      </c>
      <c r="N2968" t="s">
        <v>14202</v>
      </c>
      <c r="Z2968" t="s">
        <v>43</v>
      </c>
    </row>
    <row r="2969" spans="1:26" x14ac:dyDescent="0.25">
      <c r="A2969">
        <v>2968</v>
      </c>
      <c r="B2969" t="s">
        <v>30</v>
      </c>
      <c r="C2969" t="s">
        <v>14203</v>
      </c>
      <c r="D2969" t="s">
        <v>46</v>
      </c>
      <c r="E2969" t="s">
        <v>471</v>
      </c>
      <c r="F2969" t="s">
        <v>820</v>
      </c>
      <c r="G2969" t="s">
        <v>47</v>
      </c>
      <c r="I2969" t="s">
        <v>14204</v>
      </c>
      <c r="J2969">
        <f>57-321-475-313</f>
        <v>-1052</v>
      </c>
      <c r="K2969" t="s">
        <v>14205</v>
      </c>
      <c r="N2969" t="s">
        <v>14206</v>
      </c>
      <c r="Z2969" t="s">
        <v>43</v>
      </c>
    </row>
    <row r="2970" spans="1:26" x14ac:dyDescent="0.25">
      <c r="A2970">
        <v>2969</v>
      </c>
      <c r="B2970" t="s">
        <v>30</v>
      </c>
      <c r="C2970" t="s">
        <v>14207</v>
      </c>
      <c r="D2970" t="s">
        <v>14208</v>
      </c>
      <c r="E2970" t="s">
        <v>385</v>
      </c>
      <c r="F2970" t="s">
        <v>14209</v>
      </c>
      <c r="G2970" t="s">
        <v>387</v>
      </c>
      <c r="I2970" t="s">
        <v>14210</v>
      </c>
      <c r="J2970">
        <f>57-318-358-563</f>
        <v>-1182</v>
      </c>
      <c r="K2970" t="s">
        <v>14211</v>
      </c>
      <c r="N2970" t="s">
        <v>14212</v>
      </c>
      <c r="Z2970" t="s">
        <v>43</v>
      </c>
    </row>
    <row r="2971" spans="1:26" x14ac:dyDescent="0.25">
      <c r="A2971">
        <v>2970</v>
      </c>
      <c r="B2971" t="s">
        <v>30</v>
      </c>
      <c r="C2971" t="s">
        <v>14213</v>
      </c>
      <c r="D2971" t="s">
        <v>5805</v>
      </c>
      <c r="E2971" t="s">
        <v>385</v>
      </c>
      <c r="F2971" t="s">
        <v>5806</v>
      </c>
      <c r="G2971" t="s">
        <v>387</v>
      </c>
      <c r="I2971" t="s">
        <v>14214</v>
      </c>
      <c r="K2971" t="s">
        <v>14215</v>
      </c>
      <c r="N2971" t="s">
        <v>14216</v>
      </c>
      <c r="Z2971" t="s">
        <v>43</v>
      </c>
    </row>
    <row r="2972" spans="1:26" x14ac:dyDescent="0.25">
      <c r="A2972">
        <v>2971</v>
      </c>
      <c r="B2972" t="s">
        <v>30</v>
      </c>
      <c r="C2972" t="s">
        <v>14217</v>
      </c>
      <c r="D2972" t="s">
        <v>1956</v>
      </c>
      <c r="E2972" t="s">
        <v>72</v>
      </c>
      <c r="F2972" t="s">
        <v>1957</v>
      </c>
      <c r="G2972" t="s">
        <v>73</v>
      </c>
      <c r="I2972" t="s">
        <v>14218</v>
      </c>
      <c r="J2972">
        <f>57-315-817-7435</f>
        <v>-8510</v>
      </c>
      <c r="K2972" t="s">
        <v>14219</v>
      </c>
      <c r="N2972" t="s">
        <v>14220</v>
      </c>
      <c r="Z2972" t="s">
        <v>43</v>
      </c>
    </row>
    <row r="2973" spans="1:26" x14ac:dyDescent="0.25">
      <c r="A2973">
        <v>2972</v>
      </c>
      <c r="B2973" t="s">
        <v>30</v>
      </c>
      <c r="C2973" t="s">
        <v>14221</v>
      </c>
      <c r="D2973" t="s">
        <v>14222</v>
      </c>
      <c r="E2973" t="s">
        <v>64</v>
      </c>
      <c r="F2973" t="s">
        <v>14223</v>
      </c>
      <c r="G2973" t="s">
        <v>65</v>
      </c>
      <c r="I2973" t="s">
        <v>14224</v>
      </c>
      <c r="J2973">
        <f>57-318-330-9698</f>
        <v>-10289</v>
      </c>
      <c r="K2973" t="s">
        <v>14225</v>
      </c>
      <c r="N2973" t="s">
        <v>14226</v>
      </c>
      <c r="Z2973" t="s">
        <v>43</v>
      </c>
    </row>
    <row r="2974" spans="1:26" x14ac:dyDescent="0.25">
      <c r="A2974">
        <v>2973</v>
      </c>
      <c r="B2974" t="s">
        <v>30</v>
      </c>
      <c r="C2974" t="s">
        <v>14227</v>
      </c>
      <c r="D2974" t="s">
        <v>1896</v>
      </c>
      <c r="E2974" t="s">
        <v>72</v>
      </c>
      <c r="F2974" t="s">
        <v>6518</v>
      </c>
      <c r="G2974" t="s">
        <v>73</v>
      </c>
      <c r="I2974" t="s">
        <v>14228</v>
      </c>
      <c r="J2974">
        <f>57-301-627-8687</f>
        <v>-9558</v>
      </c>
      <c r="K2974" t="s">
        <v>14229</v>
      </c>
      <c r="N2974" t="s">
        <v>14230</v>
      </c>
      <c r="Z2974" t="s">
        <v>43</v>
      </c>
    </row>
    <row r="2975" spans="1:26" x14ac:dyDescent="0.25">
      <c r="A2975">
        <v>2974</v>
      </c>
      <c r="B2975" t="s">
        <v>30</v>
      </c>
      <c r="C2975" t="s">
        <v>14231</v>
      </c>
      <c r="D2975" t="s">
        <v>1926</v>
      </c>
      <c r="E2975" t="s">
        <v>1155</v>
      </c>
      <c r="F2975" t="s">
        <v>14232</v>
      </c>
      <c r="G2975" t="s">
        <v>1157</v>
      </c>
      <c r="I2975" t="s">
        <v>14233</v>
      </c>
      <c r="J2975">
        <f>57-311-583-5679</f>
        <v>-6516</v>
      </c>
      <c r="K2975" t="s">
        <v>14234</v>
      </c>
      <c r="N2975" t="s">
        <v>14235</v>
      </c>
      <c r="Z2975" t="s">
        <v>43</v>
      </c>
    </row>
    <row r="2976" spans="1:26" x14ac:dyDescent="0.25">
      <c r="A2976">
        <v>2975</v>
      </c>
      <c r="B2976" t="s">
        <v>30</v>
      </c>
      <c r="C2976" t="s">
        <v>14236</v>
      </c>
      <c r="D2976" t="s">
        <v>2394</v>
      </c>
      <c r="E2976" t="s">
        <v>471</v>
      </c>
      <c r="F2976" t="s">
        <v>8021</v>
      </c>
      <c r="G2976" t="s">
        <v>47</v>
      </c>
      <c r="I2976" t="s">
        <v>14237</v>
      </c>
      <c r="J2976">
        <f>57-60-1-744-9955</f>
        <v>-10703</v>
      </c>
      <c r="K2976" t="s">
        <v>14238</v>
      </c>
      <c r="N2976" t="s">
        <v>14239</v>
      </c>
      <c r="Z2976" t="s">
        <v>43</v>
      </c>
    </row>
    <row r="2977" spans="1:26" x14ac:dyDescent="0.25">
      <c r="A2977">
        <v>2976</v>
      </c>
      <c r="B2977" t="s">
        <v>30</v>
      </c>
      <c r="C2977" t="s">
        <v>14240</v>
      </c>
      <c r="D2977" t="s">
        <v>813</v>
      </c>
      <c r="E2977" t="s">
        <v>72</v>
      </c>
      <c r="F2977" t="s">
        <v>6958</v>
      </c>
      <c r="G2977" t="s">
        <v>73</v>
      </c>
      <c r="I2977" t="s">
        <v>14241</v>
      </c>
      <c r="J2977">
        <f>57-60-1-284-7016</f>
        <v>-7304</v>
      </c>
      <c r="K2977" t="s">
        <v>3760</v>
      </c>
      <c r="N2977" t="s">
        <v>14242</v>
      </c>
      <c r="Z2977" t="s">
        <v>43</v>
      </c>
    </row>
    <row r="2978" spans="1:26" x14ac:dyDescent="0.25">
      <c r="A2978">
        <v>2977</v>
      </c>
      <c r="B2978" t="s">
        <v>30</v>
      </c>
      <c r="C2978" t="s">
        <v>14243</v>
      </c>
      <c r="D2978" t="s">
        <v>772</v>
      </c>
      <c r="E2978" t="s">
        <v>471</v>
      </c>
      <c r="F2978" t="s">
        <v>773</v>
      </c>
      <c r="G2978" t="s">
        <v>47</v>
      </c>
      <c r="I2978" t="s">
        <v>14244</v>
      </c>
      <c r="J2978">
        <f>57-310-772-2252</f>
        <v>-3277</v>
      </c>
      <c r="K2978" t="s">
        <v>14245</v>
      </c>
      <c r="N2978" t="s">
        <v>14246</v>
      </c>
      <c r="Z2978" t="s">
        <v>43</v>
      </c>
    </row>
    <row r="2979" spans="1:26" x14ac:dyDescent="0.25">
      <c r="A2979">
        <v>2978</v>
      </c>
      <c r="B2979" t="s">
        <v>30</v>
      </c>
      <c r="C2979" t="s">
        <v>14247</v>
      </c>
      <c r="D2979" t="s">
        <v>909</v>
      </c>
      <c r="E2979" t="s">
        <v>471</v>
      </c>
      <c r="F2979" t="s">
        <v>1659</v>
      </c>
      <c r="G2979" t="s">
        <v>47</v>
      </c>
      <c r="I2979" t="s">
        <v>14248</v>
      </c>
      <c r="J2979">
        <f>57-301-218-5615</f>
        <v>-6077</v>
      </c>
      <c r="K2979" t="s">
        <v>14249</v>
      </c>
      <c r="N2979" t="s">
        <v>14250</v>
      </c>
      <c r="Z2979" t="s">
        <v>43</v>
      </c>
    </row>
    <row r="2980" spans="1:26" x14ac:dyDescent="0.25">
      <c r="A2980">
        <v>2979</v>
      </c>
      <c r="B2980" t="s">
        <v>30</v>
      </c>
      <c r="C2980" t="s">
        <v>14251</v>
      </c>
      <c r="D2980" t="s">
        <v>1713</v>
      </c>
      <c r="E2980" t="s">
        <v>471</v>
      </c>
      <c r="F2980" t="s">
        <v>5874</v>
      </c>
      <c r="G2980" t="s">
        <v>47</v>
      </c>
      <c r="I2980" t="s">
        <v>14252</v>
      </c>
      <c r="J2980">
        <f>57-311-825-5228</f>
        <v>-6307</v>
      </c>
      <c r="K2980" t="s">
        <v>14253</v>
      </c>
      <c r="N2980" t="s">
        <v>14254</v>
      </c>
      <c r="Z2980" t="s">
        <v>43</v>
      </c>
    </row>
    <row r="2981" spans="1:26" x14ac:dyDescent="0.25">
      <c r="A2981">
        <v>2980</v>
      </c>
      <c r="B2981" t="s">
        <v>30</v>
      </c>
      <c r="C2981" t="s">
        <v>14255</v>
      </c>
      <c r="D2981" t="s">
        <v>772</v>
      </c>
      <c r="E2981" t="s">
        <v>471</v>
      </c>
      <c r="F2981" t="s">
        <v>773</v>
      </c>
      <c r="G2981" t="s">
        <v>47</v>
      </c>
      <c r="I2981" t="s">
        <v>14256</v>
      </c>
      <c r="J2981">
        <f>57-60-1-421-5973</f>
        <v>-6398</v>
      </c>
      <c r="K2981" t="s">
        <v>14257</v>
      </c>
      <c r="N2981" t="s">
        <v>14258</v>
      </c>
      <c r="Z2981" t="s">
        <v>43</v>
      </c>
    </row>
    <row r="2982" spans="1:26" x14ac:dyDescent="0.25">
      <c r="A2982">
        <v>2981</v>
      </c>
      <c r="B2982" t="s">
        <v>30</v>
      </c>
      <c r="C2982" t="s">
        <v>14259</v>
      </c>
      <c r="D2982" t="s">
        <v>799</v>
      </c>
      <c r="E2982" t="s">
        <v>471</v>
      </c>
      <c r="F2982" t="s">
        <v>1811</v>
      </c>
      <c r="G2982" t="s">
        <v>966</v>
      </c>
      <c r="I2982" t="s">
        <v>14260</v>
      </c>
      <c r="J2982">
        <f>57-60-1-243-2353</f>
        <v>-2600</v>
      </c>
      <c r="K2982" t="s">
        <v>14261</v>
      </c>
      <c r="N2982" t="s">
        <v>14262</v>
      </c>
      <c r="Z2982" t="s">
        <v>43</v>
      </c>
    </row>
    <row r="2983" spans="1:26" x14ac:dyDescent="0.25">
      <c r="A2983">
        <v>2982</v>
      </c>
      <c r="B2983" t="s">
        <v>30</v>
      </c>
      <c r="C2983" t="s">
        <v>14263</v>
      </c>
      <c r="D2983" t="s">
        <v>1260</v>
      </c>
      <c r="E2983" t="s">
        <v>471</v>
      </c>
      <c r="F2983" t="s">
        <v>1665</v>
      </c>
      <c r="G2983" t="s">
        <v>47</v>
      </c>
      <c r="I2983" t="s">
        <v>14264</v>
      </c>
      <c r="J2983">
        <f>57-60-1-474-2416</f>
        <v>-2894</v>
      </c>
      <c r="K2983" t="s">
        <v>14265</v>
      </c>
      <c r="N2983" t="s">
        <v>14266</v>
      </c>
      <c r="Z2983" t="s">
        <v>43</v>
      </c>
    </row>
    <row r="2984" spans="1:26" x14ac:dyDescent="0.25">
      <c r="A2984">
        <v>2983</v>
      </c>
      <c r="B2984" t="s">
        <v>30</v>
      </c>
      <c r="C2984" t="s">
        <v>14267</v>
      </c>
      <c r="D2984" t="s">
        <v>909</v>
      </c>
      <c r="E2984" t="s">
        <v>471</v>
      </c>
      <c r="F2984" t="s">
        <v>910</v>
      </c>
      <c r="G2984" t="s">
        <v>47</v>
      </c>
      <c r="I2984" t="s">
        <v>14268</v>
      </c>
      <c r="J2984">
        <f>57-300-242-8694</f>
        <v>-9179</v>
      </c>
      <c r="K2984" t="s">
        <v>14269</v>
      </c>
      <c r="N2984" t="s">
        <v>14270</v>
      </c>
      <c r="Z2984" t="s">
        <v>43</v>
      </c>
    </row>
    <row r="2985" spans="1:26" x14ac:dyDescent="0.25">
      <c r="A2985">
        <v>2984</v>
      </c>
      <c r="B2985" t="s">
        <v>30</v>
      </c>
      <c r="C2985" t="s">
        <v>14271</v>
      </c>
      <c r="D2985" t="s">
        <v>72</v>
      </c>
      <c r="E2985" t="s">
        <v>72</v>
      </c>
      <c r="F2985" t="s">
        <v>3934</v>
      </c>
      <c r="G2985" t="s">
        <v>73</v>
      </c>
      <c r="I2985" t="s">
        <v>14272</v>
      </c>
      <c r="K2985" t="s">
        <v>14273</v>
      </c>
      <c r="N2985" t="s">
        <v>14274</v>
      </c>
      <c r="Z2985" t="s">
        <v>43</v>
      </c>
    </row>
    <row r="2986" spans="1:26" x14ac:dyDescent="0.25">
      <c r="A2986">
        <v>2985</v>
      </c>
      <c r="B2986" t="s">
        <v>30</v>
      </c>
      <c r="C2986" t="s">
        <v>14275</v>
      </c>
      <c r="D2986" t="s">
        <v>2394</v>
      </c>
      <c r="E2986" t="s">
        <v>56</v>
      </c>
      <c r="F2986" t="s">
        <v>2395</v>
      </c>
      <c r="G2986" t="s">
        <v>57</v>
      </c>
      <c r="I2986" t="s">
        <v>14276</v>
      </c>
      <c r="J2986">
        <f>57-310-555-1004</f>
        <v>-1812</v>
      </c>
      <c r="K2986" t="s">
        <v>14277</v>
      </c>
      <c r="N2986" t="s">
        <v>14278</v>
      </c>
      <c r="Z2986" t="s">
        <v>43</v>
      </c>
    </row>
    <row r="2987" spans="1:26" x14ac:dyDescent="0.25">
      <c r="A2987">
        <v>2986</v>
      </c>
      <c r="B2987" t="s">
        <v>30</v>
      </c>
      <c r="C2987" t="s">
        <v>14279</v>
      </c>
      <c r="D2987" t="s">
        <v>46</v>
      </c>
      <c r="E2987" t="s">
        <v>471</v>
      </c>
      <c r="F2987" t="s">
        <v>1708</v>
      </c>
      <c r="G2987" t="s">
        <v>47</v>
      </c>
      <c r="I2987" t="s">
        <v>14280</v>
      </c>
      <c r="J2987">
        <f>57-321-560-2058</f>
        <v>-2882</v>
      </c>
      <c r="K2987" t="s">
        <v>14281</v>
      </c>
      <c r="N2987" t="s">
        <v>14282</v>
      </c>
      <c r="Z2987" t="s">
        <v>43</v>
      </c>
    </row>
    <row r="2988" spans="1:26" x14ac:dyDescent="0.25">
      <c r="A2988">
        <v>2987</v>
      </c>
      <c r="B2988" t="s">
        <v>30</v>
      </c>
      <c r="C2988" t="s">
        <v>14283</v>
      </c>
      <c r="D2988" t="s">
        <v>772</v>
      </c>
      <c r="E2988" t="s">
        <v>471</v>
      </c>
      <c r="F2988" t="s">
        <v>1822</v>
      </c>
      <c r="G2988" t="s">
        <v>47</v>
      </c>
      <c r="I2988" t="s">
        <v>14284</v>
      </c>
      <c r="J2988">
        <f>57-350-811-3339</f>
        <v>-4443</v>
      </c>
      <c r="K2988" t="s">
        <v>14285</v>
      </c>
      <c r="N2988" t="s">
        <v>14286</v>
      </c>
      <c r="Z2988" t="s">
        <v>43</v>
      </c>
    </row>
    <row r="2989" spans="1:26" x14ac:dyDescent="0.25">
      <c r="A2989">
        <v>2988</v>
      </c>
      <c r="B2989" t="s">
        <v>30</v>
      </c>
      <c r="C2989" t="s">
        <v>14287</v>
      </c>
      <c r="D2989" t="s">
        <v>772</v>
      </c>
      <c r="E2989" t="s">
        <v>72</v>
      </c>
      <c r="F2989" t="s">
        <v>3559</v>
      </c>
      <c r="G2989" t="s">
        <v>73</v>
      </c>
      <c r="I2989" t="s">
        <v>14288</v>
      </c>
      <c r="K2989" t="s">
        <v>14289</v>
      </c>
      <c r="N2989" t="s">
        <v>14290</v>
      </c>
      <c r="Z2989" t="s">
        <v>43</v>
      </c>
    </row>
    <row r="2990" spans="1:26" x14ac:dyDescent="0.25">
      <c r="A2990">
        <v>2989</v>
      </c>
      <c r="B2990" t="s">
        <v>30</v>
      </c>
      <c r="C2990" t="s">
        <v>14291</v>
      </c>
      <c r="D2990" t="s">
        <v>14292</v>
      </c>
      <c r="E2990" t="s">
        <v>2319</v>
      </c>
      <c r="F2990" t="s">
        <v>14293</v>
      </c>
      <c r="G2990" t="s">
        <v>2321</v>
      </c>
      <c r="I2990" t="s">
        <v>14294</v>
      </c>
      <c r="K2990" t="s">
        <v>14295</v>
      </c>
      <c r="N2990" t="s">
        <v>14296</v>
      </c>
      <c r="Z2990" t="s">
        <v>43</v>
      </c>
    </row>
    <row r="2991" spans="1:26" x14ac:dyDescent="0.25">
      <c r="A2991">
        <v>2990</v>
      </c>
      <c r="B2991" t="s">
        <v>30</v>
      </c>
      <c r="C2991" t="s">
        <v>14297</v>
      </c>
      <c r="D2991" t="s">
        <v>46</v>
      </c>
      <c r="E2991" t="s">
        <v>56</v>
      </c>
      <c r="F2991" t="s">
        <v>941</v>
      </c>
      <c r="G2991" t="s">
        <v>57</v>
      </c>
      <c r="I2991" t="s">
        <v>14298</v>
      </c>
      <c r="K2991" t="s">
        <v>4564</v>
      </c>
      <c r="N2991" t="s">
        <v>14299</v>
      </c>
      <c r="Z2991" t="s">
        <v>43</v>
      </c>
    </row>
    <row r="2992" spans="1:26" x14ac:dyDescent="0.25">
      <c r="A2992">
        <v>2991</v>
      </c>
      <c r="B2992" t="s">
        <v>30</v>
      </c>
      <c r="C2992" t="s">
        <v>14300</v>
      </c>
      <c r="D2992" t="s">
        <v>909</v>
      </c>
      <c r="E2992" t="s">
        <v>471</v>
      </c>
      <c r="F2992" t="s">
        <v>1659</v>
      </c>
      <c r="G2992" t="s">
        <v>47</v>
      </c>
      <c r="I2992" t="s">
        <v>14301</v>
      </c>
      <c r="J2992">
        <f>57-60-1-461-1715</f>
        <v>-2180</v>
      </c>
      <c r="K2992" t="s">
        <v>14302</v>
      </c>
      <c r="N2992" t="s">
        <v>14303</v>
      </c>
      <c r="Z2992" t="s">
        <v>43</v>
      </c>
    </row>
    <row r="2993" spans="1:26" x14ac:dyDescent="0.25">
      <c r="A2993">
        <v>2992</v>
      </c>
      <c r="B2993" t="s">
        <v>30</v>
      </c>
      <c r="C2993" t="s">
        <v>14304</v>
      </c>
      <c r="D2993" t="s">
        <v>813</v>
      </c>
      <c r="E2993" t="s">
        <v>72</v>
      </c>
      <c r="F2993" t="s">
        <v>814</v>
      </c>
      <c r="G2993" t="s">
        <v>73</v>
      </c>
      <c r="I2993" t="s">
        <v>14305</v>
      </c>
      <c r="K2993" t="s">
        <v>14306</v>
      </c>
      <c r="N2993" t="s">
        <v>14307</v>
      </c>
      <c r="Z2993" t="s">
        <v>43</v>
      </c>
    </row>
    <row r="2994" spans="1:26" x14ac:dyDescent="0.25">
      <c r="A2994">
        <v>2993</v>
      </c>
      <c r="B2994" t="s">
        <v>30</v>
      </c>
      <c r="C2994" t="s">
        <v>14308</v>
      </c>
      <c r="D2994" t="s">
        <v>14309</v>
      </c>
      <c r="E2994" t="s">
        <v>56</v>
      </c>
      <c r="F2994" t="s">
        <v>14310</v>
      </c>
      <c r="G2994" t="s">
        <v>57</v>
      </c>
      <c r="I2994" t="s">
        <v>14311</v>
      </c>
      <c r="J2994">
        <f>57-310-221-2582</f>
        <v>-3056</v>
      </c>
      <c r="K2994" t="s">
        <v>14312</v>
      </c>
      <c r="N2994" t="s">
        <v>14313</v>
      </c>
      <c r="Z2994" t="s">
        <v>43</v>
      </c>
    </row>
    <row r="2995" spans="1:26" x14ac:dyDescent="0.25">
      <c r="A2995">
        <v>2994</v>
      </c>
      <c r="B2995" t="s">
        <v>30</v>
      </c>
      <c r="C2995" t="s">
        <v>14314</v>
      </c>
      <c r="D2995" t="s">
        <v>46</v>
      </c>
      <c r="E2995" t="s">
        <v>471</v>
      </c>
      <c r="F2995" t="s">
        <v>820</v>
      </c>
      <c r="G2995" t="s">
        <v>47</v>
      </c>
      <c r="I2995" t="s">
        <v>14315</v>
      </c>
      <c r="J2995">
        <f>57-310-256-6514</f>
        <v>-7023</v>
      </c>
      <c r="K2995" t="s">
        <v>14316</v>
      </c>
      <c r="N2995" t="s">
        <v>14317</v>
      </c>
      <c r="Z2995" t="s">
        <v>43</v>
      </c>
    </row>
    <row r="2996" spans="1:26" x14ac:dyDescent="0.25">
      <c r="A2996">
        <v>2995</v>
      </c>
      <c r="B2996" t="s">
        <v>30</v>
      </c>
      <c r="C2996" t="s">
        <v>14318</v>
      </c>
      <c r="D2996" t="s">
        <v>772</v>
      </c>
      <c r="E2996" t="s">
        <v>471</v>
      </c>
      <c r="F2996" t="s">
        <v>773</v>
      </c>
      <c r="G2996" t="s">
        <v>47</v>
      </c>
      <c r="I2996" t="s">
        <v>14319</v>
      </c>
      <c r="J2996">
        <f>57-321-452-3918</f>
        <v>-4634</v>
      </c>
      <c r="K2996" t="s">
        <v>14320</v>
      </c>
      <c r="N2996" t="s">
        <v>14321</v>
      </c>
      <c r="Z2996" t="s">
        <v>43</v>
      </c>
    </row>
    <row r="2997" spans="1:26" x14ac:dyDescent="0.25">
      <c r="A2997">
        <v>2996</v>
      </c>
      <c r="B2997" t="s">
        <v>30</v>
      </c>
      <c r="C2997" t="s">
        <v>14322</v>
      </c>
      <c r="D2997" t="s">
        <v>979</v>
      </c>
      <c r="E2997" t="s">
        <v>1269</v>
      </c>
      <c r="F2997" t="s">
        <v>980</v>
      </c>
      <c r="G2997" t="s">
        <v>1271</v>
      </c>
      <c r="I2997" t="s">
        <v>14323</v>
      </c>
      <c r="J2997">
        <f>57-311-469-9225</f>
        <v>-9948</v>
      </c>
      <c r="K2997" t="s">
        <v>14324</v>
      </c>
      <c r="N2997" t="s">
        <v>14325</v>
      </c>
      <c r="Z2997" t="s">
        <v>43</v>
      </c>
    </row>
    <row r="2998" spans="1:26" x14ac:dyDescent="0.25">
      <c r="A2998">
        <v>2997</v>
      </c>
      <c r="B2998" t="s">
        <v>30</v>
      </c>
      <c r="C2998" t="s">
        <v>14326</v>
      </c>
      <c r="D2998" t="s">
        <v>909</v>
      </c>
      <c r="E2998" t="s">
        <v>471</v>
      </c>
      <c r="F2998" t="s">
        <v>910</v>
      </c>
      <c r="G2998" t="s">
        <v>47</v>
      </c>
      <c r="I2998" t="s">
        <v>14327</v>
      </c>
      <c r="J2998">
        <f>57-320-275-9713</f>
        <v>-10251</v>
      </c>
      <c r="K2998" t="s">
        <v>14328</v>
      </c>
      <c r="N2998" t="s">
        <v>14329</v>
      </c>
      <c r="Z2998" t="s">
        <v>43</v>
      </c>
    </row>
    <row r="2999" spans="1:26" x14ac:dyDescent="0.25">
      <c r="A2999">
        <v>2998</v>
      </c>
      <c r="B2999" t="s">
        <v>30</v>
      </c>
      <c r="C2999" t="s">
        <v>14330</v>
      </c>
      <c r="D2999" t="s">
        <v>64</v>
      </c>
      <c r="E2999" t="s">
        <v>64</v>
      </c>
      <c r="F2999" t="s">
        <v>65</v>
      </c>
      <c r="G2999" t="s">
        <v>65</v>
      </c>
      <c r="I2999" t="s">
        <v>14331</v>
      </c>
      <c r="J2999">
        <f>57-313-488-9650</f>
        <v>-10394</v>
      </c>
      <c r="K2999" t="s">
        <v>14332</v>
      </c>
      <c r="N2999" t="s">
        <v>14333</v>
      </c>
      <c r="Z2999" t="s">
        <v>43</v>
      </c>
    </row>
    <row r="3000" spans="1:26" x14ac:dyDescent="0.25">
      <c r="A3000">
        <v>2999</v>
      </c>
      <c r="B3000" t="s">
        <v>30</v>
      </c>
      <c r="C3000" t="s">
        <v>14334</v>
      </c>
      <c r="D3000" t="s">
        <v>64</v>
      </c>
      <c r="E3000" t="s">
        <v>64</v>
      </c>
      <c r="F3000" t="s">
        <v>65</v>
      </c>
      <c r="G3000" t="s">
        <v>65</v>
      </c>
      <c r="I3000" t="s">
        <v>14335</v>
      </c>
      <c r="J3000">
        <f>57-313-344-7850</f>
        <v>-8450</v>
      </c>
      <c r="K3000" t="s">
        <v>703</v>
      </c>
      <c r="N3000" t="s">
        <v>13393</v>
      </c>
      <c r="Z3000" t="s">
        <v>43</v>
      </c>
    </row>
    <row r="3001" spans="1:26" x14ac:dyDescent="0.25">
      <c r="A3001">
        <v>3000</v>
      </c>
      <c r="B3001" t="s">
        <v>30</v>
      </c>
      <c r="C3001" t="s">
        <v>14336</v>
      </c>
      <c r="D3001" t="s">
        <v>1982</v>
      </c>
      <c r="E3001" t="s">
        <v>471</v>
      </c>
      <c r="F3001" t="s">
        <v>3182</v>
      </c>
      <c r="G3001" t="s">
        <v>47</v>
      </c>
      <c r="I3001" t="s">
        <v>14337</v>
      </c>
      <c r="K3001" t="s">
        <v>14338</v>
      </c>
      <c r="N3001" t="s">
        <v>14339</v>
      </c>
      <c r="Z3001" t="s">
        <v>43</v>
      </c>
    </row>
    <row r="3002" spans="1:26" x14ac:dyDescent="0.25">
      <c r="A3002">
        <v>3001</v>
      </c>
      <c r="B3002" t="s">
        <v>30</v>
      </c>
      <c r="C3002" t="s">
        <v>14340</v>
      </c>
      <c r="D3002" t="s">
        <v>384</v>
      </c>
      <c r="E3002" t="s">
        <v>385</v>
      </c>
      <c r="F3002" t="s">
        <v>386</v>
      </c>
      <c r="G3002" t="s">
        <v>387</v>
      </c>
      <c r="I3002" t="s">
        <v>14341</v>
      </c>
      <c r="J3002">
        <f>57-313-380-4971</f>
        <v>-5607</v>
      </c>
      <c r="K3002" t="s">
        <v>14342</v>
      </c>
      <c r="N3002" t="s">
        <v>14343</v>
      </c>
      <c r="Z3002" t="s">
        <v>43</v>
      </c>
    </row>
    <row r="3003" spans="1:26" x14ac:dyDescent="0.25">
      <c r="A3003">
        <v>3002</v>
      </c>
      <c r="B3003" t="s">
        <v>30</v>
      </c>
      <c r="C3003" t="s">
        <v>14344</v>
      </c>
      <c r="D3003" t="s">
        <v>14345</v>
      </c>
      <c r="E3003" t="s">
        <v>1792</v>
      </c>
      <c r="F3003" t="s">
        <v>14346</v>
      </c>
      <c r="G3003" t="s">
        <v>1794</v>
      </c>
      <c r="I3003" t="s">
        <v>14347</v>
      </c>
      <c r="J3003">
        <f>57-310-640-3164</f>
        <v>-4057</v>
      </c>
      <c r="K3003" t="s">
        <v>14348</v>
      </c>
      <c r="N3003" t="s">
        <v>14349</v>
      </c>
      <c r="Z3003" t="s">
        <v>43</v>
      </c>
    </row>
    <row r="3004" spans="1:26" x14ac:dyDescent="0.25">
      <c r="A3004">
        <v>3003</v>
      </c>
      <c r="B3004" t="s">
        <v>30</v>
      </c>
      <c r="C3004" t="s">
        <v>14350</v>
      </c>
      <c r="D3004" t="s">
        <v>5965</v>
      </c>
      <c r="E3004" t="s">
        <v>385</v>
      </c>
      <c r="F3004" t="s">
        <v>5966</v>
      </c>
      <c r="G3004" t="s">
        <v>387</v>
      </c>
      <c r="I3004" t="s">
        <v>14351</v>
      </c>
      <c r="J3004">
        <f>57-60-1-300-4578</f>
        <v>-4882</v>
      </c>
      <c r="K3004" t="s">
        <v>14352</v>
      </c>
      <c r="N3004" t="s">
        <v>14353</v>
      </c>
      <c r="Z3004" t="s">
        <v>43</v>
      </c>
    </row>
    <row r="3005" spans="1:26" x14ac:dyDescent="0.25">
      <c r="A3005">
        <v>3004</v>
      </c>
      <c r="B3005" t="s">
        <v>30</v>
      </c>
      <c r="C3005" t="s">
        <v>14354</v>
      </c>
      <c r="D3005" t="s">
        <v>46</v>
      </c>
      <c r="E3005" t="s">
        <v>471</v>
      </c>
      <c r="F3005" t="s">
        <v>820</v>
      </c>
      <c r="G3005" t="s">
        <v>47</v>
      </c>
      <c r="I3005" t="s">
        <v>14355</v>
      </c>
      <c r="K3005" t="s">
        <v>14356</v>
      </c>
      <c r="N3005" t="s">
        <v>14357</v>
      </c>
      <c r="Z3005" t="s">
        <v>43</v>
      </c>
    </row>
    <row r="3006" spans="1:26" x14ac:dyDescent="0.25">
      <c r="A3006">
        <v>3005</v>
      </c>
      <c r="B3006" t="s">
        <v>30</v>
      </c>
      <c r="C3006" t="s">
        <v>14358</v>
      </c>
      <c r="D3006" t="s">
        <v>14359</v>
      </c>
      <c r="E3006" t="s">
        <v>755</v>
      </c>
      <c r="F3006" t="s">
        <v>14360</v>
      </c>
      <c r="G3006" t="s">
        <v>2199</v>
      </c>
      <c r="I3006" t="s">
        <v>14361</v>
      </c>
      <c r="J3006">
        <f>57-301-548-2952</f>
        <v>-3744</v>
      </c>
      <c r="K3006" t="s">
        <v>14362</v>
      </c>
      <c r="N3006" t="s">
        <v>14363</v>
      </c>
      <c r="Z3006" t="s">
        <v>43</v>
      </c>
    </row>
    <row r="3007" spans="1:26" x14ac:dyDescent="0.25">
      <c r="A3007">
        <v>3006</v>
      </c>
      <c r="B3007" t="s">
        <v>30</v>
      </c>
      <c r="C3007" t="s">
        <v>14364</v>
      </c>
      <c r="D3007" t="s">
        <v>2394</v>
      </c>
      <c r="E3007" t="s">
        <v>56</v>
      </c>
      <c r="F3007" t="s">
        <v>2395</v>
      </c>
      <c r="G3007" t="s">
        <v>57</v>
      </c>
      <c r="I3007" t="s">
        <v>14365</v>
      </c>
      <c r="K3007" t="s">
        <v>14366</v>
      </c>
      <c r="N3007" t="s">
        <v>14367</v>
      </c>
      <c r="Z3007" t="s">
        <v>43</v>
      </c>
    </row>
    <row r="3008" spans="1:26" x14ac:dyDescent="0.25">
      <c r="A3008">
        <v>3007</v>
      </c>
      <c r="B3008" t="s">
        <v>30</v>
      </c>
      <c r="C3008" t="s">
        <v>14368</v>
      </c>
      <c r="D3008" t="s">
        <v>2346</v>
      </c>
      <c r="E3008" t="s">
        <v>471</v>
      </c>
      <c r="F3008" t="s">
        <v>2347</v>
      </c>
      <c r="G3008" t="s">
        <v>47</v>
      </c>
      <c r="I3008" t="s">
        <v>14369</v>
      </c>
      <c r="K3008" t="s">
        <v>14370</v>
      </c>
      <c r="N3008" t="s">
        <v>14371</v>
      </c>
      <c r="Z3008" t="s">
        <v>43</v>
      </c>
    </row>
    <row r="3009" spans="1:26" x14ac:dyDescent="0.25">
      <c r="A3009">
        <v>3008</v>
      </c>
      <c r="B3009" t="s">
        <v>30</v>
      </c>
      <c r="C3009" t="s">
        <v>14372</v>
      </c>
      <c r="D3009" t="s">
        <v>947</v>
      </c>
      <c r="E3009" t="s">
        <v>471</v>
      </c>
      <c r="F3009" t="s">
        <v>14373</v>
      </c>
      <c r="G3009" t="s">
        <v>966</v>
      </c>
      <c r="I3009" t="s">
        <v>14374</v>
      </c>
      <c r="J3009">
        <f>57-312-521-8623</f>
        <v>-9399</v>
      </c>
      <c r="K3009" t="s">
        <v>14375</v>
      </c>
      <c r="N3009" t="s">
        <v>14376</v>
      </c>
      <c r="Z3009" t="s">
        <v>43</v>
      </c>
    </row>
    <row r="3010" spans="1:26" x14ac:dyDescent="0.25">
      <c r="A3010">
        <v>3009</v>
      </c>
      <c r="B3010" t="s">
        <v>30</v>
      </c>
      <c r="C3010" t="s">
        <v>14377</v>
      </c>
      <c r="D3010" t="s">
        <v>7429</v>
      </c>
      <c r="E3010" t="s">
        <v>1402</v>
      </c>
      <c r="F3010" t="s">
        <v>11203</v>
      </c>
      <c r="G3010" t="s">
        <v>1404</v>
      </c>
      <c r="I3010" t="s">
        <v>14378</v>
      </c>
      <c r="K3010" t="s">
        <v>14379</v>
      </c>
      <c r="N3010" t="s">
        <v>14380</v>
      </c>
      <c r="Z3010" t="s">
        <v>43</v>
      </c>
    </row>
    <row r="3011" spans="1:26" x14ac:dyDescent="0.25">
      <c r="A3011">
        <v>3010</v>
      </c>
      <c r="B3011" t="s">
        <v>30</v>
      </c>
      <c r="C3011" t="s">
        <v>14381</v>
      </c>
      <c r="D3011" t="s">
        <v>46</v>
      </c>
      <c r="E3011" t="s">
        <v>471</v>
      </c>
      <c r="F3011" t="s">
        <v>820</v>
      </c>
      <c r="G3011" t="s">
        <v>47</v>
      </c>
      <c r="I3011" t="s">
        <v>14382</v>
      </c>
      <c r="K3011" t="s">
        <v>14383</v>
      </c>
      <c r="N3011" t="s">
        <v>14384</v>
      </c>
      <c r="Z3011" t="s">
        <v>43</v>
      </c>
    </row>
    <row r="3012" spans="1:26" x14ac:dyDescent="0.25">
      <c r="A3012">
        <v>3011</v>
      </c>
      <c r="B3012" t="s">
        <v>30</v>
      </c>
      <c r="C3012" t="s">
        <v>14385</v>
      </c>
      <c r="D3012" t="s">
        <v>12101</v>
      </c>
      <c r="E3012" t="s">
        <v>1269</v>
      </c>
      <c r="F3012" t="s">
        <v>12102</v>
      </c>
      <c r="G3012" t="s">
        <v>1271</v>
      </c>
      <c r="I3012" t="s">
        <v>14386</v>
      </c>
      <c r="J3012">
        <f>57-310-680-752</f>
        <v>-1685</v>
      </c>
      <c r="K3012" t="s">
        <v>14387</v>
      </c>
      <c r="N3012" t="s">
        <v>14388</v>
      </c>
      <c r="Z3012" t="s">
        <v>43</v>
      </c>
    </row>
    <row r="3013" spans="1:26" x14ac:dyDescent="0.25">
      <c r="A3013">
        <v>3012</v>
      </c>
      <c r="B3013" t="s">
        <v>30</v>
      </c>
      <c r="C3013" t="s">
        <v>14389</v>
      </c>
      <c r="D3013" t="s">
        <v>2433</v>
      </c>
      <c r="E3013" t="s">
        <v>1155</v>
      </c>
      <c r="F3013" t="s">
        <v>2434</v>
      </c>
      <c r="G3013" t="s">
        <v>1157</v>
      </c>
      <c r="I3013" t="s">
        <v>14390</v>
      </c>
      <c r="J3013">
        <f>57-310-553-8800</f>
        <v>-9606</v>
      </c>
      <c r="K3013" t="s">
        <v>14391</v>
      </c>
      <c r="N3013" t="s">
        <v>14392</v>
      </c>
      <c r="Z3013" t="s">
        <v>43</v>
      </c>
    </row>
    <row r="3014" spans="1:26" x14ac:dyDescent="0.25">
      <c r="A3014">
        <v>3013</v>
      </c>
      <c r="B3014" t="s">
        <v>30</v>
      </c>
      <c r="C3014" t="s">
        <v>14393</v>
      </c>
      <c r="D3014" t="s">
        <v>64</v>
      </c>
      <c r="E3014" t="s">
        <v>64</v>
      </c>
      <c r="F3014" t="s">
        <v>65</v>
      </c>
      <c r="G3014" t="s">
        <v>65</v>
      </c>
      <c r="I3014" t="s">
        <v>14394</v>
      </c>
      <c r="K3014" t="s">
        <v>703</v>
      </c>
      <c r="N3014" t="s">
        <v>14395</v>
      </c>
      <c r="Z3014" t="s">
        <v>43</v>
      </c>
    </row>
    <row r="3015" spans="1:26" x14ac:dyDescent="0.25">
      <c r="A3015">
        <v>3014</v>
      </c>
      <c r="B3015" t="s">
        <v>30</v>
      </c>
      <c r="C3015" t="s">
        <v>14396</v>
      </c>
      <c r="D3015" t="s">
        <v>899</v>
      </c>
      <c r="E3015" t="s">
        <v>56</v>
      </c>
      <c r="F3015" t="s">
        <v>2456</v>
      </c>
      <c r="G3015" t="s">
        <v>57</v>
      </c>
      <c r="I3015" t="s">
        <v>14397</v>
      </c>
      <c r="J3015">
        <f>57-60-1-618-3830</f>
        <v>-4452</v>
      </c>
      <c r="K3015" t="s">
        <v>6786</v>
      </c>
      <c r="N3015" t="s">
        <v>6787</v>
      </c>
      <c r="Z3015" t="s">
        <v>43</v>
      </c>
    </row>
    <row r="3016" spans="1:26" x14ac:dyDescent="0.25">
      <c r="A3016">
        <v>3015</v>
      </c>
      <c r="B3016" t="s">
        <v>30</v>
      </c>
      <c r="C3016" t="s">
        <v>14398</v>
      </c>
      <c r="D3016" t="s">
        <v>1713</v>
      </c>
      <c r="E3016" t="s">
        <v>1658</v>
      </c>
      <c r="F3016" t="s">
        <v>2089</v>
      </c>
      <c r="G3016" t="s">
        <v>1660</v>
      </c>
      <c r="I3016" t="s">
        <v>14399</v>
      </c>
      <c r="K3016" t="s">
        <v>14400</v>
      </c>
      <c r="N3016" t="s">
        <v>14401</v>
      </c>
      <c r="Z3016" t="s">
        <v>43</v>
      </c>
    </row>
    <row r="3017" spans="1:26" x14ac:dyDescent="0.25">
      <c r="A3017">
        <v>3016</v>
      </c>
      <c r="B3017" t="s">
        <v>30</v>
      </c>
      <c r="C3017" t="s">
        <v>14402</v>
      </c>
      <c r="D3017" t="s">
        <v>6100</v>
      </c>
      <c r="E3017" t="s">
        <v>471</v>
      </c>
      <c r="F3017" t="s">
        <v>6101</v>
      </c>
      <c r="G3017" t="s">
        <v>47</v>
      </c>
      <c r="I3017" t="s">
        <v>14403</v>
      </c>
      <c r="J3017">
        <f>57-301-553-1754</f>
        <v>-2551</v>
      </c>
      <c r="K3017" t="s">
        <v>14404</v>
      </c>
      <c r="N3017" t="s">
        <v>14405</v>
      </c>
      <c r="Z3017" t="s">
        <v>43</v>
      </c>
    </row>
    <row r="3018" spans="1:26" x14ac:dyDescent="0.25">
      <c r="A3018">
        <v>3017</v>
      </c>
      <c r="B3018" t="s">
        <v>30</v>
      </c>
      <c r="C3018" t="s">
        <v>14406</v>
      </c>
      <c r="D3018" t="s">
        <v>14407</v>
      </c>
      <c r="E3018" t="s">
        <v>3234</v>
      </c>
      <c r="F3018" t="s">
        <v>14408</v>
      </c>
      <c r="G3018" t="s">
        <v>3236</v>
      </c>
      <c r="I3018" t="s">
        <v>14409</v>
      </c>
      <c r="J3018">
        <f>57-60-1-217-9539</f>
        <v>-9760</v>
      </c>
      <c r="K3018" t="s">
        <v>14410</v>
      </c>
      <c r="N3018" t="s">
        <v>14411</v>
      </c>
      <c r="Z3018" t="s">
        <v>43</v>
      </c>
    </row>
    <row r="3019" spans="1:26" x14ac:dyDescent="0.25">
      <c r="A3019">
        <v>3018</v>
      </c>
      <c r="B3019" t="s">
        <v>30</v>
      </c>
      <c r="C3019" t="s">
        <v>14412</v>
      </c>
      <c r="D3019" t="s">
        <v>1713</v>
      </c>
      <c r="E3019" t="s">
        <v>471</v>
      </c>
      <c r="F3019" t="s">
        <v>6475</v>
      </c>
      <c r="G3019" t="s">
        <v>47</v>
      </c>
      <c r="I3019" t="s">
        <v>14413</v>
      </c>
      <c r="J3019">
        <f>57-60-1-924-4962</f>
        <v>-5890</v>
      </c>
      <c r="K3019" t="s">
        <v>14414</v>
      </c>
      <c r="N3019" t="s">
        <v>1147</v>
      </c>
      <c r="Z3019" t="s">
        <v>43</v>
      </c>
    </row>
    <row r="3020" spans="1:26" x14ac:dyDescent="0.25">
      <c r="A3020">
        <v>3019</v>
      </c>
      <c r="B3020" t="s">
        <v>30</v>
      </c>
      <c r="C3020" t="s">
        <v>14415</v>
      </c>
      <c r="D3020" t="s">
        <v>5933</v>
      </c>
      <c r="E3020" t="s">
        <v>755</v>
      </c>
      <c r="F3020" t="s">
        <v>7661</v>
      </c>
      <c r="G3020" t="s">
        <v>757</v>
      </c>
      <c r="I3020" t="s">
        <v>14416</v>
      </c>
      <c r="J3020">
        <f>57-60-1-341-6244</f>
        <v>-6589</v>
      </c>
      <c r="K3020" t="s">
        <v>14417</v>
      </c>
      <c r="N3020" t="s">
        <v>14418</v>
      </c>
      <c r="Z3020" t="s">
        <v>43</v>
      </c>
    </row>
    <row r="3021" spans="1:26" x14ac:dyDescent="0.25">
      <c r="A3021">
        <v>3020</v>
      </c>
      <c r="B3021" t="s">
        <v>30</v>
      </c>
      <c r="C3021" t="s">
        <v>14419</v>
      </c>
      <c r="D3021" t="s">
        <v>384</v>
      </c>
      <c r="E3021" t="s">
        <v>471</v>
      </c>
      <c r="F3021" t="s">
        <v>6602</v>
      </c>
      <c r="G3021" t="s">
        <v>47</v>
      </c>
      <c r="I3021" t="s">
        <v>14420</v>
      </c>
      <c r="J3021">
        <f>57-314-279-2600</f>
        <v>-3136</v>
      </c>
      <c r="K3021" t="s">
        <v>14421</v>
      </c>
      <c r="N3021" t="s">
        <v>14422</v>
      </c>
      <c r="Z3021" t="s">
        <v>43</v>
      </c>
    </row>
    <row r="3022" spans="1:26" x14ac:dyDescent="0.25">
      <c r="A3022">
        <v>3021</v>
      </c>
      <c r="B3022" t="s">
        <v>30</v>
      </c>
      <c r="C3022" t="s">
        <v>14423</v>
      </c>
      <c r="D3022" t="s">
        <v>14424</v>
      </c>
      <c r="E3022" t="s">
        <v>1338</v>
      </c>
      <c r="F3022" t="s">
        <v>14425</v>
      </c>
      <c r="G3022" t="s">
        <v>1340</v>
      </c>
      <c r="I3022" t="s">
        <v>14426</v>
      </c>
      <c r="J3022">
        <f>57-60-1-789-5926</f>
        <v>-6719</v>
      </c>
      <c r="K3022" t="s">
        <v>14427</v>
      </c>
      <c r="N3022" t="s">
        <v>14428</v>
      </c>
      <c r="Z3022" t="s">
        <v>43</v>
      </c>
    </row>
    <row r="3023" spans="1:26" x14ac:dyDescent="0.25">
      <c r="A3023">
        <v>3022</v>
      </c>
      <c r="B3023" t="s">
        <v>30</v>
      </c>
      <c r="C3023" t="s">
        <v>14429</v>
      </c>
      <c r="D3023" t="s">
        <v>5093</v>
      </c>
      <c r="E3023" t="s">
        <v>72</v>
      </c>
      <c r="F3023" t="s">
        <v>14430</v>
      </c>
      <c r="G3023" t="s">
        <v>73</v>
      </c>
      <c r="I3023" t="s">
        <v>14431</v>
      </c>
      <c r="K3023" t="s">
        <v>14432</v>
      </c>
      <c r="N3023" t="s">
        <v>14433</v>
      </c>
      <c r="Z3023" t="s">
        <v>43</v>
      </c>
    </row>
    <row r="3024" spans="1:26" x14ac:dyDescent="0.25">
      <c r="A3024">
        <v>3023</v>
      </c>
      <c r="B3024" t="s">
        <v>30</v>
      </c>
      <c r="C3024" t="s">
        <v>14434</v>
      </c>
      <c r="D3024" t="s">
        <v>1528</v>
      </c>
      <c r="E3024" t="s">
        <v>8690</v>
      </c>
      <c r="F3024" t="s">
        <v>14435</v>
      </c>
      <c r="G3024" t="s">
        <v>8692</v>
      </c>
      <c r="I3024" t="s">
        <v>14436</v>
      </c>
      <c r="K3024" t="s">
        <v>14437</v>
      </c>
      <c r="N3024" t="s">
        <v>14438</v>
      </c>
      <c r="Z3024" t="s">
        <v>43</v>
      </c>
    </row>
    <row r="3025" spans="1:26" x14ac:dyDescent="0.25">
      <c r="A3025">
        <v>3024</v>
      </c>
      <c r="B3025" t="s">
        <v>30</v>
      </c>
      <c r="C3025" t="s">
        <v>14439</v>
      </c>
      <c r="D3025" t="s">
        <v>5730</v>
      </c>
      <c r="E3025" t="s">
        <v>8690</v>
      </c>
      <c r="F3025" t="s">
        <v>5731</v>
      </c>
      <c r="G3025" t="s">
        <v>8692</v>
      </c>
      <c r="I3025" t="s">
        <v>14440</v>
      </c>
      <c r="K3025" t="s">
        <v>14437</v>
      </c>
      <c r="N3025" t="s">
        <v>14438</v>
      </c>
      <c r="Z3025" t="s">
        <v>43</v>
      </c>
    </row>
    <row r="3026" spans="1:26" x14ac:dyDescent="0.25">
      <c r="A3026">
        <v>3025</v>
      </c>
      <c r="B3026" t="s">
        <v>30</v>
      </c>
      <c r="C3026" t="s">
        <v>14441</v>
      </c>
      <c r="D3026" t="s">
        <v>14442</v>
      </c>
      <c r="E3026" t="s">
        <v>2592</v>
      </c>
      <c r="F3026" t="s">
        <v>14443</v>
      </c>
      <c r="G3026" t="s">
        <v>2594</v>
      </c>
      <c r="I3026" t="s">
        <v>14444</v>
      </c>
      <c r="K3026" t="s">
        <v>14445</v>
      </c>
      <c r="N3026" t="s">
        <v>14446</v>
      </c>
      <c r="Z3026" t="s">
        <v>43</v>
      </c>
    </row>
    <row r="3027" spans="1:26" x14ac:dyDescent="0.25">
      <c r="A3027">
        <v>3026</v>
      </c>
      <c r="B3027" t="s">
        <v>30</v>
      </c>
      <c r="C3027" t="s">
        <v>14447</v>
      </c>
      <c r="D3027" t="s">
        <v>72</v>
      </c>
      <c r="E3027" t="s">
        <v>72</v>
      </c>
      <c r="F3027" t="s">
        <v>73</v>
      </c>
      <c r="G3027" t="s">
        <v>73</v>
      </c>
      <c r="I3027" t="s">
        <v>14448</v>
      </c>
      <c r="K3027" t="s">
        <v>14449</v>
      </c>
      <c r="N3027" t="s">
        <v>14450</v>
      </c>
      <c r="Z3027" t="s">
        <v>43</v>
      </c>
    </row>
    <row r="3028" spans="1:26" x14ac:dyDescent="0.25">
      <c r="A3028">
        <v>3027</v>
      </c>
      <c r="B3028" t="s">
        <v>30</v>
      </c>
      <c r="C3028" t="s">
        <v>14451</v>
      </c>
      <c r="D3028" t="s">
        <v>2923</v>
      </c>
      <c r="E3028" t="s">
        <v>56</v>
      </c>
      <c r="F3028" t="s">
        <v>2924</v>
      </c>
      <c r="G3028" t="s">
        <v>57</v>
      </c>
      <c r="I3028" t="s">
        <v>14452</v>
      </c>
      <c r="K3028" t="s">
        <v>14453</v>
      </c>
      <c r="N3028" t="s">
        <v>14454</v>
      </c>
      <c r="Z3028" t="s">
        <v>43</v>
      </c>
    </row>
    <row r="3029" spans="1:26" x14ac:dyDescent="0.25">
      <c r="A3029">
        <v>3028</v>
      </c>
      <c r="B3029" t="s">
        <v>30</v>
      </c>
      <c r="C3029" t="s">
        <v>14455</v>
      </c>
      <c r="D3029" t="s">
        <v>14456</v>
      </c>
      <c r="E3029" t="s">
        <v>9352</v>
      </c>
      <c r="F3029" t="s">
        <v>14457</v>
      </c>
      <c r="G3029" t="s">
        <v>9354</v>
      </c>
      <c r="I3029" t="s">
        <v>14458</v>
      </c>
      <c r="J3029">
        <f>57-60-1-729-2886</f>
        <v>-3619</v>
      </c>
      <c r="K3029" t="s">
        <v>14459</v>
      </c>
      <c r="N3029" t="s">
        <v>14460</v>
      </c>
      <c r="Z3029" t="s">
        <v>43</v>
      </c>
    </row>
    <row r="3030" spans="1:26" x14ac:dyDescent="0.25">
      <c r="A3030">
        <v>3029</v>
      </c>
      <c r="B3030" t="s">
        <v>30</v>
      </c>
      <c r="C3030" t="s">
        <v>14461</v>
      </c>
      <c r="D3030" t="s">
        <v>14462</v>
      </c>
      <c r="E3030" t="s">
        <v>471</v>
      </c>
      <c r="F3030" t="s">
        <v>14463</v>
      </c>
      <c r="G3030" t="s">
        <v>966</v>
      </c>
      <c r="I3030" t="s">
        <v>14464</v>
      </c>
      <c r="K3030" t="s">
        <v>14465</v>
      </c>
      <c r="N3030" t="s">
        <v>14466</v>
      </c>
      <c r="Z3030" t="s">
        <v>43</v>
      </c>
    </row>
    <row r="3031" spans="1:26" x14ac:dyDescent="0.25">
      <c r="A3031">
        <v>3030</v>
      </c>
      <c r="B3031" t="s">
        <v>30</v>
      </c>
      <c r="C3031" t="s">
        <v>14467</v>
      </c>
      <c r="D3031" t="s">
        <v>813</v>
      </c>
      <c r="E3031" t="s">
        <v>1658</v>
      </c>
      <c r="F3031" t="s">
        <v>3991</v>
      </c>
      <c r="G3031" t="s">
        <v>1660</v>
      </c>
      <c r="I3031" t="s">
        <v>14468</v>
      </c>
      <c r="J3031">
        <f>57-60-1-717-4918</f>
        <v>-5639</v>
      </c>
      <c r="K3031" t="s">
        <v>14469</v>
      </c>
      <c r="N3031" t="s">
        <v>14470</v>
      </c>
      <c r="Z3031" t="s">
        <v>43</v>
      </c>
    </row>
    <row r="3032" spans="1:26" x14ac:dyDescent="0.25">
      <c r="A3032">
        <v>3031</v>
      </c>
      <c r="B3032" t="s">
        <v>30</v>
      </c>
      <c r="C3032" t="s">
        <v>14471</v>
      </c>
      <c r="D3032" t="s">
        <v>46</v>
      </c>
      <c r="E3032" t="s">
        <v>471</v>
      </c>
      <c r="F3032" t="s">
        <v>820</v>
      </c>
      <c r="G3032" t="s">
        <v>47</v>
      </c>
      <c r="I3032" t="s">
        <v>14472</v>
      </c>
      <c r="K3032" t="s">
        <v>14473</v>
      </c>
      <c r="N3032" t="s">
        <v>14474</v>
      </c>
      <c r="Z3032" t="s">
        <v>43</v>
      </c>
    </row>
    <row r="3033" spans="1:26" x14ac:dyDescent="0.25">
      <c r="A3033">
        <v>3032</v>
      </c>
      <c r="B3033" t="s">
        <v>30</v>
      </c>
      <c r="C3033" t="s">
        <v>14475</v>
      </c>
      <c r="D3033" t="s">
        <v>13600</v>
      </c>
      <c r="E3033" t="s">
        <v>1585</v>
      </c>
      <c r="F3033" t="s">
        <v>14476</v>
      </c>
      <c r="G3033" t="s">
        <v>1587</v>
      </c>
      <c r="I3033" t="s">
        <v>14477</v>
      </c>
      <c r="J3033">
        <f>57-313-364-5804</f>
        <v>-6424</v>
      </c>
      <c r="K3033" t="s">
        <v>14478</v>
      </c>
      <c r="N3033" t="s">
        <v>14479</v>
      </c>
      <c r="Z3033" t="s">
        <v>43</v>
      </c>
    </row>
    <row r="3034" spans="1:26" x14ac:dyDescent="0.25">
      <c r="A3034">
        <v>3033</v>
      </c>
      <c r="B3034" t="s">
        <v>30</v>
      </c>
      <c r="C3034" t="s">
        <v>14480</v>
      </c>
      <c r="D3034" t="s">
        <v>46</v>
      </c>
      <c r="E3034" t="s">
        <v>471</v>
      </c>
      <c r="F3034" t="s">
        <v>820</v>
      </c>
      <c r="G3034" t="s">
        <v>47</v>
      </c>
      <c r="I3034" t="s">
        <v>6967</v>
      </c>
      <c r="K3034" t="s">
        <v>14481</v>
      </c>
      <c r="N3034" t="s">
        <v>14482</v>
      </c>
      <c r="Z3034" t="s">
        <v>43</v>
      </c>
    </row>
    <row r="3035" spans="1:26" x14ac:dyDescent="0.25">
      <c r="A3035">
        <v>3034</v>
      </c>
      <c r="B3035" t="s">
        <v>30</v>
      </c>
      <c r="C3035" t="s">
        <v>14483</v>
      </c>
      <c r="D3035" t="s">
        <v>46</v>
      </c>
      <c r="E3035" t="s">
        <v>471</v>
      </c>
      <c r="F3035" t="s">
        <v>820</v>
      </c>
      <c r="G3035" t="s">
        <v>47</v>
      </c>
      <c r="I3035" t="s">
        <v>14484</v>
      </c>
      <c r="K3035" t="s">
        <v>14485</v>
      </c>
      <c r="N3035" t="s">
        <v>14486</v>
      </c>
      <c r="Z3035" t="s">
        <v>43</v>
      </c>
    </row>
    <row r="3036" spans="1:26" x14ac:dyDescent="0.25">
      <c r="A3036">
        <v>3035</v>
      </c>
      <c r="B3036" t="s">
        <v>30</v>
      </c>
      <c r="C3036" t="s">
        <v>14487</v>
      </c>
      <c r="D3036" t="s">
        <v>14488</v>
      </c>
      <c r="E3036" t="s">
        <v>14489</v>
      </c>
      <c r="F3036" t="s">
        <v>14490</v>
      </c>
      <c r="G3036" t="s">
        <v>14491</v>
      </c>
      <c r="I3036" t="s">
        <v>14492</v>
      </c>
      <c r="J3036">
        <f>57-316-280-9514</f>
        <v>-10053</v>
      </c>
      <c r="K3036" t="s">
        <v>14493</v>
      </c>
      <c r="N3036" t="s">
        <v>14494</v>
      </c>
      <c r="Z3036" t="s">
        <v>43</v>
      </c>
    </row>
    <row r="3037" spans="1:26" x14ac:dyDescent="0.25">
      <c r="A3037">
        <v>3036</v>
      </c>
      <c r="B3037" t="s">
        <v>30</v>
      </c>
      <c r="C3037" t="s">
        <v>14495</v>
      </c>
      <c r="D3037" t="s">
        <v>14496</v>
      </c>
      <c r="E3037" t="s">
        <v>56</v>
      </c>
      <c r="F3037" t="s">
        <v>14497</v>
      </c>
      <c r="G3037" t="s">
        <v>57</v>
      </c>
      <c r="I3037" t="s">
        <v>14498</v>
      </c>
      <c r="J3037">
        <f>57-311-795-2162</f>
        <v>-3211</v>
      </c>
      <c r="K3037" t="s">
        <v>14499</v>
      </c>
      <c r="N3037" t="s">
        <v>14500</v>
      </c>
      <c r="Z3037" t="s">
        <v>43</v>
      </c>
    </row>
    <row r="3038" spans="1:26" x14ac:dyDescent="0.25">
      <c r="A3038">
        <v>3037</v>
      </c>
      <c r="B3038" t="s">
        <v>30</v>
      </c>
      <c r="C3038" t="s">
        <v>14501</v>
      </c>
      <c r="D3038" t="s">
        <v>2242</v>
      </c>
      <c r="E3038" t="s">
        <v>1269</v>
      </c>
      <c r="F3038" t="s">
        <v>2243</v>
      </c>
      <c r="G3038" t="s">
        <v>1271</v>
      </c>
      <c r="I3038" t="s">
        <v>14502</v>
      </c>
      <c r="K3038" t="s">
        <v>14503</v>
      </c>
      <c r="N3038" t="s">
        <v>14504</v>
      </c>
      <c r="Z3038" t="s">
        <v>43</v>
      </c>
    </row>
    <row r="3039" spans="1:26" x14ac:dyDescent="0.25">
      <c r="A3039">
        <v>3038</v>
      </c>
      <c r="B3039" t="s">
        <v>30</v>
      </c>
      <c r="C3039" t="s">
        <v>14505</v>
      </c>
      <c r="D3039" t="s">
        <v>2958</v>
      </c>
      <c r="E3039" t="s">
        <v>471</v>
      </c>
      <c r="F3039" t="s">
        <v>2959</v>
      </c>
      <c r="G3039" t="s">
        <v>47</v>
      </c>
      <c r="I3039" t="s">
        <v>14506</v>
      </c>
      <c r="J3039">
        <f>57-60-1-282-8441</f>
        <v>-8727</v>
      </c>
      <c r="K3039" t="s">
        <v>14507</v>
      </c>
      <c r="N3039" t="s">
        <v>14508</v>
      </c>
      <c r="Z3039" t="s">
        <v>43</v>
      </c>
    </row>
    <row r="3040" spans="1:26" x14ac:dyDescent="0.25">
      <c r="A3040">
        <v>3039</v>
      </c>
      <c r="B3040" t="s">
        <v>30</v>
      </c>
      <c r="C3040" t="s">
        <v>14509</v>
      </c>
      <c r="D3040" t="s">
        <v>4036</v>
      </c>
      <c r="E3040" t="s">
        <v>2117</v>
      </c>
      <c r="F3040" t="s">
        <v>13490</v>
      </c>
      <c r="G3040" t="s">
        <v>2119</v>
      </c>
      <c r="I3040" t="s">
        <v>14510</v>
      </c>
      <c r="J3040">
        <f>57-315-355-5466</f>
        <v>-6079</v>
      </c>
      <c r="K3040" t="s">
        <v>14511</v>
      </c>
      <c r="N3040" t="s">
        <v>14512</v>
      </c>
      <c r="Z3040" t="s">
        <v>43</v>
      </c>
    </row>
    <row r="3041" spans="1:26" x14ac:dyDescent="0.25">
      <c r="A3041">
        <v>3040</v>
      </c>
      <c r="B3041" t="s">
        <v>30</v>
      </c>
      <c r="C3041" t="s">
        <v>14513</v>
      </c>
      <c r="D3041" t="s">
        <v>6504</v>
      </c>
      <c r="E3041" t="s">
        <v>56</v>
      </c>
      <c r="F3041" t="s">
        <v>6505</v>
      </c>
      <c r="G3041" t="s">
        <v>57</v>
      </c>
      <c r="I3041" t="s">
        <v>14514</v>
      </c>
      <c r="K3041" t="s">
        <v>14515</v>
      </c>
      <c r="N3041" t="s">
        <v>14516</v>
      </c>
      <c r="Z3041" t="s">
        <v>43</v>
      </c>
    </row>
    <row r="3042" spans="1:26" x14ac:dyDescent="0.25">
      <c r="A3042">
        <v>3041</v>
      </c>
      <c r="B3042" t="s">
        <v>30</v>
      </c>
      <c r="C3042" t="s">
        <v>14517</v>
      </c>
      <c r="D3042" t="s">
        <v>14518</v>
      </c>
      <c r="E3042" t="s">
        <v>1248</v>
      </c>
      <c r="F3042" t="s">
        <v>14519</v>
      </c>
      <c r="G3042" t="s">
        <v>1250</v>
      </c>
      <c r="I3042" t="s">
        <v>14520</v>
      </c>
      <c r="K3042" t="s">
        <v>14521</v>
      </c>
      <c r="N3042" t="s">
        <v>14522</v>
      </c>
      <c r="Z3042" t="s">
        <v>43</v>
      </c>
    </row>
    <row r="3043" spans="1:26" x14ac:dyDescent="0.25">
      <c r="A3043">
        <v>3042</v>
      </c>
      <c r="B3043" t="s">
        <v>30</v>
      </c>
      <c r="C3043" t="s">
        <v>14523</v>
      </c>
      <c r="D3043" t="s">
        <v>14524</v>
      </c>
      <c r="E3043" t="s">
        <v>56</v>
      </c>
      <c r="F3043" t="s">
        <v>14525</v>
      </c>
      <c r="G3043" t="s">
        <v>57</v>
      </c>
      <c r="I3043" t="s">
        <v>14526</v>
      </c>
      <c r="K3043" t="s">
        <v>14527</v>
      </c>
      <c r="N3043" t="s">
        <v>14528</v>
      </c>
      <c r="Z3043" t="s">
        <v>43</v>
      </c>
    </row>
    <row r="3044" spans="1:26" x14ac:dyDescent="0.25">
      <c r="A3044">
        <v>3043</v>
      </c>
      <c r="B3044" t="s">
        <v>30</v>
      </c>
      <c r="C3044" t="s">
        <v>14529</v>
      </c>
      <c r="D3044" t="s">
        <v>772</v>
      </c>
      <c r="E3044" t="s">
        <v>72</v>
      </c>
      <c r="F3044" t="s">
        <v>773</v>
      </c>
      <c r="G3044" t="s">
        <v>73</v>
      </c>
      <c r="I3044" t="s">
        <v>14530</v>
      </c>
      <c r="K3044" t="s">
        <v>14531</v>
      </c>
      <c r="N3044" t="s">
        <v>14532</v>
      </c>
      <c r="Z3044" t="s">
        <v>43</v>
      </c>
    </row>
    <row r="3045" spans="1:26" x14ac:dyDescent="0.25">
      <c r="A3045">
        <v>3044</v>
      </c>
      <c r="B3045" t="s">
        <v>30</v>
      </c>
      <c r="C3045" t="s">
        <v>14533</v>
      </c>
      <c r="D3045" t="s">
        <v>2346</v>
      </c>
      <c r="E3045" t="s">
        <v>471</v>
      </c>
      <c r="F3045" t="s">
        <v>2347</v>
      </c>
      <c r="G3045" t="s">
        <v>47</v>
      </c>
      <c r="I3045" t="s">
        <v>14534</v>
      </c>
      <c r="J3045">
        <f>57-60-1-704-6796</f>
        <v>-7504</v>
      </c>
      <c r="K3045" t="s">
        <v>14535</v>
      </c>
      <c r="N3045" t="s">
        <v>14536</v>
      </c>
      <c r="Z3045" t="s">
        <v>43</v>
      </c>
    </row>
    <row r="3046" spans="1:26" x14ac:dyDescent="0.25">
      <c r="A3046">
        <v>3045</v>
      </c>
      <c r="B3046" t="s">
        <v>30</v>
      </c>
      <c r="C3046" t="s">
        <v>14537</v>
      </c>
      <c r="D3046" t="s">
        <v>9140</v>
      </c>
      <c r="E3046" t="s">
        <v>5472</v>
      </c>
      <c r="F3046" t="s">
        <v>9141</v>
      </c>
      <c r="G3046" t="s">
        <v>5474</v>
      </c>
      <c r="I3046" t="s">
        <v>14538</v>
      </c>
      <c r="K3046" t="s">
        <v>14539</v>
      </c>
      <c r="N3046" t="s">
        <v>14540</v>
      </c>
      <c r="Z3046" t="s">
        <v>43</v>
      </c>
    </row>
    <row r="3047" spans="1:26" x14ac:dyDescent="0.25">
      <c r="A3047">
        <v>3046</v>
      </c>
      <c r="B3047" t="s">
        <v>30</v>
      </c>
      <c r="C3047" t="s">
        <v>14541</v>
      </c>
      <c r="D3047" t="s">
        <v>56</v>
      </c>
      <c r="E3047" t="s">
        <v>56</v>
      </c>
      <c r="F3047" t="s">
        <v>57</v>
      </c>
      <c r="G3047" t="s">
        <v>57</v>
      </c>
      <c r="I3047" t="s">
        <v>14542</v>
      </c>
      <c r="J3047">
        <f>57-312-629-3266</f>
        <v>-4150</v>
      </c>
      <c r="K3047" t="s">
        <v>14543</v>
      </c>
      <c r="N3047" t="s">
        <v>14544</v>
      </c>
      <c r="Z3047" t="s">
        <v>43</v>
      </c>
    </row>
    <row r="3048" spans="1:26" x14ac:dyDescent="0.25">
      <c r="A3048">
        <v>3047</v>
      </c>
      <c r="B3048" t="s">
        <v>30</v>
      </c>
      <c r="C3048" t="s">
        <v>14545</v>
      </c>
      <c r="D3048" t="s">
        <v>2242</v>
      </c>
      <c r="E3048" t="s">
        <v>1269</v>
      </c>
      <c r="F3048" t="s">
        <v>2243</v>
      </c>
      <c r="G3048" t="s">
        <v>1271</v>
      </c>
      <c r="I3048" t="s">
        <v>14546</v>
      </c>
      <c r="K3048" t="s">
        <v>14547</v>
      </c>
      <c r="N3048" t="s">
        <v>14548</v>
      </c>
      <c r="Z3048" t="s">
        <v>43</v>
      </c>
    </row>
    <row r="3049" spans="1:26" x14ac:dyDescent="0.25">
      <c r="A3049">
        <v>3048</v>
      </c>
      <c r="B3049" t="s">
        <v>30</v>
      </c>
      <c r="C3049" t="s">
        <v>14549</v>
      </c>
      <c r="D3049" t="s">
        <v>813</v>
      </c>
      <c r="E3049" t="s">
        <v>471</v>
      </c>
      <c r="F3049" t="s">
        <v>3322</v>
      </c>
      <c r="G3049" t="s">
        <v>47</v>
      </c>
      <c r="I3049" t="s">
        <v>14550</v>
      </c>
      <c r="K3049" t="s">
        <v>14551</v>
      </c>
      <c r="N3049" t="s">
        <v>14552</v>
      </c>
      <c r="Z3049" t="s">
        <v>43</v>
      </c>
    </row>
    <row r="3050" spans="1:26" x14ac:dyDescent="0.25">
      <c r="A3050">
        <v>3049</v>
      </c>
      <c r="B3050" t="s">
        <v>30</v>
      </c>
      <c r="C3050" t="s">
        <v>14553</v>
      </c>
      <c r="D3050" t="s">
        <v>384</v>
      </c>
      <c r="E3050" t="s">
        <v>385</v>
      </c>
      <c r="F3050" t="s">
        <v>2439</v>
      </c>
      <c r="G3050" t="s">
        <v>387</v>
      </c>
      <c r="I3050" t="s">
        <v>14554</v>
      </c>
      <c r="K3050" t="s">
        <v>14555</v>
      </c>
      <c r="N3050" t="s">
        <v>14556</v>
      </c>
      <c r="Z3050" t="s">
        <v>43</v>
      </c>
    </row>
    <row r="3051" spans="1:26" x14ac:dyDescent="0.25">
      <c r="A3051">
        <v>3050</v>
      </c>
      <c r="B3051" t="s">
        <v>30</v>
      </c>
      <c r="C3051" t="s">
        <v>14557</v>
      </c>
      <c r="D3051" t="s">
        <v>14558</v>
      </c>
      <c r="E3051" t="s">
        <v>2210</v>
      </c>
      <c r="F3051" t="s">
        <v>14559</v>
      </c>
      <c r="G3051" t="s">
        <v>2212</v>
      </c>
      <c r="I3051" t="s">
        <v>14560</v>
      </c>
      <c r="J3051">
        <f>57-317-805-1391</f>
        <v>-2456</v>
      </c>
      <c r="K3051" t="s">
        <v>14561</v>
      </c>
      <c r="N3051" t="s">
        <v>14562</v>
      </c>
      <c r="Z3051" t="s">
        <v>43</v>
      </c>
    </row>
    <row r="3052" spans="1:26" x14ac:dyDescent="0.25">
      <c r="A3052">
        <v>3051</v>
      </c>
      <c r="B3052" t="s">
        <v>30</v>
      </c>
      <c r="C3052" t="s">
        <v>14563</v>
      </c>
      <c r="D3052" t="s">
        <v>867</v>
      </c>
      <c r="E3052" t="s">
        <v>471</v>
      </c>
      <c r="F3052" t="s">
        <v>868</v>
      </c>
      <c r="G3052" t="s">
        <v>47</v>
      </c>
      <c r="I3052" t="s">
        <v>14564</v>
      </c>
      <c r="K3052" t="s">
        <v>14565</v>
      </c>
      <c r="N3052" t="s">
        <v>14566</v>
      </c>
      <c r="Z3052" t="s">
        <v>43</v>
      </c>
    </row>
    <row r="3053" spans="1:26" x14ac:dyDescent="0.25">
      <c r="A3053">
        <v>3052</v>
      </c>
      <c r="B3053" t="s">
        <v>30</v>
      </c>
      <c r="C3053" t="s">
        <v>14567</v>
      </c>
      <c r="D3053" t="s">
        <v>46</v>
      </c>
      <c r="E3053" t="s">
        <v>471</v>
      </c>
      <c r="F3053" t="s">
        <v>820</v>
      </c>
      <c r="G3053" t="s">
        <v>47</v>
      </c>
      <c r="I3053" t="s">
        <v>14568</v>
      </c>
      <c r="J3053">
        <f>57-302-228-4142</f>
        <v>-4615</v>
      </c>
      <c r="K3053" t="s">
        <v>14569</v>
      </c>
      <c r="N3053" t="s">
        <v>14570</v>
      </c>
      <c r="Z3053" t="s">
        <v>43</v>
      </c>
    </row>
    <row r="3054" spans="1:26" x14ac:dyDescent="0.25">
      <c r="A3054">
        <v>3053</v>
      </c>
      <c r="B3054" t="s">
        <v>30</v>
      </c>
      <c r="C3054" t="s">
        <v>14571</v>
      </c>
      <c r="D3054" t="s">
        <v>813</v>
      </c>
      <c r="E3054" t="s">
        <v>1658</v>
      </c>
      <c r="F3054" t="s">
        <v>814</v>
      </c>
      <c r="G3054" t="s">
        <v>1660</v>
      </c>
      <c r="I3054" t="s">
        <v>14572</v>
      </c>
      <c r="J3054">
        <f>57-315-293-958</f>
        <v>-1509</v>
      </c>
      <c r="K3054" t="s">
        <v>14573</v>
      </c>
      <c r="N3054" t="s">
        <v>14574</v>
      </c>
      <c r="Z3054" t="s">
        <v>43</v>
      </c>
    </row>
    <row r="3055" spans="1:26" x14ac:dyDescent="0.25">
      <c r="A3055">
        <v>3054</v>
      </c>
      <c r="B3055" t="s">
        <v>30</v>
      </c>
      <c r="C3055" t="s">
        <v>14575</v>
      </c>
      <c r="D3055" t="s">
        <v>772</v>
      </c>
      <c r="E3055" t="s">
        <v>471</v>
      </c>
      <c r="F3055" t="s">
        <v>773</v>
      </c>
      <c r="G3055" t="s">
        <v>47</v>
      </c>
      <c r="I3055" t="s">
        <v>14576</v>
      </c>
      <c r="J3055">
        <f>57-314-202-1295</f>
        <v>-1754</v>
      </c>
      <c r="K3055" t="s">
        <v>14577</v>
      </c>
      <c r="N3055" t="s">
        <v>14578</v>
      </c>
      <c r="Z3055" t="s">
        <v>43</v>
      </c>
    </row>
    <row r="3056" spans="1:26" x14ac:dyDescent="0.25">
      <c r="A3056">
        <v>3055</v>
      </c>
      <c r="B3056" t="s">
        <v>30</v>
      </c>
      <c r="C3056" t="s">
        <v>14579</v>
      </c>
      <c r="D3056" t="s">
        <v>46</v>
      </c>
      <c r="E3056" t="s">
        <v>471</v>
      </c>
      <c r="F3056" t="s">
        <v>820</v>
      </c>
      <c r="G3056" t="s">
        <v>47</v>
      </c>
      <c r="I3056" t="s">
        <v>14580</v>
      </c>
      <c r="K3056" t="s">
        <v>14581</v>
      </c>
      <c r="N3056" t="s">
        <v>14582</v>
      </c>
      <c r="Z3056" t="s">
        <v>43</v>
      </c>
    </row>
    <row r="3057" spans="1:26" x14ac:dyDescent="0.25">
      <c r="A3057">
        <v>3056</v>
      </c>
      <c r="B3057" t="s">
        <v>30</v>
      </c>
      <c r="C3057" t="s">
        <v>14583</v>
      </c>
      <c r="D3057" t="s">
        <v>979</v>
      </c>
      <c r="E3057" t="s">
        <v>56</v>
      </c>
      <c r="F3057" t="s">
        <v>980</v>
      </c>
      <c r="G3057" t="s">
        <v>57</v>
      </c>
      <c r="I3057" t="s">
        <v>14584</v>
      </c>
      <c r="J3057">
        <f>57-310-268-2324</f>
        <v>-2845</v>
      </c>
      <c r="K3057" t="s">
        <v>14585</v>
      </c>
      <c r="N3057" t="s">
        <v>14586</v>
      </c>
      <c r="Z3057" t="s">
        <v>43</v>
      </c>
    </row>
    <row r="3058" spans="1:26" x14ac:dyDescent="0.25">
      <c r="A3058">
        <v>3057</v>
      </c>
      <c r="B3058" t="s">
        <v>30</v>
      </c>
      <c r="C3058" t="s">
        <v>14587</v>
      </c>
      <c r="D3058" t="s">
        <v>46</v>
      </c>
      <c r="E3058" t="s">
        <v>471</v>
      </c>
      <c r="F3058" t="s">
        <v>820</v>
      </c>
      <c r="G3058" t="s">
        <v>47</v>
      </c>
      <c r="I3058" t="s">
        <v>14588</v>
      </c>
      <c r="K3058" t="s">
        <v>14589</v>
      </c>
      <c r="N3058" t="s">
        <v>14590</v>
      </c>
      <c r="Z3058" t="s">
        <v>43</v>
      </c>
    </row>
    <row r="3059" spans="1:26" x14ac:dyDescent="0.25">
      <c r="A3059">
        <v>3058</v>
      </c>
      <c r="B3059" t="s">
        <v>30</v>
      </c>
      <c r="C3059" t="s">
        <v>14591</v>
      </c>
      <c r="D3059" t="s">
        <v>1154</v>
      </c>
      <c r="E3059" t="s">
        <v>385</v>
      </c>
      <c r="F3059" t="s">
        <v>1156</v>
      </c>
      <c r="G3059" t="s">
        <v>387</v>
      </c>
      <c r="I3059" t="s">
        <v>14592</v>
      </c>
      <c r="K3059" t="s">
        <v>14593</v>
      </c>
      <c r="N3059" t="s">
        <v>14594</v>
      </c>
      <c r="Z3059" t="s">
        <v>43</v>
      </c>
    </row>
    <row r="3060" spans="1:26" x14ac:dyDescent="0.25">
      <c r="A3060">
        <v>3059</v>
      </c>
      <c r="B3060" t="s">
        <v>30</v>
      </c>
      <c r="C3060" t="s">
        <v>14595</v>
      </c>
      <c r="D3060" t="s">
        <v>2394</v>
      </c>
      <c r="E3060" t="s">
        <v>471</v>
      </c>
      <c r="F3060" t="s">
        <v>5518</v>
      </c>
      <c r="G3060" t="s">
        <v>47</v>
      </c>
      <c r="I3060" t="s">
        <v>14596</v>
      </c>
      <c r="J3060">
        <f>57-320-578-8324</f>
        <v>-9165</v>
      </c>
      <c r="K3060" t="s">
        <v>14597</v>
      </c>
      <c r="N3060" t="s">
        <v>14598</v>
      </c>
      <c r="Z3060" t="s">
        <v>43</v>
      </c>
    </row>
    <row r="3061" spans="1:26" x14ac:dyDescent="0.25">
      <c r="A3061">
        <v>3060</v>
      </c>
      <c r="B3061" t="s">
        <v>30</v>
      </c>
      <c r="C3061" t="s">
        <v>14599</v>
      </c>
      <c r="D3061" t="s">
        <v>2551</v>
      </c>
      <c r="E3061" t="s">
        <v>1055</v>
      </c>
      <c r="F3061" t="s">
        <v>14600</v>
      </c>
      <c r="G3061" t="s">
        <v>1057</v>
      </c>
      <c r="I3061" t="s">
        <v>14601</v>
      </c>
      <c r="J3061">
        <f>57-318-385-3807</f>
        <v>-4453</v>
      </c>
      <c r="K3061" t="s">
        <v>14602</v>
      </c>
      <c r="N3061" t="s">
        <v>2799</v>
      </c>
      <c r="Z3061" t="s">
        <v>43</v>
      </c>
    </row>
    <row r="3062" spans="1:26" x14ac:dyDescent="0.25">
      <c r="A3062">
        <v>3061</v>
      </c>
      <c r="B3062" t="s">
        <v>30</v>
      </c>
      <c r="C3062" t="s">
        <v>14603</v>
      </c>
      <c r="D3062" t="s">
        <v>3380</v>
      </c>
      <c r="E3062" t="s">
        <v>56</v>
      </c>
      <c r="F3062" t="s">
        <v>11280</v>
      </c>
      <c r="G3062" t="s">
        <v>57</v>
      </c>
      <c r="I3062" t="s">
        <v>14604</v>
      </c>
      <c r="K3062" t="s">
        <v>14605</v>
      </c>
      <c r="N3062" t="s">
        <v>14606</v>
      </c>
      <c r="Z3062" t="s">
        <v>43</v>
      </c>
    </row>
    <row r="3063" spans="1:26" x14ac:dyDescent="0.25">
      <c r="A3063">
        <v>3062</v>
      </c>
      <c r="B3063" t="s">
        <v>30</v>
      </c>
      <c r="C3063" t="s">
        <v>14607</v>
      </c>
      <c r="D3063" t="s">
        <v>14608</v>
      </c>
      <c r="E3063" t="s">
        <v>1850</v>
      </c>
      <c r="F3063" t="s">
        <v>14609</v>
      </c>
      <c r="G3063" t="s">
        <v>1852</v>
      </c>
      <c r="I3063" t="s">
        <v>14610</v>
      </c>
      <c r="K3063" t="s">
        <v>14611</v>
      </c>
      <c r="N3063" t="s">
        <v>14612</v>
      </c>
      <c r="Z3063" t="s">
        <v>43</v>
      </c>
    </row>
    <row r="3064" spans="1:26" x14ac:dyDescent="0.25">
      <c r="A3064">
        <v>3063</v>
      </c>
      <c r="B3064" t="s">
        <v>30</v>
      </c>
      <c r="C3064" t="s">
        <v>14613</v>
      </c>
      <c r="D3064" t="s">
        <v>8484</v>
      </c>
      <c r="E3064" t="s">
        <v>72</v>
      </c>
      <c r="F3064" t="s">
        <v>8485</v>
      </c>
      <c r="G3064" t="s">
        <v>73</v>
      </c>
      <c r="I3064" t="s">
        <v>14614</v>
      </c>
      <c r="J3064">
        <f>57-316-436-3615</f>
        <v>-4310</v>
      </c>
      <c r="K3064" t="s">
        <v>14615</v>
      </c>
      <c r="N3064" t="s">
        <v>14616</v>
      </c>
      <c r="Z3064" t="s">
        <v>43</v>
      </c>
    </row>
    <row r="3065" spans="1:26" x14ac:dyDescent="0.25">
      <c r="A3065">
        <v>3064</v>
      </c>
      <c r="B3065" t="s">
        <v>30</v>
      </c>
      <c r="C3065" t="s">
        <v>14617</v>
      </c>
      <c r="D3065" t="s">
        <v>1260</v>
      </c>
      <c r="E3065" t="s">
        <v>471</v>
      </c>
      <c r="F3065" t="s">
        <v>3251</v>
      </c>
      <c r="G3065" t="s">
        <v>47</v>
      </c>
      <c r="I3065" t="s">
        <v>14618</v>
      </c>
      <c r="J3065">
        <f>57-301-977-5981</f>
        <v>-7202</v>
      </c>
      <c r="K3065" t="s">
        <v>14619</v>
      </c>
      <c r="M3065" t="s">
        <v>40</v>
      </c>
      <c r="N3065" t="s">
        <v>14620</v>
      </c>
      <c r="Z306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 Barajas Hurtado</dc:creator>
  <cp:lastModifiedBy>Iván Barajas Hurtado</cp:lastModifiedBy>
  <dcterms:created xsi:type="dcterms:W3CDTF">2024-10-18T06:33:04Z</dcterms:created>
  <dcterms:modified xsi:type="dcterms:W3CDTF">2024-10-18T06:34:23Z</dcterms:modified>
</cp:coreProperties>
</file>