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CION" sheetId="1" r:id="rId4"/>
    <sheet state="visible" name="FUENTES DE FINANCIACIÓN" sheetId="2" r:id="rId5"/>
    <sheet state="visible" name="PERSONAL" sheetId="3" r:id="rId6"/>
    <sheet state="visible" name="EQUIPOS" sheetId="4" r:id="rId7"/>
    <sheet state="visible" name="SERVICIOS" sheetId="5" r:id="rId8"/>
  </sheets>
  <definedNames/>
  <calcPr/>
  <extLst>
    <ext uri="GoogleSheetsCustomDataVersion2">
      <go:sheetsCustomData xmlns:go="http://customooxmlschemas.google.com/" r:id="rId9" roundtripDataChecksum="l4+idjJV77Vlea4GqMPuk/HB4GbFKcrMpj+7WA2oMJ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======
ID#AAACJGykvQE
Jenyfer Martínez    (2026-10-20 13:48:27)
COTIZACION DE INFOTECH</t>
      </text>
    </comment>
    <comment authorId="0" ref="A4">
      <text>
        <t xml:space="preserve">======
ID#AAACJGykvQA
Jenyfer Martínez    (2026-10-20 13:48:27)
COTIZACIÓN DE INFOTECH</t>
      </text>
    </comment>
  </commentList>
  <extLst>
    <ext uri="GoogleSheetsCustomDataVersion2">
      <go:sheetsCustomData xmlns:go="http://customooxmlschemas.google.com/" r:id="rId1" roundtripDataSignature="AMtx7mjK5orSn3FFHJgbKyUCUqkUEF6Aig=="/>
    </ext>
  </extLst>
</comments>
</file>

<file path=xl/sharedStrings.xml><?xml version="1.0" encoding="utf-8"?>
<sst xmlns="http://schemas.openxmlformats.org/spreadsheetml/2006/main" count="153" uniqueCount="104">
  <si>
    <t>Etapa</t>
  </si>
  <si>
    <t>ANEXO 3. PROYECCIÓN ECONÓMICA - SOSTENIBILIDAD CORREGIMIENTO LA BUITRERA</t>
  </si>
  <si>
    <t>Perfil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</si>
  <si>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</si>
  <si>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</si>
  <si>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</si>
  <si>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</si>
  <si>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</si>
  <si>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</si>
  <si>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</si>
  <si>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</si>
  <si>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</si>
  <si>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</si>
  <si>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</si>
  <si>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</si>
  <si>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Año 0 **</t>
  </si>
  <si>
    <t>Año 1</t>
  </si>
  <si>
    <t>Año 2</t>
  </si>
  <si>
    <t>Año 3</t>
  </si>
  <si>
    <t>Año 4</t>
  </si>
  <si>
    <t>Año 5</t>
  </si>
  <si>
    <t>Total</t>
  </si>
  <si>
    <t>Desarrollo</t>
  </si>
  <si>
    <t>Servidores / cloud / dominio</t>
  </si>
  <si>
    <t>Coordinador Equipo Técnico</t>
  </si>
  <si>
    <t>Informe de sostenibilidad - Proyección a 5 años</t>
  </si>
  <si>
    <t>Servidor principal</t>
  </si>
  <si>
    <t>Desarrollador SIG Full Stack</t>
  </si>
  <si>
    <t>Fuentes de financiación</t>
  </si>
  <si>
    <t>Equipos de usuarios</t>
  </si>
  <si>
    <t>PCs - 3 Portatiles</t>
  </si>
  <si>
    <t>Móviles - 3</t>
  </si>
  <si>
    <t>Total Ingresos</t>
  </si>
  <si>
    <t>Diseñador Web / UX</t>
  </si>
  <si>
    <t>Personal</t>
  </si>
  <si>
    <t>Administrador del Sistema</t>
  </si>
  <si>
    <t>Infraestructura IoT</t>
  </si>
  <si>
    <t>Kit Estación meteorologica + sensores + paneles solares</t>
  </si>
  <si>
    <t>Auxiliar Apoyo Operativo</t>
  </si>
  <si>
    <t>Técnico en Integración IoT</t>
  </si>
  <si>
    <t>Conectividad SIM/datos</t>
  </si>
  <si>
    <t>Desarrollador Móvil Multiplataforma</t>
  </si>
  <si>
    <t>Operación y Mantenimiento</t>
  </si>
  <si>
    <t>Técnico de Soporte</t>
  </si>
  <si>
    <t>Equipos</t>
  </si>
  <si>
    <t>** Para el año 0, se toman cifras del mercado en 2025.</t>
  </si>
  <si>
    <t>Servicios de mantenimiento</t>
  </si>
  <si>
    <t>Cargo</t>
  </si>
  <si>
    <t>Kit Estación Meteorológica HOBO U30 NRC</t>
  </si>
  <si>
    <t>Coordinador equipo técnico</t>
  </si>
  <si>
    <t>https://colombia.bioweb.co/products/kit-estacion-meteorologica-hobo-u30-nrc?_pos=43&amp;_sid=4857390c3&amp;_ss=r</t>
  </si>
  <si>
    <t>Profesional en Ingeniería Ambiental, Urbanismo, Geografía, Topografía, Geodesia, Catastro, SIG u afines. Con posgrado en Geomática, SIG o áreas relacionadas</t>
  </si>
  <si>
    <t>Experiencia</t>
  </si>
  <si>
    <t>•	Mínimo 5 años de experiencia laboral.
•	Mínimo 3 años de experiencia específica en Sistemas de Información Geográfica.</t>
  </si>
  <si>
    <t>Desarrollador SIG</t>
  </si>
  <si>
    <t>Costo de administración - 10%</t>
  </si>
  <si>
    <t>Registrador de datos HOBO U30 NRC con 10 entradas.
Panel Solar 5W.
Sensor inteligente de temperatura / HR con cable de 2 metros .
Sensor inteligente de velocidad del viento con cable de 3 metros .
Sensor inteligente de dirección del viento con cable de 3 metros .
Cruceta completa para sensores de velocidad / dirección del viento .
Pantalla de radiación solar para sensor de temperatura y HR.</t>
  </si>
  <si>
    <t>Profesional en Ingeniería de Sistemas, Ingeniería Topográfica o afines, con posgrado o experiencia de más de  5 años en desarrollo web, SIG o sistemas de información.</t>
  </si>
  <si>
    <t>Imprevistos 5%</t>
  </si>
  <si>
    <t>Mínimo cinco años de experiencia profesional en desarrollo de software y soluciones SIG.</t>
  </si>
  <si>
    <t>Profesional diseño web</t>
  </si>
  <si>
    <t>Total Costos y Gastos</t>
  </si>
  <si>
    <t>Equipos: servidor, portatiles y servicio de mantenimiento</t>
  </si>
  <si>
    <t>Fuente de financiación</t>
  </si>
  <si>
    <t>Parametros de crecimiento</t>
  </si>
  <si>
    <t>Naturaleza del aporte</t>
  </si>
  <si>
    <t>Participación (%)</t>
  </si>
  <si>
    <t>Instituciones territoriales</t>
  </si>
  <si>
    <t>Monetaria</t>
  </si>
  <si>
    <t>IPC</t>
  </si>
  <si>
    <t>Autoridad ambiental regional</t>
  </si>
  <si>
    <t>Instituciones de educación superior</t>
  </si>
  <si>
    <t>No monetaria</t>
  </si>
  <si>
    <t>Cooperación Nacional e Internacional</t>
  </si>
  <si>
    <t>Ingresos propios del OAB</t>
  </si>
  <si>
    <t>Comunidad organizada</t>
  </si>
  <si>
    <t>Profesional en diseño gráfico, comunicación digital, diseño web, producción de medios o áreas afines.</t>
  </si>
  <si>
    <t>Mínimo un año de experiencia en diseño web, UI/UX o diseño digital aplicado a plataformas interactivas.</t>
  </si>
  <si>
    <t>Auxiliar apoyo operativo</t>
  </si>
  <si>
    <t>Tecnólogo o estudiante de Ingeniería de Sistemas, Desarrollo de Software o carreras afines. También se acepta experiencia equivalente adquirida en formación técnica o proyectos previos.</t>
  </si>
  <si>
    <t>Ideal para estudiante en etapa de pasantía, prácticas o primeros semestres de experiencia profesional.</t>
  </si>
  <si>
    <t>Administrador del sistema</t>
  </si>
  <si>
    <t>Informe de sostenibilidad de bancolombia</t>
  </si>
  <si>
    <t>Profesional o tecnólogo en Sistemas, Telecomunicaciones, Redes o afines. Formación adicional en administración de servidores, seguridad informática o DevOps.</t>
  </si>
  <si>
    <t>https://www.bancolombia.com/wcm/connect/www.bancolombia.com-26918/91fc28e2-a303-42e2-98e8-b647309c891d/Gu%E2%94%9C%C2%A1a+Bancolombia+2026+%28Perspectivas+econ%E2%94%9C%E2%94%82micas+OK%29.pdf?MOD=AJPERES&amp;CVID=pCniRMR</t>
  </si>
  <si>
    <t>2 a 4 años en administración de sistemas, servidores y bases de datos. Experiencia previa con herramientas geoespaciales es deseable.</t>
  </si>
  <si>
    <t>Técnico de soporte</t>
  </si>
  <si>
    <t>Técnico o tecnólogo en Sistemas, Informática, Redes o Desarrollo de Software.</t>
  </si>
  <si>
    <t>Técnico en Integración IoT y Conectividad</t>
  </si>
  <si>
    <t>Formación técnica o tecnológica en electrónica, telecomunicaciones, sistemas o áreas afines. 
Conocimientos sólidos en redes inalámbricas y protocolos IoT. 
Competencias en integración de sensores, cableado, soldadura y pruebas eléctricas.
Capacidad para trabajo en campo y condiciones variables.</t>
  </si>
  <si>
    <t>1 a 3 años en instalación y soporte de dispositivos IoT o redes inalámbricas. 
Experiencia previa integrando sensores ambientales o estaciones de monitoreo (deseable).
Manejo de herramientas de medición y diagnóstico.</t>
  </si>
  <si>
    <t>Desarrollador móvil multiplataforma</t>
  </si>
  <si>
    <t>Profesional en ingeniería de sistemas, ciencias de la computación o áreas afines. - Dominio de al menos un framework multiplataforma moderno (Flutter, React Native). - Conocimientos en arquitectura de aplicaciones móviles y patrones de diseño. - Manejo de herramientas de control de versiones (Git).</t>
  </si>
  <si>
    <t>2 a 4 años desarrollando apps móviles en producción. 
Experiencia integrando servicios REST, autenticación y manejo de estados. 
Deseable experiencia previa con módulos de mapas (Leaflet).</t>
  </si>
  <si>
    <t>Mantenimiento Equipos de computo</t>
  </si>
  <si>
    <t>Mantenimiento Estación meteologica y sensores</t>
  </si>
  <si>
    <t>Mantenimiento infraestructura solar</t>
  </si>
  <si>
    <t xml:space="preserve">Servicios </t>
  </si>
  <si>
    <t>Alquiler equipos portatiles</t>
  </si>
  <si>
    <t>Alquiler servidor nube</t>
  </si>
  <si>
    <t>Internet</t>
  </si>
  <si>
    <t>Licencia - dominio (gov.co)</t>
  </si>
  <si>
    <t>Mantenimiento - Equipos propios</t>
  </si>
  <si>
    <t>Alquier equipos portatiles - Gama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</si>
</sst>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_-&quot;$&quot;\ * #,##0_-;\-&quot;$&quot;\ * #,##0_-;_-&quot;$&quot;\ * &quot;-&quot;??_-;_-@"/>
    <numFmt numFmtId="166" formatCode="_-&quot;$&quot;\ * #,##0.00_-;\-&quot;$&quot;\ * #,##0.00_-;_-&quot;$&quot;\ * &quot;-&quot;??_-;_-@"/>
    <numFmt numFmtId="167" formatCode="_-[$$-240A]\ * #,##0_-;\-[$$-240A]\ * #,##0_-;_-[$$-240A]\ * &quot;-&quot;??_-;_-@"/>
  </numFmts>
  <fonts count="16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rgb="FFFFFFFF"/>
      <name val="Aptos"/>
    </font>
    <font>
      <b/>
      <sz val="20.0"/>
      <color theme="1"/>
      <name val="Aptos Narrow"/>
    </font>
    <font/>
    <font>
      <b/>
      <sz val="11.0"/>
      <color theme="1"/>
      <name val="Aptos Narrow"/>
    </font>
    <font>
      <sz val="11.0"/>
      <color rgb="FF000000"/>
      <name val="Aptos"/>
    </font>
    <font>
      <b/>
      <u/>
      <sz val="14.0"/>
      <color theme="1"/>
      <name val="Aptos Narrow"/>
    </font>
    <font>
      <sz val="11.0"/>
      <color theme="1"/>
      <name val="Aptos"/>
    </font>
    <font>
      <sz val="10.0"/>
      <color theme="1"/>
      <name val="Aptos Narrow"/>
    </font>
    <font>
      <b/>
      <sz val="10.0"/>
      <color theme="1"/>
      <name val="Aptos Narrow"/>
    </font>
    <font>
      <b/>
      <sz val="11.0"/>
      <color theme="0"/>
      <name val="Aptos Narrow"/>
    </font>
    <font>
      <sz val="11.0"/>
      <color theme="0"/>
      <name val="Aptos Narrow"/>
    </font>
    <font>
      <u/>
      <sz val="11.0"/>
      <color theme="10"/>
      <name val="Aptos Narrow"/>
    </font>
    <font>
      <sz val="9.0"/>
      <color theme="1"/>
      <name val="Aptos Narrow"/>
    </font>
    <font>
      <u/>
      <sz val="11.0"/>
      <color theme="10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D0D0D0"/>
        <bgColor rgb="FFD0D0D0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B3E5A1"/>
        <bgColor rgb="FFB3E5A1"/>
      </patternFill>
    </fill>
    <fill>
      <patternFill patternType="solid">
        <fgColor rgb="FFAEAEAE"/>
        <bgColor rgb="FFAEAEAE"/>
      </patternFill>
    </fill>
    <fill>
      <patternFill patternType="solid">
        <fgColor rgb="FFC1E4F5"/>
        <bgColor rgb="FFC1E4F5"/>
      </patternFill>
    </fill>
  </fills>
  <borders count="1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666666"/>
      </left>
      <right style="medium">
        <color rgb="FF666666"/>
      </right>
      <top style="medium">
        <color rgb="FF000000"/>
      </top>
    </border>
    <border>
      <left/>
      <right style="medium">
        <color rgb="FF666666"/>
      </right>
      <top/>
      <bottom style="medium">
        <color rgb="FF666666"/>
      </bottom>
    </border>
    <border>
      <left style="medium">
        <color rgb="FF666666"/>
      </left>
      <right style="medium">
        <color rgb="FF666666"/>
      </right>
    </border>
    <border>
      <right style="medium">
        <color rgb="FF666666"/>
      </right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shrinkToFit="0" vertical="center" wrapText="1"/>
    </xf>
    <xf borderId="3" fillId="3" fontId="2" numFmtId="0" xfId="0" applyAlignment="1" applyBorder="1" applyFill="1" applyFont="1">
      <alignment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1" fillId="2" fontId="5" numFmtId="0" xfId="0" applyBorder="1" applyFill="1" applyFont="1"/>
    <xf borderId="6" fillId="0" fontId="4" numFmtId="0" xfId="0" applyBorder="1" applyFont="1"/>
    <xf borderId="7" fillId="3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9" fillId="4" fontId="6" numFmtId="0" xfId="0" applyAlignment="1" applyBorder="1" applyFill="1" applyFont="1">
      <alignment shrinkToFit="0" vertical="center" wrapText="1"/>
    </xf>
    <xf borderId="1" fillId="2" fontId="1" numFmtId="164" xfId="0" applyBorder="1" applyFill="1" applyFont="1" applyNumberFormat="1"/>
    <xf borderId="1" fillId="2" fontId="1" numFmtId="0" xfId="0" applyAlignment="1" applyBorder="1" applyFill="1" applyFont="1">
      <alignment shrinkToFit="0" vertical="center" wrapText="1"/>
    </xf>
    <xf borderId="4" fillId="2" fontId="7" numFmtId="0" xfId="0" applyAlignment="1" applyBorder="1" applyFill="1" applyFont="1">
      <alignment horizontal="center"/>
    </xf>
    <xf borderId="9" fillId="4" fontId="6" numFmtId="165" xfId="0" applyAlignment="1" applyBorder="1" applyFill="1" applyFont="1" applyNumberFormat="1">
      <alignment shrinkToFit="0" vertical="center" wrapText="1"/>
    </xf>
    <xf borderId="1" fillId="5" fontId="1" numFmtId="0" xfId="0" applyBorder="1" applyFill="1" applyFont="1"/>
    <xf borderId="1" fillId="2" fontId="1" numFmtId="0" xfId="0" applyAlignment="1" applyBorder="1" applyFill="1" applyFont="1">
      <alignment horizontal="center"/>
    </xf>
    <xf borderId="1" fillId="6" fontId="1" numFmtId="165" xfId="0" applyBorder="1" applyFill="1" applyFont="1" applyNumberFormat="1"/>
    <xf borderId="9" fillId="4" fontId="8" numFmtId="165" xfId="0" applyAlignment="1" applyBorder="1" applyFill="1" applyFont="1" applyNumberFormat="1">
      <alignment shrinkToFit="0" vertical="top" wrapText="1"/>
    </xf>
    <xf borderId="0" fillId="0" fontId="5" numFmtId="0" xfId="0" applyAlignment="1" applyFont="1">
      <alignment horizontal="center"/>
    </xf>
    <xf borderId="1" fillId="2" fontId="5" numFmtId="0" xfId="0" applyAlignment="1" applyBorder="1" applyFill="1" applyFont="1">
      <alignment horizontal="center"/>
    </xf>
    <xf borderId="1" fillId="7" fontId="1" numFmtId="165" xfId="0" applyBorder="1" applyFill="1" applyFont="1" applyNumberFormat="1"/>
    <xf borderId="10" fillId="0" fontId="4" numFmtId="0" xfId="0" applyBorder="1" applyFont="1"/>
    <xf borderId="11" fillId="0" fontId="8" numFmtId="0" xfId="0" applyAlignment="1" applyBorder="1" applyFont="1">
      <alignment shrinkToFit="0" vertical="center" wrapText="1"/>
    </xf>
    <xf borderId="1" fillId="2" fontId="9" numFmtId="3" xfId="0" applyAlignment="1" applyBorder="1" applyFill="1" applyFont="1" applyNumberFormat="1">
      <alignment horizontal="left"/>
    </xf>
    <xf borderId="12" fillId="2" fontId="1" numFmtId="165" xfId="0" applyBorder="1" applyFill="1" applyFont="1" applyNumberFormat="1"/>
    <xf borderId="11" fillId="0" fontId="8" numFmtId="165" xfId="0" applyAlignment="1" applyBorder="1" applyFont="1" applyNumberFormat="1">
      <alignment shrinkToFit="0" vertical="center" wrapText="1"/>
    </xf>
    <xf borderId="11" fillId="0" fontId="8" numFmtId="165" xfId="0" applyAlignment="1" applyBorder="1" applyFont="1" applyNumberFormat="1">
      <alignment shrinkToFit="0" vertical="top" wrapText="1"/>
    </xf>
    <xf borderId="1" fillId="2" fontId="10" numFmtId="3" xfId="0" applyBorder="1" applyFill="1" applyFont="1" applyNumberFormat="1"/>
    <xf borderId="12" fillId="8" fontId="5" numFmtId="165" xfId="0" applyBorder="1" applyFill="1" applyFont="1" applyNumberFormat="1"/>
    <xf borderId="1" fillId="2" fontId="1" numFmtId="165" xfId="0" applyBorder="1" applyFill="1" applyFont="1" applyNumberFormat="1"/>
    <xf borderId="13" fillId="0" fontId="4" numFmtId="0" xfId="0" applyBorder="1" applyFont="1"/>
    <xf borderId="1" fillId="6" fontId="1" numFmtId="0" xfId="0" applyBorder="1" applyFill="1" applyFont="1"/>
    <xf borderId="14" fillId="0" fontId="8" numFmtId="0" xfId="0" applyAlignment="1" applyBorder="1" applyFont="1">
      <alignment shrinkToFit="0" vertical="center" wrapText="1"/>
    </xf>
    <xf borderId="1" fillId="9" fontId="11" numFmtId="165" xfId="0" applyBorder="1" applyFill="1" applyFont="1" applyNumberFormat="1"/>
    <xf borderId="1" fillId="10" fontId="12" numFmtId="0" xfId="0" applyAlignment="1" applyBorder="1" applyFill="1" applyFont="1">
      <alignment vertical="center"/>
    </xf>
    <xf borderId="1" fillId="11" fontId="5" numFmtId="0" xfId="0" applyBorder="1" applyFill="1" applyFont="1"/>
    <xf borderId="4" fillId="10" fontId="12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horizontal="left" shrinkToFit="0" wrapText="1"/>
    </xf>
    <xf borderId="1" fillId="2" fontId="13" numFmtId="0" xfId="0" applyBorder="1" applyFill="1" applyFont="1"/>
    <xf borderId="1" fillId="2" fontId="1" numFmtId="0" xfId="0" applyAlignment="1" applyBorder="1" applyFill="1" applyFont="1">
      <alignment shrinkToFit="0" wrapText="1"/>
    </xf>
    <xf borderId="1" fillId="2" fontId="14" numFmtId="3" xfId="0" applyBorder="1" applyFill="1" applyFont="1" applyNumberFormat="1"/>
    <xf borderId="1" fillId="2" fontId="1" numFmtId="9" xfId="0" applyBorder="1" applyFill="1" applyFont="1" applyNumberFormat="1"/>
    <xf borderId="1" fillId="2" fontId="5" numFmtId="165" xfId="0" applyBorder="1" applyFill="1" applyFont="1" applyNumberFormat="1"/>
    <xf borderId="1" fillId="2" fontId="1" numFmtId="165" xfId="0" applyAlignment="1" applyBorder="1" applyFill="1" applyFont="1" applyNumberFormat="1">
      <alignment horizontal="right"/>
    </xf>
    <xf borderId="1" fillId="12" fontId="5" numFmtId="0" xfId="0" applyAlignment="1" applyBorder="1" applyFill="1" applyFont="1">
      <alignment shrinkToFit="0" vertical="center" wrapText="1"/>
    </xf>
    <xf borderId="1" fillId="12" fontId="5" numFmtId="9" xfId="0" applyAlignment="1" applyBorder="1" applyFill="1" applyFont="1" applyNumberFormat="1">
      <alignment shrinkToFit="0" vertical="center" wrapText="1"/>
    </xf>
    <xf borderId="1" fillId="2" fontId="9" numFmtId="164" xfId="0" applyBorder="1" applyFill="1" applyFont="1" applyNumberFormat="1"/>
    <xf borderId="12" fillId="2" fontId="1" numFmtId="164" xfId="0" applyBorder="1" applyFill="1" applyFont="1" applyNumberFormat="1"/>
    <xf borderId="1" fillId="2" fontId="1" numFmtId="166" xfId="0" applyBorder="1" applyFill="1" applyFont="1" applyNumberFormat="1"/>
    <xf borderId="4" fillId="2" fontId="1" numFmtId="0" xfId="0" applyAlignment="1" applyBorder="1" applyFill="1" applyFont="1">
      <alignment horizontal="left" shrinkToFit="0" vertical="center" wrapText="1"/>
    </xf>
    <xf borderId="4" fillId="2" fontId="15" numFmtId="0" xfId="0" applyAlignment="1" applyBorder="1" applyFill="1" applyFont="1">
      <alignment horizontal="center" shrinkToFit="0" vertical="center" wrapText="1"/>
    </xf>
    <xf borderId="1" fillId="5" fontId="1" numFmtId="165" xfId="0" applyBorder="1" applyFill="1" applyFont="1" applyNumberFormat="1"/>
    <xf borderId="1" fillId="13" fontId="5" numFmtId="0" xfId="0" applyBorder="1" applyFill="1" applyFont="1"/>
    <xf borderId="1" fillId="13" fontId="1" numFmtId="167" xfId="0" applyBorder="1" applyFill="1" applyFont="1" applyNumberFormat="1"/>
    <xf borderId="1" fillId="13" fontId="1" numFmtId="165" xfId="0" applyBorder="1" applyFill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FUENTES DE FINANCIACION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'FUENTES DE FINANCIACIÓN'!$D$4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156082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E97132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196B24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F9ED5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A02B93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4EA72E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'FUENTES DE FINANCIACIÓN'!$B$5:$B$10</c:f>
            </c:strRef>
          </c:cat>
          <c:val>
            <c:numRef>
              <c:f>'FUENTES DE FINANCIACIÓN'!$D$5:$D$10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25</xdr:row>
      <xdr:rowOff>133350</xdr:rowOff>
    </xdr:from>
    <xdr:ext cx="5553075" cy="1590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14</xdr:row>
      <xdr:rowOff>66675</xdr:rowOff>
    </xdr:from>
    <xdr:ext cx="7439025" cy="5067300"/>
    <xdr:graphicFrame>
      <xdr:nvGraphicFramePr>
        <xdr:cNvPr id="135511399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21</xdr:row>
      <xdr:rowOff>0</xdr:rowOff>
    </xdr:from>
    <xdr:ext cx="8105775" cy="1752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7077075" cy="852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18</xdr:row>
      <xdr:rowOff>114300</xdr:rowOff>
    </xdr:from>
    <xdr:ext cx="6286500" cy="31337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ncolombia.com/wcm/connect/www.bancolombia.com-26918/91fc28e2-a303-42e2-98e8-b647309c891d/Gu%E2%94%9C%C2%A1a+Bancolombia+2026+%28Perspectivas+econ%E2%94%9C%E2%94%82micas+OK%29.pdf?MOD=AJPERES&amp;CVID=pCniRM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colombia.bioweb.co/products/kit-estacion-meteorologica-hobo-u30-nrc?_pos=43&amp;_sid=4857390c3&amp;_ss=r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8.5"/>
    <col customWidth="1" min="3" max="8" width="16.5"/>
    <col customWidth="1" min="9" max="26" width="11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6.75" customHeight="1">
      <c r="A2" s="1"/>
      <c r="B2" s="4" t="s">
        <v>1</v>
      </c>
      <c r="C2" s="5"/>
      <c r="D2" s="5"/>
      <c r="E2" s="5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"/>
      <c r="B5" s="15" t="s">
        <v>25</v>
      </c>
      <c r="C5" s="5"/>
      <c r="D5" s="5"/>
      <c r="E5" s="5"/>
      <c r="F5" s="5"/>
      <c r="G5" s="5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8"/>
      <c r="D6" s="18"/>
      <c r="E6" s="18"/>
      <c r="F6" s="18"/>
      <c r="G6" s="18"/>
      <c r="H6" s="1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1" t="s">
        <v>15</v>
      </c>
      <c r="D7" s="22" t="s">
        <v>16</v>
      </c>
      <c r="E7" s="22" t="s">
        <v>17</v>
      </c>
      <c r="F7" s="22" t="s">
        <v>18</v>
      </c>
      <c r="G7" s="22" t="s">
        <v>19</v>
      </c>
      <c r="H7" s="22" t="s">
        <v>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6" t="s">
        <v>28</v>
      </c>
      <c r="C8" s="27">
        <f t="shared" ref="C8:H8" si="1">+C15</f>
        <v>401335922.2</v>
      </c>
      <c r="D8" s="27">
        <f t="shared" si="1"/>
        <v>168973600.3</v>
      </c>
      <c r="E8" s="27">
        <f t="shared" si="1"/>
        <v>169056163.1</v>
      </c>
      <c r="F8" s="27">
        <f t="shared" si="1"/>
        <v>171008107.3</v>
      </c>
      <c r="G8" s="27">
        <f t="shared" si="1"/>
        <v>172964620.8</v>
      </c>
      <c r="H8" s="27">
        <f t="shared" si="1"/>
        <v>175113089.8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0" t="s">
        <v>32</v>
      </c>
      <c r="C9" s="31">
        <f t="shared" ref="C9:H9" si="2">+C8</f>
        <v>401335922.2</v>
      </c>
      <c r="D9" s="31">
        <f t="shared" si="2"/>
        <v>168973600.3</v>
      </c>
      <c r="E9" s="31">
        <f t="shared" si="2"/>
        <v>169056163.1</v>
      </c>
      <c r="F9" s="31">
        <f t="shared" si="2"/>
        <v>171008107.3</v>
      </c>
      <c r="G9" s="31">
        <f t="shared" si="2"/>
        <v>172964620.8</v>
      </c>
      <c r="H9" s="31">
        <f t="shared" si="2"/>
        <v>175113089.8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6" t="s">
        <v>34</v>
      </c>
      <c r="C10" s="27">
        <f>+PERSONAL!P4+PERSONAL!P6+PERSONAL!P7+PERSONAL!P8+PERSONAL!P9+PERSONAL!P10+C25</f>
        <v>325954218.9</v>
      </c>
      <c r="D10" s="27">
        <f>+(PERSONAL!F11+PERSONAL!G11+PERSONAL!F12+PERSONAL!F12+PERSONAL!F13+PERSONAL!G13+D25)*(1+D$20)</f>
        <v>135651790.8</v>
      </c>
      <c r="E10" s="27">
        <f>+(PERSONAL!H11+PERSONAL!I11+PERSONAL!H12+PERSONAL!I12+PERSONAL!H13+PERSONAL!I13+E25)*(1+E$20)</f>
        <v>135401591.4</v>
      </c>
      <c r="F10" s="27">
        <f>+(PERSONAL!J11+PERSONAL!K11+PERSONAL!J12+PERSONAL!K12+PERSONAL!J13+PERSONAL!K13+F25)*(1+F$20)</f>
        <v>135577061.2</v>
      </c>
      <c r="G10" s="27">
        <f>+(PERSONAL!L11+PERSONAL!M11+PERSONAL!L12+PERSONAL!M12+PERSONAL!L13+PERSONAL!M13+G25)*(1+G$20)</f>
        <v>135753566.5</v>
      </c>
      <c r="H10" s="27">
        <f>+(PERSONAL!N11+PERSONAL!O11+PERSONAL!N12+PERSONAL!O12+PERSONAL!N13+PERSONAL!O13+H25)*(1+H$20)</f>
        <v>136080961.1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 t="s">
        <v>44</v>
      </c>
      <c r="C11" s="27">
        <f>+EQUIPOS!B15</f>
        <v>49588420</v>
      </c>
      <c r="D11" s="27">
        <f>+EQUIPOS!C14*(1+D20)</f>
        <v>15716934.72</v>
      </c>
      <c r="E11" s="27">
        <f t="shared" ref="E11:H11" si="3">+D11*(1+E20)</f>
        <v>16314178.24</v>
      </c>
      <c r="F11" s="27">
        <f t="shared" si="3"/>
        <v>16917802.83</v>
      </c>
      <c r="G11" s="27">
        <f t="shared" si="3"/>
        <v>17526843.74</v>
      </c>
      <c r="H11" s="27">
        <f t="shared" si="3"/>
        <v>18157810.11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 t="s">
        <v>46</v>
      </c>
      <c r="C12" s="27">
        <f>+SERVICIOS!B12</f>
        <v>6682048.88</v>
      </c>
      <c r="D12" s="27">
        <f>+SERVICIOS!C12*(1+D20)</f>
        <v>9558512.884</v>
      </c>
      <c r="E12" s="27">
        <f>+SERVICIOS!D12*(1+E20)</f>
        <v>9290100</v>
      </c>
      <c r="F12" s="27">
        <f>+SERVICIOS!E12*(1+F20)</f>
        <v>10370000</v>
      </c>
      <c r="G12" s="27">
        <f>+SERVICIOS!F12*(1+G20)</f>
        <v>11447800</v>
      </c>
      <c r="H12" s="27">
        <f>+SERVICIOS!G12*(1+H20)</f>
        <v>12535600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idden="1">
      <c r="A13" s="1"/>
      <c r="B13" s="26" t="s">
        <v>55</v>
      </c>
      <c r="C13" s="27"/>
      <c r="D13" s="27"/>
      <c r="E13" s="27"/>
      <c r="F13" s="27"/>
      <c r="G13" s="27"/>
      <c r="H13" s="2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 t="s">
        <v>58</v>
      </c>
      <c r="C14" s="27">
        <f t="shared" ref="C14:H14" si="4">SUM(C10:C13)*5%</f>
        <v>19111234.39</v>
      </c>
      <c r="D14" s="27">
        <f t="shared" si="4"/>
        <v>8046361.921</v>
      </c>
      <c r="E14" s="27">
        <f t="shared" si="4"/>
        <v>8050293.483</v>
      </c>
      <c r="F14" s="27">
        <f t="shared" si="4"/>
        <v>8143243.204</v>
      </c>
      <c r="G14" s="27">
        <f t="shared" si="4"/>
        <v>8236410.512</v>
      </c>
      <c r="H14" s="27">
        <f t="shared" si="4"/>
        <v>8338718.562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0" t="s">
        <v>61</v>
      </c>
      <c r="C15" s="31">
        <f t="shared" ref="C15:H15" si="5">SUM(C10:C14)</f>
        <v>401335922.2</v>
      </c>
      <c r="D15" s="31">
        <f t="shared" si="5"/>
        <v>168973600.3</v>
      </c>
      <c r="E15" s="31">
        <f t="shared" si="5"/>
        <v>169056163.1</v>
      </c>
      <c r="F15" s="31">
        <f t="shared" si="5"/>
        <v>171008107.3</v>
      </c>
      <c r="G15" s="31">
        <f t="shared" si="5"/>
        <v>172964620.8</v>
      </c>
      <c r="H15" s="31">
        <f t="shared" si="5"/>
        <v>175113089.8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4" t="s">
        <v>45</v>
      </c>
      <c r="C16" s="46"/>
      <c r="D16" s="46"/>
      <c r="E16" s="46"/>
      <c r="F16" s="46"/>
      <c r="G16" s="46"/>
      <c r="H16" s="4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6"/>
      <c r="C17" s="47"/>
      <c r="D17" s="47"/>
      <c r="E17" s="47"/>
      <c r="F17" s="47"/>
      <c r="G17" s="47"/>
      <c r="H17" s="4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6"/>
      <c r="C18" s="47"/>
      <c r="D18" s="47"/>
      <c r="E18" s="47"/>
      <c r="F18" s="47"/>
      <c r="G18" s="47"/>
      <c r="H18" s="4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0" t="s">
        <v>64</v>
      </c>
      <c r="C19" s="21" t="s">
        <v>15</v>
      </c>
      <c r="D19" s="22" t="s">
        <v>16</v>
      </c>
      <c r="E19" s="22" t="s">
        <v>17</v>
      </c>
      <c r="F19" s="22" t="s">
        <v>18</v>
      </c>
      <c r="G19" s="22" t="s">
        <v>19</v>
      </c>
      <c r="H19" s="22" t="s"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0" t="s">
        <v>69</v>
      </c>
      <c r="C20" s="51">
        <v>0.051</v>
      </c>
      <c r="D20" s="51">
        <v>0.041</v>
      </c>
      <c r="E20" s="51">
        <v>0.038</v>
      </c>
      <c r="F20" s="51">
        <v>0.037</v>
      </c>
      <c r="G20" s="51">
        <v>0.036</v>
      </c>
      <c r="H20" s="51">
        <v>0.036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 t="s">
        <v>55</v>
      </c>
      <c r="C25" s="52">
        <v>3.4747698888000004E7</v>
      </c>
      <c r="D25" s="52">
        <v>1.7827357026407998E7</v>
      </c>
      <c r="E25" s="52">
        <v>1.7962933081836E7</v>
      </c>
      <c r="F25" s="52">
        <v>1.825793261240793E7</v>
      </c>
      <c r="G25" s="52">
        <v>1.855450110402262E7</v>
      </c>
      <c r="H25" s="52">
        <v>1.8870519091671433E7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1.5" customHeight="1">
      <c r="A36" s="1"/>
      <c r="B36" s="53" t="s">
        <v>82</v>
      </c>
      <c r="C36" s="5"/>
      <c r="D36" s="5"/>
      <c r="E36" s="5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2.5" customHeight="1">
      <c r="A37" s="1"/>
      <c r="B37" s="54" t="s">
        <v>84</v>
      </c>
      <c r="C37" s="5"/>
      <c r="D37" s="5"/>
      <c r="E37" s="5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H2"/>
    <mergeCell ref="B5:H5"/>
    <mergeCell ref="B36:H36"/>
    <mergeCell ref="B37:H37"/>
  </mergeCells>
  <hyperlinks>
    <hyperlink r:id="rId1" ref="B37"/>
  </hyperlinks>
  <printOptions/>
  <pageMargins bottom="0.75" footer="0.0" header="0.0" left="0.7" right="0.7" top="0.75"/>
  <pageSetup orientation="portrait"/>
  <colBreaks count="1" manualBreakCount="1">
    <brk id="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1.5"/>
    <col customWidth="1" min="3" max="3" width="15.88"/>
    <col customWidth="1" min="4" max="4" width="15.5"/>
    <col customWidth="1" min="5" max="26" width="11.5"/>
  </cols>
  <sheetData>
    <row r="1">
      <c r="A1" s="1"/>
      <c r="B1" s="1"/>
      <c r="C1" s="1"/>
      <c r="D1" s="4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4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4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8.5" customHeight="1">
      <c r="A4" s="11"/>
      <c r="B4" s="48" t="s">
        <v>63</v>
      </c>
      <c r="C4" s="48" t="s">
        <v>65</v>
      </c>
      <c r="D4" s="49" t="s">
        <v>66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"/>
      <c r="B5" s="1" t="s">
        <v>67</v>
      </c>
      <c r="C5" s="1" t="s">
        <v>68</v>
      </c>
      <c r="D5" s="45">
        <v>0.35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70</v>
      </c>
      <c r="C6" s="1" t="s">
        <v>68</v>
      </c>
      <c r="D6" s="45">
        <v>0.25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71</v>
      </c>
      <c r="C7" s="1" t="s">
        <v>72</v>
      </c>
      <c r="D7" s="45">
        <v>0.1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73</v>
      </c>
      <c r="C8" s="1" t="s">
        <v>68</v>
      </c>
      <c r="D8" s="45">
        <v>0.15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74</v>
      </c>
      <c r="C9" s="1" t="s">
        <v>68</v>
      </c>
      <c r="D9" s="45">
        <v>0.1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75</v>
      </c>
      <c r="C10" s="1" t="s">
        <v>72</v>
      </c>
      <c r="D10" s="45">
        <v>0.05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45">
        <f>SUM(D5:D10)</f>
        <v>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4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4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4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4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4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4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4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4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4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4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4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4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4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4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4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4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4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4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4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4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4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4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4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4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4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4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4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4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4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4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4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4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4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4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4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4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4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4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4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4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4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4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4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4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4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4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4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4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4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4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4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4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4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4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4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4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4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4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4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4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4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4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4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4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4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4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4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4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4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4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4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4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4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4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4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4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4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4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4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4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4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4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4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4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4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4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4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4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4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4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4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4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4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4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4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4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4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4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4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4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4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4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4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4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4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4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4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4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4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4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4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4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4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4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4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4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4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4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4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4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4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4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4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4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4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4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4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4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4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4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4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4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4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4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4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4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4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4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4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4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4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4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4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4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4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4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4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4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4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4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4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4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4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4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4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4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4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4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4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4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4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4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4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4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4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4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4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4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4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4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4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4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4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4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4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4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4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4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4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4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4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4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4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4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4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4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4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4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4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4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4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4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4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4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4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4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4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4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4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4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4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4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4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4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4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4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4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4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4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4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4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4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4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4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4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4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4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4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4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4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4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4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4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4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4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4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4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4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4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4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4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4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4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4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4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4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4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4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4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4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4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4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4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4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4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4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4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4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4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4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4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4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4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4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4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4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4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4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4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4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4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4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4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4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4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4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4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4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4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4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4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4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4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4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4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4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4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4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4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4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4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4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4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4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4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4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4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4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4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4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4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4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4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4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4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4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4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4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4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4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4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4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4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4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4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4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4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4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4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4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4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4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4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4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4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4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4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4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4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4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4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4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4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4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4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4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4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4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4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4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4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4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4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4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4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4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4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4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4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4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4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4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4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4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4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4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4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4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4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4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4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4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4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4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4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4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4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4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4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4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4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4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4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4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4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4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4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4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4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4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4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4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4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4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4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4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4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4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4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4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4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4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4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4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4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4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4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4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4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4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4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4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4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4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4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4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4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4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4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4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4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4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4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4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4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4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4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4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4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4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4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4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4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4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4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4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4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4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4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4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4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4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4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4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4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4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4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4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4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4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4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4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4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4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4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4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4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4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4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4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4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4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4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4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4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4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4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4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4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4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4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4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4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4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4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4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4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4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4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4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4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4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4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4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4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4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4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4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4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4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4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4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4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4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4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4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4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4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4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4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4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4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4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4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4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4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4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4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4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4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4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4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4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4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4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4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4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4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4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4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4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4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4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4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4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4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4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4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4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4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4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4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4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4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4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4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4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4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4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4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4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4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4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4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4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4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4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4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4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4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4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4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4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4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4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4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4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4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4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4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4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4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4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4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4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4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4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4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4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4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4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4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4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4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4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4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4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4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4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4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4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4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4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4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4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4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4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4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4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4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4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4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4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4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4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4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4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4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4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4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4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4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4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4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4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4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4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4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4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4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4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4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4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4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4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4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4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4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4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4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4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4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4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4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4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4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4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4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4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4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4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4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4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4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4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4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4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4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4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4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4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4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4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4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4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4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4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4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4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4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4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4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4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4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4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4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4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4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4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4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4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4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4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4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4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4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4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4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4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4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4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4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4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4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4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4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4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4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4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4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4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4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4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4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4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4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4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4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4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4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4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4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4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4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4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4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4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4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4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4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4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4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4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4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4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4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4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4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4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4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4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4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4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4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4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4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4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4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4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4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4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4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4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4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4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4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4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4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4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4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4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4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4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4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4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4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4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4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4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4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4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4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4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4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4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4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4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4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4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4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4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4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4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4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4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4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4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4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4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4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4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4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4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4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4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4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4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4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4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4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4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4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4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4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4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4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4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4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4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4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4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4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4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4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4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4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4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4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4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4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4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4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4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4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4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4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4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4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4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4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4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4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4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4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4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4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4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4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4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4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4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4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4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4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4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4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4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4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4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4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4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4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4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4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4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4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4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4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4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4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4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4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4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4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4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4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4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4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4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4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4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4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4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4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4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4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4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4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4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4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4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4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4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4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4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4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4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4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4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4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4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4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4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4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4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4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4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4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4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4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4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4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4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4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4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4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4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4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4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4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4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4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4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4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4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4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4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4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4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4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4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4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4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4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4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4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4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4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4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4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4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4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4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4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4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4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4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4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4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4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4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4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4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4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4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4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4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4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4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4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4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4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4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4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4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4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4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4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4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4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4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4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4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4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4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4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4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4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4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4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4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4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4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4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4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4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4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4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4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4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4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4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4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4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4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4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4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4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4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4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4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4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4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4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4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4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4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4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4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4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4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4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4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4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4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4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4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4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4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4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4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4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4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4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4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4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4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4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4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4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4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4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4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4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4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4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4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4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4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4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4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4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4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4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4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4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4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4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4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scale="7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9.38"/>
    <col customWidth="1" min="3" max="3" width="35.13"/>
    <col customWidth="1" min="4" max="5" width="15.13"/>
    <col customWidth="1" min="6" max="15" width="15.5"/>
    <col customWidth="1" min="16" max="16" width="14.88"/>
    <col customWidth="1" min="17" max="26" width="11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8" t="s">
        <v>14</v>
      </c>
      <c r="P3" s="8" t="s">
        <v>21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22</v>
      </c>
      <c r="C4" s="12" t="s">
        <v>24</v>
      </c>
      <c r="D4" s="16">
        <f t="shared" ref="D4:E4" si="1">6417000*6</f>
        <v>38502000</v>
      </c>
      <c r="E4" s="16">
        <f t="shared" si="1"/>
        <v>38502000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>
        <f t="shared" ref="P4:P13" si="3">SUM(D4:O4)</f>
        <v>77004000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24"/>
      <c r="C5" s="25" t="s">
        <v>27</v>
      </c>
      <c r="D5" s="28">
        <f t="shared" ref="D5:E5" si="2">5346000*6</f>
        <v>32076000</v>
      </c>
      <c r="E5" s="28">
        <f t="shared" si="2"/>
        <v>32076000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>
        <f t="shared" si="3"/>
        <v>64152000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24"/>
      <c r="C6" s="12" t="s">
        <v>33</v>
      </c>
      <c r="D6" s="16">
        <f t="shared" ref="D6:E6" si="4">4197480*6</f>
        <v>25184880</v>
      </c>
      <c r="E6" s="16">
        <f t="shared" si="4"/>
        <v>25184880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>
        <f t="shared" si="3"/>
        <v>50369760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4"/>
      <c r="C7" s="25" t="s">
        <v>35</v>
      </c>
      <c r="D7" s="28">
        <f t="shared" ref="D7:E7" si="5">4197480*6</f>
        <v>25184880</v>
      </c>
      <c r="E7" s="28">
        <f t="shared" si="5"/>
        <v>25184880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>
        <f t="shared" si="3"/>
        <v>50369760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4"/>
      <c r="C8" s="12" t="s">
        <v>38</v>
      </c>
      <c r="D8" s="16">
        <f t="shared" ref="D8:E8" si="6">2241000*6</f>
        <v>13446000</v>
      </c>
      <c r="E8" s="16">
        <f t="shared" si="6"/>
        <v>13446000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>
        <f t="shared" si="3"/>
        <v>26892000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28.5" customHeight="1">
      <c r="A9" s="1"/>
      <c r="B9" s="24"/>
      <c r="C9" s="25" t="s">
        <v>39</v>
      </c>
      <c r="D9" s="29"/>
      <c r="E9" s="28">
        <f>3736500*6</f>
        <v>22419000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>
        <f t="shared" si="3"/>
        <v>22419000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28.5" customHeight="1">
      <c r="A10" s="1"/>
      <c r="B10" s="33"/>
      <c r="C10" s="12" t="s">
        <v>41</v>
      </c>
      <c r="D10" s="16">
        <f t="shared" ref="D10:E10" si="7">5346000*6</f>
        <v>32076000</v>
      </c>
      <c r="E10" s="16">
        <f t="shared" si="7"/>
        <v>32076000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>
        <f t="shared" si="3"/>
        <v>64152000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5" t="s">
        <v>42</v>
      </c>
      <c r="C11" s="25" t="s">
        <v>35</v>
      </c>
      <c r="D11" s="29"/>
      <c r="E11" s="29"/>
      <c r="F11" s="28">
        <f t="shared" ref="F11:O11" si="8">4197480*6</f>
        <v>25184880</v>
      </c>
      <c r="G11" s="28">
        <f t="shared" si="8"/>
        <v>25184880</v>
      </c>
      <c r="H11" s="28">
        <f t="shared" si="8"/>
        <v>25184880</v>
      </c>
      <c r="I11" s="28">
        <f t="shared" si="8"/>
        <v>25184880</v>
      </c>
      <c r="J11" s="28">
        <f t="shared" si="8"/>
        <v>25184880</v>
      </c>
      <c r="K11" s="28">
        <f t="shared" si="8"/>
        <v>25184880</v>
      </c>
      <c r="L11" s="28">
        <f t="shared" si="8"/>
        <v>25184880</v>
      </c>
      <c r="M11" s="28">
        <f t="shared" si="8"/>
        <v>25184880</v>
      </c>
      <c r="N11" s="28">
        <f t="shared" si="8"/>
        <v>25184880</v>
      </c>
      <c r="O11" s="28">
        <f t="shared" si="8"/>
        <v>25184880</v>
      </c>
      <c r="P11" s="28">
        <f t="shared" si="3"/>
        <v>251848800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4"/>
      <c r="C12" s="12" t="s">
        <v>43</v>
      </c>
      <c r="D12" s="20"/>
      <c r="E12" s="20"/>
      <c r="F12" s="16">
        <f t="shared" ref="F12:O12" si="9">2935000*6</f>
        <v>17610000</v>
      </c>
      <c r="G12" s="16">
        <f t="shared" si="9"/>
        <v>17610000</v>
      </c>
      <c r="H12" s="16">
        <f t="shared" si="9"/>
        <v>17610000</v>
      </c>
      <c r="I12" s="16">
        <f t="shared" si="9"/>
        <v>17610000</v>
      </c>
      <c r="J12" s="16">
        <f t="shared" si="9"/>
        <v>17610000</v>
      </c>
      <c r="K12" s="16">
        <f t="shared" si="9"/>
        <v>17610000</v>
      </c>
      <c r="L12" s="16">
        <f t="shared" si="9"/>
        <v>17610000</v>
      </c>
      <c r="M12" s="16">
        <f t="shared" si="9"/>
        <v>17610000</v>
      </c>
      <c r="N12" s="16">
        <f t="shared" si="9"/>
        <v>17610000</v>
      </c>
      <c r="O12" s="16">
        <f t="shared" si="9"/>
        <v>17610000</v>
      </c>
      <c r="P12" s="16">
        <f t="shared" si="3"/>
        <v>176100000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75" customHeight="1">
      <c r="A13" s="1"/>
      <c r="B13" s="33"/>
      <c r="C13" s="25" t="s">
        <v>38</v>
      </c>
      <c r="D13" s="29"/>
      <c r="E13" s="29"/>
      <c r="F13" s="28">
        <f t="shared" ref="F13:O13" si="10">2241000*6</f>
        <v>13446000</v>
      </c>
      <c r="G13" s="28">
        <f t="shared" si="10"/>
        <v>13446000</v>
      </c>
      <c r="H13" s="28">
        <f t="shared" si="10"/>
        <v>13446000</v>
      </c>
      <c r="I13" s="28">
        <f t="shared" si="10"/>
        <v>13446000</v>
      </c>
      <c r="J13" s="28">
        <f t="shared" si="10"/>
        <v>13446000</v>
      </c>
      <c r="K13" s="28">
        <f t="shared" si="10"/>
        <v>13446000</v>
      </c>
      <c r="L13" s="28">
        <f t="shared" si="10"/>
        <v>13446000</v>
      </c>
      <c r="M13" s="28">
        <f t="shared" si="10"/>
        <v>13446000</v>
      </c>
      <c r="N13" s="28">
        <f t="shared" si="10"/>
        <v>13446000</v>
      </c>
      <c r="O13" s="28">
        <f t="shared" si="10"/>
        <v>13446000</v>
      </c>
      <c r="P13" s="28">
        <f t="shared" si="3"/>
        <v>134460000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7" t="s">
        <v>47</v>
      </c>
      <c r="C15" s="39" t="s">
        <v>49</v>
      </c>
      <c r="D15" s="5"/>
      <c r="E15" s="5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0" t="s">
        <v>2</v>
      </c>
      <c r="C16" s="41" t="s">
        <v>51</v>
      </c>
      <c r="D16" s="5"/>
      <c r="E16" s="5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0" t="s">
        <v>52</v>
      </c>
      <c r="C17" s="41" t="s">
        <v>53</v>
      </c>
      <c r="D17" s="5"/>
      <c r="E17" s="5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7" t="s">
        <v>47</v>
      </c>
      <c r="C19" s="39" t="s">
        <v>54</v>
      </c>
      <c r="D19" s="5"/>
      <c r="E19" s="5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0" t="s">
        <v>2</v>
      </c>
      <c r="C20" s="41" t="s">
        <v>57</v>
      </c>
      <c r="D20" s="5"/>
      <c r="E20" s="5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0" t="s">
        <v>52</v>
      </c>
      <c r="C21" s="41" t="s">
        <v>59</v>
      </c>
      <c r="D21" s="5"/>
      <c r="E21" s="5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7" t="s">
        <v>47</v>
      </c>
      <c r="C23" s="39" t="s">
        <v>60</v>
      </c>
      <c r="D23" s="5"/>
      <c r="E23" s="5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0" t="s">
        <v>2</v>
      </c>
      <c r="C24" s="41" t="s">
        <v>76</v>
      </c>
      <c r="D24" s="5"/>
      <c r="E24" s="5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0" t="s">
        <v>52</v>
      </c>
      <c r="C25" s="41" t="s">
        <v>77</v>
      </c>
      <c r="D25" s="5"/>
      <c r="E25" s="5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7" t="s">
        <v>47</v>
      </c>
      <c r="C27" s="39" t="s">
        <v>78</v>
      </c>
      <c r="D27" s="5"/>
      <c r="E27" s="5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0" t="s">
        <v>2</v>
      </c>
      <c r="C28" s="41" t="s">
        <v>79</v>
      </c>
      <c r="D28" s="5"/>
      <c r="E28" s="5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0" t="s">
        <v>52</v>
      </c>
      <c r="C29" s="41" t="s">
        <v>80</v>
      </c>
      <c r="D29" s="5"/>
      <c r="E29" s="5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7" t="s">
        <v>47</v>
      </c>
      <c r="C31" s="39" t="s">
        <v>81</v>
      </c>
      <c r="D31" s="5"/>
      <c r="E31" s="5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0" t="s">
        <v>2</v>
      </c>
      <c r="C32" s="41" t="s">
        <v>83</v>
      </c>
      <c r="D32" s="5"/>
      <c r="E32" s="5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0" t="s">
        <v>52</v>
      </c>
      <c r="C33" s="41" t="s">
        <v>85</v>
      </c>
      <c r="D33" s="5"/>
      <c r="E33" s="5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7" t="s">
        <v>47</v>
      </c>
      <c r="C35" s="39" t="s">
        <v>86</v>
      </c>
      <c r="D35" s="5"/>
      <c r="E35" s="5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0" t="s">
        <v>2</v>
      </c>
      <c r="C36" s="41" t="s">
        <v>87</v>
      </c>
      <c r="D36" s="5"/>
      <c r="E36" s="5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0" t="s">
        <v>52</v>
      </c>
      <c r="C37" s="41" t="s">
        <v>80</v>
      </c>
      <c r="D37" s="5"/>
      <c r="E37" s="5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7" t="s">
        <v>47</v>
      </c>
      <c r="C39" s="39" t="s">
        <v>88</v>
      </c>
      <c r="D39" s="5"/>
      <c r="E39" s="5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0" t="s">
        <v>2</v>
      </c>
      <c r="C40" s="41" t="s">
        <v>89</v>
      </c>
      <c r="D40" s="5"/>
      <c r="E40" s="5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0" t="s">
        <v>52</v>
      </c>
      <c r="C41" s="41" t="s">
        <v>90</v>
      </c>
      <c r="D41" s="5"/>
      <c r="E41" s="5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7" t="s">
        <v>47</v>
      </c>
      <c r="C43" s="39" t="s">
        <v>91</v>
      </c>
      <c r="D43" s="5"/>
      <c r="E43" s="5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0" t="s">
        <v>2</v>
      </c>
      <c r="C44" s="41" t="s">
        <v>92</v>
      </c>
      <c r="D44" s="5"/>
      <c r="E44" s="5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40"/>
      <c r="C45" s="41" t="s">
        <v>93</v>
      </c>
      <c r="D45" s="5"/>
      <c r="E45" s="5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4:B10"/>
    <mergeCell ref="B11:B13"/>
    <mergeCell ref="C15:F15"/>
    <mergeCell ref="C16:F16"/>
    <mergeCell ref="C17:F17"/>
    <mergeCell ref="C19:F19"/>
    <mergeCell ref="C20:F20"/>
    <mergeCell ref="C21:F21"/>
    <mergeCell ref="C23:F23"/>
    <mergeCell ref="C24:F24"/>
    <mergeCell ref="C25:F25"/>
    <mergeCell ref="C27:F27"/>
    <mergeCell ref="C28:F28"/>
    <mergeCell ref="C29:F29"/>
    <mergeCell ref="C40:F40"/>
    <mergeCell ref="C41:F41"/>
    <mergeCell ref="C43:F43"/>
    <mergeCell ref="C44:F44"/>
    <mergeCell ref="C45:F45"/>
    <mergeCell ref="C31:F31"/>
    <mergeCell ref="C32:F32"/>
    <mergeCell ref="C33:F33"/>
    <mergeCell ref="C35:F35"/>
    <mergeCell ref="C36:F36"/>
    <mergeCell ref="C37:F37"/>
    <mergeCell ref="C39:F39"/>
  </mergeCells>
  <printOptions/>
  <pageMargins bottom="0.75" footer="0.0" header="0.0" left="0.7" right="0.7" top="0.75"/>
  <pageSetup scale="3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5.38"/>
    <col customWidth="1" min="3" max="7" width="12.88"/>
    <col customWidth="1" min="8" max="10" width="11.5"/>
    <col customWidth="1" min="11" max="11" width="36.63"/>
    <col customWidth="1" min="12" max="12" width="19.38"/>
    <col customWidth="1" min="13" max="13" width="17.88"/>
    <col customWidth="1" min="14" max="14" width="34.5"/>
    <col customWidth="1" min="15" max="26" width="11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/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/>
      <c r="I2" s="6"/>
      <c r="J2" s="6"/>
      <c r="K2" s="9"/>
      <c r="L2" s="9"/>
      <c r="M2" s="9"/>
      <c r="N2" s="9"/>
      <c r="O2" s="1"/>
      <c r="P2" s="1"/>
      <c r="Q2" s="1"/>
      <c r="R2" s="1"/>
      <c r="S2" s="1"/>
      <c r="T2" s="1"/>
      <c r="U2" s="6"/>
      <c r="V2" s="6"/>
      <c r="W2" s="6"/>
      <c r="X2" s="6"/>
      <c r="Y2" s="6"/>
      <c r="Z2" s="6"/>
    </row>
    <row r="3">
      <c r="A3" s="6" t="s">
        <v>23</v>
      </c>
      <c r="B3" s="1"/>
      <c r="C3" s="1"/>
      <c r="D3" s="1"/>
      <c r="E3" s="1"/>
      <c r="F3" s="1"/>
      <c r="G3" s="1"/>
      <c r="H3" s="1"/>
      <c r="I3" s="1"/>
      <c r="J3" s="1"/>
      <c r="K3" s="11"/>
      <c r="L3" s="14"/>
      <c r="M3" s="11"/>
      <c r="N3" s="1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 t="s">
        <v>26</v>
      </c>
      <c r="B4" s="19">
        <v>1.82665E7</v>
      </c>
      <c r="C4" s="1"/>
      <c r="D4" s="1"/>
      <c r="E4" s="1"/>
      <c r="F4" s="1"/>
      <c r="G4" s="1"/>
      <c r="H4" s="1"/>
      <c r="I4" s="1"/>
      <c r="J4" s="1"/>
      <c r="K4" s="11"/>
      <c r="L4" s="14"/>
      <c r="M4" s="11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3">
        <f t="shared" ref="B5:G5" si="1">SUM(B4)</f>
        <v>18266500</v>
      </c>
      <c r="C5" s="23">
        <f t="shared" si="1"/>
        <v>0</v>
      </c>
      <c r="D5" s="23">
        <f t="shared" si="1"/>
        <v>0</v>
      </c>
      <c r="E5" s="23">
        <f t="shared" si="1"/>
        <v>0</v>
      </c>
      <c r="F5" s="23">
        <f t="shared" si="1"/>
        <v>0</v>
      </c>
      <c r="G5" s="23">
        <f t="shared" si="1"/>
        <v>0</v>
      </c>
      <c r="H5" s="1"/>
      <c r="I5" s="1"/>
      <c r="J5" s="1"/>
      <c r="K5" s="11"/>
      <c r="L5" s="14"/>
      <c r="M5" s="11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29</v>
      </c>
      <c r="B6" s="1"/>
      <c r="C6" s="1"/>
      <c r="D6" s="1"/>
      <c r="E6" s="1"/>
      <c r="F6" s="1"/>
      <c r="G6" s="1"/>
      <c r="H6" s="1"/>
      <c r="I6" s="1"/>
      <c r="J6" s="1"/>
      <c r="K6" s="11"/>
      <c r="L6" s="14"/>
      <c r="M6" s="11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 t="s">
        <v>30</v>
      </c>
      <c r="B7" s="19">
        <v>1.3209E7</v>
      </c>
      <c r="C7" s="1"/>
      <c r="D7" s="1"/>
      <c r="E7" s="1"/>
      <c r="F7" s="1"/>
      <c r="G7" s="1"/>
      <c r="H7" s="1"/>
      <c r="I7" s="1"/>
      <c r="J7" s="1"/>
      <c r="K7" s="11"/>
      <c r="L7" s="14"/>
      <c r="M7" s="11"/>
      <c r="N7" s="1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7" t="s">
        <v>31</v>
      </c>
      <c r="B8" s="19">
        <f>1000000*3</f>
        <v>3000000</v>
      </c>
      <c r="C8" s="1"/>
      <c r="D8" s="1"/>
      <c r="E8" s="1"/>
      <c r="F8" s="1"/>
      <c r="G8" s="1"/>
      <c r="H8" s="1"/>
      <c r="I8" s="1"/>
      <c r="J8" s="1"/>
      <c r="K8" s="11"/>
      <c r="L8" s="14"/>
      <c r="M8" s="11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">
        <f t="shared" ref="B9:G9" si="2">SUM(B7:B8)</f>
        <v>16209000</v>
      </c>
      <c r="C9" s="23">
        <f t="shared" si="2"/>
        <v>0</v>
      </c>
      <c r="D9" s="23">
        <f t="shared" si="2"/>
        <v>0</v>
      </c>
      <c r="E9" s="23">
        <f t="shared" si="2"/>
        <v>0</v>
      </c>
      <c r="F9" s="23">
        <f t="shared" si="2"/>
        <v>0</v>
      </c>
      <c r="G9" s="23">
        <f t="shared" si="2"/>
        <v>0</v>
      </c>
      <c r="H9" s="1"/>
      <c r="I9" s="1"/>
      <c r="J9" s="1"/>
      <c r="K9" s="11"/>
      <c r="L9" s="14"/>
      <c r="M9" s="11"/>
      <c r="N9" s="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36</v>
      </c>
      <c r="B10" s="1"/>
      <c r="C10" s="1"/>
      <c r="D10" s="1"/>
      <c r="E10" s="1"/>
      <c r="F10" s="1"/>
      <c r="G10" s="1"/>
      <c r="H10" s="1"/>
      <c r="I10" s="1"/>
      <c r="J10" s="1"/>
      <c r="K10" s="11"/>
      <c r="L10" s="14"/>
      <c r="M10" s="11"/>
      <c r="N10" s="1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37</v>
      </c>
      <c r="B11" s="19">
        <f>(13424000+(13424000*8%))</f>
        <v>14497920</v>
      </c>
      <c r="C11" s="32">
        <v>1.449792E7</v>
      </c>
      <c r="D11" s="32">
        <v>1.449792E7</v>
      </c>
      <c r="E11" s="32">
        <v>1.449792E7</v>
      </c>
      <c r="F11" s="32">
        <v>1.449792E7</v>
      </c>
      <c r="G11" s="32">
        <v>1.449792E7</v>
      </c>
      <c r="H11" s="1"/>
      <c r="I11" s="1"/>
      <c r="J11" s="1"/>
      <c r="K11" s="11"/>
      <c r="L11" s="14"/>
      <c r="M11" s="11"/>
      <c r="N11" s="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40</v>
      </c>
      <c r="B12" s="19">
        <f>15000+(50000*12)</f>
        <v>615000</v>
      </c>
      <c r="C12" s="32">
        <f t="shared" ref="C12:G12" si="3">50000*12</f>
        <v>600000</v>
      </c>
      <c r="D12" s="32">
        <f t="shared" si="3"/>
        <v>600000</v>
      </c>
      <c r="E12" s="32">
        <f t="shared" si="3"/>
        <v>600000</v>
      </c>
      <c r="F12" s="32">
        <f t="shared" si="3"/>
        <v>600000</v>
      </c>
      <c r="G12" s="32">
        <f t="shared" si="3"/>
        <v>600000</v>
      </c>
      <c r="H12" s="1"/>
      <c r="I12" s="1"/>
      <c r="J12" s="1"/>
      <c r="K12" s="11"/>
      <c r="L12" s="14"/>
      <c r="M12" s="11"/>
      <c r="N12" s="1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/>
      <c r="C13" s="1"/>
      <c r="D13" s="1"/>
      <c r="E13" s="1"/>
      <c r="F13" s="1"/>
      <c r="G13" s="1"/>
      <c r="H13" s="1"/>
      <c r="I13" s="1"/>
      <c r="J13" s="1"/>
      <c r="K13" s="11"/>
      <c r="L13" s="14"/>
      <c r="M13" s="11"/>
      <c r="N13" s="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3">
        <f t="shared" ref="B14:G14" si="4">SUM(B11:B13)</f>
        <v>15112920</v>
      </c>
      <c r="C14" s="23">
        <f t="shared" si="4"/>
        <v>15097920</v>
      </c>
      <c r="D14" s="23">
        <f t="shared" si="4"/>
        <v>15097920</v>
      </c>
      <c r="E14" s="23">
        <f t="shared" si="4"/>
        <v>15097920</v>
      </c>
      <c r="F14" s="23">
        <f t="shared" si="4"/>
        <v>15097920</v>
      </c>
      <c r="G14" s="23">
        <f t="shared" si="4"/>
        <v>15097920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2"/>
      <c r="B15" s="36">
        <f t="shared" ref="B15:G15" si="5">SUM(B5+B9+B14)</f>
        <v>49588420</v>
      </c>
      <c r="C15" s="36">
        <f t="shared" si="5"/>
        <v>15097920</v>
      </c>
      <c r="D15" s="36">
        <f t="shared" si="5"/>
        <v>15097920</v>
      </c>
      <c r="E15" s="36">
        <f t="shared" si="5"/>
        <v>15097920</v>
      </c>
      <c r="F15" s="36">
        <f t="shared" si="5"/>
        <v>15097920</v>
      </c>
      <c r="G15" s="36">
        <f t="shared" si="5"/>
        <v>15097920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45</v>
      </c>
      <c r="B17" s="1"/>
      <c r="C17" s="1"/>
      <c r="D17" s="1"/>
      <c r="E17" s="1"/>
      <c r="F17" s="1"/>
      <c r="G17" s="1"/>
      <c r="H17" s="1"/>
      <c r="I17" s="1"/>
      <c r="J17" s="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32"/>
      <c r="V19" s="32"/>
      <c r="W19" s="32"/>
      <c r="X19" s="32"/>
      <c r="Y19" s="32"/>
      <c r="Z19" s="3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8" t="s">
        <v>48</v>
      </c>
      <c r="B21" s="1"/>
      <c r="C21" s="42" t="s">
        <v>50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3" t="s">
        <v>56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8" t="s">
        <v>62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2" ref="C21"/>
  </hyperlinks>
  <printOptions/>
  <pageMargins bottom="0.75" footer="0.0" header="0.0" left="0.7" right="0.7" top="0.75"/>
  <pageSetup orientation="portrait"/>
  <colBreaks count="1" manualBreakCount="1">
    <brk id="10" man="1"/>
  </colBrea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88"/>
    <col customWidth="1" min="2" max="7" width="14.38"/>
    <col customWidth="1" min="8" max="26" width="11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94</v>
      </c>
      <c r="B2" s="55">
        <v>400000.0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95</v>
      </c>
      <c r="B3" s="55">
        <v>350000.0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96</v>
      </c>
      <c r="B4" s="55">
        <v>700000.0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97</v>
      </c>
      <c r="B6" s="5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98</v>
      </c>
      <c r="B7" s="57">
        <f t="shared" ref="B7:C7" si="1">+((269338+(269338*19%)))*4</f>
        <v>1282048.88</v>
      </c>
      <c r="C7" s="32">
        <f t="shared" si="1"/>
        <v>1282048.88</v>
      </c>
      <c r="D7" s="32">
        <v>0.0</v>
      </c>
      <c r="E7" s="32">
        <v>0.0</v>
      </c>
      <c r="F7" s="32">
        <v>0.0</v>
      </c>
      <c r="G7" s="32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99</v>
      </c>
      <c r="B8" s="57">
        <v>3000000.0</v>
      </c>
      <c r="C8" s="32">
        <v>3000000.0</v>
      </c>
      <c r="D8" s="32">
        <v>3000000.0</v>
      </c>
      <c r="E8" s="32">
        <v>3000000.0</v>
      </c>
      <c r="F8" s="32">
        <v>3000000.0</v>
      </c>
      <c r="G8" s="32">
        <v>3000000.0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100</v>
      </c>
      <c r="B9" s="58">
        <f t="shared" ref="B9:G9" si="2">200000*12</f>
        <v>2400000</v>
      </c>
      <c r="C9" s="32">
        <f t="shared" si="2"/>
        <v>2400000</v>
      </c>
      <c r="D9" s="32">
        <f t="shared" si="2"/>
        <v>2400000</v>
      </c>
      <c r="E9" s="32">
        <f t="shared" si="2"/>
        <v>2400000</v>
      </c>
      <c r="F9" s="32">
        <f t="shared" si="2"/>
        <v>2400000</v>
      </c>
      <c r="G9" s="32">
        <f t="shared" si="2"/>
        <v>2400000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101</v>
      </c>
      <c r="B10" s="58">
        <v>0.0</v>
      </c>
      <c r="C10" s="32">
        <v>0.0</v>
      </c>
      <c r="D10" s="32">
        <v>0.0</v>
      </c>
      <c r="E10" s="32">
        <v>0.0</v>
      </c>
      <c r="F10" s="32">
        <v>0.0</v>
      </c>
      <c r="G10" s="32">
        <v>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102</v>
      </c>
      <c r="B11" s="58">
        <v>0.0</v>
      </c>
      <c r="C11" s="32">
        <f>+$B$2+($B$3*2)+($B$4*2)</f>
        <v>2500000</v>
      </c>
      <c r="D11" s="32">
        <f>+$B$2+($B$3*3)+($B$4*3)</f>
        <v>3550000</v>
      </c>
      <c r="E11" s="32">
        <f>+$B$2+($B$3*4)+($B$4*4)</f>
        <v>4600000</v>
      </c>
      <c r="F11" s="32">
        <f>+$B$2+($B$3*5)+($B$4*5)</f>
        <v>5650000</v>
      </c>
      <c r="G11" s="32">
        <f>+$B$2+($B$3*6)+($B$4*6)</f>
        <v>6700000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8">
        <f t="shared" ref="B12:G12" si="3">SUM(B7:B11)</f>
        <v>6682048.88</v>
      </c>
      <c r="C12" s="23">
        <f t="shared" si="3"/>
        <v>9182048.88</v>
      </c>
      <c r="D12" s="23">
        <f t="shared" si="3"/>
        <v>8950000</v>
      </c>
      <c r="E12" s="23">
        <f t="shared" si="3"/>
        <v>10000000</v>
      </c>
      <c r="F12" s="23">
        <f t="shared" si="3"/>
        <v>11050000</v>
      </c>
      <c r="G12" s="23">
        <f t="shared" si="3"/>
        <v>12100000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8" t="s">
        <v>103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scale="6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2025-12-10T13:22:02Z</dcterms:created>
  <dc:creator>Jenyfer Martínez</dc:creator>
</cp:coreProperties>
</file>